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2.xml" ContentType="application/vnd.ms-excel.slicer+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66925"/>
  <mc:AlternateContent xmlns:mc="http://schemas.openxmlformats.org/markup-compatibility/2006">
    <mc:Choice Requires="x15">
      <x15ac:absPath xmlns:x15ac="http://schemas.microsoft.com/office/spreadsheetml/2010/11/ac" url="C:\Users\marvi\Downloads\"/>
    </mc:Choice>
  </mc:AlternateContent>
  <xr:revisionPtr revIDLastSave="0" documentId="13_ncr:1_{50DC9A0A-869E-46F7-9BDE-3004B91240CA}" xr6:coauthVersionLast="47" xr6:coauthVersionMax="47" xr10:uidLastSave="{00000000-0000-0000-0000-000000000000}"/>
  <bookViews>
    <workbookView xWindow="-108" yWindow="-108" windowWidth="23256" windowHeight="13176" xr2:uid="{00000000-000D-0000-FFFF-FFFF00000000}"/>
  </bookViews>
  <sheets>
    <sheet name="Exe Sum &amp; Dashboard" sheetId="4" r:id="rId1"/>
    <sheet name="FMSA" sheetId="1" state="hidden" r:id="rId2"/>
    <sheet name="Charts" sheetId="5" state="hidden" r:id="rId3"/>
  </sheets>
  <definedNames>
    <definedName name="Company_Name" localSheetId="1">FMSA!$D$7</definedName>
    <definedName name="Days_In_Year" localSheetId="1">FMSA!$L$5</definedName>
    <definedName name="Debt_Amount" localSheetId="1">FMSA!$L$6</definedName>
    <definedName name="Debt_Date" localSheetId="1">FMSA!$H$7</definedName>
    <definedName name="Enterprise_Value" localSheetId="1">FMSA!$D$19</definedName>
    <definedName name="Equity_Value" localSheetId="1">FMSA!$D$13</definedName>
    <definedName name="Hist_Year" localSheetId="1">FMSA!$H$6</definedName>
    <definedName name="_xlnm.Print_Area" localSheetId="2">Charts!$A$1:$K$482</definedName>
    <definedName name="_xlnm.Print_Area" localSheetId="0">'Exe Sum &amp; Dashboard'!$U$3:$AT$77,'Exe Sum &amp; Dashboard'!$B$2:$S$106</definedName>
    <definedName name="_xlnm.Print_Area" localSheetId="1">FMSA!$A$1:$V$187</definedName>
    <definedName name="Share_Price" localSheetId="1">FMSA!$D$8</definedName>
    <definedName name="Slicer_Scenario2">#N/A</definedName>
    <definedName name="Slicer_Scenario3">#N/A</definedName>
    <definedName name="Slicer_Scenario4">#N/A</definedName>
    <definedName name="Slicer_Scenario5">#N/A</definedName>
    <definedName name="Slicer_Scenario6">#N/A</definedName>
    <definedName name="Tax_Rate" localSheetId="1">FMSA!$L$7</definedName>
    <definedName name="Units" localSheetId="1">FMSA!$H$8</definedName>
  </definedNames>
  <calcPr calcId="191028"/>
  <pivotCaches>
    <pivotCache cacheId="0" r:id="rId4"/>
    <pivotCache cacheId="1" r:id="rId5"/>
    <pivotCache cacheId="2"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9" i="5" l="1" a="1"/>
  <c r="E459" i="5" s="1"/>
  <c r="F459" i="5" a="1"/>
  <c r="F459" i="5" s="1"/>
  <c r="G459" i="5" a="1"/>
  <c r="G459" i="5" s="1"/>
  <c r="H459" i="5" a="1"/>
  <c r="H459" i="5" s="1"/>
  <c r="D459" i="5" a="1"/>
  <c r="D459" i="5" s="1"/>
  <c r="B403" i="5" a="1"/>
  <c r="B403" i="5" s="1"/>
  <c r="C403" i="5" a="1"/>
  <c r="C403" i="5" s="1"/>
  <c r="D403" i="5" a="1"/>
  <c r="D403" i="5" s="1"/>
  <c r="E403" i="5" a="1"/>
  <c r="E403" i="5" s="1"/>
  <c r="F403" i="5" a="1"/>
  <c r="F403" i="5" s="1"/>
  <c r="G403" i="5" a="1"/>
  <c r="G403" i="5" s="1"/>
  <c r="A403" i="5" a="1"/>
  <c r="A403" i="5" s="1"/>
  <c r="E50" i="5" a="1"/>
  <c r="E50" i="5" s="1"/>
  <c r="F50" i="5" a="1"/>
  <c r="F50" i="5" s="1"/>
  <c r="E51" i="5" a="1"/>
  <c r="E51" i="5" s="1"/>
  <c r="F51" i="5" a="1"/>
  <c r="F51" i="5" s="1"/>
  <c r="E52" i="5" a="1"/>
  <c r="E52" i="5" s="1"/>
  <c r="F52" i="5" a="1"/>
  <c r="F52" i="5" s="1"/>
  <c r="E53" i="5" a="1"/>
  <c r="E53" i="5" s="1"/>
  <c r="F53" i="5" a="1"/>
  <c r="F53" i="5" s="1"/>
  <c r="E54" i="5" a="1"/>
  <c r="E54" i="5" s="1"/>
  <c r="F54" i="5" a="1"/>
  <c r="F54" i="5" s="1"/>
  <c r="E55" i="5" a="1"/>
  <c r="E55" i="5" s="1"/>
  <c r="F55" i="5" a="1"/>
  <c r="F55" i="5" s="1"/>
  <c r="F106" i="5" a="1"/>
  <c r="F106" i="5" s="1"/>
  <c r="F107" i="5" a="1"/>
  <c r="F107" i="5" s="1"/>
  <c r="F108" i="5" a="1"/>
  <c r="F108" i="5" s="1"/>
  <c r="F109" i="5" a="1"/>
  <c r="F109" i="5" s="1"/>
  <c r="F110" i="5" a="1"/>
  <c r="F110" i="5" s="1"/>
  <c r="F105" i="5" a="1"/>
  <c r="F105" i="5" s="1"/>
  <c r="E106" i="5" a="1"/>
  <c r="E106" i="5" s="1"/>
  <c r="E107" i="5" a="1"/>
  <c r="E107" i="5" s="1"/>
  <c r="E108" i="5" a="1"/>
  <c r="E108" i="5" s="1"/>
  <c r="E109" i="5" a="1"/>
  <c r="E109" i="5" s="1"/>
  <c r="E110" i="5" a="1"/>
  <c r="E110" i="5" s="1"/>
  <c r="E105" i="5" a="1"/>
  <c r="E105" i="5" s="1"/>
  <c r="H48" i="1" l="1"/>
  <c r="H47" i="1"/>
  <c r="H53" i="1" l="1"/>
  <c r="I53" i="1"/>
  <c r="J53" i="1"/>
  <c r="K53" i="1"/>
  <c r="L53" i="1"/>
  <c r="M53" i="1"/>
  <c r="H54" i="1"/>
  <c r="I54" i="1"/>
  <c r="J54" i="1"/>
  <c r="K54" i="1"/>
  <c r="L54" i="1"/>
  <c r="M54" i="1"/>
  <c r="H55" i="1"/>
  <c r="I55" i="1"/>
  <c r="J55" i="1"/>
  <c r="K55" i="1"/>
  <c r="L55" i="1"/>
  <c r="M55" i="1"/>
  <c r="H56" i="1"/>
  <c r="I56" i="1"/>
  <c r="J56" i="1"/>
  <c r="K56" i="1"/>
  <c r="L56" i="1"/>
  <c r="M56" i="1"/>
  <c r="M52" i="1"/>
  <c r="I52" i="1"/>
  <c r="J52" i="1"/>
  <c r="K52" i="1"/>
  <c r="L52" i="1"/>
  <c r="H52" i="1"/>
  <c r="I47" i="1"/>
  <c r="J47" i="1"/>
  <c r="K47" i="1"/>
  <c r="L47" i="1"/>
  <c r="M47" i="1"/>
  <c r="I48" i="1"/>
  <c r="J48" i="1"/>
  <c r="K48" i="1"/>
  <c r="L48" i="1"/>
  <c r="M48" i="1"/>
  <c r="I49" i="1"/>
  <c r="J49" i="1"/>
  <c r="K49" i="1"/>
  <c r="L49" i="1"/>
  <c r="M49" i="1"/>
  <c r="I50" i="1"/>
  <c r="J50" i="1"/>
  <c r="K50" i="1"/>
  <c r="L50" i="1"/>
  <c r="M50" i="1"/>
  <c r="H49" i="1"/>
  <c r="H50" i="1"/>
  <c r="H58" i="1"/>
  <c r="U48" i="1"/>
  <c r="T48" i="1"/>
  <c r="S48" i="1"/>
  <c r="R48" i="1"/>
  <c r="Q48" i="1"/>
  <c r="U42" i="1"/>
  <c r="T42" i="1"/>
  <c r="S42" i="1"/>
  <c r="R42" i="1"/>
  <c r="Q42" i="1"/>
  <c r="U36" i="1"/>
  <c r="T36" i="1"/>
  <c r="S36" i="1"/>
  <c r="R36" i="1"/>
  <c r="Q36" i="1"/>
  <c r="U30" i="1"/>
  <c r="T30" i="1"/>
  <c r="S30" i="1"/>
  <c r="R30" i="1"/>
  <c r="Q30" i="1"/>
  <c r="U24" i="1"/>
  <c r="T24" i="1"/>
  <c r="S24" i="1"/>
  <c r="R24" i="1"/>
  <c r="Q24" i="1"/>
  <c r="H23" i="1"/>
  <c r="L23" i="1"/>
  <c r="K23" i="1"/>
  <c r="J23" i="1"/>
  <c r="I23" i="1"/>
  <c r="M83" i="1"/>
  <c r="M153" i="1" s="1"/>
  <c r="M45" i="1"/>
  <c r="M40" i="1"/>
  <c r="F23" i="1"/>
  <c r="E23" i="1"/>
  <c r="G23" i="1"/>
  <c r="G183" i="1" l="1"/>
  <c r="F183" i="1"/>
  <c r="E183" i="1"/>
  <c r="I182" i="1"/>
  <c r="J182" i="1" s="1"/>
  <c r="K182" i="1" s="1"/>
  <c r="L182" i="1" s="1"/>
  <c r="M182" i="1" s="1"/>
  <c r="I180" i="1"/>
  <c r="I179" i="1"/>
  <c r="J179" i="1" s="1"/>
  <c r="K179" i="1" s="1"/>
  <c r="L179" i="1" s="1"/>
  <c r="M179" i="1" s="1"/>
  <c r="I178" i="1"/>
  <c r="I177" i="1"/>
  <c r="J177" i="1" s="1"/>
  <c r="I173" i="1"/>
  <c r="J173" i="1" s="1"/>
  <c r="K173" i="1" s="1"/>
  <c r="L173" i="1" s="1"/>
  <c r="M173" i="1" s="1"/>
  <c r="F173" i="1"/>
  <c r="I172" i="1"/>
  <c r="J172" i="1" s="1"/>
  <c r="K172" i="1" s="1"/>
  <c r="L172" i="1" s="1"/>
  <c r="M172" i="1" s="1"/>
  <c r="I170" i="1"/>
  <c r="J170" i="1" s="1"/>
  <c r="K170" i="1" s="1"/>
  <c r="L170" i="1" s="1"/>
  <c r="M170" i="1" s="1"/>
  <c r="I169" i="1"/>
  <c r="J169" i="1" s="1"/>
  <c r="K169" i="1" s="1"/>
  <c r="L169" i="1" s="1"/>
  <c r="M169" i="1" s="1"/>
  <c r="G169" i="1"/>
  <c r="G174" i="1" s="1"/>
  <c r="F169" i="1"/>
  <c r="E169" i="1"/>
  <c r="E174" i="1" s="1"/>
  <c r="I168" i="1"/>
  <c r="J168" i="1" s="1"/>
  <c r="K168" i="1" s="1"/>
  <c r="G164" i="1"/>
  <c r="G163" i="1"/>
  <c r="G162" i="1"/>
  <c r="G161" i="1"/>
  <c r="G160" i="1"/>
  <c r="G159" i="1"/>
  <c r="G158" i="1"/>
  <c r="I156" i="1"/>
  <c r="J156" i="1" s="1"/>
  <c r="K156" i="1" s="1"/>
  <c r="L156" i="1" s="1"/>
  <c r="M156" i="1" s="1"/>
  <c r="I155" i="1"/>
  <c r="J155" i="1" s="1"/>
  <c r="K155" i="1" s="1"/>
  <c r="L155" i="1" s="1"/>
  <c r="M155" i="1" s="1"/>
  <c r="G154" i="1"/>
  <c r="G138" i="1" s="1"/>
  <c r="F154" i="1"/>
  <c r="E154" i="1"/>
  <c r="G153" i="1"/>
  <c r="G119" i="1" s="1"/>
  <c r="F153" i="1"/>
  <c r="E153" i="1"/>
  <c r="G152" i="1"/>
  <c r="F152" i="1"/>
  <c r="E152" i="1"/>
  <c r="F142" i="1"/>
  <c r="G141" i="1"/>
  <c r="H141" i="1" s="1"/>
  <c r="G139" i="1"/>
  <c r="H139" i="1" s="1"/>
  <c r="I139" i="1" s="1"/>
  <c r="G137" i="1"/>
  <c r="H137" i="1" s="1"/>
  <c r="H133" i="1"/>
  <c r="I133" i="1" s="1"/>
  <c r="J133" i="1" s="1"/>
  <c r="K133" i="1" s="1"/>
  <c r="L133" i="1" s="1"/>
  <c r="M133" i="1" s="1"/>
  <c r="G128" i="1"/>
  <c r="G134" i="1" s="1"/>
  <c r="F128" i="1"/>
  <c r="F134" i="1" s="1"/>
  <c r="H120" i="1"/>
  <c r="I120" i="1" s="1"/>
  <c r="G118" i="1"/>
  <c r="H118" i="1" s="1"/>
  <c r="I118" i="1" s="1"/>
  <c r="J118" i="1" s="1"/>
  <c r="K118" i="1" s="1"/>
  <c r="L118" i="1" s="1"/>
  <c r="M118" i="1" s="1"/>
  <c r="G117" i="1"/>
  <c r="G116" i="1"/>
  <c r="H116" i="1" s="1"/>
  <c r="H112" i="1"/>
  <c r="G111" i="1"/>
  <c r="H111" i="1" s="1"/>
  <c r="H96" i="1"/>
  <c r="I96" i="1" s="1"/>
  <c r="J96" i="1" s="1"/>
  <c r="K96" i="1" s="1"/>
  <c r="L96" i="1" s="1"/>
  <c r="M96" i="1" s="1"/>
  <c r="I89" i="1"/>
  <c r="J89" i="1" s="1"/>
  <c r="K89" i="1" s="1"/>
  <c r="L89" i="1" s="1"/>
  <c r="M89" i="1" s="1"/>
  <c r="L83" i="1"/>
  <c r="L153" i="1" s="1"/>
  <c r="K83" i="1"/>
  <c r="K153" i="1" s="1"/>
  <c r="J83" i="1"/>
  <c r="J153" i="1" s="1"/>
  <c r="I83" i="1"/>
  <c r="I153" i="1" s="1"/>
  <c r="H83" i="1"/>
  <c r="H153" i="1" s="1"/>
  <c r="G79" i="1"/>
  <c r="G50" i="1" s="1"/>
  <c r="F79" i="1"/>
  <c r="F50" i="1" s="1"/>
  <c r="E79" i="1"/>
  <c r="E50" i="1" s="1"/>
  <c r="G78" i="1"/>
  <c r="G49" i="1" s="1"/>
  <c r="F78" i="1"/>
  <c r="E78" i="1"/>
  <c r="E49" i="1" s="1"/>
  <c r="G75" i="1"/>
  <c r="G76" i="1" s="1"/>
  <c r="F75" i="1"/>
  <c r="F76" i="1" s="1"/>
  <c r="E75" i="1"/>
  <c r="E76" i="1" s="1"/>
  <c r="H74" i="1"/>
  <c r="G69" i="1"/>
  <c r="H69" i="1" s="1"/>
  <c r="F69" i="1"/>
  <c r="E69" i="1"/>
  <c r="G67" i="1"/>
  <c r="H67" i="1" s="1"/>
  <c r="F67" i="1"/>
  <c r="G66" i="1"/>
  <c r="H66" i="1" s="1"/>
  <c r="F66" i="1"/>
  <c r="F63" i="1"/>
  <c r="F64" i="1" s="1"/>
  <c r="F60" i="1"/>
  <c r="F59" i="1"/>
  <c r="G58" i="1"/>
  <c r="G59" i="1" s="1"/>
  <c r="H59" i="1" s="1"/>
  <c r="F58" i="1"/>
  <c r="G53" i="1"/>
  <c r="F53" i="1"/>
  <c r="E53" i="1"/>
  <c r="G52" i="1"/>
  <c r="F52" i="1"/>
  <c r="E52" i="1"/>
  <c r="F48" i="1"/>
  <c r="E48" i="1"/>
  <c r="G47" i="1"/>
  <c r="F47" i="1"/>
  <c r="E47" i="1"/>
  <c r="L45" i="1"/>
  <c r="K45" i="1"/>
  <c r="J45" i="1"/>
  <c r="I45" i="1"/>
  <c r="H45" i="1"/>
  <c r="L40" i="1"/>
  <c r="K40" i="1"/>
  <c r="J40" i="1"/>
  <c r="I40" i="1"/>
  <c r="H40" i="1"/>
  <c r="H35" i="1"/>
  <c r="E35" i="1"/>
  <c r="J36" i="1"/>
  <c r="H104" i="1"/>
  <c r="G72" i="1"/>
  <c r="F72" i="1"/>
  <c r="E72" i="1"/>
  <c r="F22" i="1"/>
  <c r="E22" i="1" s="1"/>
  <c r="D15" i="1"/>
  <c r="I14" i="1"/>
  <c r="I19" i="1" s="1"/>
  <c r="D12" i="1" s="1"/>
  <c r="D13" i="1" s="1"/>
  <c r="L11" i="1"/>
  <c r="D11" i="1"/>
  <c r="L10" i="1"/>
  <c r="H79" i="1" l="1"/>
  <c r="I74" i="1"/>
  <c r="I75" i="1" s="1"/>
  <c r="H84" i="1"/>
  <c r="H154" i="1" s="1"/>
  <c r="H138" i="1" s="1"/>
  <c r="F174" i="1"/>
  <c r="H82" i="1"/>
  <c r="H152" i="1" s="1"/>
  <c r="I116" i="1"/>
  <c r="J116" i="1" s="1"/>
  <c r="H119" i="1"/>
  <c r="I119" i="1" s="1"/>
  <c r="J119" i="1" s="1"/>
  <c r="K119" i="1" s="1"/>
  <c r="L119" i="1" s="1"/>
  <c r="M119" i="1" s="1"/>
  <c r="F80" i="1"/>
  <c r="F65" i="1" s="1"/>
  <c r="I111" i="1"/>
  <c r="J111" i="1" s="1"/>
  <c r="K111" i="1" s="1"/>
  <c r="L111" i="1" s="1"/>
  <c r="M111" i="1" s="1"/>
  <c r="F36" i="1"/>
  <c r="H127" i="1"/>
  <c r="I66" i="1"/>
  <c r="K116" i="1"/>
  <c r="L116" i="1" s="1"/>
  <c r="M116" i="1" s="1"/>
  <c r="G48" i="1"/>
  <c r="G60" i="1"/>
  <c r="H60" i="1" s="1"/>
  <c r="I60" i="1" s="1"/>
  <c r="G80" i="1"/>
  <c r="G65" i="1" s="1"/>
  <c r="H65" i="1" s="1"/>
  <c r="I65" i="1" s="1"/>
  <c r="F49" i="1"/>
  <c r="G63" i="1"/>
  <c r="G64" i="1" s="1"/>
  <c r="H64" i="1" s="1"/>
  <c r="H63" i="1" s="1"/>
  <c r="E80" i="1"/>
  <c r="E86" i="1" s="1"/>
  <c r="G108" i="1"/>
  <c r="H108" i="1" s="1"/>
  <c r="I108" i="1" s="1"/>
  <c r="J108" i="1" s="1"/>
  <c r="K108" i="1" s="1"/>
  <c r="L108" i="1" s="1"/>
  <c r="M108" i="1" s="1"/>
  <c r="H109" i="1"/>
  <c r="I59" i="1"/>
  <c r="F86" i="1"/>
  <c r="K149" i="1"/>
  <c r="K104" i="1"/>
  <c r="K72" i="1"/>
  <c r="H22" i="1"/>
  <c r="H149" i="1"/>
  <c r="H72" i="1"/>
  <c r="L149" i="1"/>
  <c r="L104" i="1"/>
  <c r="L72" i="1"/>
  <c r="G36" i="1"/>
  <c r="K36" i="1"/>
  <c r="H131" i="1"/>
  <c r="I67" i="1"/>
  <c r="L168" i="1"/>
  <c r="M168" i="1" s="1"/>
  <c r="J178" i="1"/>
  <c r="K178" i="1" s="1"/>
  <c r="L178" i="1" s="1"/>
  <c r="M178" i="1" s="1"/>
  <c r="I137" i="1"/>
  <c r="I141" i="1"/>
  <c r="J180" i="1"/>
  <c r="K180" i="1" s="1"/>
  <c r="L180" i="1" s="1"/>
  <c r="M180" i="1" s="1"/>
  <c r="I149" i="1"/>
  <c r="I72" i="1"/>
  <c r="I104" i="1"/>
  <c r="H36" i="1"/>
  <c r="L36" i="1"/>
  <c r="H171" i="1"/>
  <c r="I69" i="1"/>
  <c r="G149" i="1"/>
  <c r="G104" i="1"/>
  <c r="F149" i="1"/>
  <c r="F104" i="1"/>
  <c r="J149" i="1"/>
  <c r="J104" i="1"/>
  <c r="E36" i="1"/>
  <c r="I36" i="1"/>
  <c r="J72" i="1"/>
  <c r="E149" i="1"/>
  <c r="F144" i="1"/>
  <c r="H161" i="1"/>
  <c r="H75" i="1"/>
  <c r="H78" i="1"/>
  <c r="I112" i="1"/>
  <c r="H160" i="1"/>
  <c r="J120" i="1"/>
  <c r="J161" i="1" s="1"/>
  <c r="I161" i="1"/>
  <c r="K177" i="1"/>
  <c r="H80" i="1" l="1"/>
  <c r="H126" i="1" s="1"/>
  <c r="H164" i="1" s="1"/>
  <c r="M139" i="1"/>
  <c r="I76" i="1"/>
  <c r="I78" i="1"/>
  <c r="J74" i="1"/>
  <c r="K74" i="1" s="1"/>
  <c r="I79" i="1"/>
  <c r="V48" i="1"/>
  <c r="V24" i="1"/>
  <c r="V30" i="1"/>
  <c r="M23" i="1"/>
  <c r="V36" i="1"/>
  <c r="V42" i="1"/>
  <c r="J141" i="1"/>
  <c r="K141" i="1" s="1"/>
  <c r="L141" i="1" s="1"/>
  <c r="M141" i="1" s="1"/>
  <c r="H110" i="1"/>
  <c r="H159" i="1" s="1"/>
  <c r="E99" i="1"/>
  <c r="E90" i="1"/>
  <c r="E98" i="1"/>
  <c r="I64" i="1"/>
  <c r="I63" i="1" s="1"/>
  <c r="I125" i="1" s="1"/>
  <c r="H76" i="1"/>
  <c r="H163" i="1"/>
  <c r="I127" i="1"/>
  <c r="J66" i="1"/>
  <c r="G86" i="1"/>
  <c r="J65" i="1"/>
  <c r="H125" i="1"/>
  <c r="H158" i="1"/>
  <c r="J112" i="1"/>
  <c r="J139" i="1"/>
  <c r="K139" i="1" s="1"/>
  <c r="L139" i="1" s="1"/>
  <c r="J64" i="1"/>
  <c r="L177" i="1"/>
  <c r="M177" i="1" s="1"/>
  <c r="I160" i="1"/>
  <c r="I171" i="1"/>
  <c r="I174" i="1" s="1"/>
  <c r="J69" i="1"/>
  <c r="J137" i="1"/>
  <c r="E56" i="1"/>
  <c r="E93" i="1"/>
  <c r="I131" i="1"/>
  <c r="J67" i="1"/>
  <c r="I82" i="1"/>
  <c r="I152" i="1" s="1"/>
  <c r="F99" i="1"/>
  <c r="F98" i="1"/>
  <c r="F90" i="1"/>
  <c r="I110" i="1"/>
  <c r="J60" i="1"/>
  <c r="K120" i="1"/>
  <c r="H174" i="1"/>
  <c r="H117" i="1"/>
  <c r="I84" i="1"/>
  <c r="I154" i="1" s="1"/>
  <c r="I138" i="1" s="1"/>
  <c r="H181" i="1"/>
  <c r="I22" i="1"/>
  <c r="J59" i="1"/>
  <c r="I58" i="1"/>
  <c r="I109" i="1" s="1"/>
  <c r="H86" i="1" l="1"/>
  <c r="H98" i="1" s="1"/>
  <c r="J75" i="1"/>
  <c r="J76" i="1" s="1"/>
  <c r="I117" i="1"/>
  <c r="I80" i="1"/>
  <c r="I126" i="1" s="1"/>
  <c r="I164" i="1" s="1"/>
  <c r="I159" i="1"/>
  <c r="M72" i="1"/>
  <c r="M149" i="1"/>
  <c r="M104" i="1"/>
  <c r="M36" i="1"/>
  <c r="J78" i="1"/>
  <c r="J79" i="1"/>
  <c r="I163" i="1"/>
  <c r="G99" i="1"/>
  <c r="G98" i="1"/>
  <c r="G90" i="1"/>
  <c r="K78" i="1"/>
  <c r="K75" i="1"/>
  <c r="K76" i="1" s="1"/>
  <c r="L74" i="1"/>
  <c r="M74" i="1" s="1"/>
  <c r="K79" i="1"/>
  <c r="K66" i="1"/>
  <c r="J127" i="1"/>
  <c r="J84" i="1"/>
  <c r="J154" i="1" s="1"/>
  <c r="J138" i="1" s="1"/>
  <c r="L120" i="1"/>
  <c r="F93" i="1"/>
  <c r="F56" i="1"/>
  <c r="J82" i="1"/>
  <c r="J152" i="1" s="1"/>
  <c r="I162" i="1"/>
  <c r="K112" i="1"/>
  <c r="K160" i="1" s="1"/>
  <c r="K65" i="1"/>
  <c r="K59" i="1"/>
  <c r="J58" i="1"/>
  <c r="J109" i="1" s="1"/>
  <c r="J158" i="1" s="1"/>
  <c r="K161" i="1"/>
  <c r="K67" i="1"/>
  <c r="J131" i="1"/>
  <c r="K137" i="1"/>
  <c r="J63" i="1"/>
  <c r="K64" i="1"/>
  <c r="K60" i="1"/>
  <c r="I181" i="1"/>
  <c r="I183" i="1" s="1"/>
  <c r="J22" i="1"/>
  <c r="I158" i="1"/>
  <c r="H183" i="1"/>
  <c r="H132" i="1"/>
  <c r="E95" i="1"/>
  <c r="E30" i="1" s="1"/>
  <c r="E151" i="1"/>
  <c r="E165" i="1" s="1"/>
  <c r="J171" i="1"/>
  <c r="J174" i="1" s="1"/>
  <c r="K69" i="1"/>
  <c r="J160" i="1"/>
  <c r="H128" i="1"/>
  <c r="H162" i="1"/>
  <c r="H99" i="1" l="1"/>
  <c r="J125" i="1"/>
  <c r="J162" i="1" s="1"/>
  <c r="J110" i="1"/>
  <c r="J159" i="1" s="1"/>
  <c r="I128" i="1"/>
  <c r="I86" i="1"/>
  <c r="I99" i="1" s="1"/>
  <c r="J163" i="1"/>
  <c r="M79" i="1"/>
  <c r="M75" i="1"/>
  <c r="M110" i="1" s="1"/>
  <c r="M78" i="1"/>
  <c r="L161" i="1"/>
  <c r="M120" i="1"/>
  <c r="M161" i="1" s="1"/>
  <c r="J80" i="1"/>
  <c r="J126" i="1" s="1"/>
  <c r="J164" i="1" s="1"/>
  <c r="H134" i="1"/>
  <c r="K80" i="1"/>
  <c r="K126" i="1" s="1"/>
  <c r="K127" i="1"/>
  <c r="L66" i="1"/>
  <c r="G93" i="1"/>
  <c r="G56" i="1"/>
  <c r="L79" i="1"/>
  <c r="L78" i="1"/>
  <c r="L75" i="1"/>
  <c r="L76" i="1" s="1"/>
  <c r="E100" i="1"/>
  <c r="E29" i="1" s="1"/>
  <c r="E185" i="1"/>
  <c r="L137" i="1"/>
  <c r="M137" i="1" s="1"/>
  <c r="K110" i="1"/>
  <c r="L60" i="1"/>
  <c r="M60" i="1" s="1"/>
  <c r="L64" i="1"/>
  <c r="K63" i="1"/>
  <c r="K125" i="1" s="1"/>
  <c r="L112" i="1"/>
  <c r="K171" i="1"/>
  <c r="K174" i="1" s="1"/>
  <c r="L69" i="1"/>
  <c r="J181" i="1"/>
  <c r="J183" i="1" s="1"/>
  <c r="K22" i="1"/>
  <c r="L22" i="1" s="1"/>
  <c r="M22" i="1" s="1"/>
  <c r="M181" i="1" s="1"/>
  <c r="M183" i="1" s="1"/>
  <c r="K131" i="1"/>
  <c r="L67" i="1"/>
  <c r="L59" i="1"/>
  <c r="K58" i="1"/>
  <c r="K109" i="1" s="1"/>
  <c r="F151" i="1"/>
  <c r="F165" i="1" s="1"/>
  <c r="F95" i="1"/>
  <c r="F30" i="1" s="1"/>
  <c r="K84" i="1"/>
  <c r="K154" i="1" s="1"/>
  <c r="K138" i="1" s="1"/>
  <c r="I132" i="1"/>
  <c r="H88" i="1"/>
  <c r="H90" i="1" s="1"/>
  <c r="J117" i="1"/>
  <c r="L65" i="1"/>
  <c r="K82" i="1"/>
  <c r="K159" i="1" l="1"/>
  <c r="I98" i="1"/>
  <c r="K164" i="1"/>
  <c r="J86" i="1"/>
  <c r="J98" i="1" s="1"/>
  <c r="J128" i="1"/>
  <c r="M65" i="1"/>
  <c r="L80" i="1"/>
  <c r="L126" i="1" s="1"/>
  <c r="L164" i="1" s="1"/>
  <c r="L84" i="1"/>
  <c r="L154" i="1" s="1"/>
  <c r="L138" i="1" s="1"/>
  <c r="M84" i="1"/>
  <c r="M154" i="1" s="1"/>
  <c r="L160" i="1"/>
  <c r="M112" i="1"/>
  <c r="M160" i="1" s="1"/>
  <c r="L171" i="1"/>
  <c r="L174" i="1" s="1"/>
  <c r="M69" i="1"/>
  <c r="M171" i="1" s="1"/>
  <c r="M174" i="1" s="1"/>
  <c r="L131" i="1"/>
  <c r="M67" i="1"/>
  <c r="M131" i="1" s="1"/>
  <c r="M76" i="1"/>
  <c r="K163" i="1"/>
  <c r="L127" i="1"/>
  <c r="M66" i="1"/>
  <c r="M127" i="1" s="1"/>
  <c r="M80" i="1"/>
  <c r="L82" i="1"/>
  <c r="L152" i="1" s="1"/>
  <c r="M82" i="1"/>
  <c r="M152" i="1" s="1"/>
  <c r="L63" i="1"/>
  <c r="M64" i="1"/>
  <c r="M63" i="1" s="1"/>
  <c r="M125" i="1" s="1"/>
  <c r="L58" i="1"/>
  <c r="L109" i="1" s="1"/>
  <c r="L158" i="1" s="1"/>
  <c r="M59" i="1"/>
  <c r="M58" i="1" s="1"/>
  <c r="M109" i="1" s="1"/>
  <c r="L110" i="1"/>
  <c r="M159" i="1" s="1"/>
  <c r="G95" i="1"/>
  <c r="G30" i="1" s="1"/>
  <c r="G151" i="1"/>
  <c r="G165" i="1" s="1"/>
  <c r="G140" i="1"/>
  <c r="G142" i="1" s="1"/>
  <c r="G144" i="1" s="1"/>
  <c r="L125" i="1"/>
  <c r="H91" i="1"/>
  <c r="H93" i="1" s="1"/>
  <c r="K158" i="1"/>
  <c r="K152" i="1"/>
  <c r="K117" i="1" s="1"/>
  <c r="K86" i="1"/>
  <c r="J132" i="1"/>
  <c r="F100" i="1"/>
  <c r="F29" i="1" s="1"/>
  <c r="F185" i="1"/>
  <c r="F186" i="1" s="1"/>
  <c r="F107" i="1" s="1"/>
  <c r="K181" i="1"/>
  <c r="K183" i="1" s="1"/>
  <c r="L181" i="1"/>
  <c r="L183" i="1" s="1"/>
  <c r="I134" i="1"/>
  <c r="K162" i="1"/>
  <c r="K128" i="1"/>
  <c r="I88" i="1"/>
  <c r="I90" i="1" s="1"/>
  <c r="J99" i="1" l="1"/>
  <c r="M163" i="1"/>
  <c r="L163" i="1"/>
  <c r="J134" i="1"/>
  <c r="L86" i="1"/>
  <c r="L99" i="1" s="1"/>
  <c r="M138" i="1"/>
  <c r="M158" i="1"/>
  <c r="L128" i="1"/>
  <c r="M86" i="1"/>
  <c r="M126" i="1"/>
  <c r="M164" i="1" s="1"/>
  <c r="L159" i="1"/>
  <c r="M162" i="1"/>
  <c r="J88" i="1"/>
  <c r="J90" i="1" s="1"/>
  <c r="J91" i="1" s="1"/>
  <c r="J93" i="1" s="1"/>
  <c r="L162" i="1"/>
  <c r="G100" i="1"/>
  <c r="G29" i="1" s="1"/>
  <c r="G185" i="1"/>
  <c r="L117" i="1"/>
  <c r="M117" i="1" s="1"/>
  <c r="H95" i="1"/>
  <c r="H30" i="1" s="1"/>
  <c r="H151" i="1"/>
  <c r="H165" i="1" s="1"/>
  <c r="H185" i="1" s="1"/>
  <c r="H140" i="1"/>
  <c r="I91" i="1"/>
  <c r="I93" i="1" s="1"/>
  <c r="F113" i="1"/>
  <c r="F121" i="1" s="1"/>
  <c r="G186" i="1"/>
  <c r="G107" i="1" s="1"/>
  <c r="K132" i="1"/>
  <c r="K88" i="1" s="1"/>
  <c r="K90" i="1" s="1"/>
  <c r="K98" i="1"/>
  <c r="K99" i="1"/>
  <c r="M128" i="1" l="1"/>
  <c r="L98" i="1"/>
  <c r="M99" i="1"/>
  <c r="M98" i="1"/>
  <c r="J151" i="1"/>
  <c r="J165" i="1" s="1"/>
  <c r="J95" i="1"/>
  <c r="J30" i="1" s="1"/>
  <c r="K91" i="1"/>
  <c r="K93" i="1" s="1"/>
  <c r="I151" i="1"/>
  <c r="I165" i="1" s="1"/>
  <c r="I95" i="1"/>
  <c r="I30" i="1" s="1"/>
  <c r="L132" i="1"/>
  <c r="K134" i="1"/>
  <c r="I140" i="1"/>
  <c r="H142" i="1"/>
  <c r="H144" i="1" s="1"/>
  <c r="H100" i="1"/>
  <c r="F101" i="1"/>
  <c r="F31" i="1" s="1"/>
  <c r="F146" i="1"/>
  <c r="G113" i="1"/>
  <c r="G121" i="1" s="1"/>
  <c r="D14" i="1"/>
  <c r="D19" i="1" s="1"/>
  <c r="H29" i="1" l="1"/>
  <c r="L134" i="1"/>
  <c r="M132" i="1"/>
  <c r="M25" i="1"/>
  <c r="M26" i="1"/>
  <c r="M27" i="1"/>
  <c r="H113" i="1"/>
  <c r="H121" i="1" s="1"/>
  <c r="K151" i="1"/>
  <c r="K165" i="1" s="1"/>
  <c r="K95" i="1"/>
  <c r="K30" i="1" s="1"/>
  <c r="L88" i="1"/>
  <c r="L90" i="1" s="1"/>
  <c r="J27" i="1"/>
  <c r="F27" i="1"/>
  <c r="J26" i="1"/>
  <c r="F26" i="1"/>
  <c r="J25" i="1"/>
  <c r="F25" i="1"/>
  <c r="G27" i="1"/>
  <c r="K25" i="1"/>
  <c r="I27" i="1"/>
  <c r="E27" i="1"/>
  <c r="I26" i="1"/>
  <c r="E26" i="1"/>
  <c r="I25" i="1"/>
  <c r="E25" i="1"/>
  <c r="K27" i="1"/>
  <c r="G26" i="1"/>
  <c r="G25" i="1"/>
  <c r="L27" i="1"/>
  <c r="H27" i="1"/>
  <c r="L26" i="1"/>
  <c r="H26" i="1"/>
  <c r="L25" i="1"/>
  <c r="H25" i="1"/>
  <c r="K26" i="1"/>
  <c r="J140" i="1"/>
  <c r="I142" i="1"/>
  <c r="I144" i="1" s="1"/>
  <c r="G146" i="1"/>
  <c r="G101" i="1"/>
  <c r="G31" i="1" s="1"/>
  <c r="I100" i="1"/>
  <c r="I29" i="1" s="1"/>
  <c r="I185" i="1"/>
  <c r="I186" i="1" s="1"/>
  <c r="J100" i="1"/>
  <c r="J29" i="1" s="1"/>
  <c r="J185" i="1"/>
  <c r="I107" i="1" l="1"/>
  <c r="M88" i="1"/>
  <c r="M90" i="1" s="1"/>
  <c r="M134" i="1"/>
  <c r="K140" i="1"/>
  <c r="J142" i="1"/>
  <c r="J144" i="1" s="1"/>
  <c r="K100" i="1"/>
  <c r="K29" i="1" s="1"/>
  <c r="K185" i="1"/>
  <c r="L91" i="1"/>
  <c r="L93" i="1" s="1"/>
  <c r="H101" i="1"/>
  <c r="H31" i="1" s="1"/>
  <c r="H146" i="1"/>
  <c r="J186" i="1" l="1"/>
  <c r="J107" i="1" s="1"/>
  <c r="K186" i="1" s="1"/>
  <c r="K107" i="1" s="1"/>
  <c r="I113" i="1"/>
  <c r="I121" i="1" s="1"/>
  <c r="I146" i="1" s="1"/>
  <c r="M91" i="1"/>
  <c r="M93" i="1" s="1"/>
  <c r="L151" i="1"/>
  <c r="L165" i="1" s="1"/>
  <c r="L95" i="1"/>
  <c r="L30" i="1" s="1"/>
  <c r="L140" i="1"/>
  <c r="K142" i="1"/>
  <c r="K144" i="1" s="1"/>
  <c r="J113" i="1" l="1"/>
  <c r="J121" i="1" s="1"/>
  <c r="J146" i="1" s="1"/>
  <c r="I101" i="1"/>
  <c r="I31" i="1" s="1"/>
  <c r="L142" i="1"/>
  <c r="L144" i="1" s="1"/>
  <c r="M140" i="1"/>
  <c r="M142" i="1" s="1"/>
  <c r="M144" i="1" s="1"/>
  <c r="M95" i="1"/>
  <c r="M30" i="1" s="1"/>
  <c r="M151" i="1"/>
  <c r="M165" i="1" s="1"/>
  <c r="K113" i="1"/>
  <c r="K121" i="1" s="1"/>
  <c r="L100" i="1"/>
  <c r="L185" i="1"/>
  <c r="L186" i="1" s="1"/>
  <c r="L107" i="1" s="1"/>
  <c r="L113" i="1" s="1"/>
  <c r="L121" i="1" s="1"/>
  <c r="J101" i="1" l="1"/>
  <c r="J31" i="1" s="1"/>
  <c r="L29" i="1"/>
  <c r="M100" i="1"/>
  <c r="M29" i="1" s="1"/>
  <c r="M185" i="1"/>
  <c r="M186" i="1" s="1"/>
  <c r="M107" i="1" s="1"/>
  <c r="M113" i="1" s="1"/>
  <c r="M121" i="1" s="1"/>
  <c r="L146" i="1"/>
  <c r="L101" i="1"/>
  <c r="L31" i="1" s="1"/>
  <c r="K146" i="1"/>
  <c r="K101" i="1"/>
  <c r="K31" i="1" s="1"/>
  <c r="K17" i="1" l="1"/>
  <c r="L17" i="1"/>
  <c r="M146" i="1"/>
  <c r="M101" i="1"/>
  <c r="M3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McDonald</author>
    <author>Michael Nugent</author>
  </authors>
  <commentList>
    <comment ref="J11" authorId="0" shapeId="0" xr:uid="{00000000-0006-0000-0100-000001000000}">
      <text>
        <r>
          <rPr>
            <b/>
            <sz val="9"/>
            <color rgb="FF000000"/>
            <rFont val="Tahoma"/>
            <family val="2"/>
          </rPr>
          <t>Michael McDonald:</t>
        </r>
        <r>
          <rPr>
            <sz val="9"/>
            <color rgb="FF000000"/>
            <rFont val="Tahoma"/>
            <family val="2"/>
          </rPr>
          <t xml:space="preserve">
</t>
        </r>
        <r>
          <rPr>
            <sz val="9"/>
            <color rgb="FF000000"/>
            <rFont val="Tahoma"/>
            <family val="2"/>
          </rPr>
          <t xml:space="preserve">1 = Top Down
</t>
        </r>
        <r>
          <rPr>
            <sz val="9"/>
            <color rgb="FF000000"/>
            <rFont val="Tahoma"/>
            <family val="2"/>
          </rPr>
          <t xml:space="preserve">2 = Bottom Up
</t>
        </r>
        <r>
          <rPr>
            <sz val="9"/>
            <color rgb="FF000000"/>
            <rFont val="Tahoma"/>
            <family val="2"/>
          </rPr>
          <t>3 = CAGR</t>
        </r>
      </text>
    </comment>
    <comment ref="K14" authorId="1" shapeId="0" xr:uid="{00000000-0006-0000-0100-000003000000}">
      <text>
        <r>
          <rPr>
            <b/>
            <sz val="9"/>
            <color rgb="FF000000"/>
            <rFont val="Tahoma"/>
            <family val="2"/>
          </rPr>
          <t>Michael Nugent:</t>
        </r>
        <r>
          <rPr>
            <sz val="9"/>
            <color rgb="FF000000"/>
            <rFont val="Tahoma"/>
            <family val="2"/>
          </rPr>
          <t xml:space="preserve">
</t>
        </r>
        <r>
          <rPr>
            <sz val="10.5"/>
            <color rgb="FF000000"/>
            <rFont val="Tahoma"/>
            <family val="2"/>
          </rPr>
          <t>Use Data Validation here for 1 2 3 4. (dropdown box)</t>
        </r>
      </text>
    </comment>
    <comment ref="J16" authorId="1" shapeId="0" xr:uid="{00000000-0006-0000-0100-000004000000}">
      <text>
        <r>
          <rPr>
            <b/>
            <sz val="9"/>
            <color rgb="FF000000"/>
            <rFont val="Tahoma"/>
            <family val="2"/>
          </rPr>
          <t>Michael Nugent:</t>
        </r>
        <r>
          <rPr>
            <sz val="9"/>
            <color rgb="FF000000"/>
            <rFont val="Tahoma"/>
            <family val="2"/>
          </rPr>
          <t xml:space="preserve">
</t>
        </r>
        <r>
          <rPr>
            <sz val="9"/>
            <color rgb="FF000000"/>
            <rFont val="Tahoma"/>
            <family val="2"/>
          </rPr>
          <t xml:space="preserve">Comment:
</t>
        </r>
        <r>
          <rPr>
            <sz val="9"/>
            <color rgb="FF000000"/>
            <rFont val="Tahoma"/>
            <family val="2"/>
          </rPr>
          <t>Use the Interest rate in Cell M9 to calculate NPV and IRR. Use Leveraged Free Cash Flow from Row 101.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<sst xmlns="http://schemas.openxmlformats.org/spreadsheetml/2006/main" count="786" uniqueCount="210">
  <si>
    <t>Scenario 1</t>
  </si>
  <si>
    <t>Revenue Growth %:</t>
  </si>
  <si>
    <t>COGS % Revenue:</t>
  </si>
  <si>
    <t>R&amp;D % Revenue:</t>
  </si>
  <si>
    <t>SG&amp;A % Revenue:</t>
  </si>
  <si>
    <t>Scenario 2</t>
  </si>
  <si>
    <t>Scenario 3</t>
  </si>
  <si>
    <t>Scenario 4</t>
  </si>
  <si>
    <t>Stock-Based Compensation % Revenue:</t>
  </si>
  <si>
    <t>Depreciation &amp; Amortization % Revenue:</t>
  </si>
  <si>
    <t>Effective Cash Interest Rate:</t>
  </si>
  <si>
    <t>Debt Interest Rate:</t>
  </si>
  <si>
    <t>Effective Tax Rate:</t>
  </si>
  <si>
    <t>FY 2020E</t>
  </si>
  <si>
    <t>FY 2021E</t>
  </si>
  <si>
    <t>FY 2022E</t>
  </si>
  <si>
    <t>FY 2023E</t>
  </si>
  <si>
    <t>FY 2024E</t>
  </si>
  <si>
    <t>FY 2025E</t>
  </si>
  <si>
    <t>Financial Model Scenario Analysis</t>
  </si>
  <si>
    <t>($ in Millions, Except Per Share Amounts in Dollars and Share Counts in Thousands)</t>
  </si>
  <si>
    <t>Assumptions &amp; Valuation Overview</t>
  </si>
  <si>
    <t>Days in Year:</t>
  </si>
  <si>
    <t>Valuation Date:</t>
  </si>
  <si>
    <t>Last Historical Year:</t>
  </si>
  <si>
    <t>Debt Amount:</t>
  </si>
  <si>
    <t>Company Name:</t>
  </si>
  <si>
    <t>Acme Inc.</t>
  </si>
  <si>
    <t>Debt Issue Date:</t>
  </si>
  <si>
    <t>Tax Rate:</t>
  </si>
  <si>
    <t>Share Price:</t>
  </si>
  <si>
    <t>Share Units:</t>
  </si>
  <si>
    <t>Interest Rate:</t>
  </si>
  <si>
    <t>Annual Rate Change:</t>
  </si>
  <si>
    <t>Basic Shares Outstanding:</t>
  </si>
  <si>
    <t>Options Calculations:</t>
  </si>
  <si>
    <t>CAGR</t>
  </si>
  <si>
    <t>Basic Equity Value:</t>
  </si>
  <si>
    <t>Forecast Method</t>
  </si>
  <si>
    <t>Diluted Shares Outstanding:</t>
  </si>
  <si>
    <t>Exercise</t>
  </si>
  <si>
    <t>Diluted Equity Value:</t>
  </si>
  <si>
    <t>Name</t>
  </si>
  <si>
    <t>Number</t>
  </si>
  <si>
    <t>Price</t>
  </si>
  <si>
    <t>Dilution</t>
  </si>
  <si>
    <t>Scenario</t>
  </si>
  <si>
    <t>Less: Cash &amp; Investments</t>
  </si>
  <si>
    <t>Tranche A</t>
  </si>
  <si>
    <t>Plus: Debt</t>
  </si>
  <si>
    <t>Tranche B</t>
  </si>
  <si>
    <t>Plus: Minority Interest</t>
  </si>
  <si>
    <t>Tranche C</t>
  </si>
  <si>
    <t>NPV</t>
  </si>
  <si>
    <t>IRR</t>
  </si>
  <si>
    <t>Plus: Preferred Stock</t>
  </si>
  <si>
    <t>Tranche D</t>
  </si>
  <si>
    <t xml:space="preserve">Scenario </t>
  </si>
  <si>
    <t>Plus: Other Liabilities</t>
  </si>
  <si>
    <t>Tranche E</t>
  </si>
  <si>
    <t>Enterprise Value:</t>
  </si>
  <si>
    <t>Total</t>
  </si>
  <si>
    <t>Historical</t>
  </si>
  <si>
    <t>Projections</t>
  </si>
  <si>
    <t>EV / Revenue:</t>
  </si>
  <si>
    <t>EV / EBIT:</t>
  </si>
  <si>
    <t>EV / EBITDA:</t>
  </si>
  <si>
    <t>Equity Value / FCF:</t>
  </si>
  <si>
    <t>P / E:</t>
  </si>
  <si>
    <t>P / BV:</t>
  </si>
  <si>
    <t>Operating Assumptions</t>
  </si>
  <si>
    <t>Total Market Sales</t>
  </si>
  <si>
    <t>Market Share Growth</t>
  </si>
  <si>
    <t>Order Value Growth</t>
  </si>
  <si>
    <t>Top Down Growth Rate</t>
  </si>
  <si>
    <t>Prospect Traffic Growth</t>
  </si>
  <si>
    <t>Conversion Rate Growth</t>
  </si>
  <si>
    <t>Price Growth</t>
  </si>
  <si>
    <t>Bottom Up Growth Rate</t>
  </si>
  <si>
    <t>Accounts Receivable % Revenue:</t>
  </si>
  <si>
    <t>Accounts Receivable Days:</t>
  </si>
  <si>
    <t>Inventory % COGS:</t>
  </si>
  <si>
    <t>Amortization of Intangibles:</t>
  </si>
  <si>
    <t>Accounts Payable % COGS:</t>
  </si>
  <si>
    <t>Accounts Payable Days:</t>
  </si>
  <si>
    <t>Accrued Expenses % Operating Expenses:</t>
  </si>
  <si>
    <t>Short-Term Deferred Revenue % Revenue:</t>
  </si>
  <si>
    <t>Long-Term Deferred Revenue % Revenue:</t>
  </si>
  <si>
    <t>CapEx % Revenue:</t>
  </si>
  <si>
    <t xml:space="preserve">YEAR 0 </t>
  </si>
  <si>
    <t>YEAR 1</t>
  </si>
  <si>
    <t>YEAR 2</t>
  </si>
  <si>
    <t>YEAR 3</t>
  </si>
  <si>
    <t>YEAR 4</t>
  </si>
  <si>
    <t>YEAR 5</t>
  </si>
  <si>
    <t>YEAR 6</t>
  </si>
  <si>
    <t>YEAR 7</t>
  </si>
  <si>
    <t>YEAR 8</t>
  </si>
  <si>
    <t>Income Statement</t>
  </si>
  <si>
    <t>Revenue:</t>
  </si>
  <si>
    <t>Cost of Goods Sold:</t>
  </si>
  <si>
    <t>Gross Profit:</t>
  </si>
  <si>
    <t>Operating Expenses:</t>
  </si>
  <si>
    <t>Research &amp; Development:</t>
  </si>
  <si>
    <t>Selling, General &amp; Administrative:</t>
  </si>
  <si>
    <t>Total Operating Expenses:</t>
  </si>
  <si>
    <t>Depreciation &amp; Amortization of PP&amp;E:</t>
  </si>
  <si>
    <t>Stock-Based Compensation:</t>
  </si>
  <si>
    <t>Operating Income:</t>
  </si>
  <si>
    <t>Interest Income:</t>
  </si>
  <si>
    <t>Interest Expense:</t>
  </si>
  <si>
    <t>Other Income &amp; Expense:</t>
  </si>
  <si>
    <t>Pre-Tax Income:</t>
  </si>
  <si>
    <t>Income Tax Provision:</t>
  </si>
  <si>
    <t>Net Income:</t>
  </si>
  <si>
    <t>Earnings Per Share (EPS):</t>
  </si>
  <si>
    <t>EBIT:</t>
  </si>
  <si>
    <t>EBITDA:</t>
  </si>
  <si>
    <t>INVESTMENT</t>
  </si>
  <si>
    <t>Levered Free Cash Flow:</t>
  </si>
  <si>
    <t>Book Value Per Share (BV):</t>
  </si>
  <si>
    <t>Balance Sheet</t>
  </si>
  <si>
    <t>Assets:</t>
  </si>
  <si>
    <t>Current Assets:</t>
  </si>
  <si>
    <t>Cash &amp; Cash-Equivalents:</t>
  </si>
  <si>
    <t>Short-Term Securities:</t>
  </si>
  <si>
    <t>Accounts Receivable:</t>
  </si>
  <si>
    <t>Inventory:</t>
  </si>
  <si>
    <t>Deferred Tax Assets:</t>
  </si>
  <si>
    <t>Other Current Assets:</t>
  </si>
  <si>
    <t>Total Current Assets:</t>
  </si>
  <si>
    <t>Long-Term Assets:</t>
  </si>
  <si>
    <t>Long-Term Securities:</t>
  </si>
  <si>
    <t>Plants, Property &amp; Equipment:</t>
  </si>
  <si>
    <t>Goodwill:</t>
  </si>
  <si>
    <t>Other Intangible Assets:</t>
  </si>
  <si>
    <t>Other Assets:</t>
  </si>
  <si>
    <t>Total Assets:</t>
  </si>
  <si>
    <t>Liabilities &amp; Shareholders' Equity:</t>
  </si>
  <si>
    <t>Current Liabilities:</t>
  </si>
  <si>
    <t>Accounts Payable:</t>
  </si>
  <si>
    <t>Accrued Expenses:</t>
  </si>
  <si>
    <t>Deferred Revenue:</t>
  </si>
  <si>
    <t>Total Current Liabilities:</t>
  </si>
  <si>
    <t>Long-Term Liabilities:</t>
  </si>
  <si>
    <t>Long-Term Debt:</t>
  </si>
  <si>
    <t>Other Long-Term Liabilities:</t>
  </si>
  <si>
    <t>Total Liabilities:</t>
  </si>
  <si>
    <t>Shareholders' Equity:</t>
  </si>
  <si>
    <t>Common Stock:</t>
  </si>
  <si>
    <t>Additional Paid-In Capital:</t>
  </si>
  <si>
    <t>Treasury Stock:</t>
  </si>
  <si>
    <t>Retained Earnings:</t>
  </si>
  <si>
    <t>Accumulated Other Comprehensive Income:</t>
  </si>
  <si>
    <t>Total Shareholders' Equity:</t>
  </si>
  <si>
    <t>Total Liabilities &amp; SE:</t>
  </si>
  <si>
    <t>BALANCE CHECK:</t>
  </si>
  <si>
    <t>Cash Flow Statement</t>
  </si>
  <si>
    <t>Operating Activities:</t>
  </si>
  <si>
    <t>Deferred Income Tax Expense:</t>
  </si>
  <si>
    <t>Loss on PP&amp;E:</t>
  </si>
  <si>
    <t>Changes in Operating Assets &amp; Liabilities:</t>
  </si>
  <si>
    <t>Other Liabilities:</t>
  </si>
  <si>
    <t>Cash Flow from Operations:</t>
  </si>
  <si>
    <t>Investing Activities:</t>
  </si>
  <si>
    <t>Purchases of Securities:</t>
  </si>
  <si>
    <t>Proceeds from Maturities &amp; Sales:</t>
  </si>
  <si>
    <t>Purchases of LT Investments:</t>
  </si>
  <si>
    <t>Capital Expenditures:</t>
  </si>
  <si>
    <t>Acquisition of Intangibles:</t>
  </si>
  <si>
    <t>Other:</t>
  </si>
  <si>
    <t>Cash Flow from Investing:</t>
  </si>
  <si>
    <t>Financing Activities:</t>
  </si>
  <si>
    <t>Proceeds from Common Stock:</t>
  </si>
  <si>
    <t>Common Stock Repurchased:</t>
  </si>
  <si>
    <t>Dividends Issued:</t>
  </si>
  <si>
    <t>Tax Benefits from Stock-Based Comp:</t>
  </si>
  <si>
    <t>Raise / (Pay Off) Long-Term Debt</t>
  </si>
  <si>
    <t>Cash Used for Equity Awards:</t>
  </si>
  <si>
    <t>Cash Flow from Financing:</t>
  </si>
  <si>
    <t>Increase / Decrease in Cash:</t>
  </si>
  <si>
    <t>Cash &amp; Cash Equivalents:</t>
  </si>
  <si>
    <t>Year</t>
  </si>
  <si>
    <t>COGS %</t>
  </si>
  <si>
    <t>Revenue %</t>
  </si>
  <si>
    <t>R&amp;D%</t>
  </si>
  <si>
    <t>SG&amp;A%</t>
  </si>
  <si>
    <t>Operating Income</t>
  </si>
  <si>
    <t>Net Income</t>
  </si>
  <si>
    <t>Sum of Net Income</t>
  </si>
  <si>
    <t>Sum of Operating Income</t>
  </si>
  <si>
    <t>EPS</t>
  </si>
  <si>
    <t>Sum of EPS</t>
  </si>
  <si>
    <t>Cash Flow</t>
  </si>
  <si>
    <t>Sum of Cash Flow</t>
  </si>
  <si>
    <t>Scenario:</t>
  </si>
  <si>
    <t>Long-Term Securities</t>
  </si>
  <si>
    <t>Plants, Property &amp; Equipment</t>
  </si>
  <si>
    <t>Other Intangible Assets</t>
  </si>
  <si>
    <t>Cash &amp; Cash-Equivalents</t>
  </si>
  <si>
    <t>Short-Term Securities</t>
  </si>
  <si>
    <t>Accounts Receivable</t>
  </si>
  <si>
    <t>Inventory</t>
  </si>
  <si>
    <t>Year:</t>
  </si>
  <si>
    <t>Assets</t>
  </si>
  <si>
    <t>Liabilities</t>
  </si>
  <si>
    <t>Accounts Payable</t>
  </si>
  <si>
    <t>Accrued Expenses</t>
  </si>
  <si>
    <t>Deferred Revenue</t>
  </si>
  <si>
    <t>Other Long-Term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</si>
</sst>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5" formatCode="&quot;$&quot;#,##0_);\(&quot;$&quot;#,##0\)"/>
    <numFmt numFmtId="6" formatCode="&quot;$&quot;#,##0_);[Red]\(&quot;$&quot;#,##0\)"/>
    <numFmt numFmtId="8" formatCode="&quot;$&quot;#,##0.00_);[Red]\(&quot;$&quot;#,##0.00\)"/>
    <numFmt numFmtId="164" formatCode="0.0\ \x"/>
    <numFmt numFmtId="165" formatCode="0.0%"/>
    <numFmt numFmtId="166" formatCode="#,##0.0"/>
    <numFmt numFmtId="167" formatCode="&quot;$&quot;#,##0"/>
    <numFmt numFmtId="168" formatCode="0.0%;[Red]\(0.0%\)"/>
    <numFmt numFmtId="169" formatCode="&quot;$&quot;#,##0.000_);[Red]\(&quot;$&quot;#,##0.000\)"/>
    <numFmt numFmtId="170" formatCode="&quot;$&quot;#,##0.00"/>
  </numFmts>
  <fonts count="39" x14ac:knownFonts="1">
    <font>
      <sz val="12"/>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9"/>
      <color rgb="FF000000"/>
      <name val="Tahoma"/>
      <family val="2"/>
    </font>
    <font>
      <sz val="9"/>
      <color rgb="FF000000"/>
      <name val="Tahoma"/>
      <family val="2"/>
    </font>
    <font>
      <b/>
      <sz val="11"/>
      <color indexed="9"/>
      <name val="Calibri"/>
      <family val="2"/>
      <scheme val="minor"/>
    </font>
    <font>
      <b/>
      <u/>
      <sz val="10"/>
      <color indexed="9"/>
      <name val="Arial"/>
      <family val="2"/>
    </font>
    <font>
      <u/>
      <sz val="10"/>
      <color indexed="9"/>
      <name val="Arial"/>
      <family val="2"/>
    </font>
    <font>
      <sz val="11"/>
      <color theme="4"/>
      <name val="Calibri"/>
      <family val="2"/>
      <scheme val="minor"/>
    </font>
    <font>
      <sz val="11"/>
      <name val="Calibri"/>
      <family val="2"/>
      <scheme val="minor"/>
    </font>
    <font>
      <sz val="11"/>
      <color theme="3" tint="0.39997558519241921"/>
      <name val="Calibri"/>
      <family val="2"/>
      <scheme val="minor"/>
    </font>
    <font>
      <sz val="16"/>
      <color theme="1"/>
      <name val="Calibri"/>
      <family val="2"/>
      <scheme val="minor"/>
    </font>
    <font>
      <b/>
      <sz val="11"/>
      <name val="Calibri"/>
      <family val="2"/>
      <scheme val="minor"/>
    </font>
    <font>
      <sz val="10"/>
      <name val="Arial"/>
      <family val="2"/>
    </font>
    <font>
      <sz val="11"/>
      <name val="Calibri"/>
      <family val="2"/>
    </font>
    <font>
      <i/>
      <sz val="11"/>
      <name val="Calibri"/>
      <family val="2"/>
      <scheme val="minor"/>
    </font>
    <font>
      <i/>
      <sz val="11"/>
      <color theme="1"/>
      <name val="Calibri"/>
      <family val="2"/>
      <scheme val="minor"/>
    </font>
    <font>
      <i/>
      <sz val="18"/>
      <color theme="4"/>
      <name val="Calibri"/>
      <family val="2"/>
      <scheme val="minor"/>
    </font>
    <font>
      <i/>
      <sz val="11"/>
      <color theme="4"/>
      <name val="Calibri"/>
      <family val="2"/>
      <scheme val="minor"/>
    </font>
    <font>
      <b/>
      <sz val="11"/>
      <color rgb="FF00B050"/>
      <name val="Calibri"/>
      <family val="2"/>
      <scheme val="minor"/>
    </font>
    <font>
      <b/>
      <sz val="11"/>
      <color theme="4"/>
      <name val="Calibri"/>
      <family val="2"/>
      <scheme val="minor"/>
    </font>
    <font>
      <b/>
      <sz val="16"/>
      <color theme="1"/>
      <name val="Calibri"/>
      <family val="2"/>
      <scheme val="minor"/>
    </font>
    <font>
      <sz val="11"/>
      <color rgb="FF00B050"/>
      <name val="Calibri"/>
      <family val="2"/>
      <scheme val="minor"/>
    </font>
    <font>
      <sz val="11"/>
      <color rgb="FF0070C0"/>
      <name val="Calibri"/>
      <family val="2"/>
      <scheme val="minor"/>
    </font>
    <font>
      <i/>
      <sz val="11"/>
      <color rgb="FF00B050"/>
      <name val="Calibri"/>
      <family val="2"/>
      <scheme val="minor"/>
    </font>
    <font>
      <b/>
      <i/>
      <sz val="11"/>
      <name val="Calibri"/>
      <family val="2"/>
      <scheme val="minor"/>
    </font>
    <font>
      <b/>
      <i/>
      <sz val="11"/>
      <color rgb="FF00B050"/>
      <name val="Calibri"/>
      <family val="2"/>
      <scheme val="minor"/>
    </font>
    <font>
      <sz val="24"/>
      <color rgb="FFFF0000"/>
      <name val="Calibri"/>
      <family val="2"/>
      <scheme val="minor"/>
    </font>
    <font>
      <sz val="10.5"/>
      <color rgb="FF000000"/>
      <name val="Tahoma"/>
      <family val="2"/>
    </font>
    <font>
      <sz val="8"/>
      <name val="Calibri"/>
      <family val="2"/>
      <scheme val="minor"/>
    </font>
    <font>
      <sz val="28"/>
      <color theme="1"/>
      <name val="Calibri"/>
      <family val="2"/>
      <scheme val="minor"/>
    </font>
    <font>
      <b/>
      <sz val="12"/>
      <color rgb="FFFF0000"/>
      <name val="Calibri"/>
      <family val="2"/>
      <scheme val="minor"/>
    </font>
    <font>
      <b/>
      <sz val="10"/>
      <color rgb="FFFF0000"/>
      <name val="Calibri"/>
      <family val="2"/>
      <scheme val="minor"/>
    </font>
    <font>
      <sz val="8"/>
      <color theme="1"/>
      <name val="Calibri"/>
      <family val="2"/>
      <scheme val="minor"/>
    </font>
    <font>
      <b/>
      <i/>
      <sz val="12"/>
      <color theme="4"/>
      <name val="Calibri"/>
      <family val="2"/>
      <scheme val="minor"/>
    </font>
    <font>
      <sz val="12"/>
      <name val="Calibri"/>
      <family val="2"/>
      <scheme val="minor"/>
    </font>
    <font>
      <b/>
      <sz val="14"/>
      <color theme="1"/>
      <name val="Calibri"/>
      <family val="2"/>
      <scheme val="minor"/>
    </font>
    <font>
      <sz val="14"/>
      <color theme="1"/>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3999755851924192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9" fontId="2" fillId="0" borderId="0" applyFont="0" applyFill="0" applyBorder="0" applyAlignment="0" applyProtection="0"/>
    <xf numFmtId="0" fontId="14" fillId="0" borderId="0"/>
    <xf numFmtId="0" fontId="1" fillId="0" borderId="0"/>
  </cellStyleXfs>
  <cellXfs count="224">
    <xf numFmtId="0" fontId="0" fillId="0" borderId="0" xfId="0"/>
    <xf numFmtId="0" fontId="3" fillId="0" borderId="0" xfId="0" applyFont="1"/>
    <xf numFmtId="0" fontId="6" fillId="2" borderId="1" xfId="0" applyFont="1" applyFill="1" applyBorder="1" applyAlignment="1">
      <alignment horizontal="left"/>
    </xf>
    <xf numFmtId="0" fontId="7" fillId="2" borderId="2" xfId="0" applyFont="1" applyFill="1" applyBorder="1" applyAlignment="1">
      <alignment horizontal="left"/>
    </xf>
    <xf numFmtId="0" fontId="8" fillId="2" borderId="2" xfId="0" applyFont="1" applyFill="1" applyBorder="1" applyAlignment="1">
      <alignment horizontal="left"/>
    </xf>
    <xf numFmtId="0" fontId="8" fillId="2" borderId="3" xfId="0" applyFont="1" applyFill="1" applyBorder="1" applyAlignment="1">
      <alignment horizontal="left"/>
    </xf>
    <xf numFmtId="0" fontId="0" fillId="0" borderId="0" xfId="0" applyProtection="1">
      <protection locked="0"/>
    </xf>
    <xf numFmtId="0" fontId="0" fillId="0" borderId="4" xfId="0" applyBorder="1"/>
    <xf numFmtId="0" fontId="9" fillId="0" borderId="5" xfId="0" applyFont="1" applyBorder="1"/>
    <xf numFmtId="0" fontId="3" fillId="0" borderId="4" xfId="0" applyFont="1" applyBorder="1"/>
    <xf numFmtId="14" fontId="9" fillId="0" borderId="0" xfId="0" applyNumberFormat="1" applyFont="1" applyAlignment="1">
      <alignment horizontal="right"/>
    </xf>
    <xf numFmtId="0" fontId="9" fillId="0" borderId="0" xfId="0" applyFont="1"/>
    <xf numFmtId="6" fontId="9" fillId="0" borderId="5" xfId="0" applyNumberFormat="1" applyFont="1" applyBorder="1"/>
    <xf numFmtId="9" fontId="9" fillId="0" borderId="5" xfId="0" applyNumberFormat="1" applyFont="1" applyBorder="1"/>
    <xf numFmtId="9" fontId="0" fillId="0" borderId="0" xfId="0" applyNumberFormat="1"/>
    <xf numFmtId="8" fontId="9" fillId="0" borderId="0" xfId="0" applyNumberFormat="1" applyFont="1" applyAlignment="1">
      <alignment horizontal="right"/>
    </xf>
    <xf numFmtId="10" fontId="9" fillId="0" borderId="5" xfId="0" applyNumberFormat="1" applyFont="1" applyBorder="1"/>
    <xf numFmtId="3" fontId="9" fillId="0" borderId="0" xfId="0" applyNumberFormat="1" applyFont="1"/>
    <xf numFmtId="10" fontId="10" fillId="0" borderId="5" xfId="0" applyNumberFormat="1" applyFont="1" applyBorder="1"/>
    <xf numFmtId="6" fontId="10" fillId="0" borderId="0" xfId="0" applyNumberFormat="1" applyFont="1"/>
    <xf numFmtId="1" fontId="11" fillId="0" borderId="5" xfId="0" applyNumberFormat="1" applyFont="1" applyBorder="1"/>
    <xf numFmtId="3" fontId="10" fillId="0" borderId="0" xfId="0" applyNumberFormat="1" applyFont="1"/>
    <xf numFmtId="0" fontId="3" fillId="0" borderId="0" xfId="0" applyFont="1" applyAlignment="1">
      <alignment horizontal="center"/>
    </xf>
    <xf numFmtId="0" fontId="0" fillId="0" borderId="5" xfId="0" applyBorder="1"/>
    <xf numFmtId="0" fontId="3" fillId="0" borderId="6" xfId="0" applyFont="1" applyBorder="1" applyAlignment="1">
      <alignment horizontal="center"/>
    </xf>
    <xf numFmtId="0" fontId="3" fillId="0" borderId="7" xfId="0" applyFont="1" applyBorder="1" applyAlignment="1" applyProtection="1">
      <alignment horizontal="center"/>
      <protection locked="0"/>
    </xf>
    <xf numFmtId="0" fontId="0" fillId="0" borderId="8" xfId="0" applyBorder="1"/>
    <xf numFmtId="0" fontId="0" fillId="0" borderId="4" xfId="0" applyBorder="1" applyAlignment="1">
      <alignment horizontal="left" indent="1"/>
    </xf>
    <xf numFmtId="6" fontId="0" fillId="0" borderId="0" xfId="0" applyNumberFormat="1"/>
    <xf numFmtId="0" fontId="0" fillId="0" borderId="0" xfId="0" applyAlignment="1">
      <alignment horizontal="center"/>
    </xf>
    <xf numFmtId="1" fontId="12" fillId="3" borderId="9" xfId="0" applyNumberFormat="1" applyFont="1" applyFill="1" applyBorder="1" applyAlignment="1" applyProtection="1">
      <alignment horizontal="center"/>
      <protection locked="0"/>
    </xf>
    <xf numFmtId="6" fontId="9" fillId="0" borderId="0" xfId="0" applyNumberFormat="1" applyFont="1"/>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6" fontId="3" fillId="0" borderId="2" xfId="0" applyNumberFormat="1" applyFont="1" applyBorder="1"/>
    <xf numFmtId="0" fontId="3" fillId="0" borderId="2" xfId="0" applyFont="1" applyBorder="1"/>
    <xf numFmtId="0" fontId="0" fillId="0" borderId="2" xfId="0" applyBorder="1"/>
    <xf numFmtId="3" fontId="13" fillId="0" borderId="2" xfId="0" applyNumberFormat="1" applyFont="1" applyBorder="1"/>
    <xf numFmtId="0" fontId="3" fillId="5" borderId="16" xfId="0" applyFont="1" applyFill="1" applyBorder="1" applyAlignment="1">
      <alignment horizontal="centerContinuous"/>
    </xf>
    <xf numFmtId="0" fontId="0" fillId="5" borderId="17" xfId="0" applyFill="1" applyBorder="1" applyAlignment="1">
      <alignment horizontal="centerContinuous"/>
    </xf>
    <xf numFmtId="0" fontId="0" fillId="5" borderId="18" xfId="0" applyFill="1" applyBorder="1" applyAlignment="1">
      <alignment horizontal="centerContinuous"/>
    </xf>
    <xf numFmtId="0" fontId="3" fillId="6" borderId="17" xfId="0" applyFont="1" applyFill="1" applyBorder="1" applyAlignment="1">
      <alignment horizontal="centerContinuous"/>
    </xf>
    <xf numFmtId="0" fontId="3" fillId="6" borderId="18" xfId="0" applyFont="1" applyFill="1" applyBorder="1" applyAlignment="1">
      <alignment horizontal="centerContinuous"/>
    </xf>
    <xf numFmtId="0" fontId="13" fillId="0" borderId="6" xfId="0" applyFont="1" applyBorder="1" applyAlignment="1">
      <alignment horizontal="center"/>
    </xf>
    <xf numFmtId="0" fontId="13" fillId="0" borderId="19"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164" fontId="15" fillId="0" borderId="0" xfId="2" applyNumberFormat="1" applyFont="1"/>
    <xf numFmtId="164" fontId="15" fillId="0" borderId="5" xfId="2" applyNumberFormat="1" applyFont="1" applyBorder="1"/>
    <xf numFmtId="0" fontId="0" fillId="7" borderId="20" xfId="0" applyFill="1" applyBorder="1"/>
    <xf numFmtId="0" fontId="0" fillId="7" borderId="21" xfId="0" applyFill="1" applyBorder="1" applyProtection="1">
      <protection locked="0"/>
    </xf>
    <xf numFmtId="10" fontId="0" fillId="7" borderId="21" xfId="1" applyNumberFormat="1" applyFont="1" applyFill="1" applyBorder="1" applyProtection="1">
      <protection locked="0"/>
    </xf>
    <xf numFmtId="10" fontId="0" fillId="7" borderId="22" xfId="1" applyNumberFormat="1" applyFont="1" applyFill="1" applyBorder="1" applyProtection="1">
      <protection locked="0"/>
    </xf>
    <xf numFmtId="0" fontId="0" fillId="7" borderId="13" xfId="0" applyFill="1" applyBorder="1"/>
    <xf numFmtId="0" fontId="0" fillId="7" borderId="14" xfId="0" applyFill="1" applyBorder="1" applyProtection="1">
      <protection locked="0"/>
    </xf>
    <xf numFmtId="10" fontId="0" fillId="7" borderId="14" xfId="1" applyNumberFormat="1" applyFont="1" applyFill="1" applyBorder="1" applyProtection="1">
      <protection locked="0"/>
    </xf>
    <xf numFmtId="10" fontId="0" fillId="7" borderId="15" xfId="1" applyNumberFormat="1" applyFont="1" applyFill="1" applyBorder="1" applyProtection="1">
      <protection locked="0"/>
    </xf>
    <xf numFmtId="0" fontId="3" fillId="0" borderId="23" xfId="0" applyFont="1" applyBorder="1"/>
    <xf numFmtId="0" fontId="0" fillId="0" borderId="6" xfId="0" applyBorder="1"/>
    <xf numFmtId="164" fontId="15" fillId="0" borderId="6" xfId="2" applyNumberFormat="1" applyFont="1" applyBorder="1"/>
    <xf numFmtId="164" fontId="15" fillId="0" borderId="19" xfId="2" applyNumberFormat="1" applyFont="1" applyBorder="1"/>
    <xf numFmtId="165" fontId="16" fillId="0" borderId="24" xfId="0" applyNumberFormat="1" applyFont="1" applyBorder="1" applyAlignment="1">
      <alignment vertical="center"/>
    </xf>
    <xf numFmtId="165" fontId="16" fillId="0" borderId="25" xfId="0" applyNumberFormat="1" applyFont="1" applyBorder="1" applyAlignment="1">
      <alignment vertical="center"/>
    </xf>
    <xf numFmtId="165" fontId="16" fillId="0" borderId="26" xfId="0" applyNumberFormat="1" applyFont="1" applyBorder="1" applyAlignment="1">
      <alignment vertical="center"/>
    </xf>
    <xf numFmtId="165" fontId="16" fillId="0" borderId="27" xfId="0" applyNumberFormat="1" applyFont="1" applyBorder="1" applyAlignment="1">
      <alignment vertical="center"/>
    </xf>
    <xf numFmtId="165" fontId="16" fillId="0" borderId="0" xfId="0" applyNumberFormat="1" applyFont="1" applyAlignment="1">
      <alignment vertical="center"/>
    </xf>
    <xf numFmtId="165" fontId="16" fillId="0" borderId="28" xfId="0" applyNumberFormat="1" applyFont="1" applyBorder="1" applyAlignment="1">
      <alignment vertical="center"/>
    </xf>
    <xf numFmtId="165" fontId="17" fillId="0" borderId="0" xfId="0" applyNumberFormat="1" applyFont="1" applyAlignment="1">
      <alignment vertical="center"/>
    </xf>
    <xf numFmtId="165" fontId="17" fillId="0" borderId="28" xfId="0" applyNumberFormat="1" applyFont="1" applyBorder="1" applyAlignment="1">
      <alignment vertical="center"/>
    </xf>
    <xf numFmtId="165" fontId="17" fillId="0" borderId="27" xfId="0" applyNumberFormat="1" applyFont="1" applyBorder="1" applyAlignment="1">
      <alignment vertical="center"/>
    </xf>
    <xf numFmtId="165" fontId="17" fillId="0" borderId="0" xfId="0" applyNumberFormat="1" applyFont="1"/>
    <xf numFmtId="165" fontId="18" fillId="8" borderId="10" xfId="0" applyNumberFormat="1" applyFont="1" applyFill="1" applyBorder="1" applyProtection="1">
      <protection locked="0"/>
    </xf>
    <xf numFmtId="165" fontId="17" fillId="0" borderId="27" xfId="0" applyNumberFormat="1" applyFont="1" applyBorder="1"/>
    <xf numFmtId="165" fontId="17" fillId="0" borderId="28" xfId="0" applyNumberFormat="1" applyFont="1" applyBorder="1"/>
    <xf numFmtId="165" fontId="19" fillId="0" borderId="0" xfId="0" applyNumberFormat="1" applyFont="1"/>
    <xf numFmtId="0" fontId="0" fillId="0" borderId="27" xfId="0" applyBorder="1"/>
    <xf numFmtId="0" fontId="0" fillId="0" borderId="28" xfId="0" applyBorder="1"/>
    <xf numFmtId="10" fontId="0" fillId="0" borderId="27" xfId="1" applyNumberFormat="1" applyFont="1" applyBorder="1"/>
    <xf numFmtId="10" fontId="0" fillId="0" borderId="0" xfId="1" applyNumberFormat="1" applyFont="1"/>
    <xf numFmtId="10" fontId="0" fillId="0" borderId="28" xfId="1" applyNumberFormat="1" applyFont="1" applyBorder="1"/>
    <xf numFmtId="166" fontId="0" fillId="0" borderId="0" xfId="0" applyNumberFormat="1"/>
    <xf numFmtId="166" fontId="0" fillId="0" borderId="27" xfId="0" applyNumberFormat="1" applyBorder="1"/>
    <xf numFmtId="166" fontId="0" fillId="0" borderId="28" xfId="0" applyNumberFormat="1" applyBorder="1"/>
    <xf numFmtId="6" fontId="9" fillId="0" borderId="27" xfId="0" applyNumberFormat="1" applyFont="1" applyBorder="1"/>
    <xf numFmtId="6" fontId="9" fillId="0" borderId="28" xfId="0" applyNumberFormat="1" applyFont="1" applyBorder="1"/>
    <xf numFmtId="9" fontId="17" fillId="0" borderId="0" xfId="0" applyNumberFormat="1" applyFont="1"/>
    <xf numFmtId="9" fontId="17" fillId="0" borderId="27" xfId="0" applyNumberFormat="1" applyFont="1" applyBorder="1"/>
    <xf numFmtId="9" fontId="17" fillId="0" borderId="28" xfId="0" applyNumberFormat="1" applyFont="1" applyBorder="1"/>
    <xf numFmtId="0" fontId="0" fillId="0" borderId="23" xfId="0" applyBorder="1"/>
    <xf numFmtId="165" fontId="17" fillId="0" borderId="6" xfId="0" applyNumberFormat="1" applyFont="1" applyBorder="1"/>
    <xf numFmtId="165" fontId="17" fillId="0" borderId="29" xfId="0" applyNumberFormat="1" applyFont="1" applyBorder="1"/>
    <xf numFmtId="165" fontId="17" fillId="0" borderId="30" xfId="0" applyNumberFormat="1" applyFont="1" applyBorder="1"/>
    <xf numFmtId="165" fontId="17" fillId="0" borderId="31" xfId="0" applyNumberFormat="1" applyFont="1" applyBorder="1"/>
    <xf numFmtId="0" fontId="20" fillId="0" borderId="5" xfId="0" applyFont="1" applyBorder="1" applyAlignment="1">
      <alignment horizontal="center"/>
    </xf>
    <xf numFmtId="6" fontId="21" fillId="0" borderId="0" xfId="0" applyNumberFormat="1" applyFont="1"/>
    <xf numFmtId="6" fontId="21" fillId="0" borderId="5" xfId="0" applyNumberFormat="1" applyFont="1" applyBorder="1"/>
    <xf numFmtId="6" fontId="13" fillId="0" borderId="0" xfId="0" applyNumberFormat="1" applyFont="1"/>
    <xf numFmtId="6" fontId="13" fillId="0" borderId="5" xfId="0" applyNumberFormat="1" applyFont="1" applyBorder="1"/>
    <xf numFmtId="6" fontId="10" fillId="0" borderId="5" xfId="0" applyNumberFormat="1" applyFont="1" applyBorder="1"/>
    <xf numFmtId="0" fontId="3" fillId="0" borderId="4" xfId="0" applyFont="1" applyBorder="1" applyAlignment="1">
      <alignment horizontal="left" indent="1"/>
    </xf>
    <xf numFmtId="6" fontId="3" fillId="0" borderId="0" xfId="0" applyNumberFormat="1" applyFont="1"/>
    <xf numFmtId="6" fontId="3" fillId="0" borderId="5" xfId="0" applyNumberFormat="1" applyFont="1" applyBorder="1"/>
    <xf numFmtId="6" fontId="3" fillId="0" borderId="4" xfId="0" applyNumberFormat="1" applyFont="1" applyBorder="1"/>
    <xf numFmtId="0" fontId="3" fillId="0" borderId="1" xfId="0" applyFont="1" applyBorder="1" applyAlignment="1">
      <alignment horizontal="left"/>
    </xf>
    <xf numFmtId="6" fontId="3" fillId="0" borderId="3" xfId="0" applyNumberFormat="1" applyFont="1" applyBorder="1"/>
    <xf numFmtId="0" fontId="3" fillId="0" borderId="4" xfId="0" applyFont="1" applyBorder="1" applyAlignment="1">
      <alignment horizontal="left"/>
    </xf>
    <xf numFmtId="167" fontId="13" fillId="0" borderId="0" xfId="0" applyNumberFormat="1" applyFont="1"/>
    <xf numFmtId="167" fontId="13" fillId="0" borderId="5" xfId="0" applyNumberFormat="1" applyFont="1" applyBorder="1"/>
    <xf numFmtId="6" fontId="0" fillId="0" borderId="5" xfId="0" applyNumberFormat="1" applyBorder="1"/>
    <xf numFmtId="0" fontId="0" fillId="0" borderId="4" xfId="0" applyBorder="1" applyAlignment="1">
      <alignment horizontal="left"/>
    </xf>
    <xf numFmtId="8" fontId="3" fillId="0" borderId="0" xfId="0" applyNumberFormat="1" applyFont="1"/>
    <xf numFmtId="8" fontId="3" fillId="0" borderId="5" xfId="0" applyNumberFormat="1" applyFont="1" applyBorder="1"/>
    <xf numFmtId="3" fontId="9" fillId="0" borderId="5" xfId="0" applyNumberFormat="1" applyFont="1" applyBorder="1"/>
    <xf numFmtId="3" fontId="10" fillId="0" borderId="5" xfId="0" applyNumberFormat="1" applyFont="1" applyBorder="1"/>
    <xf numFmtId="0" fontId="3" fillId="0" borderId="23" xfId="0" applyFont="1" applyBorder="1" applyAlignment="1">
      <alignment horizontal="left" indent="1"/>
    </xf>
    <xf numFmtId="3" fontId="9" fillId="0" borderId="6" xfId="0" applyNumberFormat="1" applyFont="1" applyBorder="1"/>
    <xf numFmtId="8" fontId="3" fillId="0" borderId="6" xfId="0" applyNumberFormat="1" applyFont="1" applyBorder="1"/>
    <xf numFmtId="8" fontId="3" fillId="0" borderId="19" xfId="0" applyNumberFormat="1" applyFont="1" applyBorder="1"/>
    <xf numFmtId="0" fontId="3" fillId="0" borderId="4" xfId="0" applyFont="1" applyBorder="1" applyAlignment="1">
      <alignment horizontal="centerContinuous"/>
    </xf>
    <xf numFmtId="0" fontId="0" fillId="0" borderId="0" xfId="0" applyAlignment="1">
      <alignment horizontal="centerContinuous"/>
    </xf>
    <xf numFmtId="4" fontId="20" fillId="0" borderId="0" xfId="0" applyNumberFormat="1" applyFont="1" applyAlignment="1">
      <alignment horizontal="left"/>
    </xf>
    <xf numFmtId="4" fontId="20" fillId="0" borderId="5" xfId="0" applyNumberFormat="1" applyFont="1" applyBorder="1" applyAlignment="1">
      <alignment horizontal="left"/>
    </xf>
    <xf numFmtId="0" fontId="0" fillId="0" borderId="3" xfId="0" applyBorder="1"/>
    <xf numFmtId="6" fontId="20" fillId="0" borderId="0" xfId="0" applyNumberFormat="1" applyFont="1"/>
    <xf numFmtId="6" fontId="20" fillId="0" borderId="5" xfId="0" applyNumberFormat="1" applyFont="1" applyBorder="1"/>
    <xf numFmtId="6" fontId="23" fillId="0" borderId="0" xfId="0" applyNumberFormat="1" applyFont="1"/>
    <xf numFmtId="0" fontId="3" fillId="0" borderId="1" xfId="0" applyFont="1" applyBorder="1"/>
    <xf numFmtId="167" fontId="13" fillId="0" borderId="2" xfId="0" applyNumberFormat="1" applyFont="1" applyBorder="1"/>
    <xf numFmtId="167" fontId="20" fillId="0" borderId="2" xfId="0" applyNumberFormat="1" applyFont="1" applyBorder="1"/>
    <xf numFmtId="6" fontId="13" fillId="0" borderId="2" xfId="0" applyNumberFormat="1" applyFont="1" applyBorder="1"/>
    <xf numFmtId="6" fontId="13" fillId="0" borderId="3" xfId="0" applyNumberFormat="1" applyFont="1" applyBorder="1"/>
    <xf numFmtId="6" fontId="24" fillId="0" borderId="0" xfId="0" applyNumberFormat="1" applyFont="1"/>
    <xf numFmtId="5" fontId="24" fillId="0" borderId="0" xfId="0" applyNumberFormat="1" applyFont="1"/>
    <xf numFmtId="5" fontId="10" fillId="0" borderId="0" xfId="0" applyNumberFormat="1" applyFont="1"/>
    <xf numFmtId="168" fontId="10" fillId="0" borderId="4" xfId="0" applyNumberFormat="1" applyFont="1" applyBorder="1" applyAlignment="1">
      <alignment horizontal="left" indent="1"/>
    </xf>
    <xf numFmtId="168" fontId="16" fillId="0" borderId="0" xfId="0" applyNumberFormat="1" applyFont="1"/>
    <xf numFmtId="168" fontId="25" fillId="0" borderId="0" xfId="0" applyNumberFormat="1" applyFont="1"/>
    <xf numFmtId="168" fontId="16" fillId="0" borderId="4" xfId="0" applyNumberFormat="1" applyFont="1" applyBorder="1"/>
    <xf numFmtId="168" fontId="25" fillId="0" borderId="5" xfId="0" applyNumberFormat="1" applyFont="1" applyBorder="1"/>
    <xf numFmtId="168" fontId="13" fillId="0" borderId="4" xfId="0" applyNumberFormat="1" applyFont="1" applyBorder="1" applyAlignment="1">
      <alignment horizontal="centerContinuous"/>
    </xf>
    <xf numFmtId="168" fontId="26" fillId="0" borderId="0" xfId="0" applyNumberFormat="1" applyFont="1" applyAlignment="1">
      <alignment horizontal="centerContinuous"/>
    </xf>
    <xf numFmtId="168" fontId="27" fillId="0" borderId="0" xfId="0" applyNumberFormat="1" applyFont="1" applyAlignment="1">
      <alignment horizontal="centerContinuous"/>
    </xf>
    <xf numFmtId="168" fontId="27" fillId="0" borderId="0" xfId="0" applyNumberFormat="1" applyFont="1" applyAlignment="1">
      <alignment horizontal="left"/>
    </xf>
    <xf numFmtId="168" fontId="27" fillId="0" borderId="5" xfId="0" applyNumberFormat="1" applyFont="1" applyBorder="1" applyAlignment="1">
      <alignment horizontal="left"/>
    </xf>
    <xf numFmtId="6" fontId="13" fillId="0" borderId="6" xfId="0" applyNumberFormat="1" applyFont="1" applyBorder="1"/>
    <xf numFmtId="6" fontId="13" fillId="0" borderId="19" xfId="0" applyNumberFormat="1" applyFont="1" applyBorder="1"/>
    <xf numFmtId="169" fontId="3" fillId="0" borderId="0" xfId="0" applyNumberFormat="1" applyFont="1"/>
    <xf numFmtId="0" fontId="3" fillId="0" borderId="0" xfId="0" applyFont="1" applyAlignment="1">
      <alignment horizontal="centerContinuous"/>
    </xf>
    <xf numFmtId="0" fontId="20" fillId="0" borderId="5" xfId="0" applyFont="1" applyBorder="1" applyAlignment="1">
      <alignment horizontal="centerContinuous"/>
    </xf>
    <xf numFmtId="6" fontId="13" fillId="0" borderId="4" xfId="0" applyNumberFormat="1" applyFont="1" applyBorder="1"/>
    <xf numFmtId="6" fontId="10" fillId="0" borderId="4" xfId="0" applyNumberFormat="1" applyFont="1" applyBorder="1"/>
    <xf numFmtId="6" fontId="0" fillId="0" borderId="4" xfId="0" applyNumberFormat="1" applyBorder="1"/>
    <xf numFmtId="6" fontId="3" fillId="0" borderId="1" xfId="0" applyNumberFormat="1" applyFont="1" applyBorder="1"/>
    <xf numFmtId="8" fontId="3" fillId="0" borderId="0" xfId="0" applyNumberFormat="1" applyFont="1" applyAlignment="1">
      <alignment horizontal="centerContinuous"/>
    </xf>
    <xf numFmtId="0" fontId="0" fillId="0" borderId="5" xfId="0" applyBorder="1" applyAlignment="1">
      <alignment horizontal="centerContinuous"/>
    </xf>
    <xf numFmtId="3" fontId="23" fillId="0" borderId="0" xfId="0" applyNumberFormat="1" applyFont="1"/>
    <xf numFmtId="6" fontId="21" fillId="0" borderId="6" xfId="0" applyNumberFormat="1" applyFont="1" applyBorder="1"/>
    <xf numFmtId="6" fontId="3" fillId="0" borderId="6" xfId="0" applyNumberFormat="1" applyFont="1" applyBorder="1"/>
    <xf numFmtId="6" fontId="3" fillId="0" borderId="19" xfId="0" applyNumberFormat="1" applyFont="1" applyBorder="1"/>
    <xf numFmtId="0" fontId="0" fillId="0" borderId="27" xfId="0" applyBorder="1" applyProtection="1">
      <protection locked="0"/>
    </xf>
    <xf numFmtId="0" fontId="0" fillId="0" borderId="28" xfId="0" applyBorder="1" applyProtection="1">
      <protection locked="0"/>
    </xf>
    <xf numFmtId="0" fontId="1" fillId="10" borderId="0" xfId="3" applyFill="1"/>
    <xf numFmtId="0" fontId="22" fillId="0" borderId="32" xfId="0" applyFont="1" applyBorder="1" applyAlignment="1">
      <alignment horizontal="left" indent="1"/>
    </xf>
    <xf numFmtId="0" fontId="12" fillId="0" borderId="33" xfId="0" applyFont="1" applyBorder="1"/>
    <xf numFmtId="6" fontId="22" fillId="0" borderId="33" xfId="0" applyNumberFormat="1" applyFont="1" applyBorder="1"/>
    <xf numFmtId="6" fontId="22" fillId="0" borderId="35" xfId="0" applyNumberFormat="1" applyFont="1" applyBorder="1"/>
    <xf numFmtId="6" fontId="22" fillId="0" borderId="36" xfId="0" applyNumberFormat="1" applyFont="1" applyBorder="1"/>
    <xf numFmtId="6" fontId="22" fillId="0" borderId="34" xfId="0" applyNumberFormat="1" applyFont="1" applyBorder="1"/>
    <xf numFmtId="167" fontId="32" fillId="0" borderId="33" xfId="0" applyNumberFormat="1" applyFont="1" applyBorder="1"/>
    <xf numFmtId="0" fontId="33" fillId="0" borderId="0" xfId="0" applyFont="1"/>
    <xf numFmtId="0" fontId="13" fillId="0" borderId="11" xfId="0" applyFont="1" applyBorder="1" applyAlignment="1">
      <alignment horizontal="center"/>
    </xf>
    <xf numFmtId="0" fontId="13" fillId="0" borderId="12" xfId="0" applyFont="1" applyBorder="1" applyAlignment="1">
      <alignment horizontal="center"/>
    </xf>
    <xf numFmtId="165" fontId="17" fillId="11" borderId="21" xfId="0" applyNumberFormat="1" applyFont="1" applyFill="1" applyBorder="1"/>
    <xf numFmtId="165" fontId="19" fillId="11" borderId="21" xfId="0" applyNumberFormat="1" applyFont="1" applyFill="1" applyBorder="1"/>
    <xf numFmtId="165" fontId="16" fillId="11" borderId="14" xfId="0" applyNumberFormat="1" applyFont="1" applyFill="1" applyBorder="1"/>
    <xf numFmtId="10" fontId="17" fillId="11" borderId="21" xfId="0" applyNumberFormat="1" applyFont="1" applyFill="1" applyBorder="1"/>
    <xf numFmtId="10" fontId="19" fillId="11" borderId="21" xfId="0" applyNumberFormat="1" applyFont="1" applyFill="1" applyBorder="1"/>
    <xf numFmtId="10" fontId="16" fillId="11" borderId="14" xfId="0" applyNumberFormat="1" applyFont="1" applyFill="1" applyBorder="1"/>
    <xf numFmtId="10" fontId="0" fillId="0" borderId="0" xfId="0" applyNumberFormat="1"/>
    <xf numFmtId="10" fontId="13" fillId="0" borderId="11" xfId="0" applyNumberFormat="1" applyFont="1" applyBorder="1" applyAlignment="1">
      <alignment horizontal="center"/>
    </xf>
    <xf numFmtId="10" fontId="13" fillId="0" borderId="12" xfId="0" applyNumberFormat="1" applyFont="1" applyBorder="1" applyAlignment="1">
      <alignment horizontal="center"/>
    </xf>
    <xf numFmtId="165" fontId="35" fillId="12" borderId="10" xfId="0" applyNumberFormat="1" applyFont="1" applyFill="1" applyBorder="1"/>
    <xf numFmtId="167" fontId="0" fillId="4" borderId="14" xfId="0" applyNumberFormat="1" applyFill="1" applyBorder="1" applyProtection="1">
      <protection locked="0"/>
    </xf>
    <xf numFmtId="9" fontId="0" fillId="4" borderId="15" xfId="1" applyFont="1" applyFill="1" applyBorder="1" applyProtection="1">
      <protection locked="0"/>
    </xf>
    <xf numFmtId="8" fontId="0" fillId="0" borderId="0" xfId="0" applyNumberFormat="1"/>
    <xf numFmtId="0" fontId="1" fillId="0" borderId="0" xfId="0" applyFont="1" applyAlignment="1">
      <alignment horizontal="center" vertical="center"/>
    </xf>
    <xf numFmtId="0" fontId="15" fillId="0" borderId="6" xfId="2" applyFont="1" applyBorder="1"/>
    <xf numFmtId="167" fontId="0" fillId="0" borderId="0" xfId="0" applyNumberFormat="1"/>
    <xf numFmtId="9" fontId="0" fillId="0" borderId="0" xfId="1" applyFont="1"/>
    <xf numFmtId="9" fontId="0" fillId="0" borderId="0" xfId="1" applyFont="1" applyBorder="1"/>
    <xf numFmtId="0" fontId="36" fillId="0" borderId="0" xfId="0" applyFont="1"/>
    <xf numFmtId="165" fontId="36" fillId="0" borderId="0" xfId="1" applyNumberFormat="1" applyFont="1" applyFill="1" applyBorder="1"/>
    <xf numFmtId="165" fontId="0" fillId="0" borderId="0" xfId="1" applyNumberFormat="1" applyFont="1" applyFill="1" applyBorder="1"/>
    <xf numFmtId="165" fontId="0" fillId="0" borderId="0" xfId="1" applyNumberFormat="1" applyFont="1"/>
    <xf numFmtId="170" fontId="0" fillId="0" borderId="0" xfId="0" applyNumberFormat="1"/>
    <xf numFmtId="0" fontId="0" fillId="0" borderId="0" xfId="0" pivotButton="1"/>
    <xf numFmtId="0" fontId="31" fillId="13" borderId="24" xfId="3" applyFont="1" applyFill="1" applyBorder="1"/>
    <xf numFmtId="0" fontId="1" fillId="13" borderId="25" xfId="3" applyFill="1" applyBorder="1"/>
    <xf numFmtId="0" fontId="1" fillId="13" borderId="26" xfId="3" applyFill="1" applyBorder="1"/>
    <xf numFmtId="0" fontId="1" fillId="13" borderId="27" xfId="3" applyFill="1" applyBorder="1"/>
    <xf numFmtId="0" fontId="1" fillId="13" borderId="0" xfId="3" applyFill="1"/>
    <xf numFmtId="0" fontId="1" fillId="13" borderId="28" xfId="3" applyFill="1" applyBorder="1"/>
    <xf numFmtId="0" fontId="1" fillId="13" borderId="29" xfId="3" applyFill="1" applyBorder="1"/>
    <xf numFmtId="0" fontId="1" fillId="13" borderId="30" xfId="3" applyFill="1" applyBorder="1"/>
    <xf numFmtId="0" fontId="1" fillId="13" borderId="31" xfId="3" applyFill="1" applyBorder="1"/>
    <xf numFmtId="0" fontId="37" fillId="13" borderId="0" xfId="3" applyFont="1" applyFill="1" applyAlignment="1">
      <alignment horizontal="center"/>
    </xf>
    <xf numFmtId="0" fontId="38" fillId="13" borderId="0" xfId="3" applyFont="1" applyFill="1" applyAlignment="1">
      <alignment horizontal="center"/>
    </xf>
    <xf numFmtId="0" fontId="38" fillId="13" borderId="0" xfId="3" applyFont="1" applyFill="1"/>
    <xf numFmtId="167" fontId="0" fillId="0" borderId="0" xfId="1" applyNumberFormat="1" applyFont="1"/>
    <xf numFmtId="0" fontId="0" fillId="0" borderId="21" xfId="0" applyBorder="1"/>
    <xf numFmtId="0" fontId="37" fillId="13" borderId="0" xfId="3" applyFont="1" applyFill="1"/>
    <xf numFmtId="0" fontId="34" fillId="11" borderId="37" xfId="0" applyFont="1" applyFill="1" applyBorder="1" applyAlignment="1">
      <alignment horizontal="center"/>
    </xf>
    <xf numFmtId="0" fontId="34" fillId="11" borderId="18" xfId="0" applyFont="1" applyFill="1" applyBorder="1" applyAlignment="1">
      <alignment horizontal="center"/>
    </xf>
    <xf numFmtId="0" fontId="34" fillId="11" borderId="38" xfId="0" applyFont="1" applyFill="1" applyBorder="1" applyAlignment="1">
      <alignment horizontal="center"/>
    </xf>
    <xf numFmtId="0" fontId="34" fillId="11" borderId="39" xfId="0" applyFont="1"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0" fillId="7" borderId="10" xfId="0" applyFill="1" applyBorder="1" applyAlignment="1">
      <alignment horizontal="center"/>
    </xf>
    <xf numFmtId="0" fontId="0" fillId="7" borderId="11" xfId="0" applyFill="1" applyBorder="1" applyAlignment="1">
      <alignment horizontal="center"/>
    </xf>
    <xf numFmtId="0" fontId="28" fillId="9" borderId="32" xfId="0" applyFont="1" applyFill="1" applyBorder="1" applyAlignment="1">
      <alignment horizontal="center"/>
    </xf>
    <xf numFmtId="0" fontId="28" fillId="9" borderId="33" xfId="0" applyFont="1" applyFill="1" applyBorder="1" applyAlignment="1">
      <alignment horizontal="center"/>
    </xf>
    <xf numFmtId="0" fontId="28" fillId="9" borderId="34" xfId="0" applyFont="1" applyFill="1" applyBorder="1" applyAlignment="1">
      <alignment horizontal="center"/>
    </xf>
  </cellXfs>
  <cellStyles count="4">
    <cellStyle name="Normal" xfId="0" builtinId="0"/>
    <cellStyle name="Normal 2" xfId="2" xr:uid="{00000000-0005-0000-0000-000001000000}"/>
    <cellStyle name="Normal 2 2" xfId="3" xr:uid="{83219DA7-58E8-4D64-BEE3-D41F0DB79D68}"/>
    <cellStyle name="Percent" xfId="1" builtinId="5"/>
  </cellStyles>
  <dxfs count="16">
    <dxf>
      <numFmt numFmtId="167" formatCode="&quot;$&quot;#,##0"/>
    </dxf>
    <dxf>
      <numFmt numFmtId="167" formatCode="&quot;$&quot;#,##0"/>
    </dxf>
    <dxf>
      <numFmt numFmtId="167" formatCode="&quot;$&quot;#,##0"/>
    </dxf>
    <dxf>
      <numFmt numFmtId="167" formatCode="&quot;$&quot;#,##0"/>
    </dxf>
    <dxf>
      <font>
        <b val="0"/>
        <i val="0"/>
        <strike val="0"/>
        <condense val="0"/>
        <extend val="0"/>
        <outline val="0"/>
        <shadow val="0"/>
        <u val="none"/>
        <vertAlign val="baseline"/>
        <sz val="12"/>
        <color theme="1"/>
        <name val="Calibri"/>
        <family val="2"/>
        <scheme val="minor"/>
      </font>
      <numFmt numFmtId="165" formatCode="0.0%"/>
    </dxf>
    <dxf>
      <font>
        <b val="0"/>
        <i val="0"/>
        <strike val="0"/>
        <condense val="0"/>
        <extend val="0"/>
        <outline val="0"/>
        <shadow val="0"/>
        <u val="none"/>
        <vertAlign val="baseline"/>
        <sz val="12"/>
        <color theme="1"/>
        <name val="Calibri"/>
        <family val="2"/>
        <scheme val="minor"/>
      </font>
      <numFmt numFmtId="165" formatCode="0.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numFmt numFmtId="165" formatCode="0.0%"/>
      <fill>
        <patternFill patternType="none">
          <fgColor indexed="64"/>
          <bgColor indexed="65"/>
        </patternFill>
      </fill>
    </dxf>
    <dxf>
      <font>
        <b val="0"/>
        <i val="0"/>
        <strike val="0"/>
        <condense val="0"/>
        <extend val="0"/>
        <outline val="0"/>
        <shadow val="0"/>
        <u val="none"/>
        <vertAlign val="baseline"/>
        <sz val="12"/>
        <color auto="1"/>
        <name val="Calibri"/>
        <family val="2"/>
        <scheme val="minor"/>
      </font>
      <numFmt numFmtId="165" formatCode="0.0%"/>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dxf>
    <dxf>
      <numFmt numFmtId="167" formatCode="&quot;$&quot;#,##0"/>
    </dxf>
    <dxf>
      <numFmt numFmtId="170" formatCode="&quot;$&quot;#,##0.00"/>
    </dxf>
    <dxf>
      <numFmt numFmtId="167" formatCode="&quot;$&quot;#,##0"/>
    </dxf>
    <dxf>
      <numFmt numFmtId="167" formatCode="&quot;$&quot;#,##0"/>
    </dxf>
    <dxf>
      <font>
        <color theme="0"/>
      </font>
      <fill>
        <patternFill>
          <bgColor theme="1"/>
        </patternFill>
      </fill>
      <border>
        <left style="dashed">
          <color theme="2" tint="-9.9948118533890809E-2"/>
        </left>
        <right style="dashed">
          <color theme="2" tint="-9.9948118533890809E-2"/>
        </right>
        <top style="dashed">
          <color theme="2" tint="-9.9948118533890809E-2"/>
        </top>
        <bottom style="dashed">
          <color theme="2" tint="-9.9948118533890809E-2"/>
        </bottom>
      </border>
    </dxf>
  </dxfs>
  <tableStyles count="1" defaultTableStyle="TableStyleMedium2" defaultPivotStyle="PivotStyleLight16">
    <tableStyle name="Slicer Style 1" pivot="0" table="0" count="1" xr9:uid="{49BA59B8-7484-4669-8D04-EE8DA05C99B6}">
      <tableStyleElement type="wholeTable" dxfId="15"/>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pivotCacheDefinition" Target="pivotCache/pivotCacheDefinition4.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4.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3.xml"/><Relationship Id="rId19" Type="http://schemas.openxmlformats.org/officeDocument/2006/relationships/customXml" Target="../customXml/item2.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NPV &amp; IRR</a:t>
            </a:r>
          </a:p>
        </c:rich>
      </c:tx>
      <c:layout>
        <c:manualLayout>
          <c:xMode val="edge"/>
          <c:yMode val="edge"/>
          <c:x val="0.4122024293175486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NPV</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Charts!$A$2:$A$5</c:f>
              <c:strCache>
                <c:ptCount val="4"/>
                <c:pt idx="0">
                  <c:v>Scenario 1</c:v>
                </c:pt>
                <c:pt idx="1">
                  <c:v>Scenario 2</c:v>
                </c:pt>
                <c:pt idx="2">
                  <c:v>Scenario 3</c:v>
                </c:pt>
                <c:pt idx="3">
                  <c:v>Scenario 4</c:v>
                </c:pt>
              </c:strCache>
            </c:strRef>
          </c:cat>
          <c:val>
            <c:numRef>
              <c:f>Charts!$B$2:$B$5</c:f>
              <c:numCache>
                <c:formatCode>"$"#,##0</c:formatCode>
                <c:ptCount val="4"/>
                <c:pt idx="0">
                  <c:v>52806</c:v>
                </c:pt>
                <c:pt idx="1">
                  <c:v>79404</c:v>
                </c:pt>
                <c:pt idx="2">
                  <c:v>104924</c:v>
                </c:pt>
                <c:pt idx="3">
                  <c:v>99118</c:v>
                </c:pt>
              </c:numCache>
            </c:numRef>
          </c:val>
          <c:extLst>
            <c:ext xmlns:c16="http://schemas.microsoft.com/office/drawing/2014/chart" uri="{C3380CC4-5D6E-409C-BE32-E72D297353CC}">
              <c16:uniqueId val="{00000000-9FB1-4240-BFA4-C73E38FCA593}"/>
            </c:ext>
          </c:extLst>
        </c:ser>
        <c:dLbls>
          <c:dLblPos val="inBase"/>
          <c:showLegendKey val="0"/>
          <c:showVal val="1"/>
          <c:showCatName val="0"/>
          <c:showSerName val="0"/>
          <c:showPercent val="0"/>
          <c:showBubbleSize val="0"/>
        </c:dLbls>
        <c:gapWidth val="219"/>
        <c:axId val="354599280"/>
        <c:axId val="145746656"/>
      </c:barChart>
      <c:lineChart>
        <c:grouping val="standard"/>
        <c:varyColors val="0"/>
        <c:ser>
          <c:idx val="1"/>
          <c:order val="1"/>
          <c:tx>
            <c:strRef>
              <c:f>Charts!$C$1</c:f>
              <c:strCache>
                <c:ptCount val="1"/>
                <c:pt idx="0">
                  <c:v>IRR</c:v>
                </c:pt>
              </c:strCache>
            </c:strRef>
          </c:tx>
          <c:spPr>
            <a:ln w="28575" cap="rnd">
              <a:solidFill>
                <a:schemeClr val="accent5">
                  <a:tint val="77000"/>
                </a:schemeClr>
              </a:solidFill>
              <a:round/>
            </a:ln>
            <a:effectLst>
              <a:glow rad="25400">
                <a:schemeClr val="accent2">
                  <a:satMod val="175000"/>
                  <a:alpha val="40000"/>
                </a:schemeClr>
              </a:glow>
            </a:effectLst>
          </c:spPr>
          <c:marker>
            <c:symbol val="circle"/>
            <c:size val="5"/>
            <c:spPr>
              <a:solidFill>
                <a:schemeClr val="accent5">
                  <a:tint val="77000"/>
                </a:schemeClr>
              </a:solidFill>
              <a:ln w="9525">
                <a:solidFill>
                  <a:schemeClr val="accent5">
                    <a:tint val="77000"/>
                  </a:schemeClr>
                </a:solidFill>
              </a:ln>
              <a:effectLst>
                <a:glow rad="25400">
                  <a:schemeClr val="accent2">
                    <a:satMod val="175000"/>
                    <a:alpha val="40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Charts!$A$2:$A$5</c:f>
              <c:strCache>
                <c:ptCount val="4"/>
                <c:pt idx="0">
                  <c:v>Scenario 1</c:v>
                </c:pt>
                <c:pt idx="1">
                  <c:v>Scenario 2</c:v>
                </c:pt>
                <c:pt idx="2">
                  <c:v>Scenario 3</c:v>
                </c:pt>
                <c:pt idx="3">
                  <c:v>Scenario 4</c:v>
                </c:pt>
              </c:strCache>
            </c:strRef>
          </c:cat>
          <c:val>
            <c:numRef>
              <c:f>Charts!$C$2:$C$5</c:f>
              <c:numCache>
                <c:formatCode>0%</c:formatCode>
                <c:ptCount val="4"/>
                <c:pt idx="0">
                  <c:v>0.21</c:v>
                </c:pt>
                <c:pt idx="1">
                  <c:v>0.26</c:v>
                </c:pt>
                <c:pt idx="2">
                  <c:v>0.28999999999999998</c:v>
                </c:pt>
                <c:pt idx="3">
                  <c:v>0.28000000000000003</c:v>
                </c:pt>
              </c:numCache>
            </c:numRef>
          </c:val>
          <c:smooth val="1"/>
          <c:extLst>
            <c:ext xmlns:c16="http://schemas.microsoft.com/office/drawing/2014/chart" uri="{C3380CC4-5D6E-409C-BE32-E72D297353CC}">
              <c16:uniqueId val="{00000001-9FB1-4240-BFA4-C73E38FCA593}"/>
            </c:ext>
          </c:extLst>
        </c:ser>
        <c:dLbls>
          <c:showLegendKey val="0"/>
          <c:showVal val="1"/>
          <c:showCatName val="0"/>
          <c:showSerName val="0"/>
          <c:showPercent val="0"/>
          <c:showBubbleSize val="0"/>
        </c:dLbls>
        <c:marker val="1"/>
        <c:smooth val="0"/>
        <c:axId val="363937168"/>
        <c:axId val="152284272"/>
      </c:lineChart>
      <c:catAx>
        <c:axId val="3545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5746656"/>
        <c:crosses val="autoZero"/>
        <c:auto val="1"/>
        <c:lblAlgn val="ctr"/>
        <c:lblOffset val="100"/>
        <c:noMultiLvlLbl val="0"/>
      </c:catAx>
      <c:valAx>
        <c:axId val="145746656"/>
        <c:scaling>
          <c:orientation val="minMax"/>
        </c:scaling>
        <c:delete val="0"/>
        <c:axPos val="l"/>
        <c:majorGridlines>
          <c:spPr>
            <a:ln w="9525" cap="flat" cmpd="sng" algn="ctr">
              <a:solidFill>
                <a:schemeClr val="bg2">
                  <a:lumMod val="75000"/>
                  <a:alpha val="14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4599280"/>
        <c:crosses val="autoZero"/>
        <c:crossBetween val="between"/>
      </c:valAx>
      <c:valAx>
        <c:axId val="15228427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3937168"/>
        <c:crosses val="max"/>
        <c:crossBetween val="between"/>
      </c:valAx>
      <c:catAx>
        <c:axId val="363937168"/>
        <c:scaling>
          <c:orientation val="minMax"/>
        </c:scaling>
        <c:delete val="1"/>
        <c:axPos val="b"/>
        <c:numFmt formatCode="General" sourceLinked="1"/>
        <c:majorTickMark val="out"/>
        <c:minorTickMark val="none"/>
        <c:tickLblPos val="nextTo"/>
        <c:crossAx val="1522842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[Four Scenario Model.c (1).xlsx]Charts!PivotTable9</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Net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a:glow rad="50800">
              <a:schemeClr val="accent6">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Charts!$B$262:$B$263</c:f>
              <c:strCache>
                <c:ptCount val="1"/>
                <c:pt idx="0">
                  <c:v>Scenario 1</c:v>
                </c:pt>
              </c:strCache>
            </c:strRef>
          </c:tx>
          <c:spPr>
            <a:solidFill>
              <a:schemeClr val="accent6">
                <a:tint val="58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Charts!$B$264:$B$269</c:f>
              <c:numCache>
                <c:formatCode>"$"#,##0</c:formatCode>
                <c:ptCount val="6"/>
                <c:pt idx="0">
                  <c:v>13983.48291018565</c:v>
                </c:pt>
                <c:pt idx="1">
                  <c:v>15111.005491220611</c:v>
                </c:pt>
                <c:pt idx="2">
                  <c:v>17098.696824363367</c:v>
                </c:pt>
                <c:pt idx="3">
                  <c:v>18442.108506732897</c:v>
                </c:pt>
                <c:pt idx="4">
                  <c:v>21205.784609329006</c:v>
                </c:pt>
                <c:pt idx="5">
                  <c:v>22876.183091411272</c:v>
                </c:pt>
              </c:numCache>
            </c:numRef>
          </c:val>
          <c:extLst>
            <c:ext xmlns:c16="http://schemas.microsoft.com/office/drawing/2014/chart" uri="{C3380CC4-5D6E-409C-BE32-E72D297353CC}">
              <c16:uniqueId val="{00000000-8534-4B53-B3DD-2276B7FC81BC}"/>
            </c:ext>
          </c:extLst>
        </c:ser>
        <c:ser>
          <c:idx val="1"/>
          <c:order val="1"/>
          <c:tx>
            <c:strRef>
              <c:f>Charts!$C$262:$C$263</c:f>
              <c:strCache>
                <c:ptCount val="1"/>
                <c:pt idx="0">
                  <c:v>Scenario 2</c:v>
                </c:pt>
              </c:strCache>
            </c:strRef>
          </c:tx>
          <c:spPr>
            <a:solidFill>
              <a:schemeClr val="accent6">
                <a:tint val="86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Charts!$C$264:$C$269</c:f>
              <c:numCache>
                <c:formatCode>"$"#,##0</c:formatCode>
                <c:ptCount val="6"/>
                <c:pt idx="0">
                  <c:v>15631.690337431006</c:v>
                </c:pt>
                <c:pt idx="1">
                  <c:v>17813.714073206072</c:v>
                </c:pt>
                <c:pt idx="2">
                  <c:v>21845.672366839452</c:v>
                </c:pt>
                <c:pt idx="3">
                  <c:v>25342.465774581338</c:v>
                </c:pt>
                <c:pt idx="4">
                  <c:v>30690.902877371773</c:v>
                </c:pt>
                <c:pt idx="5">
                  <c:v>35483.432994882613</c:v>
                </c:pt>
              </c:numCache>
            </c:numRef>
          </c:val>
          <c:extLst>
            <c:ext xmlns:c16="http://schemas.microsoft.com/office/drawing/2014/chart" uri="{C3380CC4-5D6E-409C-BE32-E72D297353CC}">
              <c16:uniqueId val="{00000001-94C4-4E3D-8B39-A5522655E267}"/>
            </c:ext>
          </c:extLst>
        </c:ser>
        <c:ser>
          <c:idx val="2"/>
          <c:order val="2"/>
          <c:tx>
            <c:strRef>
              <c:f>Charts!$D$262:$D$263</c:f>
              <c:strCache>
                <c:ptCount val="1"/>
                <c:pt idx="0">
                  <c:v>Scenario 3</c:v>
                </c:pt>
              </c:strCache>
            </c:strRef>
          </c:tx>
          <c:spPr>
            <a:solidFill>
              <a:schemeClr val="accent6">
                <a:shade val="86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Charts!$D$264:$D$269</c:f>
              <c:numCache>
                <c:formatCode>"$"#,##0</c:formatCode>
                <c:ptCount val="6"/>
                <c:pt idx="0">
                  <c:v>17115.696764676366</c:v>
                </c:pt>
                <c:pt idx="1">
                  <c:v>20827.38910879154</c:v>
                </c:pt>
                <c:pt idx="2">
                  <c:v>26131.045068155545</c:v>
                </c:pt>
                <c:pt idx="3">
                  <c:v>31333.247879589995</c:v>
                </c:pt>
                <c:pt idx="4">
                  <c:v>39228.463036993635</c:v>
                </c:pt>
                <c:pt idx="5">
                  <c:v>47384.086816916184</c:v>
                </c:pt>
              </c:numCache>
            </c:numRef>
          </c:val>
          <c:extLst>
            <c:ext xmlns:c16="http://schemas.microsoft.com/office/drawing/2014/chart" uri="{C3380CC4-5D6E-409C-BE32-E72D297353CC}">
              <c16:uniqueId val="{00000002-94C4-4E3D-8B39-A5522655E267}"/>
            </c:ext>
          </c:extLst>
        </c:ser>
        <c:ser>
          <c:idx val="3"/>
          <c:order val="3"/>
          <c:tx>
            <c:strRef>
              <c:f>Charts!$E$262:$E$263</c:f>
              <c:strCache>
                <c:ptCount val="1"/>
                <c:pt idx="0">
                  <c:v>Scenario 4</c:v>
                </c:pt>
              </c:strCache>
            </c:strRef>
          </c:tx>
          <c:spPr>
            <a:solidFill>
              <a:schemeClr val="accent6">
                <a:shade val="58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Charts!$E$264:$E$269</c:f>
              <c:numCache>
                <c:formatCode>"$"#,##0</c:formatCode>
                <c:ptCount val="6"/>
                <c:pt idx="0">
                  <c:v>13399.830853299043</c:v>
                </c:pt>
                <c:pt idx="1">
                  <c:v>17101.642082903025</c:v>
                </c:pt>
                <c:pt idx="2">
                  <c:v>22551.142672235346</c:v>
                </c:pt>
                <c:pt idx="3">
                  <c:v>28155.722339622924</c:v>
                </c:pt>
                <c:pt idx="4">
                  <c:v>37004.093940298117</c:v>
                </c:pt>
                <c:pt idx="5">
                  <c:v>46710.929677340027</c:v>
                </c:pt>
              </c:numCache>
            </c:numRef>
          </c:val>
          <c:extLst>
            <c:ext xmlns:c16="http://schemas.microsoft.com/office/drawing/2014/chart" uri="{C3380CC4-5D6E-409C-BE32-E72D297353CC}">
              <c16:uniqueId val="{00000003-94C4-4E3D-8B39-A5522655E267}"/>
            </c:ext>
          </c:extLst>
        </c:ser>
        <c:dLbls>
          <c:showLegendKey val="0"/>
          <c:showVal val="0"/>
          <c:showCatName val="0"/>
          <c:showSerName val="0"/>
          <c:showPercent val="0"/>
          <c:showBubbleSize val="0"/>
        </c:dLbls>
        <c:gapWidth val="219"/>
        <c:overlap val="-27"/>
        <c:axId val="1758649423"/>
        <c:axId val="1004075583"/>
      </c:barChart>
      <c:catAx>
        <c:axId val="17586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4075583"/>
        <c:crosses val="autoZero"/>
        <c:auto val="1"/>
        <c:lblAlgn val="ctr"/>
        <c:lblOffset val="100"/>
        <c:noMultiLvlLbl val="0"/>
      </c:catAx>
      <c:valAx>
        <c:axId val="1004075583"/>
        <c:scaling>
          <c:orientation val="minMax"/>
        </c:scaling>
        <c:delete val="0"/>
        <c:axPos val="l"/>
        <c:majorGridlines>
          <c:spPr>
            <a:ln w="9525" cap="flat" cmpd="sng" algn="ctr">
              <a:solidFill>
                <a:schemeClr val="lt1">
                  <a:shade val="50000"/>
                  <a:alpha val="1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864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[Four Scenario Model.c (1).xlsx]Charts!PivotTable33</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Operating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glow rad="50800">
              <a:schemeClr val="accent5">
                <a:satMod val="175000"/>
                <a:alpha val="40000"/>
              </a:schemeClr>
            </a:glow>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Charts!$B$286:$B$287</c:f>
              <c:strCache>
                <c:ptCount val="1"/>
                <c:pt idx="0">
                  <c:v>Scenario 1</c:v>
                </c:pt>
              </c:strCache>
            </c:strRef>
          </c:tx>
          <c:spPr>
            <a:solidFill>
              <a:schemeClr val="accent1">
                <a:shade val="58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Charts!$B$288:$B$293</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C962-46C9-8BE3-54F3E10FA3AB}"/>
            </c:ext>
          </c:extLst>
        </c:ser>
        <c:ser>
          <c:idx val="1"/>
          <c:order val="1"/>
          <c:tx>
            <c:strRef>
              <c:f>Charts!$C$286:$C$287</c:f>
              <c:strCache>
                <c:ptCount val="1"/>
                <c:pt idx="0">
                  <c:v>Scenario 2</c:v>
                </c:pt>
              </c:strCache>
            </c:strRef>
          </c:tx>
          <c:spPr>
            <a:solidFill>
              <a:schemeClr val="accent1">
                <a:shade val="86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Charts!$C$288:$C$293</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1-04F8-41FE-B09C-B5E71B5D1758}"/>
            </c:ext>
          </c:extLst>
        </c:ser>
        <c:ser>
          <c:idx val="2"/>
          <c:order val="2"/>
          <c:tx>
            <c:strRef>
              <c:f>Charts!$D$286:$D$287</c:f>
              <c:strCache>
                <c:ptCount val="1"/>
                <c:pt idx="0">
                  <c:v>Scenario 3</c:v>
                </c:pt>
              </c:strCache>
            </c:strRef>
          </c:tx>
          <c:spPr>
            <a:solidFill>
              <a:schemeClr val="accent1">
                <a:tint val="86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Charts!$D$288:$D$293</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2-04F8-41FE-B09C-B5E71B5D1758}"/>
            </c:ext>
          </c:extLst>
        </c:ser>
        <c:ser>
          <c:idx val="3"/>
          <c:order val="3"/>
          <c:tx>
            <c:strRef>
              <c:f>Charts!$E$286:$E$287</c:f>
              <c:strCache>
                <c:ptCount val="1"/>
                <c:pt idx="0">
                  <c:v>Scenario 4</c:v>
                </c:pt>
              </c:strCache>
            </c:strRef>
          </c:tx>
          <c:spPr>
            <a:solidFill>
              <a:schemeClr val="accent1">
                <a:tint val="58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Charts!$E$288:$E$293</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3-04F8-41FE-B09C-B5E71B5D1758}"/>
            </c:ext>
          </c:extLst>
        </c:ser>
        <c:dLbls>
          <c:showLegendKey val="0"/>
          <c:showVal val="0"/>
          <c:showCatName val="0"/>
          <c:showSerName val="0"/>
          <c:showPercent val="0"/>
          <c:showBubbleSize val="0"/>
        </c:dLbls>
        <c:gapWidth val="219"/>
        <c:overlap val="-27"/>
        <c:axId val="1106860655"/>
        <c:axId val="888546719"/>
      </c:barChart>
      <c:catAx>
        <c:axId val="110686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8546719"/>
        <c:crosses val="autoZero"/>
        <c:auto val="1"/>
        <c:lblAlgn val="ctr"/>
        <c:lblOffset val="100"/>
        <c:noMultiLvlLbl val="0"/>
      </c:catAx>
      <c:valAx>
        <c:axId val="888546719"/>
        <c:scaling>
          <c:orientation val="minMax"/>
        </c:scaling>
        <c:delete val="0"/>
        <c:axPos val="l"/>
        <c:majorGridlines>
          <c:spPr>
            <a:ln w="9525" cap="flat" cmpd="sng" algn="ctr">
              <a:solidFill>
                <a:schemeClr val="lt1">
                  <a:shade val="50000"/>
                  <a:alpha val="27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686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[Four Scenario Model.c (1).xlsx]Charts!PivotTable50</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EPS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glow rad="50800">
              <a:schemeClr val="accent2">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Charts!$B$315:$B$316</c:f>
              <c:strCache>
                <c:ptCount val="1"/>
                <c:pt idx="0">
                  <c:v>Scenario 1</c:v>
                </c:pt>
              </c:strCache>
            </c:strRef>
          </c:tx>
          <c:spPr>
            <a:solidFill>
              <a:schemeClr val="accent2"/>
            </a:solidFill>
            <a:ln>
              <a:noFill/>
            </a:ln>
            <a:effectLst>
              <a:glow rad="50800">
                <a:schemeClr val="accent2">
                  <a:satMod val="175000"/>
                  <a:alpha val="40000"/>
                </a:schemeClr>
              </a:glow>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Charts!$B$317:$B$322</c:f>
              <c:numCache>
                <c:formatCode>"$"#,##0.00</c:formatCode>
                <c:ptCount val="6"/>
                <c:pt idx="0">
                  <c:v>15.417205980326074</c:v>
                </c:pt>
                <c:pt idx="1">
                  <c:v>16.660333174812276</c:v>
                </c:pt>
                <c:pt idx="2">
                  <c:v>18.851822012407169</c:v>
                </c:pt>
                <c:pt idx="3">
                  <c:v>20.332973364791702</c:v>
                </c:pt>
                <c:pt idx="4">
                  <c:v>23.380008499764617</c:v>
                </c:pt>
                <c:pt idx="5">
                  <c:v>25.221672528168284</c:v>
                </c:pt>
              </c:numCache>
            </c:numRef>
          </c:val>
          <c:extLst>
            <c:ext xmlns:c16="http://schemas.microsoft.com/office/drawing/2014/chart" uri="{C3380CC4-5D6E-409C-BE32-E72D297353CC}">
              <c16:uniqueId val="{00000000-804C-47EA-B44D-86F06EFE336B}"/>
            </c:ext>
          </c:extLst>
        </c:ser>
        <c:dLbls>
          <c:showLegendKey val="0"/>
          <c:showVal val="0"/>
          <c:showCatName val="0"/>
          <c:showSerName val="0"/>
          <c:showPercent val="0"/>
          <c:showBubbleSize val="0"/>
        </c:dLbls>
        <c:gapWidth val="219"/>
        <c:overlap val="-27"/>
        <c:axId val="1100394575"/>
        <c:axId val="1008467695"/>
      </c:barChart>
      <c:catAx>
        <c:axId val="11003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8467695"/>
        <c:crosses val="autoZero"/>
        <c:auto val="1"/>
        <c:lblAlgn val="ctr"/>
        <c:lblOffset val="100"/>
        <c:noMultiLvlLbl val="0"/>
      </c:catAx>
      <c:valAx>
        <c:axId val="1008467695"/>
        <c:scaling>
          <c:orientation val="minMax"/>
        </c:scaling>
        <c:delete val="0"/>
        <c:axPos val="l"/>
        <c:majorGridlines>
          <c:spPr>
            <a:ln w="9525" cap="flat" cmpd="sng" algn="ctr">
              <a:solidFill>
                <a:schemeClr val="lt1">
                  <a:shade val="50000"/>
                  <a:alpha val="29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03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 (1).xlsx]Charts!PivotTable59</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Cash Flow</a:t>
            </a:r>
          </a:p>
        </c:rich>
      </c:tx>
      <c:layout>
        <c:manualLayout>
          <c:xMode val="edge"/>
          <c:yMode val="edge"/>
          <c:x val="0.4235607091897397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glow rad="635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Charts!$B$343:$B$344</c:f>
              <c:strCache>
                <c:ptCount val="1"/>
                <c:pt idx="0">
                  <c:v>Scenario 4</c:v>
                </c:pt>
              </c:strCache>
            </c:strRef>
          </c:tx>
          <c:spPr>
            <a:solidFill>
              <a:schemeClr val="accent1"/>
            </a:solidFill>
            <a:ln>
              <a:noFill/>
            </a:ln>
            <a:effectLst>
              <a:glow rad="63500">
                <a:schemeClr val="accent5">
                  <a:satMod val="175000"/>
                  <a:alpha val="40000"/>
                </a:schemeClr>
              </a:glow>
            </a:effectLst>
          </c:spPr>
          <c:invertIfNegative val="0"/>
          <c:cat>
            <c:strRef>
              <c:f>Charts!$A$345:$A$350</c:f>
              <c:strCache>
                <c:ptCount val="6"/>
                <c:pt idx="0">
                  <c:v>FY 2020E</c:v>
                </c:pt>
                <c:pt idx="1">
                  <c:v>FY 2021E</c:v>
                </c:pt>
                <c:pt idx="2">
                  <c:v>FY 2022E</c:v>
                </c:pt>
                <c:pt idx="3">
                  <c:v>FY 2023E</c:v>
                </c:pt>
                <c:pt idx="4">
                  <c:v>FY 2024E</c:v>
                </c:pt>
                <c:pt idx="5">
                  <c:v>FY 2025E</c:v>
                </c:pt>
              </c:strCache>
            </c:strRef>
          </c:cat>
          <c:val>
            <c:numRef>
              <c:f>Charts!$B$345:$B$350</c:f>
              <c:numCache>
                <c:formatCode>"$"#,##0</c:formatCode>
                <c:ptCount val="6"/>
                <c:pt idx="0">
                  <c:v>14115.421376858463</c:v>
                </c:pt>
                <c:pt idx="1">
                  <c:v>20163.592752828321</c:v>
                </c:pt>
                <c:pt idx="2">
                  <c:v>26558.770130735393</c:v>
                </c:pt>
                <c:pt idx="3">
                  <c:v>33265.549290648865</c:v>
                </c:pt>
                <c:pt idx="4">
                  <c:v>43972.525951848154</c:v>
                </c:pt>
                <c:pt idx="5">
                  <c:v>55891.956077965035</c:v>
                </c:pt>
              </c:numCache>
            </c:numRef>
          </c:val>
          <c:extLst>
            <c:ext xmlns:c16="http://schemas.microsoft.com/office/drawing/2014/chart" uri="{C3380CC4-5D6E-409C-BE32-E72D297353CC}">
              <c16:uniqueId val="{00000000-33D7-43BB-9D31-8A1F953044D9}"/>
            </c:ext>
          </c:extLst>
        </c:ser>
        <c:dLbls>
          <c:showLegendKey val="0"/>
          <c:showVal val="0"/>
          <c:showCatName val="0"/>
          <c:showSerName val="0"/>
          <c:showPercent val="0"/>
          <c:showBubbleSize val="0"/>
        </c:dLbls>
        <c:gapWidth val="219"/>
        <c:overlap val="-27"/>
        <c:axId val="1125524575"/>
        <c:axId val="1904310095"/>
      </c:barChart>
      <c:catAx>
        <c:axId val="1125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4310095"/>
        <c:crosses val="autoZero"/>
        <c:auto val="1"/>
        <c:lblAlgn val="ctr"/>
        <c:lblOffset val="100"/>
        <c:noMultiLvlLbl val="0"/>
      </c:catAx>
      <c:valAx>
        <c:axId val="1904310095"/>
        <c:scaling>
          <c:orientation val="minMax"/>
        </c:scaling>
        <c:delete val="0"/>
        <c:axPos val="l"/>
        <c:majorGridlines>
          <c:spPr>
            <a:ln w="9525" cap="flat" cmpd="sng" algn="ctr">
              <a:solidFill>
                <a:schemeClr val="lt1">
                  <a:shade val="50000"/>
                  <a:alpha val="2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2552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Revenue Growth% &amp; COGS%</a:t>
            </a:r>
          </a:p>
        </c:rich>
      </c:tx>
      <c:layout>
        <c:manualLayout>
          <c:xMode val="edge"/>
          <c:yMode val="edge"/>
          <c:x val="0.29072428979493148"/>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Charts!$E$49</c:f>
              <c:strCache>
                <c:ptCount val="1"/>
                <c:pt idx="0">
                  <c:v>Revenue %</c:v>
                </c:pt>
              </c:strCache>
            </c:strRef>
          </c:tx>
          <c:spPr>
            <a:ln w="22225" cap="rnd" cmpd="sng" algn="ctr">
              <a:solidFill>
                <a:schemeClr val="accent1"/>
              </a:solidFill>
              <a:round/>
            </a:ln>
            <a:effectLst>
              <a:glow rad="38100">
                <a:schemeClr val="accent5">
                  <a:satMod val="175000"/>
                  <a:alpha val="40000"/>
                </a:schemeClr>
              </a:glow>
              <a:outerShdw blurRad="50800" dist="38100" dir="5400000" algn="t" rotWithShape="0">
                <a:prstClr val="black">
                  <a:alpha val="40000"/>
                </a:prstClr>
              </a:outerShdw>
            </a:effectLst>
          </c:spPr>
          <c:marker>
            <c:symbol val="circle"/>
            <c:size val="4"/>
            <c:spPr>
              <a:solidFill>
                <a:schemeClr val="accent1"/>
              </a:solidFill>
              <a:ln w="9525" cap="flat" cmpd="sng" algn="ctr">
                <a:solidFill>
                  <a:schemeClr val="accent1"/>
                </a:solidFill>
                <a:round/>
              </a:ln>
              <a:effectLst>
                <a:glow rad="38100">
                  <a:schemeClr val="accent5">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Charts!$D$50:$D$55</c:f>
              <c:strCache>
                <c:ptCount val="6"/>
                <c:pt idx="0">
                  <c:v>FY 2020E</c:v>
                </c:pt>
                <c:pt idx="1">
                  <c:v>FY 2021E</c:v>
                </c:pt>
                <c:pt idx="2">
                  <c:v>FY 2022E</c:v>
                </c:pt>
                <c:pt idx="3">
                  <c:v>FY 2023E</c:v>
                </c:pt>
                <c:pt idx="4">
                  <c:v>FY 2024E</c:v>
                </c:pt>
                <c:pt idx="5">
                  <c:v>FY 2025E</c:v>
                </c:pt>
              </c:strCache>
            </c:strRef>
          </c:cat>
          <c:val>
            <c:numRef>
              <c:f>Charts!$E$50:$E$55</c:f>
              <c:numCache>
                <c:formatCode>0.0%</c:formatCode>
                <c:ptCount val="6"/>
                <c:pt idx="0">
                  <c:v>0.25</c:v>
                </c:pt>
                <c:pt idx="1">
                  <c:v>0.26250000000000001</c:v>
                </c:pt>
                <c:pt idx="2">
                  <c:v>0.27500000000000002</c:v>
                </c:pt>
                <c:pt idx="3">
                  <c:v>0.25</c:v>
                </c:pt>
                <c:pt idx="4">
                  <c:v>0.27500000000000002</c:v>
                </c:pt>
                <c:pt idx="5">
                  <c:v>0.27374999999999999</c:v>
                </c:pt>
              </c:numCache>
            </c:numRef>
          </c:val>
          <c:smooth val="0"/>
          <c:extLst>
            <c:ext xmlns:c16="http://schemas.microsoft.com/office/drawing/2014/chart" uri="{C3380CC4-5D6E-409C-BE32-E72D297353CC}">
              <c16:uniqueId val="{00000000-CDCC-4844-B340-9DE292B03583}"/>
            </c:ext>
          </c:extLst>
        </c:ser>
        <c:ser>
          <c:idx val="1"/>
          <c:order val="1"/>
          <c:tx>
            <c:strRef>
              <c:f>Charts!$F$49</c:f>
              <c:strCache>
                <c:ptCount val="1"/>
                <c:pt idx="0">
                  <c:v>COGS %</c:v>
                </c:pt>
              </c:strCache>
            </c:strRef>
          </c:tx>
          <c:spPr>
            <a:ln w="22225" cap="rnd" cmpd="sng" algn="ctr">
              <a:solidFill>
                <a:schemeClr val="accent2"/>
              </a:solidFill>
              <a:round/>
            </a:ln>
            <a:effectLst>
              <a:glow rad="38100">
                <a:schemeClr val="accent2">
                  <a:satMod val="175000"/>
                  <a:alpha val="40000"/>
                </a:schemeClr>
              </a:glow>
              <a:outerShdw blurRad="50800" dist="38100" dir="5400000" algn="t" rotWithShape="0">
                <a:prstClr val="black">
                  <a:alpha val="40000"/>
                </a:prstClr>
              </a:outerShdw>
            </a:effectLst>
          </c:spPr>
          <c:marker>
            <c:symbol val="circle"/>
            <c:size val="4"/>
            <c:spPr>
              <a:solidFill>
                <a:schemeClr val="accent2"/>
              </a:solidFill>
              <a:ln w="9525" cap="flat" cmpd="sng" algn="ctr">
                <a:solidFill>
                  <a:schemeClr val="accent2"/>
                </a:solidFill>
                <a:round/>
              </a:ln>
              <a:effectLst>
                <a:glow rad="38100">
                  <a:schemeClr val="accent2">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Charts!$D$50:$D$55</c:f>
              <c:strCache>
                <c:ptCount val="6"/>
                <c:pt idx="0">
                  <c:v>FY 2020E</c:v>
                </c:pt>
                <c:pt idx="1">
                  <c:v>FY 2021E</c:v>
                </c:pt>
                <c:pt idx="2">
                  <c:v>FY 2022E</c:v>
                </c:pt>
                <c:pt idx="3">
                  <c:v>FY 2023E</c:v>
                </c:pt>
                <c:pt idx="4">
                  <c:v>FY 2024E</c:v>
                </c:pt>
                <c:pt idx="5">
                  <c:v>FY 2025E</c:v>
                </c:pt>
              </c:strCache>
            </c:strRef>
          </c:cat>
          <c:val>
            <c:numRef>
              <c:f>Charts!$F$50:$F$55</c:f>
              <c:numCache>
                <c:formatCode>0.0%</c:formatCode>
                <c:ptCount val="6"/>
                <c:pt idx="0">
                  <c:v>0.57500000000000007</c:v>
                </c:pt>
                <c:pt idx="1">
                  <c:v>0.56874999999999998</c:v>
                </c:pt>
                <c:pt idx="2">
                  <c:v>0.56500000000000006</c:v>
                </c:pt>
                <c:pt idx="3">
                  <c:v>0.5625</c:v>
                </c:pt>
                <c:pt idx="4">
                  <c:v>0.55625000000000002</c:v>
                </c:pt>
                <c:pt idx="5">
                  <c:v>0.55237500000000006</c:v>
                </c:pt>
              </c:numCache>
            </c:numRef>
          </c:val>
          <c:smooth val="0"/>
          <c:extLst>
            <c:ext xmlns:c16="http://schemas.microsoft.com/office/drawing/2014/chart" uri="{C3380CC4-5D6E-409C-BE32-E72D297353CC}">
              <c16:uniqueId val="{00000001-CDCC-4844-B340-9DE292B03583}"/>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14125439"/>
        <c:axId val="1144749247"/>
      </c:lineChart>
      <c:catAx>
        <c:axId val="11141254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144749247"/>
        <c:crosses val="autoZero"/>
        <c:auto val="1"/>
        <c:lblAlgn val="ctr"/>
        <c:lblOffset val="100"/>
        <c:noMultiLvlLbl val="0"/>
      </c:catAx>
      <c:valAx>
        <c:axId val="1144749247"/>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11412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R&amp;D% and SG&amp;A%</a:t>
            </a:r>
          </a:p>
        </c:rich>
      </c:tx>
      <c:layout>
        <c:manualLayout>
          <c:xMode val="edge"/>
          <c:yMode val="edge"/>
          <c:x val="0.38383498529383531"/>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Charts!$E$104</c:f>
              <c:strCache>
                <c:ptCount val="1"/>
                <c:pt idx="0">
                  <c:v>R&amp;D%</c:v>
                </c:pt>
              </c:strCache>
            </c:strRef>
          </c:tx>
          <c:spPr>
            <a:ln w="22225" cap="rnd" cmpd="sng" algn="ctr">
              <a:solidFill>
                <a:schemeClr val="accent1"/>
              </a:solidFill>
              <a:round/>
            </a:ln>
            <a:effectLst>
              <a:glow rad="38100">
                <a:schemeClr val="accent6">
                  <a:satMod val="175000"/>
                  <a:alpha val="40000"/>
                </a:schemeClr>
              </a:glow>
              <a:outerShdw blurRad="50800" dist="38100" dir="8100000" algn="tr" rotWithShape="0">
                <a:prstClr val="black">
                  <a:alpha val="40000"/>
                </a:prstClr>
              </a:outerShdw>
            </a:effectLst>
          </c:spPr>
          <c:marker>
            <c:symbol val="circle"/>
            <c:size val="4"/>
            <c:spPr>
              <a:solidFill>
                <a:schemeClr val="accent1"/>
              </a:solidFill>
              <a:ln w="9525" cap="flat" cmpd="sng" algn="ctr">
                <a:solidFill>
                  <a:schemeClr val="accent1"/>
                </a:solidFill>
                <a:round/>
              </a:ln>
              <a:effectLst>
                <a:glow rad="38100">
                  <a:schemeClr val="accent6">
                    <a:satMod val="175000"/>
                    <a:alpha val="40000"/>
                  </a:schemeClr>
                </a:glow>
                <a:outerShdw blurRad="50800" dist="38100" dir="8100000" algn="tr"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Charts!$D$105:$D$110</c:f>
              <c:strCache>
                <c:ptCount val="6"/>
                <c:pt idx="0">
                  <c:v>FY 2020E</c:v>
                </c:pt>
                <c:pt idx="1">
                  <c:v>FY 2021E</c:v>
                </c:pt>
                <c:pt idx="2">
                  <c:v>FY 2022E</c:v>
                </c:pt>
                <c:pt idx="3">
                  <c:v>FY 2023E</c:v>
                </c:pt>
                <c:pt idx="4">
                  <c:v>FY 2024E</c:v>
                </c:pt>
                <c:pt idx="5">
                  <c:v>FY 2025E</c:v>
                </c:pt>
              </c:strCache>
            </c:strRef>
          </c:cat>
          <c:val>
            <c:numRef>
              <c:f>Charts!$E$105:$E$110</c:f>
              <c:numCache>
                <c:formatCode>0.0%</c:formatCode>
                <c:ptCount val="6"/>
                <c:pt idx="0">
                  <c:v>1.7500000000000002E-2</c:v>
                </c:pt>
                <c:pt idx="1">
                  <c:v>1.7600000000000001E-2</c:v>
                </c:pt>
                <c:pt idx="2">
                  <c:v>1.72E-2</c:v>
                </c:pt>
                <c:pt idx="3">
                  <c:v>1.7299999999999999E-2</c:v>
                </c:pt>
                <c:pt idx="4">
                  <c:v>1.7100000000000001E-2</c:v>
                </c:pt>
                <c:pt idx="5">
                  <c:v>1.7010000000000001E-2</c:v>
                </c:pt>
              </c:numCache>
            </c:numRef>
          </c:val>
          <c:smooth val="0"/>
          <c:extLst>
            <c:ext xmlns:c16="http://schemas.microsoft.com/office/drawing/2014/chart" uri="{C3380CC4-5D6E-409C-BE32-E72D297353CC}">
              <c16:uniqueId val="{00000000-96BE-4AD0-8A80-79C1F54E418F}"/>
            </c:ext>
          </c:extLst>
        </c:ser>
        <c:ser>
          <c:idx val="1"/>
          <c:order val="1"/>
          <c:tx>
            <c:strRef>
              <c:f>Charts!$F$104</c:f>
              <c:strCache>
                <c:ptCount val="1"/>
                <c:pt idx="0">
                  <c:v>SG&amp;A%</c:v>
                </c:pt>
              </c:strCache>
            </c:strRef>
          </c:tx>
          <c:spPr>
            <a:ln w="22225" cap="rnd" cmpd="sng" algn="ctr">
              <a:solidFill>
                <a:schemeClr val="accent3"/>
              </a:solidFill>
              <a:round/>
            </a:ln>
            <a:effectLst>
              <a:glow rad="38100">
                <a:schemeClr val="accent2">
                  <a:satMod val="175000"/>
                  <a:alpha val="40000"/>
                </a:schemeClr>
              </a:glow>
              <a:outerShdw blurRad="50800" dist="38100" dir="5400000" algn="t" rotWithShape="0">
                <a:prstClr val="black">
                  <a:alpha val="40000"/>
                </a:prstClr>
              </a:outerShdw>
            </a:effectLst>
          </c:spPr>
          <c:marker>
            <c:symbol val="circle"/>
            <c:size val="4"/>
            <c:spPr>
              <a:solidFill>
                <a:schemeClr val="accent3"/>
              </a:solidFill>
              <a:ln w="9525" cap="flat" cmpd="sng" algn="ctr">
                <a:solidFill>
                  <a:schemeClr val="accent3"/>
                </a:solidFill>
                <a:round/>
              </a:ln>
              <a:effectLst>
                <a:glow rad="38100">
                  <a:schemeClr val="accent2">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Charts!$D$105:$D$110</c:f>
              <c:strCache>
                <c:ptCount val="6"/>
                <c:pt idx="0">
                  <c:v>FY 2020E</c:v>
                </c:pt>
                <c:pt idx="1">
                  <c:v>FY 2021E</c:v>
                </c:pt>
                <c:pt idx="2">
                  <c:v>FY 2022E</c:v>
                </c:pt>
                <c:pt idx="3">
                  <c:v>FY 2023E</c:v>
                </c:pt>
                <c:pt idx="4">
                  <c:v>FY 2024E</c:v>
                </c:pt>
                <c:pt idx="5">
                  <c:v>FY 2025E</c:v>
                </c:pt>
              </c:strCache>
            </c:strRef>
          </c:cat>
          <c:val>
            <c:numRef>
              <c:f>Charts!$F$105:$F$110</c:f>
              <c:numCache>
                <c:formatCode>0.0%</c:formatCode>
                <c:ptCount val="6"/>
                <c:pt idx="0">
                  <c:v>7.0000000000000007E-2</c:v>
                </c:pt>
                <c:pt idx="1">
                  <c:v>7.0999999999999994E-2</c:v>
                </c:pt>
                <c:pt idx="2">
                  <c:v>7.1499999999999994E-2</c:v>
                </c:pt>
                <c:pt idx="3">
                  <c:v>7.1999999999999995E-2</c:v>
                </c:pt>
                <c:pt idx="4">
                  <c:v>7.2499999999999995E-2</c:v>
                </c:pt>
                <c:pt idx="5">
                  <c:v>7.3200000000000001E-2</c:v>
                </c:pt>
              </c:numCache>
            </c:numRef>
          </c:val>
          <c:smooth val="0"/>
          <c:extLst>
            <c:ext xmlns:c16="http://schemas.microsoft.com/office/drawing/2014/chart" uri="{C3380CC4-5D6E-409C-BE32-E72D297353CC}">
              <c16:uniqueId val="{00000001-96BE-4AD0-8A80-79C1F54E418F}"/>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70115087"/>
        <c:axId val="1205983423"/>
      </c:lineChart>
      <c:catAx>
        <c:axId val="197011508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205983423"/>
        <c:crosses val="autoZero"/>
        <c:auto val="1"/>
        <c:lblAlgn val="ctr"/>
        <c:lblOffset val="100"/>
        <c:noMultiLvlLbl val="0"/>
      </c:catAx>
      <c:valAx>
        <c:axId val="1205983423"/>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9701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Assets</a:t>
            </a:r>
          </a:p>
        </c:rich>
      </c:tx>
      <c:layout>
        <c:manualLayout>
          <c:xMode val="edge"/>
          <c:yMode val="edge"/>
          <c:x val="0.5056225052139498"/>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6387244443436225"/>
          <c:y val="0.17678578950885782"/>
          <c:w val="0.49193514001580113"/>
          <c:h val="0.80758965094244306"/>
        </c:manualLayout>
      </c:layout>
      <c:pieChart>
        <c:varyColors val="1"/>
        <c:ser>
          <c:idx val="0"/>
          <c:order val="0"/>
          <c:spPr>
            <a:ln>
              <a:noFill/>
            </a:ln>
          </c:spPr>
          <c:explosion val="5"/>
          <c:dPt>
            <c:idx val="0"/>
            <c:bubble3D val="0"/>
            <c:spPr>
              <a:solidFill>
                <a:schemeClr val="accent6"/>
              </a:solidFill>
              <a:ln w="19050">
                <a:noFill/>
              </a:ln>
              <a:effectLst/>
            </c:spPr>
            <c:extLst>
              <c:ext xmlns:c16="http://schemas.microsoft.com/office/drawing/2014/chart" uri="{C3380CC4-5D6E-409C-BE32-E72D297353CC}">
                <c16:uniqueId val="{00000001-1295-404E-A9C7-8EC28979E364}"/>
              </c:ext>
            </c:extLst>
          </c:dPt>
          <c:dPt>
            <c:idx val="1"/>
            <c:bubble3D val="0"/>
            <c:spPr>
              <a:solidFill>
                <a:schemeClr val="accent5"/>
              </a:solidFill>
              <a:ln w="19050">
                <a:noFill/>
              </a:ln>
              <a:effectLst/>
            </c:spPr>
            <c:extLst>
              <c:ext xmlns:c16="http://schemas.microsoft.com/office/drawing/2014/chart" uri="{C3380CC4-5D6E-409C-BE32-E72D297353CC}">
                <c16:uniqueId val="{00000003-1295-404E-A9C7-8EC28979E364}"/>
              </c:ext>
            </c:extLst>
          </c:dPt>
          <c:dPt>
            <c:idx val="2"/>
            <c:bubble3D val="0"/>
            <c:spPr>
              <a:solidFill>
                <a:schemeClr val="accent4"/>
              </a:solidFill>
              <a:ln w="19050">
                <a:noFill/>
              </a:ln>
              <a:effectLst/>
            </c:spPr>
            <c:extLst>
              <c:ext xmlns:c16="http://schemas.microsoft.com/office/drawing/2014/chart" uri="{C3380CC4-5D6E-409C-BE32-E72D297353CC}">
                <c16:uniqueId val="{00000005-1295-404E-A9C7-8EC28979E364}"/>
              </c:ext>
            </c:extLst>
          </c:dPt>
          <c:dPt>
            <c:idx val="3"/>
            <c:bubble3D val="0"/>
            <c:spPr>
              <a:solidFill>
                <a:schemeClr val="accent6">
                  <a:lumMod val="60000"/>
                </a:schemeClr>
              </a:solidFill>
              <a:ln w="19050">
                <a:noFill/>
              </a:ln>
              <a:effectLst/>
            </c:spPr>
            <c:extLst>
              <c:ext xmlns:c16="http://schemas.microsoft.com/office/drawing/2014/chart" uri="{C3380CC4-5D6E-409C-BE32-E72D297353CC}">
                <c16:uniqueId val="{00000007-1295-404E-A9C7-8EC28979E364}"/>
              </c:ext>
            </c:extLst>
          </c:dPt>
          <c:dPt>
            <c:idx val="4"/>
            <c:bubble3D val="0"/>
            <c:spPr>
              <a:solidFill>
                <a:schemeClr val="accent5">
                  <a:lumMod val="60000"/>
                </a:schemeClr>
              </a:solidFill>
              <a:ln w="19050">
                <a:noFill/>
              </a:ln>
              <a:effectLst/>
            </c:spPr>
            <c:extLst>
              <c:ext xmlns:c16="http://schemas.microsoft.com/office/drawing/2014/chart" uri="{C3380CC4-5D6E-409C-BE32-E72D297353CC}">
                <c16:uniqueId val="{00000009-1295-404E-A9C7-8EC28979E364}"/>
              </c:ext>
            </c:extLst>
          </c:dPt>
          <c:dPt>
            <c:idx val="5"/>
            <c:bubble3D val="0"/>
            <c:spPr>
              <a:solidFill>
                <a:schemeClr val="accent4">
                  <a:lumMod val="60000"/>
                </a:schemeClr>
              </a:solidFill>
              <a:ln w="19050">
                <a:noFill/>
              </a:ln>
              <a:effectLst/>
            </c:spPr>
            <c:extLst>
              <c:ext xmlns:c16="http://schemas.microsoft.com/office/drawing/2014/chart" uri="{C3380CC4-5D6E-409C-BE32-E72D297353CC}">
                <c16:uniqueId val="{0000000B-1295-404E-A9C7-8EC28979E364}"/>
              </c:ext>
            </c:extLst>
          </c:dPt>
          <c:dPt>
            <c:idx val="6"/>
            <c:bubble3D val="0"/>
            <c:spPr>
              <a:solidFill>
                <a:schemeClr val="accent6">
                  <a:lumMod val="80000"/>
                  <a:lumOff val="20000"/>
                </a:schemeClr>
              </a:solidFill>
              <a:ln w="19050">
                <a:noFill/>
              </a:ln>
              <a:effectLst/>
            </c:spPr>
            <c:extLst>
              <c:ext xmlns:c16="http://schemas.microsoft.com/office/drawing/2014/chart" uri="{C3380CC4-5D6E-409C-BE32-E72D297353CC}">
                <c16:uniqueId val="{0000000D-1295-404E-A9C7-8EC28979E3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Charts!$A$402:$G$402</c:f>
              <c:strCache>
                <c:ptCount val="7"/>
                <c:pt idx="0">
                  <c:v>Cash &amp; Cash-Equivalents</c:v>
                </c:pt>
                <c:pt idx="1">
                  <c:v>Short-Term Securities</c:v>
                </c:pt>
                <c:pt idx="2">
                  <c:v>Accounts Receivable</c:v>
                </c:pt>
                <c:pt idx="3">
                  <c:v>Inventory</c:v>
                </c:pt>
                <c:pt idx="4">
                  <c:v>Long-Term Securities</c:v>
                </c:pt>
                <c:pt idx="5">
                  <c:v>Plants, Property &amp; Equipment</c:v>
                </c:pt>
                <c:pt idx="6">
                  <c:v>Other Intangible Assets</c:v>
                </c:pt>
              </c:strCache>
            </c:strRef>
          </c:cat>
          <c:val>
            <c:numRef>
              <c:f>Charts!$A$403:$G$403</c:f>
              <c:numCache>
                <c:formatCode>"$"#,##0</c:formatCode>
                <c:ptCount val="7"/>
                <c:pt idx="0">
                  <c:v>41126.110260272013</c:v>
                </c:pt>
                <c:pt idx="1">
                  <c:v>26282</c:v>
                </c:pt>
                <c:pt idx="2">
                  <c:v>4483.5739999999987</c:v>
                </c:pt>
                <c:pt idx="3">
                  <c:v>499.84965777315614</c:v>
                </c:pt>
                <c:pt idx="4">
                  <c:v>2554</c:v>
                </c:pt>
                <c:pt idx="5">
                  <c:v>4021.154</c:v>
                </c:pt>
                <c:pt idx="6">
                  <c:v>277</c:v>
                </c:pt>
              </c:numCache>
            </c:numRef>
          </c:val>
          <c:extLst>
            <c:ext xmlns:c16="http://schemas.microsoft.com/office/drawing/2014/chart" uri="{C3380CC4-5D6E-409C-BE32-E72D297353CC}">
              <c16:uniqueId val="{0000000E-1295-404E-A9C7-8EC28979E3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4">
          <a:satMod val="175000"/>
          <a:alpha val="40000"/>
        </a:schemeClr>
      </a:glow>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Liabilities</a:t>
            </a:r>
          </a:p>
        </c:rich>
      </c:tx>
      <c:layout>
        <c:manualLayout>
          <c:xMode val="edge"/>
          <c:yMode val="edge"/>
          <c:x val="0.46728787850458109"/>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3048959279914263"/>
          <c:y val="0.13498389694041868"/>
          <c:w val="0.51960066393282567"/>
          <c:h val="0.84086151368760065"/>
        </c:manualLayout>
      </c:layout>
      <c:pieChart>
        <c:varyColors val="1"/>
        <c:ser>
          <c:idx val="0"/>
          <c:order val="0"/>
          <c:spPr>
            <a:ln>
              <a:noFill/>
            </a:ln>
          </c:spPr>
          <c:explosion val="5"/>
          <c:dPt>
            <c:idx val="0"/>
            <c:bubble3D val="0"/>
            <c:spPr>
              <a:solidFill>
                <a:schemeClr val="accent1"/>
              </a:solidFill>
              <a:ln w="19050">
                <a:noFill/>
              </a:ln>
              <a:effectLst/>
            </c:spPr>
            <c:extLst>
              <c:ext xmlns:c16="http://schemas.microsoft.com/office/drawing/2014/chart" uri="{C3380CC4-5D6E-409C-BE32-E72D297353CC}">
                <c16:uniqueId val="{00000001-8B7E-4444-B9E1-81D003C528AC}"/>
              </c:ext>
            </c:extLst>
          </c:dPt>
          <c:dPt>
            <c:idx val="1"/>
            <c:bubble3D val="0"/>
            <c:spPr>
              <a:solidFill>
                <a:schemeClr val="accent2"/>
              </a:solidFill>
              <a:ln w="19050">
                <a:noFill/>
              </a:ln>
              <a:effectLst/>
            </c:spPr>
            <c:extLst>
              <c:ext xmlns:c16="http://schemas.microsoft.com/office/drawing/2014/chart" uri="{C3380CC4-5D6E-409C-BE32-E72D297353CC}">
                <c16:uniqueId val="{00000003-8B7E-4444-B9E1-81D003C528AC}"/>
              </c:ext>
            </c:extLst>
          </c:dPt>
          <c:dPt>
            <c:idx val="2"/>
            <c:bubble3D val="0"/>
            <c:spPr>
              <a:solidFill>
                <a:schemeClr val="accent3"/>
              </a:solidFill>
              <a:ln w="19050">
                <a:noFill/>
              </a:ln>
              <a:effectLst/>
            </c:spPr>
            <c:extLst>
              <c:ext xmlns:c16="http://schemas.microsoft.com/office/drawing/2014/chart" uri="{C3380CC4-5D6E-409C-BE32-E72D297353CC}">
                <c16:uniqueId val="{00000005-8B7E-4444-B9E1-81D003C528AC}"/>
              </c:ext>
            </c:extLst>
          </c:dPt>
          <c:dPt>
            <c:idx val="3"/>
            <c:bubble3D val="0"/>
            <c:spPr>
              <a:solidFill>
                <a:schemeClr val="accent4"/>
              </a:solidFill>
              <a:ln w="19050">
                <a:noFill/>
              </a:ln>
              <a:effectLst/>
            </c:spPr>
            <c:extLst>
              <c:ext xmlns:c16="http://schemas.microsoft.com/office/drawing/2014/chart" uri="{C3380CC4-5D6E-409C-BE32-E72D297353CC}">
                <c16:uniqueId val="{00000007-8B7E-4444-B9E1-81D003C528AC}"/>
              </c:ext>
            </c:extLst>
          </c:dPt>
          <c:dPt>
            <c:idx val="4"/>
            <c:bubble3D val="0"/>
            <c:spPr>
              <a:solidFill>
                <a:schemeClr val="accent5"/>
              </a:solidFill>
              <a:ln w="19050">
                <a:noFill/>
              </a:ln>
              <a:effectLst/>
            </c:spPr>
            <c:extLst>
              <c:ext xmlns:c16="http://schemas.microsoft.com/office/drawing/2014/chart" uri="{C3380CC4-5D6E-409C-BE32-E72D297353CC}">
                <c16:uniqueId val="{00000009-8B7E-4444-B9E1-81D003C528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Charts!$D$458:$H$458</c:f>
              <c:strCache>
                <c:ptCount val="5"/>
                <c:pt idx="0">
                  <c:v>Accounts Payable</c:v>
                </c:pt>
                <c:pt idx="1">
                  <c:v>Accrued Expenses</c:v>
                </c:pt>
                <c:pt idx="2">
                  <c:v>Deferred Revenue</c:v>
                </c:pt>
                <c:pt idx="3">
                  <c:v>Deferred Revenue</c:v>
                </c:pt>
                <c:pt idx="4">
                  <c:v>Other Long-Term Liabilities</c:v>
                </c:pt>
              </c:strCache>
            </c:strRef>
          </c:cat>
          <c:val>
            <c:numRef>
              <c:f>Charts!$D$459:$H$459</c:f>
              <c:numCache>
                <c:formatCode>"$"#,##0</c:formatCode>
                <c:ptCount val="5"/>
                <c:pt idx="0">
                  <c:v>8536.0866779460302</c:v>
                </c:pt>
                <c:pt idx="1">
                  <c:v>3840.6533557619405</c:v>
                </c:pt>
                <c:pt idx="2">
                  <c:v>3239.890625</c:v>
                </c:pt>
                <c:pt idx="3">
                  <c:v>1346.140625</c:v>
                </c:pt>
                <c:pt idx="4">
                  <c:v>3502</c:v>
                </c:pt>
              </c:numCache>
            </c:numRef>
          </c:val>
          <c:extLst>
            <c:ext xmlns:c16="http://schemas.microsoft.com/office/drawing/2014/chart" uri="{C3380CC4-5D6E-409C-BE32-E72D297353CC}">
              <c16:uniqueId val="{0000000A-8B7E-4444-B9E1-81D003C528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955641968304063"/>
          <c:y val="0.38356346761002691"/>
          <c:w val="0.28023164007712115"/>
          <c:h val="0.336152880436521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NPV</c:v>
                </c:pt>
              </c:strCache>
            </c:strRef>
          </c:tx>
          <c:spPr>
            <a:solidFill>
              <a:schemeClr val="accent1"/>
            </a:solidFill>
            <a:ln>
              <a:noFill/>
            </a:ln>
            <a:effectLst/>
          </c:spPr>
          <c:invertIfNegative val="0"/>
          <c:cat>
            <c:strRef>
              <c:f>Charts!$A$2:$A$5</c:f>
              <c:strCache>
                <c:ptCount val="4"/>
                <c:pt idx="0">
                  <c:v>Scenario 1</c:v>
                </c:pt>
                <c:pt idx="1">
                  <c:v>Scenario 2</c:v>
                </c:pt>
                <c:pt idx="2">
                  <c:v>Scenario 3</c:v>
                </c:pt>
                <c:pt idx="3">
                  <c:v>Scenario 4</c:v>
                </c:pt>
              </c:strCache>
            </c:strRef>
          </c:cat>
          <c:val>
            <c:numRef>
              <c:f>Charts!$B$2:$B$5</c:f>
              <c:numCache>
                <c:formatCode>"$"#,##0</c:formatCode>
                <c:ptCount val="4"/>
                <c:pt idx="0">
                  <c:v>52806</c:v>
                </c:pt>
                <c:pt idx="1">
                  <c:v>79404</c:v>
                </c:pt>
                <c:pt idx="2">
                  <c:v>104924</c:v>
                </c:pt>
                <c:pt idx="3">
                  <c:v>99118</c:v>
                </c:pt>
              </c:numCache>
            </c:numRef>
          </c:val>
          <c:extLst>
            <c:ext xmlns:c16="http://schemas.microsoft.com/office/drawing/2014/chart" uri="{C3380CC4-5D6E-409C-BE32-E72D297353CC}">
              <c16:uniqueId val="{00000000-7EDB-4A21-945D-CC4409DC2DCA}"/>
            </c:ext>
          </c:extLst>
        </c:ser>
        <c:dLbls>
          <c:showLegendKey val="0"/>
          <c:showVal val="0"/>
          <c:showCatName val="0"/>
          <c:showSerName val="0"/>
          <c:showPercent val="0"/>
          <c:showBubbleSize val="0"/>
        </c:dLbls>
        <c:gapWidth val="219"/>
        <c:axId val="354599280"/>
        <c:axId val="145746656"/>
      </c:barChart>
      <c:lineChart>
        <c:grouping val="standard"/>
        <c:varyColors val="0"/>
        <c:ser>
          <c:idx val="1"/>
          <c:order val="1"/>
          <c:tx>
            <c:strRef>
              <c:f>Charts!$C$1</c:f>
              <c:strCache>
                <c:ptCount val="1"/>
                <c:pt idx="0">
                  <c:v>IRR</c:v>
                </c:pt>
              </c:strCache>
            </c:strRef>
          </c:tx>
          <c:spPr>
            <a:ln w="28575" cap="rnd">
              <a:solidFill>
                <a:schemeClr val="accent2"/>
              </a:solidFill>
              <a:round/>
            </a:ln>
            <a:effectLst/>
          </c:spPr>
          <c:marker>
            <c:symbol val="none"/>
          </c:marker>
          <c:cat>
            <c:strRef>
              <c:f>Charts!$A$2:$A$5</c:f>
              <c:strCache>
                <c:ptCount val="4"/>
                <c:pt idx="0">
                  <c:v>Scenario 1</c:v>
                </c:pt>
                <c:pt idx="1">
                  <c:v>Scenario 2</c:v>
                </c:pt>
                <c:pt idx="2">
                  <c:v>Scenario 3</c:v>
                </c:pt>
                <c:pt idx="3">
                  <c:v>Scenario 4</c:v>
                </c:pt>
              </c:strCache>
            </c:strRef>
          </c:cat>
          <c:val>
            <c:numRef>
              <c:f>Charts!$C$2:$C$5</c:f>
              <c:numCache>
                <c:formatCode>0%</c:formatCode>
                <c:ptCount val="4"/>
                <c:pt idx="0">
                  <c:v>0.21</c:v>
                </c:pt>
                <c:pt idx="1">
                  <c:v>0.26</c:v>
                </c:pt>
                <c:pt idx="2">
                  <c:v>0.28999999999999998</c:v>
                </c:pt>
                <c:pt idx="3">
                  <c:v>0.28000000000000003</c:v>
                </c:pt>
              </c:numCache>
            </c:numRef>
          </c:val>
          <c:smooth val="0"/>
          <c:extLst>
            <c:ext xmlns:c16="http://schemas.microsoft.com/office/drawing/2014/chart" uri="{C3380CC4-5D6E-409C-BE32-E72D297353CC}">
              <c16:uniqueId val="{00000001-7EDB-4A21-945D-CC4409DC2DCA}"/>
            </c:ext>
          </c:extLst>
        </c:ser>
        <c:dLbls>
          <c:showLegendKey val="0"/>
          <c:showVal val="0"/>
          <c:showCatName val="0"/>
          <c:showSerName val="0"/>
          <c:showPercent val="0"/>
          <c:showBubbleSize val="0"/>
        </c:dLbls>
        <c:marker val="1"/>
        <c:smooth val="0"/>
        <c:axId val="363937168"/>
        <c:axId val="152284272"/>
      </c:lineChart>
      <c:catAx>
        <c:axId val="3545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46656"/>
        <c:crosses val="autoZero"/>
        <c:auto val="1"/>
        <c:lblAlgn val="ctr"/>
        <c:lblOffset val="100"/>
        <c:noMultiLvlLbl val="0"/>
      </c:catAx>
      <c:valAx>
        <c:axId val="1457466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99280"/>
        <c:crosses val="autoZero"/>
        <c:crossBetween val="between"/>
      </c:valAx>
      <c:valAx>
        <c:axId val="15228427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37168"/>
        <c:crosses val="max"/>
        <c:crossBetween val="between"/>
      </c:valAx>
      <c:catAx>
        <c:axId val="363937168"/>
        <c:scaling>
          <c:orientation val="minMax"/>
        </c:scaling>
        <c:delete val="1"/>
        <c:axPos val="b"/>
        <c:numFmt formatCode="General" sourceLinked="1"/>
        <c:majorTickMark val="out"/>
        <c:minorTickMark val="none"/>
        <c:tickLblPos val="nextTo"/>
        <c:crossAx val="1522842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Charts!$B$128</c:f>
              <c:strCache>
                <c:ptCount val="1"/>
                <c:pt idx="0">
                  <c:v>Operating Income</c:v>
                </c:pt>
              </c:strCache>
            </c:strRef>
          </c:tx>
          <c:spPr>
            <a:solidFill>
              <a:schemeClr val="accent1"/>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Charts!$B$129:$B$134</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946D-4898-94C6-5B20446784A1}"/>
            </c:ext>
          </c:extLst>
        </c:ser>
        <c:ser>
          <c:idx val="1"/>
          <c:order val="1"/>
          <c:tx>
            <c:strRef>
              <c:f>Charts!$B$128</c:f>
              <c:strCache>
                <c:ptCount val="1"/>
                <c:pt idx="0">
                  <c:v>Operating Income</c:v>
                </c:pt>
              </c:strCache>
            </c:strRef>
          </c:tx>
          <c:spPr>
            <a:solidFill>
              <a:schemeClr val="accent2"/>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Charts!$B$135:$B$140</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1-946D-4898-94C6-5B20446784A1}"/>
            </c:ext>
          </c:extLst>
        </c:ser>
        <c:ser>
          <c:idx val="2"/>
          <c:order val="2"/>
          <c:tx>
            <c:strRef>
              <c:f>Charts!$B$128</c:f>
              <c:strCache>
                <c:ptCount val="1"/>
                <c:pt idx="0">
                  <c:v>Operating Income</c:v>
                </c:pt>
              </c:strCache>
            </c:strRef>
          </c:tx>
          <c:spPr>
            <a:solidFill>
              <a:schemeClr val="accent3"/>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Charts!$B$141:$B$146</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2-946D-4898-94C6-5B20446784A1}"/>
            </c:ext>
          </c:extLst>
        </c:ser>
        <c:ser>
          <c:idx val="3"/>
          <c:order val="3"/>
          <c:tx>
            <c:strRef>
              <c:f>Charts!$B$128</c:f>
              <c:strCache>
                <c:ptCount val="1"/>
                <c:pt idx="0">
                  <c:v>Operating Income</c:v>
                </c:pt>
              </c:strCache>
            </c:strRef>
          </c:tx>
          <c:spPr>
            <a:solidFill>
              <a:schemeClr val="accent4"/>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Charts!$B$147:$B$152</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3-946D-4898-94C6-5B20446784A1}"/>
            </c:ext>
          </c:extLst>
        </c:ser>
        <c:dLbls>
          <c:showLegendKey val="0"/>
          <c:showVal val="0"/>
          <c:showCatName val="0"/>
          <c:showSerName val="0"/>
          <c:showPercent val="0"/>
          <c:showBubbleSize val="0"/>
        </c:dLbls>
        <c:gapWidth val="219"/>
        <c:overlap val="-27"/>
        <c:axId val="1156839599"/>
        <c:axId val="593655823"/>
      </c:barChart>
      <c:catAx>
        <c:axId val="115683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655823"/>
        <c:crosses val="autoZero"/>
        <c:auto val="1"/>
        <c:lblAlgn val="ctr"/>
        <c:lblOffset val="100"/>
        <c:noMultiLvlLbl val="0"/>
      </c:catAx>
      <c:valAx>
        <c:axId val="593655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83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Revenne Growth% &amp; COGS%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Charts!$E$49</c:f>
              <c:strCache>
                <c:ptCount val="1"/>
                <c:pt idx="0">
                  <c:v>Revenue %</c:v>
                </c:pt>
              </c:strCache>
            </c:strRef>
          </c:tx>
          <c:spPr>
            <a:ln w="28575" cap="rnd">
              <a:solidFill>
                <a:schemeClr val="accent1"/>
              </a:solidFill>
              <a:round/>
            </a:ln>
            <a:effectLst/>
          </c:spPr>
          <c:marker>
            <c:symbol val="none"/>
          </c:marker>
          <c:cat>
            <c:strRef>
              <c:f>Charts!$D$50:$D$55</c:f>
              <c:strCache>
                <c:ptCount val="6"/>
                <c:pt idx="0">
                  <c:v>FY 2020E</c:v>
                </c:pt>
                <c:pt idx="1">
                  <c:v>FY 2021E</c:v>
                </c:pt>
                <c:pt idx="2">
                  <c:v>FY 2022E</c:v>
                </c:pt>
                <c:pt idx="3">
                  <c:v>FY 2023E</c:v>
                </c:pt>
                <c:pt idx="4">
                  <c:v>FY 2024E</c:v>
                </c:pt>
                <c:pt idx="5">
                  <c:v>FY 2025E</c:v>
                </c:pt>
              </c:strCache>
            </c:strRef>
          </c:cat>
          <c:val>
            <c:numRef>
              <c:f>Charts!$E$50:$E$55</c:f>
              <c:numCache>
                <c:formatCode>0.0%</c:formatCode>
                <c:ptCount val="6"/>
                <c:pt idx="0">
                  <c:v>0.25</c:v>
                </c:pt>
                <c:pt idx="1">
                  <c:v>0.26250000000000001</c:v>
                </c:pt>
                <c:pt idx="2">
                  <c:v>0.27500000000000002</c:v>
                </c:pt>
                <c:pt idx="3">
                  <c:v>0.25</c:v>
                </c:pt>
                <c:pt idx="4">
                  <c:v>0.27500000000000002</c:v>
                </c:pt>
                <c:pt idx="5">
                  <c:v>0.27374999999999999</c:v>
                </c:pt>
              </c:numCache>
            </c:numRef>
          </c:val>
          <c:smooth val="0"/>
          <c:extLst>
            <c:ext xmlns:c16="http://schemas.microsoft.com/office/drawing/2014/chart" uri="{C3380CC4-5D6E-409C-BE32-E72D297353CC}">
              <c16:uniqueId val="{00000000-2120-4A15-8DD6-CBE07C008DA9}"/>
            </c:ext>
          </c:extLst>
        </c:ser>
        <c:ser>
          <c:idx val="1"/>
          <c:order val="1"/>
          <c:tx>
            <c:strRef>
              <c:f>Charts!$F$49</c:f>
              <c:strCache>
                <c:ptCount val="1"/>
                <c:pt idx="0">
                  <c:v>COGS %</c:v>
                </c:pt>
              </c:strCache>
            </c:strRef>
          </c:tx>
          <c:spPr>
            <a:ln w="28575" cap="rnd">
              <a:solidFill>
                <a:schemeClr val="accent2"/>
              </a:solidFill>
              <a:round/>
            </a:ln>
            <a:effectLst/>
          </c:spPr>
          <c:marker>
            <c:symbol val="none"/>
          </c:marker>
          <c:cat>
            <c:strRef>
              <c:f>Charts!$D$50:$D$55</c:f>
              <c:strCache>
                <c:ptCount val="6"/>
                <c:pt idx="0">
                  <c:v>FY 2020E</c:v>
                </c:pt>
                <c:pt idx="1">
                  <c:v>FY 2021E</c:v>
                </c:pt>
                <c:pt idx="2">
                  <c:v>FY 2022E</c:v>
                </c:pt>
                <c:pt idx="3">
                  <c:v>FY 2023E</c:v>
                </c:pt>
                <c:pt idx="4">
                  <c:v>FY 2024E</c:v>
                </c:pt>
                <c:pt idx="5">
                  <c:v>FY 2025E</c:v>
                </c:pt>
              </c:strCache>
            </c:strRef>
          </c:cat>
          <c:val>
            <c:numRef>
              <c:f>Charts!$F$50:$F$55</c:f>
              <c:numCache>
                <c:formatCode>0.0%</c:formatCode>
                <c:ptCount val="6"/>
                <c:pt idx="0">
                  <c:v>0.57500000000000007</c:v>
                </c:pt>
                <c:pt idx="1">
                  <c:v>0.56874999999999998</c:v>
                </c:pt>
                <c:pt idx="2">
                  <c:v>0.56500000000000006</c:v>
                </c:pt>
                <c:pt idx="3">
                  <c:v>0.5625</c:v>
                </c:pt>
                <c:pt idx="4">
                  <c:v>0.55625000000000002</c:v>
                </c:pt>
                <c:pt idx="5">
                  <c:v>0.55237500000000006</c:v>
                </c:pt>
              </c:numCache>
            </c:numRef>
          </c:val>
          <c:smooth val="0"/>
          <c:extLst>
            <c:ext xmlns:c16="http://schemas.microsoft.com/office/drawing/2014/chart" uri="{C3380CC4-5D6E-409C-BE32-E72D297353CC}">
              <c16:uniqueId val="{00000001-2120-4A15-8DD6-CBE07C008DA9}"/>
            </c:ext>
          </c:extLst>
        </c:ser>
        <c:dLbls>
          <c:showLegendKey val="0"/>
          <c:showVal val="0"/>
          <c:showCatName val="0"/>
          <c:showSerName val="0"/>
          <c:showPercent val="0"/>
          <c:showBubbleSize val="0"/>
        </c:dLbls>
        <c:smooth val="0"/>
        <c:axId val="1114125439"/>
        <c:axId val="1144749247"/>
      </c:lineChart>
      <c:catAx>
        <c:axId val="111412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749247"/>
        <c:crosses val="autoZero"/>
        <c:auto val="1"/>
        <c:lblAlgn val="ctr"/>
        <c:lblOffset val="100"/>
        <c:noMultiLvlLbl val="0"/>
      </c:catAx>
      <c:valAx>
        <c:axId val="11447492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12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R&amp;D% and SG&amp;A%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Charts!$E$104</c:f>
              <c:strCache>
                <c:ptCount val="1"/>
                <c:pt idx="0">
                  <c:v>R&amp;D%</c:v>
                </c:pt>
              </c:strCache>
            </c:strRef>
          </c:tx>
          <c:spPr>
            <a:ln w="28575" cap="rnd">
              <a:solidFill>
                <a:schemeClr val="accent1"/>
              </a:solidFill>
              <a:round/>
            </a:ln>
            <a:effectLst/>
          </c:spPr>
          <c:marker>
            <c:symbol val="none"/>
          </c:marker>
          <c:cat>
            <c:strRef>
              <c:f>Charts!$D$105:$D$110</c:f>
              <c:strCache>
                <c:ptCount val="6"/>
                <c:pt idx="0">
                  <c:v>FY 2020E</c:v>
                </c:pt>
                <c:pt idx="1">
                  <c:v>FY 2021E</c:v>
                </c:pt>
                <c:pt idx="2">
                  <c:v>FY 2022E</c:v>
                </c:pt>
                <c:pt idx="3">
                  <c:v>FY 2023E</c:v>
                </c:pt>
                <c:pt idx="4">
                  <c:v>FY 2024E</c:v>
                </c:pt>
                <c:pt idx="5">
                  <c:v>FY 2025E</c:v>
                </c:pt>
              </c:strCache>
            </c:strRef>
          </c:cat>
          <c:val>
            <c:numRef>
              <c:f>Charts!$E$105:$E$110</c:f>
              <c:numCache>
                <c:formatCode>0.0%</c:formatCode>
                <c:ptCount val="6"/>
                <c:pt idx="0">
                  <c:v>1.7500000000000002E-2</c:v>
                </c:pt>
                <c:pt idx="1">
                  <c:v>1.7600000000000001E-2</c:v>
                </c:pt>
                <c:pt idx="2">
                  <c:v>1.72E-2</c:v>
                </c:pt>
                <c:pt idx="3">
                  <c:v>1.7299999999999999E-2</c:v>
                </c:pt>
                <c:pt idx="4">
                  <c:v>1.7100000000000001E-2</c:v>
                </c:pt>
                <c:pt idx="5">
                  <c:v>1.7010000000000001E-2</c:v>
                </c:pt>
              </c:numCache>
            </c:numRef>
          </c:val>
          <c:smooth val="0"/>
          <c:extLst>
            <c:ext xmlns:c16="http://schemas.microsoft.com/office/drawing/2014/chart" uri="{C3380CC4-5D6E-409C-BE32-E72D297353CC}">
              <c16:uniqueId val="{00000000-7306-4336-AED2-8C36981AAF2F}"/>
            </c:ext>
          </c:extLst>
        </c:ser>
        <c:ser>
          <c:idx val="1"/>
          <c:order val="1"/>
          <c:tx>
            <c:strRef>
              <c:f>Charts!$F$104</c:f>
              <c:strCache>
                <c:ptCount val="1"/>
                <c:pt idx="0">
                  <c:v>SG&amp;A%</c:v>
                </c:pt>
              </c:strCache>
            </c:strRef>
          </c:tx>
          <c:spPr>
            <a:ln w="28575" cap="rnd">
              <a:solidFill>
                <a:schemeClr val="accent2"/>
              </a:solidFill>
              <a:round/>
            </a:ln>
            <a:effectLst/>
          </c:spPr>
          <c:marker>
            <c:symbol val="none"/>
          </c:marker>
          <c:cat>
            <c:strRef>
              <c:f>Charts!$D$105:$D$110</c:f>
              <c:strCache>
                <c:ptCount val="6"/>
                <c:pt idx="0">
                  <c:v>FY 2020E</c:v>
                </c:pt>
                <c:pt idx="1">
                  <c:v>FY 2021E</c:v>
                </c:pt>
                <c:pt idx="2">
                  <c:v>FY 2022E</c:v>
                </c:pt>
                <c:pt idx="3">
                  <c:v>FY 2023E</c:v>
                </c:pt>
                <c:pt idx="4">
                  <c:v>FY 2024E</c:v>
                </c:pt>
                <c:pt idx="5">
                  <c:v>FY 2025E</c:v>
                </c:pt>
              </c:strCache>
            </c:strRef>
          </c:cat>
          <c:val>
            <c:numRef>
              <c:f>Charts!$F$105:$F$110</c:f>
              <c:numCache>
                <c:formatCode>0.0%</c:formatCode>
                <c:ptCount val="6"/>
                <c:pt idx="0">
                  <c:v>7.0000000000000007E-2</c:v>
                </c:pt>
                <c:pt idx="1">
                  <c:v>7.0999999999999994E-2</c:v>
                </c:pt>
                <c:pt idx="2">
                  <c:v>7.1499999999999994E-2</c:v>
                </c:pt>
                <c:pt idx="3">
                  <c:v>7.1999999999999995E-2</c:v>
                </c:pt>
                <c:pt idx="4">
                  <c:v>7.2499999999999995E-2</c:v>
                </c:pt>
                <c:pt idx="5">
                  <c:v>7.3200000000000001E-2</c:v>
                </c:pt>
              </c:numCache>
            </c:numRef>
          </c:val>
          <c:smooth val="0"/>
          <c:extLst>
            <c:ext xmlns:c16="http://schemas.microsoft.com/office/drawing/2014/chart" uri="{C3380CC4-5D6E-409C-BE32-E72D297353CC}">
              <c16:uniqueId val="{00000001-7306-4336-AED2-8C36981AAF2F}"/>
            </c:ext>
          </c:extLst>
        </c:ser>
        <c:dLbls>
          <c:showLegendKey val="0"/>
          <c:showVal val="0"/>
          <c:showCatName val="0"/>
          <c:showSerName val="0"/>
          <c:showPercent val="0"/>
          <c:showBubbleSize val="0"/>
        </c:dLbls>
        <c:smooth val="0"/>
        <c:axId val="1970115087"/>
        <c:axId val="1205983423"/>
      </c:lineChart>
      <c:catAx>
        <c:axId val="197011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83423"/>
        <c:crosses val="autoZero"/>
        <c:auto val="1"/>
        <c:lblAlgn val="ctr"/>
        <c:lblOffset val="100"/>
        <c:noMultiLvlLbl val="0"/>
      </c:catAx>
      <c:valAx>
        <c:axId val="120598342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 (1).xlsx]Charts!PivotTable9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Charts!$B$262:$B$263</c:f>
              <c:strCache>
                <c:ptCount val="1"/>
                <c:pt idx="0">
                  <c:v>Scenario 1</c:v>
                </c:pt>
              </c:strCache>
            </c:strRef>
          </c:tx>
          <c:spPr>
            <a:solidFill>
              <a:schemeClr val="accent1"/>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Charts!$B$264:$B$269</c:f>
              <c:numCache>
                <c:formatCode>"$"#,##0</c:formatCode>
                <c:ptCount val="6"/>
                <c:pt idx="0">
                  <c:v>13983.48291018565</c:v>
                </c:pt>
                <c:pt idx="1">
                  <c:v>15111.005491220611</c:v>
                </c:pt>
                <c:pt idx="2">
                  <c:v>17098.696824363367</c:v>
                </c:pt>
                <c:pt idx="3">
                  <c:v>18442.108506732897</c:v>
                </c:pt>
                <c:pt idx="4">
                  <c:v>21205.784609329006</c:v>
                </c:pt>
                <c:pt idx="5">
                  <c:v>22876.183091411272</c:v>
                </c:pt>
              </c:numCache>
            </c:numRef>
          </c:val>
          <c:extLst>
            <c:ext xmlns:c16="http://schemas.microsoft.com/office/drawing/2014/chart" uri="{C3380CC4-5D6E-409C-BE32-E72D297353CC}">
              <c16:uniqueId val="{00000000-CA6F-42EE-B63E-222A7D65CF1E}"/>
            </c:ext>
          </c:extLst>
        </c:ser>
        <c:ser>
          <c:idx val="1"/>
          <c:order val="1"/>
          <c:tx>
            <c:strRef>
              <c:f>Charts!$C$262:$C$263</c:f>
              <c:strCache>
                <c:ptCount val="1"/>
                <c:pt idx="0">
                  <c:v>Scenario 2</c:v>
                </c:pt>
              </c:strCache>
            </c:strRef>
          </c:tx>
          <c:spPr>
            <a:solidFill>
              <a:schemeClr val="accent2"/>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Charts!$C$264:$C$269</c:f>
              <c:numCache>
                <c:formatCode>"$"#,##0</c:formatCode>
                <c:ptCount val="6"/>
                <c:pt idx="0">
                  <c:v>15631.690337431006</c:v>
                </c:pt>
                <c:pt idx="1">
                  <c:v>17813.714073206072</c:v>
                </c:pt>
                <c:pt idx="2">
                  <c:v>21845.672366839452</c:v>
                </c:pt>
                <c:pt idx="3">
                  <c:v>25342.465774581338</c:v>
                </c:pt>
                <c:pt idx="4">
                  <c:v>30690.902877371773</c:v>
                </c:pt>
                <c:pt idx="5">
                  <c:v>35483.432994882613</c:v>
                </c:pt>
              </c:numCache>
            </c:numRef>
          </c:val>
          <c:extLst>
            <c:ext xmlns:c16="http://schemas.microsoft.com/office/drawing/2014/chart" uri="{C3380CC4-5D6E-409C-BE32-E72D297353CC}">
              <c16:uniqueId val="{00000000-5450-4FD6-848A-3875300992A1}"/>
            </c:ext>
          </c:extLst>
        </c:ser>
        <c:ser>
          <c:idx val="2"/>
          <c:order val="2"/>
          <c:tx>
            <c:strRef>
              <c:f>Charts!$D$262:$D$263</c:f>
              <c:strCache>
                <c:ptCount val="1"/>
                <c:pt idx="0">
                  <c:v>Scenario 3</c:v>
                </c:pt>
              </c:strCache>
            </c:strRef>
          </c:tx>
          <c:spPr>
            <a:solidFill>
              <a:schemeClr val="accent3"/>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Charts!$D$264:$D$269</c:f>
              <c:numCache>
                <c:formatCode>"$"#,##0</c:formatCode>
                <c:ptCount val="6"/>
                <c:pt idx="0">
                  <c:v>17115.696764676366</c:v>
                </c:pt>
                <c:pt idx="1">
                  <c:v>20827.38910879154</c:v>
                </c:pt>
                <c:pt idx="2">
                  <c:v>26131.045068155545</c:v>
                </c:pt>
                <c:pt idx="3">
                  <c:v>31333.247879589995</c:v>
                </c:pt>
                <c:pt idx="4">
                  <c:v>39228.463036993635</c:v>
                </c:pt>
                <c:pt idx="5">
                  <c:v>47384.086816916184</c:v>
                </c:pt>
              </c:numCache>
            </c:numRef>
          </c:val>
          <c:extLst>
            <c:ext xmlns:c16="http://schemas.microsoft.com/office/drawing/2014/chart" uri="{C3380CC4-5D6E-409C-BE32-E72D297353CC}">
              <c16:uniqueId val="{00000001-5450-4FD6-848A-3875300992A1}"/>
            </c:ext>
          </c:extLst>
        </c:ser>
        <c:ser>
          <c:idx val="3"/>
          <c:order val="3"/>
          <c:tx>
            <c:strRef>
              <c:f>Charts!$E$262:$E$263</c:f>
              <c:strCache>
                <c:ptCount val="1"/>
                <c:pt idx="0">
                  <c:v>Scenario 4</c:v>
                </c:pt>
              </c:strCache>
            </c:strRef>
          </c:tx>
          <c:spPr>
            <a:solidFill>
              <a:schemeClr val="accent4"/>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Charts!$E$264:$E$269</c:f>
              <c:numCache>
                <c:formatCode>"$"#,##0</c:formatCode>
                <c:ptCount val="6"/>
                <c:pt idx="0">
                  <c:v>13399.830853299043</c:v>
                </c:pt>
                <c:pt idx="1">
                  <c:v>17101.642082903025</c:v>
                </c:pt>
                <c:pt idx="2">
                  <c:v>22551.142672235346</c:v>
                </c:pt>
                <c:pt idx="3">
                  <c:v>28155.722339622924</c:v>
                </c:pt>
                <c:pt idx="4">
                  <c:v>37004.093940298117</c:v>
                </c:pt>
                <c:pt idx="5">
                  <c:v>46710.929677340027</c:v>
                </c:pt>
              </c:numCache>
            </c:numRef>
          </c:val>
          <c:extLst>
            <c:ext xmlns:c16="http://schemas.microsoft.com/office/drawing/2014/chart" uri="{C3380CC4-5D6E-409C-BE32-E72D297353CC}">
              <c16:uniqueId val="{00000002-5450-4FD6-848A-3875300992A1}"/>
            </c:ext>
          </c:extLst>
        </c:ser>
        <c:dLbls>
          <c:showLegendKey val="0"/>
          <c:showVal val="0"/>
          <c:showCatName val="0"/>
          <c:showSerName val="0"/>
          <c:showPercent val="0"/>
          <c:showBubbleSize val="0"/>
        </c:dLbls>
        <c:gapWidth val="219"/>
        <c:overlap val="-27"/>
        <c:axId val="1758649423"/>
        <c:axId val="1004075583"/>
      </c:barChart>
      <c:catAx>
        <c:axId val="17586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075583"/>
        <c:crosses val="autoZero"/>
        <c:auto val="1"/>
        <c:lblAlgn val="ctr"/>
        <c:lblOffset val="100"/>
        <c:noMultiLvlLbl val="0"/>
      </c:catAx>
      <c:valAx>
        <c:axId val="1004075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64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 (1).xlsx]Charts!PivotTable33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Charts!$B$286:$B$287</c:f>
              <c:strCache>
                <c:ptCount val="1"/>
                <c:pt idx="0">
                  <c:v>Scenario 1</c:v>
                </c:pt>
              </c:strCache>
            </c:strRef>
          </c:tx>
          <c:spPr>
            <a:solidFill>
              <a:schemeClr val="accent1"/>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Charts!$B$288:$B$293</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725F-4B33-BF51-7B7212CDE309}"/>
            </c:ext>
          </c:extLst>
        </c:ser>
        <c:ser>
          <c:idx val="1"/>
          <c:order val="1"/>
          <c:tx>
            <c:strRef>
              <c:f>Charts!$C$286:$C$287</c:f>
              <c:strCache>
                <c:ptCount val="1"/>
                <c:pt idx="0">
                  <c:v>Scenario 2</c:v>
                </c:pt>
              </c:strCache>
            </c:strRef>
          </c:tx>
          <c:spPr>
            <a:solidFill>
              <a:schemeClr val="accent2"/>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Charts!$C$288:$C$293</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0-C7BB-431B-8283-3E6A3937D8C5}"/>
            </c:ext>
          </c:extLst>
        </c:ser>
        <c:ser>
          <c:idx val="2"/>
          <c:order val="2"/>
          <c:tx>
            <c:strRef>
              <c:f>Charts!$D$286:$D$287</c:f>
              <c:strCache>
                <c:ptCount val="1"/>
                <c:pt idx="0">
                  <c:v>Scenario 3</c:v>
                </c:pt>
              </c:strCache>
            </c:strRef>
          </c:tx>
          <c:spPr>
            <a:solidFill>
              <a:schemeClr val="accent3"/>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Charts!$D$288:$D$293</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1-C7BB-431B-8283-3E6A3937D8C5}"/>
            </c:ext>
          </c:extLst>
        </c:ser>
        <c:ser>
          <c:idx val="3"/>
          <c:order val="3"/>
          <c:tx>
            <c:strRef>
              <c:f>Charts!$E$286:$E$287</c:f>
              <c:strCache>
                <c:ptCount val="1"/>
                <c:pt idx="0">
                  <c:v>Scenario 4</c:v>
                </c:pt>
              </c:strCache>
            </c:strRef>
          </c:tx>
          <c:spPr>
            <a:solidFill>
              <a:schemeClr val="accent4"/>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Charts!$E$288:$E$293</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2-C7BB-431B-8283-3E6A3937D8C5}"/>
            </c:ext>
          </c:extLst>
        </c:ser>
        <c:dLbls>
          <c:showLegendKey val="0"/>
          <c:showVal val="0"/>
          <c:showCatName val="0"/>
          <c:showSerName val="0"/>
          <c:showPercent val="0"/>
          <c:showBubbleSize val="0"/>
        </c:dLbls>
        <c:gapWidth val="219"/>
        <c:overlap val="-27"/>
        <c:axId val="1106860655"/>
        <c:axId val="888546719"/>
      </c:barChart>
      <c:catAx>
        <c:axId val="110686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46719"/>
        <c:crosses val="autoZero"/>
        <c:auto val="1"/>
        <c:lblAlgn val="ctr"/>
        <c:lblOffset val="100"/>
        <c:noMultiLvlLbl val="0"/>
      </c:catAx>
      <c:valAx>
        <c:axId val="88854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86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 (1).xlsx]Charts!PivotTable50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Charts!$B$315:$B$316</c:f>
              <c:strCache>
                <c:ptCount val="1"/>
                <c:pt idx="0">
                  <c:v>Scenario 1</c:v>
                </c:pt>
              </c:strCache>
            </c:strRef>
          </c:tx>
          <c:spPr>
            <a:solidFill>
              <a:schemeClr val="accent1"/>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Charts!$B$317:$B$322</c:f>
              <c:numCache>
                <c:formatCode>"$"#,##0.00</c:formatCode>
                <c:ptCount val="6"/>
                <c:pt idx="0">
                  <c:v>15.417205980326074</c:v>
                </c:pt>
                <c:pt idx="1">
                  <c:v>16.660333174812276</c:v>
                </c:pt>
                <c:pt idx="2">
                  <c:v>18.851822012407169</c:v>
                </c:pt>
                <c:pt idx="3">
                  <c:v>20.332973364791702</c:v>
                </c:pt>
                <c:pt idx="4">
                  <c:v>23.380008499764617</c:v>
                </c:pt>
                <c:pt idx="5">
                  <c:v>25.221672528168284</c:v>
                </c:pt>
              </c:numCache>
            </c:numRef>
          </c:val>
          <c:extLst>
            <c:ext xmlns:c16="http://schemas.microsoft.com/office/drawing/2014/chart" uri="{C3380CC4-5D6E-409C-BE32-E72D297353CC}">
              <c16:uniqueId val="{00000000-8809-49CF-BA55-2917EEF5F5C5}"/>
            </c:ext>
          </c:extLst>
        </c:ser>
        <c:dLbls>
          <c:showLegendKey val="0"/>
          <c:showVal val="0"/>
          <c:showCatName val="0"/>
          <c:showSerName val="0"/>
          <c:showPercent val="0"/>
          <c:showBubbleSize val="0"/>
        </c:dLbls>
        <c:gapWidth val="219"/>
        <c:overlap val="-27"/>
        <c:axId val="1100394575"/>
        <c:axId val="1008467695"/>
      </c:barChart>
      <c:catAx>
        <c:axId val="11003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67695"/>
        <c:crosses val="autoZero"/>
        <c:auto val="1"/>
        <c:lblAlgn val="ctr"/>
        <c:lblOffset val="100"/>
        <c:noMultiLvlLbl val="0"/>
      </c:catAx>
      <c:valAx>
        <c:axId val="1008467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3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 (1).xlsx]Charts!PivotTable59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Charts!$B$343:$B$344</c:f>
              <c:strCache>
                <c:ptCount val="1"/>
                <c:pt idx="0">
                  <c:v>Scenario 4</c:v>
                </c:pt>
              </c:strCache>
            </c:strRef>
          </c:tx>
          <c:spPr>
            <a:solidFill>
              <a:schemeClr val="accent1"/>
            </a:solidFill>
            <a:ln>
              <a:noFill/>
            </a:ln>
            <a:effectLst/>
          </c:spPr>
          <c:invertIfNegative val="0"/>
          <c:cat>
            <c:strRef>
              <c:f>Charts!$A$345:$A$350</c:f>
              <c:strCache>
                <c:ptCount val="6"/>
                <c:pt idx="0">
                  <c:v>FY 2020E</c:v>
                </c:pt>
                <c:pt idx="1">
                  <c:v>FY 2021E</c:v>
                </c:pt>
                <c:pt idx="2">
                  <c:v>FY 2022E</c:v>
                </c:pt>
                <c:pt idx="3">
                  <c:v>FY 2023E</c:v>
                </c:pt>
                <c:pt idx="4">
                  <c:v>FY 2024E</c:v>
                </c:pt>
                <c:pt idx="5">
                  <c:v>FY 2025E</c:v>
                </c:pt>
              </c:strCache>
            </c:strRef>
          </c:cat>
          <c:val>
            <c:numRef>
              <c:f>Charts!$B$345:$B$350</c:f>
              <c:numCache>
                <c:formatCode>"$"#,##0</c:formatCode>
                <c:ptCount val="6"/>
                <c:pt idx="0">
                  <c:v>14115.421376858463</c:v>
                </c:pt>
                <c:pt idx="1">
                  <c:v>20163.592752828321</c:v>
                </c:pt>
                <c:pt idx="2">
                  <c:v>26558.770130735393</c:v>
                </c:pt>
                <c:pt idx="3">
                  <c:v>33265.549290648865</c:v>
                </c:pt>
                <c:pt idx="4">
                  <c:v>43972.525951848154</c:v>
                </c:pt>
                <c:pt idx="5">
                  <c:v>55891.956077965035</c:v>
                </c:pt>
              </c:numCache>
            </c:numRef>
          </c:val>
          <c:extLst>
            <c:ext xmlns:c16="http://schemas.microsoft.com/office/drawing/2014/chart" uri="{C3380CC4-5D6E-409C-BE32-E72D297353CC}">
              <c16:uniqueId val="{00000000-3729-4BAB-B610-B6080C759D81}"/>
            </c:ext>
          </c:extLst>
        </c:ser>
        <c:dLbls>
          <c:showLegendKey val="0"/>
          <c:showVal val="0"/>
          <c:showCatName val="0"/>
          <c:showSerName val="0"/>
          <c:showPercent val="0"/>
          <c:showBubbleSize val="0"/>
        </c:dLbls>
        <c:gapWidth val="219"/>
        <c:overlap val="-27"/>
        <c:axId val="1125524575"/>
        <c:axId val="1904310095"/>
      </c:barChart>
      <c:catAx>
        <c:axId val="1125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310095"/>
        <c:crosses val="autoZero"/>
        <c:auto val="1"/>
        <c:lblAlgn val="ctr"/>
        <c:lblOffset val="100"/>
        <c:noMultiLvlLbl val="0"/>
      </c:catAx>
      <c:valAx>
        <c:axId val="1904310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52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E1-8644-950D-03D72FB897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E1-8644-950D-03D72FB897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E1-8644-950D-03D72FB897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7E1-8644-950D-03D72FB897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7E1-8644-950D-03D72FB897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7E1-8644-950D-03D72FB8972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7E1-8644-950D-03D72FB89724}"/>
              </c:ext>
            </c:extLst>
          </c:dPt>
          <c:cat>
            <c:strRef>
              <c:f>Charts!$A$402:$G$402</c:f>
              <c:strCache>
                <c:ptCount val="7"/>
                <c:pt idx="0">
                  <c:v>Cash &amp; Cash-Equivalents</c:v>
                </c:pt>
                <c:pt idx="1">
                  <c:v>Short-Term Securities</c:v>
                </c:pt>
                <c:pt idx="2">
                  <c:v>Accounts Receivable</c:v>
                </c:pt>
                <c:pt idx="3">
                  <c:v>Inventory</c:v>
                </c:pt>
                <c:pt idx="4">
                  <c:v>Long-Term Securities</c:v>
                </c:pt>
                <c:pt idx="5">
                  <c:v>Plants, Property &amp; Equipment</c:v>
                </c:pt>
                <c:pt idx="6">
                  <c:v>Other Intangible Assets</c:v>
                </c:pt>
              </c:strCache>
            </c:strRef>
          </c:cat>
          <c:val>
            <c:numRef>
              <c:f>Charts!$A$403:$G$403</c:f>
              <c:numCache>
                <c:formatCode>"$"#,##0</c:formatCode>
                <c:ptCount val="7"/>
                <c:pt idx="0">
                  <c:v>41126.110260272013</c:v>
                </c:pt>
                <c:pt idx="1">
                  <c:v>26282</c:v>
                </c:pt>
                <c:pt idx="2">
                  <c:v>4483.5739999999987</c:v>
                </c:pt>
                <c:pt idx="3">
                  <c:v>499.84965777315614</c:v>
                </c:pt>
                <c:pt idx="4">
                  <c:v>2554</c:v>
                </c:pt>
                <c:pt idx="5">
                  <c:v>4021.154</c:v>
                </c:pt>
                <c:pt idx="6">
                  <c:v>277</c:v>
                </c:pt>
              </c:numCache>
            </c:numRef>
          </c:val>
          <c:extLst>
            <c:ext xmlns:c16="http://schemas.microsoft.com/office/drawing/2014/chart" uri="{C3380CC4-5D6E-409C-BE32-E72D297353CC}">
              <c16:uniqueId val="{00000000-866C-4B1E-9962-018F24FE9C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3C-5D4F-8A37-D5C4577B95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3C-5D4F-8A37-D5C4577B95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3C-5D4F-8A37-D5C4577B95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3C-5D4F-8A37-D5C4577B95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3C-5D4F-8A37-D5C4577B9575}"/>
              </c:ext>
            </c:extLst>
          </c:dPt>
          <c:cat>
            <c:strRef>
              <c:f>Charts!$D$458:$H$458</c:f>
              <c:strCache>
                <c:ptCount val="5"/>
                <c:pt idx="0">
                  <c:v>Accounts Payable</c:v>
                </c:pt>
                <c:pt idx="1">
                  <c:v>Accrued Expenses</c:v>
                </c:pt>
                <c:pt idx="2">
                  <c:v>Deferred Revenue</c:v>
                </c:pt>
                <c:pt idx="3">
                  <c:v>Deferred Revenue</c:v>
                </c:pt>
                <c:pt idx="4">
                  <c:v>Other Long-Term Liabilities</c:v>
                </c:pt>
              </c:strCache>
            </c:strRef>
          </c:cat>
          <c:val>
            <c:numRef>
              <c:f>Charts!$D$459:$H$459</c:f>
              <c:numCache>
                <c:formatCode>"$"#,##0</c:formatCode>
                <c:ptCount val="5"/>
                <c:pt idx="0">
                  <c:v>8536.0866779460302</c:v>
                </c:pt>
                <c:pt idx="1">
                  <c:v>3840.6533557619405</c:v>
                </c:pt>
                <c:pt idx="2">
                  <c:v>3239.890625</c:v>
                </c:pt>
                <c:pt idx="3">
                  <c:v>1346.140625</c:v>
                </c:pt>
                <c:pt idx="4">
                  <c:v>3502</c:v>
                </c:pt>
              </c:numCache>
            </c:numRef>
          </c:val>
          <c:extLst>
            <c:ext xmlns:c16="http://schemas.microsoft.com/office/drawing/2014/chart" uri="{C3380CC4-5D6E-409C-BE32-E72D297353CC}">
              <c16:uniqueId val="{00000000-E691-469D-8E77-B4A7FB3EA8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737755</xdr:colOff>
      <xdr:row>1</xdr:row>
      <xdr:rowOff>191651</xdr:rowOff>
    </xdr:from>
    <xdr:to>
      <xdr:col>19</xdr:col>
      <xdr:colOff>12700</xdr:colOff>
      <xdr:row>106</xdr:row>
      <xdr:rowOff>0</xdr:rowOff>
    </xdr:to>
    <xdr:sp macro="" textlink="">
      <xdr:nvSpPr>
        <xdr:cNvPr id="232" name="TextBox 1">
          <a:extLst>
            <a:ext uri="{FF2B5EF4-FFF2-40B4-BE49-F238E27FC236}">
              <a16:creationId xmlns:a16="http://schemas.microsoft.com/office/drawing/2014/main" id="{74C9D568-1339-45FC-B0F3-6C95D9AF91C2}"/>
            </a:ext>
          </a:extLst>
        </xdr:cNvPr>
        <xdr:cNvSpPr txBox="1"/>
      </xdr:nvSpPr>
      <xdr:spPr>
        <a:xfrm>
          <a:off x="737755" y="377615"/>
          <a:ext cx="13322052" cy="19779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Times New Roman" panose="02020603050405020304" pitchFamily="18" charset="0"/>
              <a:cs typeface="Times New Roman" panose="02020603050405020304" pitchFamily="18" charset="0"/>
            </a:rPr>
            <a:t>Executive</a:t>
          </a:r>
          <a:r>
            <a:rPr lang="en-US" sz="1800" b="1" baseline="0">
              <a:latin typeface="Times New Roman" panose="02020603050405020304" pitchFamily="18" charset="0"/>
              <a:cs typeface="Times New Roman" panose="02020603050405020304" pitchFamily="18" charset="0"/>
            </a:rPr>
            <a:t> Summary</a:t>
          </a:r>
        </a:p>
        <a:p>
          <a:r>
            <a:rPr lang="en-US" sz="1800" b="1" baseline="0">
              <a:latin typeface="Times New Roman" panose="02020603050405020304" pitchFamily="18" charset="0"/>
              <a:cs typeface="Times New Roman" panose="02020603050405020304" pitchFamily="18" charset="0"/>
            </a:rPr>
            <a:t>To: CFO</a:t>
          </a:r>
        </a:p>
        <a:p>
          <a:r>
            <a:rPr lang="en-US" sz="1800" b="1" baseline="0">
              <a:latin typeface="Times New Roman" panose="02020603050405020304" pitchFamily="18" charset="0"/>
              <a:cs typeface="Times New Roman" panose="02020603050405020304" pitchFamily="18" charset="0"/>
            </a:rPr>
            <a:t>Subject: Financial Modeling</a:t>
          </a:r>
        </a:p>
        <a:p>
          <a:r>
            <a:rPr lang="en-US" sz="1800" b="1" baseline="0">
              <a:latin typeface="Times New Roman" panose="02020603050405020304" pitchFamily="18" charset="0"/>
              <a:cs typeface="Times New Roman" panose="02020603050405020304" pitchFamily="18" charset="0"/>
            </a:rPr>
            <a:t>From: Team 2</a:t>
          </a:r>
        </a:p>
        <a:p>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400" b="1" u="sng" baseline="0">
              <a:latin typeface="Times New Roman" panose="02020603050405020304" pitchFamily="18" charset="0"/>
              <a:cs typeface="Times New Roman" panose="02020603050405020304" pitchFamily="18" charset="0"/>
            </a:rPr>
            <a:t>INTRODUCTION:</a:t>
          </a:r>
        </a:p>
        <a:p>
          <a:endParaRPr lang="en-US" sz="1200" baseline="0">
            <a:latin typeface="Times New Roman" panose="02020603050405020304" pitchFamily="18" charset="0"/>
            <a:cs typeface="Times New Roman" panose="02020603050405020304" pitchFamily="18" charset="0"/>
          </a:endParaRPr>
        </a:p>
        <a:p>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In this case, we were given information for four different scenarios. For each</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scenario, the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financial model</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data were provided,</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 and we had</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to make a recommendation based on the models' projected performances</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 In the financial model scenario analysis sheet, drop-down list was</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created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using data validation to display which scenario’s data is being shown at the time. The sheet is a detailed financial model analysis of each scenario selected. The detailed numbers for operation assumptions,</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income statement, balance sheet, and cash flow statement is provided for the analysis. We were given a table with the data for each scenario for different years for different metrics. The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nested IF statements was used in the operating assumptions statement</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of the analysis to get the values for revenue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growth percentage, COGS percentage revenue, R&amp;D percentage revenue, and SG&amp;A percentage revenue from the given table. The formula allowed to derive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the projection data of each scenario for different years. The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IF statements referenced the cell with the drop-down list and if the scenario number did not match with number in the logical test of the if statement, we wrote another if statement to test for a different scenario number. Each scenario number was accounted for in the IF statements. The same formula was used to get data for the s</a:t>
          </a:r>
          <a:r>
            <a:rPr lang="en-US" sz="1200" b="0" i="0">
              <a:solidFill>
                <a:schemeClr val="dk1"/>
              </a:solidFill>
              <a:effectLst/>
              <a:latin typeface="Times New Roman" panose="02020603050405020304" pitchFamily="18" charset="0"/>
              <a:ea typeface="+mn-ea"/>
              <a:cs typeface="Times New Roman" panose="02020603050405020304" pitchFamily="18" charset="0"/>
            </a:rPr>
            <a:t>tock-based compensation percentage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evenue,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d</a:t>
          </a:r>
          <a:r>
            <a:rPr lang="en-US" sz="1200" b="0" i="0">
              <a:solidFill>
                <a:schemeClr val="dk1"/>
              </a:solidFill>
              <a:effectLst/>
              <a:latin typeface="Times New Roman" panose="02020603050405020304" pitchFamily="18" charset="0"/>
              <a:ea typeface="+mn-ea"/>
              <a:cs typeface="Times New Roman" panose="02020603050405020304" pitchFamily="18" charset="0"/>
            </a:rPr>
            <a:t>epreciation</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a:t>
          </a:r>
          <a:r>
            <a:rPr lang="en-US" sz="1200" b="0" i="0">
              <a:solidFill>
                <a:schemeClr val="dk1"/>
              </a:solidFill>
              <a:effectLst/>
              <a:latin typeface="Times New Roman" panose="02020603050405020304" pitchFamily="18" charset="0"/>
              <a:ea typeface="+mn-ea"/>
              <a:cs typeface="Times New Roman" panose="02020603050405020304" pitchFamily="18" charset="0"/>
            </a:rPr>
            <a:t> amortization percentage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evenue,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e</a:t>
          </a:r>
          <a:r>
            <a:rPr lang="en-US" sz="1200" b="0" i="0">
              <a:solidFill>
                <a:schemeClr val="dk1"/>
              </a:solidFill>
              <a:effectLst/>
              <a:latin typeface="Times New Roman" panose="02020603050405020304" pitchFamily="18" charset="0"/>
              <a:ea typeface="+mn-ea"/>
              <a:cs typeface="Times New Roman" panose="02020603050405020304" pitchFamily="18" charset="0"/>
            </a:rPr>
            <a:t>ffective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c</a:t>
          </a:r>
          <a:r>
            <a:rPr lang="en-US" sz="1200" b="0" i="0">
              <a:solidFill>
                <a:schemeClr val="dk1"/>
              </a:solidFill>
              <a:effectLst/>
              <a:latin typeface="Times New Roman" panose="02020603050405020304" pitchFamily="18" charset="0"/>
              <a:ea typeface="+mn-ea"/>
              <a:cs typeface="Times New Roman" panose="02020603050405020304" pitchFamily="18" charset="0"/>
            </a:rPr>
            <a:t>ash interest rate,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d</a:t>
          </a:r>
          <a:r>
            <a:rPr lang="en-US" sz="1200" b="0" i="0">
              <a:solidFill>
                <a:schemeClr val="dk1"/>
              </a:solidFill>
              <a:effectLst/>
              <a:latin typeface="Times New Roman" panose="02020603050405020304" pitchFamily="18" charset="0"/>
              <a:ea typeface="+mn-ea"/>
              <a:cs typeface="Times New Roman" panose="02020603050405020304" pitchFamily="18" charset="0"/>
            </a:rPr>
            <a:t>ebt interest rate,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 e</a:t>
          </a:r>
          <a:r>
            <a:rPr lang="en-US" sz="1200" b="0" i="0">
              <a:solidFill>
                <a:schemeClr val="dk1"/>
              </a:solidFill>
              <a:effectLst/>
              <a:latin typeface="Times New Roman" panose="02020603050405020304" pitchFamily="18" charset="0"/>
              <a:ea typeface="+mn-ea"/>
              <a:cs typeface="Times New Roman" panose="02020603050405020304" pitchFamily="18" charset="0"/>
            </a:rPr>
            <a:t>ffective tax</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These values were used to find the numbers in the income statement, balance sheet, and the cash flow statement. After completion of all the statements, </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t</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he NPV and the IRR was calculated. The NPV formula was used to calculate the NPV of each scenario.</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We entered the previous cash flows and the expected cash flows into the formula and subtracted the initial investment afterward. The cash flows in the income statement change for each scenario because of the data validation implemented previously. The IRR formula was used to calculate the IRR of each scenario by entering the cash flows, including the initial investment. The data was used to generate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various charts for different metrics that represents each scenario for different year. The created charts were added to the dashboard to visually display the performance under different scenario provided. The dashboard was created to be dynamic; data validation and slicer has been added to display the visualized financial information of each scenario. The dynamic nature of the dashboard allows to present the data for each scenario and compare between scenarios to make better informed decisions.</a:t>
          </a:r>
          <a:endParaRPr lang="en-US"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400" b="1" u="sng" baseline="0">
              <a:latin typeface="Times New Roman" panose="02020603050405020304" pitchFamily="18" charset="0"/>
              <a:cs typeface="Times New Roman" panose="02020603050405020304" pitchFamily="18" charset="0"/>
            </a:rPr>
            <a:t>FINANCIAL ANALYSIS:</a:t>
          </a:r>
        </a:p>
        <a:p>
          <a:endParaRPr lang="en-US" sz="1400" b="1" u="sng" baseline="0">
            <a:latin typeface="Times New Roman" panose="02020603050405020304" pitchFamily="18" charset="0"/>
            <a:cs typeface="Times New Roman" panose="02020603050405020304" pitchFamily="18" charset="0"/>
          </a:endParaRPr>
        </a:p>
        <a:p>
          <a:r>
            <a:rPr lang="en-US" sz="1200" b="1" u="none" baseline="0">
              <a:latin typeface="Times New Roman" panose="02020603050405020304" pitchFamily="18" charset="0"/>
              <a:cs typeface="Times New Roman" panose="02020603050405020304" pitchFamily="18" charset="0"/>
            </a:rPr>
            <a:t>Scenario 1</a:t>
          </a:r>
        </a:p>
        <a:p>
          <a:endParaRPr lang="en-US" sz="1200" b="1" u="none"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u="none" baseline="0">
              <a:latin typeface="Times New Roman" panose="02020603050405020304" pitchFamily="18" charset="0"/>
              <a:cs typeface="Times New Roman" panose="02020603050405020304" pitchFamily="18" charset="0"/>
            </a:rPr>
            <a:t>According to the given data, the NPV for scenario 1 is $52,806, and the IRR is 21%. It indicates that</a:t>
          </a:r>
          <a:r>
            <a:rPr lang="en-US" sz="1200" b="0" i="0">
              <a:solidFill>
                <a:schemeClr val="dk1"/>
              </a:solidFill>
              <a:effectLst/>
              <a:latin typeface="Times New Roman" panose="02020603050405020304" pitchFamily="18" charset="0"/>
              <a:ea typeface="+mn-ea"/>
              <a:cs typeface="Times New Roman" panose="02020603050405020304" pitchFamily="18" charset="0"/>
            </a:rPr>
            <a:t> the project is profitable, and its returns exceed the cost of capital; however, the numbers </a:t>
          </a:r>
          <a:r>
            <a:rPr lang="en-US" sz="1200" b="0" i="0" u="none" baseline="0">
              <a:solidFill>
                <a:schemeClr val="dk1"/>
              </a:solidFill>
              <a:effectLst/>
              <a:latin typeface="Times New Roman" panose="02020603050405020304" pitchFamily="18" charset="0"/>
              <a:ea typeface="+mn-ea"/>
              <a:cs typeface="Times New Roman" panose="02020603050405020304" pitchFamily="18" charset="0"/>
            </a:rPr>
            <a:t>are</a:t>
          </a:r>
          <a:r>
            <a:rPr lang="en-US" sz="1200" b="0" u="none" baseline="0">
              <a:latin typeface="Times New Roman" panose="02020603050405020304" pitchFamily="18" charset="0"/>
              <a:cs typeface="Times New Roman" panose="02020603050405020304" pitchFamily="18" charset="0"/>
            </a:rPr>
            <a:t> the lowest among all the scenarios. The revenue has </a:t>
          </a:r>
          <a:r>
            <a:rPr lang="en-US" sz="1200" b="0" i="0">
              <a:solidFill>
                <a:schemeClr val="dk1"/>
              </a:solidFill>
              <a:effectLst/>
              <a:latin typeface="Times New Roman" panose="02020603050405020304" pitchFamily="18" charset="0"/>
              <a:ea typeface="+mn-ea"/>
              <a:cs typeface="Times New Roman" panose="02020603050405020304" pitchFamily="18" charset="0"/>
            </a:rPr>
            <a:t>a steady increase from $47,300 to $82,375 over the six years.</a:t>
          </a:r>
          <a:r>
            <a:rPr lang="en-US" sz="1200" b="0" u="none" baseline="0">
              <a:latin typeface="Times New Roman" panose="02020603050405020304" pitchFamily="18" charset="0"/>
              <a:cs typeface="Times New Roman" panose="02020603050405020304" pitchFamily="18" charset="0"/>
            </a:rPr>
            <a:t> </a:t>
          </a:r>
          <a:r>
            <a:rPr lang="en-US" sz="1200" b="0" baseline="0">
              <a:solidFill>
                <a:schemeClr val="dk1"/>
              </a:solidFill>
              <a:effectLst/>
              <a:latin typeface="Times New Roman" panose="02020603050405020304" pitchFamily="18" charset="0"/>
              <a:ea typeface="+mn-ea"/>
              <a:cs typeface="Times New Roman" panose="02020603050405020304" pitchFamily="18" charset="0"/>
            </a:rPr>
            <a:t>Though these numbers are positive, they are comparatively smaller. </a:t>
          </a:r>
          <a:r>
            <a:rPr lang="en-US" sz="1200" b="0" u="none" baseline="0">
              <a:latin typeface="Times New Roman" panose="02020603050405020304" pitchFamily="18" charset="0"/>
              <a:cs typeface="Times New Roman" panose="02020603050405020304" pitchFamily="18" charset="0"/>
            </a:rPr>
            <a:t>Similarly, the gross profit increased from $23,414 to $37,687, yet the gross profit margin </a:t>
          </a:r>
          <a:r>
            <a:rPr lang="en-US" sz="1200" b="0" i="0">
              <a:solidFill>
                <a:schemeClr val="dk1"/>
              </a:solidFill>
              <a:effectLst/>
              <a:latin typeface="Times New Roman" panose="02020603050405020304" pitchFamily="18" charset="0"/>
              <a:ea typeface="+mn-ea"/>
              <a:cs typeface="Times New Roman" panose="02020603050405020304" pitchFamily="18" charset="0"/>
            </a:rPr>
            <a:t>decreased from 50% to 40% year over year.</a:t>
          </a:r>
          <a:r>
            <a:rPr lang="en-US" sz="1200" b="0" u="none" baseline="0">
              <a:latin typeface="Times New Roman" panose="02020603050405020304" pitchFamily="18" charset="0"/>
              <a:cs typeface="Times New Roman" panose="02020603050405020304" pitchFamily="18" charset="0"/>
            </a:rPr>
            <a:t> </a:t>
          </a:r>
          <a:r>
            <a:rPr lang="en-US" sz="1200" baseline="0">
              <a:solidFill>
                <a:schemeClr val="dk1"/>
              </a:solidFill>
              <a:effectLst/>
              <a:latin typeface="Times New Roman" panose="02020603050405020304" pitchFamily="18" charset="0"/>
              <a:ea typeface="+mn-ea"/>
              <a:cs typeface="Times New Roman" panose="02020603050405020304" pitchFamily="18" charset="0"/>
            </a:rPr>
            <a:t>Scenario 1 was the only case where the COGS% revenue consistently kept increasing. The scenario also demonstrated the smallest revenue growth percentage and highest COGS revenue percentage. The high COGS percentage means that the company will not be able to produce its products efficiently as time goes on. This particular scenario also has the highest SG&amp;A revenue percentage out of the four, meaning that the company will continuously increase their expenses in employee wages, administrative procedures and will experience trouble cutting down costs as time passes by. Along with the SG&amp;A  revenue percentage, it also has the highest R&amp;D revenue percentage which suggests </a:t>
          </a:r>
          <a:r>
            <a:rPr lang="en-US" sz="1200" b="0" i="0">
              <a:solidFill>
                <a:schemeClr val="dk1"/>
              </a:solidFill>
              <a:effectLst/>
              <a:latin typeface="Times New Roman" panose="02020603050405020304" pitchFamily="18" charset="0"/>
              <a:ea typeface="+mn-ea"/>
              <a:cs typeface="Times New Roman" panose="02020603050405020304" pitchFamily="18" charset="0"/>
            </a:rPr>
            <a:t>that the startup has been investing heavily in research and development (R&amp;D), but it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is</a:t>
          </a:r>
          <a:r>
            <a:rPr lang="en-US" sz="1200" b="0" i="0">
              <a:solidFill>
                <a:schemeClr val="dk1"/>
              </a:solidFill>
              <a:effectLst/>
              <a:latin typeface="Times New Roman" panose="02020603050405020304" pitchFamily="18" charset="0"/>
              <a:ea typeface="+mn-ea"/>
              <a:cs typeface="Times New Roman" panose="02020603050405020304" pitchFamily="18" charset="0"/>
            </a:rPr>
            <a:t> concerning that the cost of revenue is higher than the total revenue, meaning that the startup is not yet profitable. It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a:t>
          </a:r>
          <a:r>
            <a:rPr lang="en-US" sz="1200" b="0" i="0">
              <a:solidFill>
                <a:schemeClr val="dk1"/>
              </a:solidFill>
              <a:effectLst/>
              <a:latin typeface="Times New Roman" panose="02020603050405020304" pitchFamily="18" charset="0"/>
              <a:ea typeface="+mn-ea"/>
              <a:cs typeface="Times New Roman" panose="02020603050405020304" pitchFamily="18" charset="0"/>
            </a:rPr>
            <a:t>s also worth noting that the company's net profit margin decreased from 15% to 5%, which is a significant decline. </a:t>
          </a:r>
          <a:r>
            <a:rPr lang="en-US" sz="1200" baseline="0">
              <a:solidFill>
                <a:schemeClr val="dk1"/>
              </a:solidFill>
              <a:effectLst/>
              <a:latin typeface="Times New Roman" panose="02020603050405020304" pitchFamily="18" charset="0"/>
              <a:ea typeface="+mn-ea"/>
              <a:cs typeface="Times New Roman" panose="02020603050405020304" pitchFamily="18" charset="0"/>
            </a:rPr>
            <a:t>Additionally, the scenario also has the Depreciation &amp; Amortization % Revenue continuously increasing, meaning that their products are decreasing in value the most over time compared to other scenarios. </a:t>
          </a:r>
          <a:r>
            <a:rPr lang="en-US" sz="1200" b="0" i="0">
              <a:solidFill>
                <a:schemeClr val="dk1"/>
              </a:solidFill>
              <a:effectLst/>
              <a:latin typeface="Times New Roman" panose="02020603050405020304" pitchFamily="18" charset="0"/>
              <a:ea typeface="+mn-ea"/>
              <a:cs typeface="Times New Roman" panose="02020603050405020304" pitchFamily="18" charset="0"/>
            </a:rPr>
            <a:t>The analysis of the company's balance sheet reveals that its total assets increase from $63,199 in year 2020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 $174,779 in year 2025, while its total liabilities are projected to increase from $16,126 in year 2020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 $26,430 in year 2025. This indicates that the company will have a healthy level of assets and a manageable level of liabilities. Although this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scenario has positive numbers, all of them are very small compared to the other scenarios. This is true regarding different metrics like operating income, net income, EPS, and cash flow a</a:t>
          </a:r>
          <a:r>
            <a:rPr lang="en-US" sz="1200" b="0" i="0">
              <a:solidFill>
                <a:schemeClr val="dk1"/>
              </a:solidFill>
              <a:effectLst/>
              <a:latin typeface="Times New Roman" panose="02020603050405020304" pitchFamily="18" charset="0"/>
              <a:ea typeface="+mn-ea"/>
              <a:cs typeface="Times New Roman" panose="02020603050405020304" pitchFamily="18" charset="0"/>
            </a:rPr>
            <a:t>s shown in the figures.</a:t>
          </a:r>
          <a:endParaRPr lang="en-US" sz="1200" b="0" u="none" baseline="0">
            <a:latin typeface="Times New Roman" panose="02020603050405020304" pitchFamily="18" charset="0"/>
            <a:cs typeface="Times New Roman" panose="02020603050405020304" pitchFamily="18" charset="0"/>
          </a:endParaRPr>
        </a:p>
        <a:p>
          <a:endParaRPr lang="en-US" sz="1200" b="1" u="none" baseline="0">
            <a:latin typeface="Times New Roman" panose="02020603050405020304" pitchFamily="18" charset="0"/>
            <a:cs typeface="Times New Roman" panose="02020603050405020304" pitchFamily="18" charset="0"/>
          </a:endParaRPr>
        </a:p>
        <a:p>
          <a:r>
            <a:rPr lang="en-US" sz="1200" b="1" u="none" baseline="0">
              <a:latin typeface="Times New Roman" panose="02020603050405020304" pitchFamily="18" charset="0"/>
              <a:cs typeface="Times New Roman" panose="02020603050405020304" pitchFamily="18" charset="0"/>
            </a:rPr>
            <a:t>Scenario 2</a:t>
          </a:r>
        </a:p>
        <a:p>
          <a:endParaRPr lang="en-US" sz="1200" b="1"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The NPV for scenario 2 is $79,404 and IRR is 26%. These numbers look very promising compared to scenario 1. The revenue for this scenario increases from $49,450 in year 2020 to $105,562 in year 2025.  The COGS% revenue increases during the second year but goes down afterwards. To illustrate, the company will first experience hassles but will manage to increase its efficiency as time passes. However, it is worth noting that the company is still considerably inefficient in generating its products. This is because the lowest COGS% revenue in Scenario 2 is still high as the highest COGS% revenue number compared to scenario 3 and scenario 4. The revenue growth % is lower compared to scenarios 3 and 4 but higher than 1. The increased revenue percentage and decreased COGS percentage resulted in the increase of gross profit to $56,845. Both R&amp;D percentage and SG&amp;A percentage is lower in this scenario compared to scenario 1. The EPS </a:t>
          </a:r>
          <a:r>
            <a:rPr lang="en-US" sz="1200" b="0" i="0">
              <a:solidFill>
                <a:schemeClr val="dk1"/>
              </a:solidFill>
              <a:effectLst/>
              <a:latin typeface="Times New Roman" panose="02020603050405020304" pitchFamily="18" charset="0"/>
              <a:ea typeface="+mn-ea"/>
              <a:cs typeface="Times New Roman" panose="02020603050405020304" pitchFamily="18" charset="0"/>
            </a:rPr>
            <a:t>is projected to increase from $17.23 in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year 2020 to $39.12 in the year 2025. This suggests that the company's profitability is expected to grow which is a positive indicator for investors. Also, both operating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income and net income has a steady increase over years. Looking at the balance sheet, the </a:t>
          </a:r>
          <a:r>
            <a:rPr lang="en-US" sz="1200" b="0" i="0">
              <a:solidFill>
                <a:schemeClr val="dk1"/>
              </a:solidFill>
              <a:effectLst/>
              <a:latin typeface="Times New Roman" panose="02020603050405020304" pitchFamily="18" charset="0"/>
              <a:ea typeface="+mn-ea"/>
              <a:cs typeface="Times New Roman" panose="02020603050405020304" pitchFamily="18" charset="0"/>
            </a:rPr>
            <a:t>total current assets and total assets both increase over time, while total current liabilities and total liabilities also increase, but at a slower rate. This suggests that the company is able to manage its debts and is becoming more financially stable over time.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As shown in the figures, scenari</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o 2 has numbers higher than scenario 1, but the numbers still lie below the scenario 3 and 4. Moreover, l</a:t>
          </a:r>
          <a:r>
            <a:rPr lang="en-US" sz="1200" b="0" i="0">
              <a:solidFill>
                <a:schemeClr val="dk1"/>
              </a:solidFill>
              <a:effectLst/>
              <a:latin typeface="Times New Roman" panose="02020603050405020304" pitchFamily="18" charset="0"/>
              <a:ea typeface="+mn-ea"/>
              <a:cs typeface="Times New Roman" panose="02020603050405020304" pitchFamily="18" charset="0"/>
            </a:rPr>
            <a:t>ooking at the cash flows, we can see that the cash flow from operations increases steadily over time. This means that the company is investing in the project and generating more cash from its operations as it grows. According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to the given data, scenario 2 discloses a better financial performance in comparison to scenario 1 and </a:t>
          </a:r>
          <a:r>
            <a:rPr lang="en-US" sz="1200" b="0" i="0">
              <a:solidFill>
                <a:schemeClr val="dk1"/>
              </a:solidFill>
              <a:effectLst/>
              <a:latin typeface="Times New Roman" panose="02020603050405020304" pitchFamily="18" charset="0"/>
              <a:ea typeface="+mn-ea"/>
              <a:cs typeface="Times New Roman" panose="02020603050405020304" pitchFamily="18" charset="0"/>
            </a:rPr>
            <a:t>appears to be a financially viable project with steady revenue and profit growth over the six-year period.</a:t>
          </a:r>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Scenario 3 </a:t>
          </a:r>
        </a:p>
        <a:p>
          <a:endParaRPr lang="en-US" sz="1200" b="1" baseline="0">
            <a:latin typeface="Times New Roman" panose="02020603050405020304" pitchFamily="18" charset="0"/>
            <a:cs typeface="Times New Roman" panose="02020603050405020304" pitchFamily="18" charset="0"/>
          </a:endParaRPr>
        </a:p>
        <a:p>
          <a:r>
            <a:rPr lang="en-US" sz="1200" b="0" baseline="0">
              <a:latin typeface="Times New Roman" panose="02020603050405020304" pitchFamily="18" charset="0"/>
              <a:cs typeface="Times New Roman" panose="02020603050405020304" pitchFamily="18" charset="0"/>
            </a:rPr>
            <a:t>Scenario 3 has the NPV of $104,924 and the IRR of 29%  which is the highest compared to all other scenarios indicating that the company can generate significant profits. It </a:t>
          </a:r>
          <a:r>
            <a:rPr lang="en-US" sz="1200" baseline="0">
              <a:latin typeface="Times New Roman" panose="02020603050405020304" pitchFamily="18" charset="0"/>
              <a:cs typeface="Times New Roman" panose="02020603050405020304" pitchFamily="18" charset="0"/>
            </a:rPr>
            <a:t>marks the second highest revenue growth percentage right after Scenario 4. The COGS percentage revenue is lower as well and it keeps dropping, which is a sign of productivity increase. The revenue percentage is comparatively higher, but the COGS percentage is the lowest among all the scenarios. This scenario has the most balanced revenue and COGS percentage. This strategy resulted in the gross profit of $75,867. The SG&amp;A percentage revenue and the R&amp;D percentage revenue marks lower than scenario 1 and 2 but higher than scenario 4. There seems to be higher sales as </a:t>
          </a:r>
          <a:r>
            <a:rPr lang="en-US" sz="1200" b="0" i="0">
              <a:solidFill>
                <a:schemeClr val="dk1"/>
              </a:solidFill>
              <a:effectLst/>
              <a:latin typeface="Times New Roman" panose="02020603050405020304" pitchFamily="18" charset="0"/>
              <a:ea typeface="+mn-ea"/>
              <a:cs typeface="Times New Roman" panose="02020603050405020304" pitchFamily="18" charset="0"/>
            </a:rPr>
            <a:t>the revenue shows a steady increase, starting at $51,600 and rising to $135,938. The net income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shows an upward trend, starting at $17,116 and rising to $47,384</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which is an indication</a:t>
          </a:r>
          <a:r>
            <a:rPr lang="en-US" sz="1200" b="0" i="0">
              <a:solidFill>
                <a:schemeClr val="dk1"/>
              </a:solidFill>
              <a:effectLst/>
              <a:latin typeface="Times New Roman" panose="02020603050405020304" pitchFamily="18" charset="0"/>
              <a:ea typeface="+mn-ea"/>
              <a:cs typeface="Times New Roman" panose="02020603050405020304" pitchFamily="18" charset="0"/>
            </a:rPr>
            <a:t> that the company is managing its expenses efficiently and generating higher profits over time. The similar is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case with the operating income as it is increasing every year. </a:t>
          </a:r>
          <a:r>
            <a:rPr lang="en-US" sz="1200" b="0" i="0">
              <a:solidFill>
                <a:schemeClr val="dk1"/>
              </a:solidFill>
              <a:effectLst/>
              <a:latin typeface="Times New Roman" panose="02020603050405020304" pitchFamily="18" charset="0"/>
              <a:ea typeface="+mn-ea"/>
              <a:cs typeface="Times New Roman" panose="02020603050405020304" pitchFamily="18" charset="0"/>
            </a:rPr>
            <a:t>The EPS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which also follows a similar trend, starting at $18.87 and rising to $52.24 over the six-year period. This suggests that the shareholders are likely to see an increase in their earnings as the business grows.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re is also an increased rate in </a:t>
          </a:r>
          <a:r>
            <a:rPr lang="en-US" sz="1200" b="0" i="0">
              <a:solidFill>
                <a:schemeClr val="dk1"/>
              </a:solidFill>
              <a:effectLst/>
              <a:latin typeface="Times New Roman" panose="02020603050405020304" pitchFamily="18" charset="0"/>
              <a:ea typeface="+mn-ea"/>
              <a:cs typeface="Times New Roman" panose="02020603050405020304" pitchFamily="18" charset="0"/>
            </a:rPr>
            <a:t>investing in its operations and acquiring more assets that can generate income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while the liabilities also rise, again, it increases in much slower rate than the assets i.e.. from $15,629 to $34,794 compared to the increase of the total assets from $63,732 to $259,920. </a:t>
          </a:r>
          <a:r>
            <a:rPr lang="en-US" sz="1200" b="0" i="0">
              <a:solidFill>
                <a:schemeClr val="dk1"/>
              </a:solidFill>
              <a:effectLst/>
              <a:latin typeface="Times New Roman" panose="02020603050405020304" pitchFamily="18" charset="0"/>
              <a:ea typeface="+mn-ea"/>
              <a:cs typeface="Times New Roman" panose="02020603050405020304" pitchFamily="18" charset="0"/>
            </a:rPr>
            <a:t>The cash flow from operations shows a steady increase as well, starting at $18,138 and rising to $57,052 over the six-year period.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As shown in the figure, scenario 2 has the highest operating income, net income, and EPS out of all the scenarios. </a:t>
          </a:r>
          <a:r>
            <a:rPr lang="en-US" sz="1200" baseline="0">
              <a:latin typeface="Times New Roman" panose="02020603050405020304" pitchFamily="18" charset="0"/>
              <a:cs typeface="Times New Roman" panose="02020603050405020304" pitchFamily="18" charset="0"/>
            </a:rPr>
            <a:t>The application of this scenario will result in solid, consistent growth with good potentials for the future.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It is </a:t>
          </a:r>
          <a:r>
            <a:rPr lang="en-US" sz="1200" b="0" i="0">
              <a:solidFill>
                <a:schemeClr val="dk1"/>
              </a:solidFill>
              <a:effectLst/>
              <a:latin typeface="Times New Roman" panose="02020603050405020304" pitchFamily="18" charset="0"/>
              <a:ea typeface="+mn-ea"/>
              <a:cs typeface="Times New Roman" panose="02020603050405020304" pitchFamily="18" charset="0"/>
            </a:rPr>
            <a:t>generating more cash from its operations and acquiring more assets, which can generate income.</a:t>
          </a:r>
        </a:p>
        <a:p>
          <a:br>
            <a:rPr lang="en-US" sz="1200"/>
          </a:br>
          <a:endParaRPr lang="en-US" sz="1200"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Scenario 4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According to the given data, scenario 4 has the NPV of $99,118 and the IRR of 28%. This is the second highest number out of all the scenarios, this </a:t>
          </a:r>
          <a:r>
            <a:rPr lang="en-US" sz="1200" b="0" i="0">
              <a:solidFill>
                <a:schemeClr val="dk1"/>
              </a:solidFill>
              <a:effectLst/>
              <a:latin typeface="Times New Roman" panose="02020603050405020304" pitchFamily="18" charset="0"/>
              <a:ea typeface="+mn-ea"/>
              <a:cs typeface="Times New Roman" panose="02020603050405020304" pitchFamily="18" charset="0"/>
            </a:rPr>
            <a:t>means that the project is generating returns that exceed the cost of capital. </a:t>
          </a:r>
          <a:r>
            <a:rPr lang="en-US" sz="1200" baseline="0">
              <a:latin typeface="Times New Roman" panose="02020603050405020304" pitchFamily="18" charset="0"/>
              <a:cs typeface="Times New Roman" panose="02020603050405020304" pitchFamily="18" charset="0"/>
            </a:rPr>
            <a:t>It also has the highest revenue growth percentage out of all scenarios. All revenue growth statistics marks at least 25% growth percentage. It also manages to decrease the COGS percentage revenue and keep the SG&amp;A percentage revenue to approximately 5 percent. However, it can be seen that the COGS percentage revenue was pretty high on the initial stages. So, although it generated the highest revenue, it also experiences initial difficulties when it comes to efficient product generation. Even though the numbers decreased continuously, the percentage still remains high compared to other scenarios.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Th</a:t>
          </a:r>
          <a:r>
            <a:rPr lang="en-US" sz="1200" b="0" i="0">
              <a:solidFill>
                <a:schemeClr val="dk1"/>
              </a:solidFill>
              <a:effectLst/>
              <a:latin typeface="Times New Roman" panose="02020603050405020304" pitchFamily="18" charset="0"/>
              <a:ea typeface="+mn-ea"/>
              <a:cs typeface="Times New Roman" panose="02020603050405020304" pitchFamily="18" charset="0"/>
            </a:rPr>
            <a:t>e revenue steadily increases from $53,750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to</a:t>
          </a:r>
          <a:r>
            <a:rPr lang="en-US" sz="1200" b="0" i="0">
              <a:solidFill>
                <a:schemeClr val="dk1"/>
              </a:solidFill>
              <a:effectLst/>
              <a:latin typeface="Times New Roman" panose="02020603050405020304" pitchFamily="18" charset="0"/>
              <a:ea typeface="+mn-ea"/>
              <a:cs typeface="Times New Roman" panose="02020603050405020304" pitchFamily="18" charset="0"/>
            </a:rPr>
            <a:t> $175,640 which</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is the highest revenue compared to other scenarios. </a:t>
          </a:r>
          <a:r>
            <a:rPr lang="en-US" sz="1200" b="0" i="0">
              <a:solidFill>
                <a:schemeClr val="dk1"/>
              </a:solidFill>
              <a:effectLst/>
              <a:latin typeface="Times New Roman" panose="02020603050405020304" pitchFamily="18" charset="0"/>
              <a:ea typeface="+mn-ea"/>
              <a:cs typeface="Times New Roman" panose="02020603050405020304" pitchFamily="18" charset="0"/>
            </a:rPr>
            <a:t>Similarly, the gross profit also increases from $22,844 to $78,621, indicating that the company is able to maintain a healthy margin over the cost of goods sold,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again the highest number. </a:t>
          </a:r>
          <a:r>
            <a:rPr lang="en-US" sz="1200" b="0" i="0">
              <a:solidFill>
                <a:schemeClr val="dk1"/>
              </a:solidFill>
              <a:effectLst/>
              <a:latin typeface="Times New Roman" panose="02020603050405020304" pitchFamily="18" charset="0"/>
              <a:ea typeface="+mn-ea"/>
              <a:cs typeface="Times New Roman" panose="02020603050405020304" pitchFamily="18" charset="0"/>
            </a:rPr>
            <a:t>The EPS also shows a healthy increase, which is an indication of earnings growth and can be attractive to potential investors. Moreover, the company's total assets are also expected to increase with</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 highest total assets </a:t>
          </a:r>
          <a:r>
            <a:rPr lang="en-US" sz="1200" b="0" i="0">
              <a:solidFill>
                <a:schemeClr val="dk1"/>
              </a:solidFill>
              <a:effectLst/>
              <a:latin typeface="Times New Roman" panose="02020603050405020304" pitchFamily="18" charset="0"/>
              <a:ea typeface="+mn-ea"/>
              <a:cs typeface="Times New Roman" panose="02020603050405020304" pitchFamily="18" charset="0"/>
            </a:rPr>
            <a:t>indicating a significant growth potential. The company's total liabilities are also expected to increase but at a slower pace, indicating a stable debt-to-asset ratio over time. Cash flow analysis reveals that the company is expected to generate positive cash flow from operating activities.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There is variation in cash flow regarding the scenario; however, for year 2025, scenario 4 has the highest cash flow. </a:t>
          </a:r>
          <a:r>
            <a:rPr lang="en-US" sz="1200" baseline="0">
              <a:latin typeface="Times New Roman" panose="02020603050405020304" pitchFamily="18" charset="0"/>
              <a:cs typeface="Times New Roman" panose="02020603050405020304" pitchFamily="18" charset="0"/>
            </a:rPr>
            <a:t>Additionally, the scenario also records the highest debt interest rate, meaning that the project seems to be a bit risky compared to other scenarios, meaning it will be a scenario that has high risks but high returns.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T</a:t>
          </a:r>
          <a:r>
            <a:rPr lang="en-US" sz="1200" b="0" i="0">
              <a:solidFill>
                <a:schemeClr val="dk1"/>
              </a:solidFill>
              <a:effectLst/>
              <a:latin typeface="Times New Roman" panose="02020603050405020304" pitchFamily="18" charset="0"/>
              <a:ea typeface="+mn-ea"/>
              <a:cs typeface="Times New Roman" panose="02020603050405020304" pitchFamily="18" charset="0"/>
            </a:rPr>
            <a:t>his scenario offers a positive financial analysis and appears to be a sound investment decision with a promising investment opportunity with an increasing trend in revenue, gross profit, operating income, net income, EPS, and total assets.</a:t>
          </a:r>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200" b="1" u="sng" baseline="0">
              <a:latin typeface="Times New Roman" panose="02020603050405020304" pitchFamily="18" charset="0"/>
              <a:cs typeface="Times New Roman" panose="02020603050405020304" pitchFamily="18" charset="0"/>
            </a:rPr>
            <a:t>RECOMMENDATIONS:</a:t>
          </a:r>
        </a:p>
        <a:p>
          <a:endParaRPr lang="en-US">
            <a:effectLst/>
          </a:endParaRPr>
        </a:p>
        <a:p>
          <a:pPr eaLnBrk="1" fontAlgn="auto" latinLnBrk="0" hangingPunct="1"/>
          <a:r>
            <a:rPr lang="en-US" sz="1200" baseline="0">
              <a:solidFill>
                <a:schemeClr val="dk1"/>
              </a:solidFill>
              <a:effectLst/>
              <a:latin typeface="Times New Roman" panose="02020603050405020304" pitchFamily="18" charset="0"/>
              <a:ea typeface="+mn-ea"/>
              <a:cs typeface="Times New Roman" panose="02020603050405020304" pitchFamily="18" charset="0"/>
            </a:rPr>
            <a:t>Looking at all the charts, all four scenarios has positive outcome.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E</a:t>
          </a:r>
          <a:r>
            <a:rPr lang="en-US" sz="1200" b="0" i="0">
              <a:solidFill>
                <a:schemeClr val="dk1"/>
              </a:solidFill>
              <a:effectLst/>
              <a:latin typeface="Times New Roman" panose="02020603050405020304" pitchFamily="18" charset="0"/>
              <a:ea typeface="+mn-ea"/>
              <a:cs typeface="Times New Roman" panose="02020603050405020304" pitchFamily="18" charset="0"/>
            </a:rPr>
            <a:t>ach scenario have its own unique characteristics and considerations. </a:t>
          </a:r>
          <a:r>
            <a:rPr lang="en-US" sz="1200" baseline="0">
              <a:solidFill>
                <a:schemeClr val="dk1"/>
              </a:solidFill>
              <a:effectLst/>
              <a:latin typeface="Times New Roman" panose="02020603050405020304" pitchFamily="18" charset="0"/>
              <a:ea typeface="+mn-ea"/>
              <a:cs typeface="Times New Roman" panose="02020603050405020304" pitchFamily="18" charset="0"/>
            </a:rPr>
            <a:t>The NPV and IRR numbers for all the scenarios indicates that each scenario results in significant profits for the company. Scenario 3, however, depicts a great financial performance out of the four scenarios. The revenue growth percentage increases with each scenario with scenario 1 being the lowest and the scenario 4 being the highest. For COGS percentage, the number decreased from scenario 1 to 2 to 3, but it increased in scenario 4. This resulted in scenario 3 having the stabilized revenue and COGS percentage. All 4 scenarios display a revenue growth pattern of increasing until 2022, dropping in 2023, increasing again in 2024, and dropping in 2025. The R&amp;D percentage and SG&amp;A percentage decreased from scenario 1 to scenario 4. For the operating income and net income, scenario 3 has the highest value throughout the years from 2020 to 2025. Similarly, the EPS is highest as well for scenario 3. Comparing the total assets acquired, scenario 4 has the highest, but the liabilities is the highest too. Scenario 3 has second highest assets but the liabilities is lower than the scenario 4. Additionally, looking at the increase in cash, it is </a:t>
          </a:r>
          <a:r>
            <a:rPr lang="en-US" sz="1200">
              <a:solidFill>
                <a:schemeClr val="dk1"/>
              </a:solidFill>
              <a:effectLst/>
              <a:latin typeface="Times New Roman" panose="02020603050405020304" pitchFamily="18" charset="0"/>
              <a:ea typeface="+mn-ea"/>
              <a:cs typeface="Times New Roman" panose="02020603050405020304" pitchFamily="18" charset="0"/>
            </a:rPr>
            <a:t>positive for all six years, which indicates that the company is generating enough cash to meet its financial obligations, including debt repayments.</a:t>
          </a:r>
        </a:p>
        <a:p>
          <a:pPr eaLnBrk="1" fontAlgn="auto" latinLnBrk="0" hangingPunct="1"/>
          <a:endParaRPr lang="en-US" sz="1200">
            <a:effectLst/>
            <a:latin typeface="Times New Roman" panose="02020603050405020304" pitchFamily="18" charset="0"/>
            <a:cs typeface="Times New Roman" panose="02020603050405020304" pitchFamily="18" charset="0"/>
          </a:endParaRPr>
        </a:p>
        <a:p>
          <a:r>
            <a:rPr lang="en-US" sz="1200" b="0" i="0">
              <a:solidFill>
                <a:schemeClr val="dk1"/>
              </a:solidFill>
              <a:effectLst/>
              <a:latin typeface="Times New Roman" panose="02020603050405020304" pitchFamily="18" charset="0"/>
              <a:ea typeface="+mn-ea"/>
              <a:cs typeface="Times New Roman" panose="02020603050405020304" pitchFamily="18" charset="0"/>
            </a:rPr>
            <a:t>Based on our analysis, we recommend that the company invest in the financial model of scenario 3. There are a number of reasons why scenario 3 is the most profitable out of the competing scenarios. Net Present Value (NPV) and Internal Rate of Return (IRR) are two important indicators of profitability in finance. The higher the NPV and IRR values are, the more profitable the project is. Scenario 3 has the highest NPV and IRR of the scenarios, $104,924 and 29% respectively.</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 Another indicator that scenario 3 is highly profitable is the growth in revenue rates. Across the five years, Scenario 3 has growth rates of 20%, 21%, 22%, 20%, 22%, and 21.9%, respectively. This demonstrates the potential to perform well in the market and experience strong sales growth in the future. Additionally, the projected cost of goods sold (COGS) as a percentage of revenue decreases over the five-year period, which indicates potential cost efficiencies and improved profitability. The research and development (R&amp;D) and selling, general, and administrative (SG&amp;A) expenses as a percentage of revenue remain stable over the five-year projection period, indicating that scenario 3 is an effective model for cost management. The gross profit and net income also show consistent growth, which is a positive sign for investors. Additionally, the levered cash flow is positive for all six years, which indicates that the project is generating enough cash to meet its obligations. With highest number for operating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income, net income, and EPS, scenario 3 looks very promising investment. Moreover, it also </a:t>
          </a:r>
          <a:r>
            <a:rPr lang="en-US" sz="1200" b="0" i="0">
              <a:solidFill>
                <a:schemeClr val="dk1"/>
              </a:solidFill>
              <a:effectLst/>
              <a:latin typeface="Times New Roman" panose="02020603050405020304" pitchFamily="18" charset="0"/>
              <a:ea typeface="+mn-ea"/>
              <a:cs typeface="Times New Roman" panose="02020603050405020304" pitchFamily="18" charset="0"/>
            </a:rPr>
            <a:t>has a healthy balance sheet, with total current assets increasing each year, and total current liabilities remaining at a reasonable level. The total assets also show consistent growth, indicating that the company is investing in its future growth. The cash flow from operations is positive for all six years, indicating that the project is generating enough cash to cover its operating expenses. Finally,</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a:t>
          </a:r>
          <a:r>
            <a:rPr lang="en-US" sz="1200" b="0" i="0">
              <a:solidFill>
                <a:schemeClr val="dk1"/>
              </a:solidFill>
              <a:effectLst/>
              <a:latin typeface="Times New Roman" panose="02020603050405020304" pitchFamily="18" charset="0"/>
              <a:ea typeface="+mn-ea"/>
              <a:cs typeface="Times New Roman" panose="02020603050405020304" pitchFamily="18" charset="0"/>
            </a:rPr>
            <a:t>cenario 3 has a reasonable level of risk, with a moderate level of leverage and a manageable level of total liabilities. While there is always some level of risk associated with any investment, the risk in Scenario 3 appears to be reasonable and manageable. In conclusion, based on the data provided, Scenario 3 is the most favorable option due to its high revenue growth rates, decreasing COGS as a percentage of revenue, highest NPV and IRR, a strong financial performance, a healthy cash flow position, a solid balance sheet, and a reasonable level of risk.</a:t>
          </a:r>
          <a:endParaRPr lang="en-US" sz="1200">
            <a:effectLst/>
            <a:latin typeface="Times New Roman" panose="02020603050405020304" pitchFamily="18" charset="0"/>
            <a:cs typeface="Times New Roman" panose="02020603050405020304" pitchFamily="18" charset="0"/>
          </a:endParaRPr>
        </a:p>
      </xdr:txBody>
    </xdr:sp>
    <xdr:clientData/>
  </xdr:twoCellAnchor>
  <xdr:twoCellAnchor>
    <xdr:from>
      <xdr:col>19</xdr:col>
      <xdr:colOff>736600</xdr:colOff>
      <xdr:row>2</xdr:row>
      <xdr:rowOff>14816</xdr:rowOff>
    </xdr:from>
    <xdr:to>
      <xdr:col>46</xdr:col>
      <xdr:colOff>6350</xdr:colOff>
      <xdr:row>5</xdr:row>
      <xdr:rowOff>101021</xdr:rowOff>
    </xdr:to>
    <xdr:grpSp>
      <xdr:nvGrpSpPr>
        <xdr:cNvPr id="26" name="Group 25">
          <a:extLst>
            <a:ext uri="{FF2B5EF4-FFF2-40B4-BE49-F238E27FC236}">
              <a16:creationId xmlns:a16="http://schemas.microsoft.com/office/drawing/2014/main" id="{03565127-92F7-8A18-12C0-CB46890C2D4C}"/>
            </a:ext>
          </a:extLst>
        </xdr:cNvPr>
        <xdr:cNvGrpSpPr/>
      </xdr:nvGrpSpPr>
      <xdr:grpSpPr>
        <a:xfrm>
          <a:off x="14739911" y="389570"/>
          <a:ext cx="19481488" cy="923156"/>
          <a:chOff x="8912225" y="397259"/>
          <a:chExt cx="18810432" cy="923251"/>
        </a:xfrm>
      </xdr:grpSpPr>
      <xdr:sp macro="" textlink="">
        <xdr:nvSpPr>
          <xdr:cNvPr id="2" name="Rectangle 1">
            <a:extLst>
              <a:ext uri="{FF2B5EF4-FFF2-40B4-BE49-F238E27FC236}">
                <a16:creationId xmlns:a16="http://schemas.microsoft.com/office/drawing/2014/main" id="{BADD4E29-60A9-C85D-6C4F-57FDB3F9453D}"/>
              </a:ext>
            </a:extLst>
          </xdr:cNvPr>
          <xdr:cNvSpPr/>
        </xdr:nvSpPr>
        <xdr:spPr>
          <a:xfrm>
            <a:off x="8912225" y="397259"/>
            <a:ext cx="18810432" cy="923251"/>
          </a:xfrm>
          <a:prstGeom prst="rect">
            <a:avLst/>
          </a:prstGeom>
          <a:gradFill>
            <a:gsLst>
              <a:gs pos="0">
                <a:schemeClr val="tx1"/>
              </a:gs>
              <a:gs pos="100000">
                <a:schemeClr val="accent1">
                  <a:lumMod val="75000"/>
                </a:schemeClr>
              </a:gs>
            </a:gsLst>
            <a:lin ang="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679F76C2-316A-0EB0-29C9-234B769C56F5}"/>
              </a:ext>
            </a:extLst>
          </xdr:cNvPr>
          <xdr:cNvSpPr txBox="1"/>
        </xdr:nvSpPr>
        <xdr:spPr>
          <a:xfrm>
            <a:off x="15419916" y="632113"/>
            <a:ext cx="5861243" cy="451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0">
                <a:solidFill>
                  <a:schemeClr val="bg1"/>
                </a:solidFill>
              </a:rPr>
              <a:t>Four Scenario Dashboard</a:t>
            </a:r>
          </a:p>
        </xdr:txBody>
      </xdr:sp>
    </xdr:grpSp>
    <xdr:clientData/>
  </xdr:twoCellAnchor>
  <xdr:twoCellAnchor>
    <xdr:from>
      <xdr:col>21</xdr:col>
      <xdr:colOff>64519</xdr:colOff>
      <xdr:row>8</xdr:row>
      <xdr:rowOff>1447</xdr:rowOff>
    </xdr:from>
    <xdr:to>
      <xdr:col>45</xdr:col>
      <xdr:colOff>32757</xdr:colOff>
      <xdr:row>75</xdr:row>
      <xdr:rowOff>135819</xdr:rowOff>
    </xdr:to>
    <xdr:grpSp>
      <xdr:nvGrpSpPr>
        <xdr:cNvPr id="36" name="Group 35">
          <a:extLst>
            <a:ext uri="{FF2B5EF4-FFF2-40B4-BE49-F238E27FC236}">
              <a16:creationId xmlns:a16="http://schemas.microsoft.com/office/drawing/2014/main" id="{6381887C-737C-3747-DC2F-4B294BB0B254}"/>
            </a:ext>
          </a:extLst>
        </xdr:cNvPr>
        <xdr:cNvGrpSpPr/>
      </xdr:nvGrpSpPr>
      <xdr:grpSpPr>
        <a:xfrm>
          <a:off x="15541863" y="1812758"/>
          <a:ext cx="17968927" cy="12763586"/>
          <a:chOff x="16424124" y="1814539"/>
          <a:chExt cx="18099159" cy="12550293"/>
        </a:xfrm>
      </xdr:grpSpPr>
      <xdr:grpSp>
        <xdr:nvGrpSpPr>
          <xdr:cNvPr id="35" name="Group 34">
            <a:extLst>
              <a:ext uri="{FF2B5EF4-FFF2-40B4-BE49-F238E27FC236}">
                <a16:creationId xmlns:a16="http://schemas.microsoft.com/office/drawing/2014/main" id="{AEA6492E-7731-0CD3-50CF-7391ED93EA4E}"/>
              </a:ext>
            </a:extLst>
          </xdr:cNvPr>
          <xdr:cNvGrpSpPr/>
        </xdr:nvGrpSpPr>
        <xdr:grpSpPr>
          <a:xfrm>
            <a:off x="16461602" y="1814539"/>
            <a:ext cx="5880300" cy="3123514"/>
            <a:chOff x="16461602" y="1805373"/>
            <a:chExt cx="5880300" cy="3123514"/>
          </a:xfrm>
        </xdr:grpSpPr>
        <xdr:sp macro="" textlink="">
          <xdr:nvSpPr>
            <xdr:cNvPr id="21" name="Rectangle 20">
              <a:extLst>
                <a:ext uri="{FF2B5EF4-FFF2-40B4-BE49-F238E27FC236}">
                  <a16:creationId xmlns:a16="http://schemas.microsoft.com/office/drawing/2014/main" id="{41D289CA-51B6-62BC-2AAE-006819655BA5}"/>
                </a:ext>
              </a:extLst>
            </xdr:cNvPr>
            <xdr:cNvSpPr/>
          </xdr:nvSpPr>
          <xdr:spPr>
            <a:xfrm>
              <a:off x="16461602" y="1805373"/>
              <a:ext cx="5880300" cy="3123514"/>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 name="Chart 3">
              <a:extLst>
                <a:ext uri="{FF2B5EF4-FFF2-40B4-BE49-F238E27FC236}">
                  <a16:creationId xmlns:a16="http://schemas.microsoft.com/office/drawing/2014/main" id="{98725A6C-CE8F-488F-830E-BADB6AB62224}"/>
                </a:ext>
              </a:extLst>
            </xdr:cNvPr>
            <xdr:cNvGraphicFramePr>
              <a:graphicFrameLocks/>
            </xdr:cNvGraphicFramePr>
          </xdr:nvGraphicFramePr>
          <xdr:xfrm>
            <a:off x="16789336" y="2088411"/>
            <a:ext cx="5265991" cy="2818711"/>
          </xdr:xfrm>
          <a:graphic>
            <a:graphicData uri="http://schemas.openxmlformats.org/drawingml/2006/chart">
              <c:chart xmlns:c="http://schemas.openxmlformats.org/drawingml/2006/chart" xmlns:r="http://schemas.openxmlformats.org/officeDocument/2006/relationships" r:id="rId1"/>
            </a:graphicData>
          </a:graphic>
        </xdr:graphicFrame>
      </xdr:grpSp>
      <xdr:grpSp>
        <xdr:nvGrpSpPr>
          <xdr:cNvPr id="32" name="Group 31">
            <a:extLst>
              <a:ext uri="{FF2B5EF4-FFF2-40B4-BE49-F238E27FC236}">
                <a16:creationId xmlns:a16="http://schemas.microsoft.com/office/drawing/2014/main" id="{1365B292-0899-2303-124B-BDE5E1015383}"/>
              </a:ext>
            </a:extLst>
          </xdr:cNvPr>
          <xdr:cNvGrpSpPr/>
        </xdr:nvGrpSpPr>
        <xdr:grpSpPr>
          <a:xfrm>
            <a:off x="16424124" y="5367975"/>
            <a:ext cx="17974801" cy="4278769"/>
            <a:chOff x="16362852" y="5465763"/>
            <a:chExt cx="17919408" cy="4378413"/>
          </a:xfrm>
        </xdr:grpSpPr>
        <xdr:sp macro="" textlink="">
          <xdr:nvSpPr>
            <xdr:cNvPr id="5" name="Rectangle 4">
              <a:extLst>
                <a:ext uri="{FF2B5EF4-FFF2-40B4-BE49-F238E27FC236}">
                  <a16:creationId xmlns:a16="http://schemas.microsoft.com/office/drawing/2014/main" id="{5C66DCC8-0063-B893-7505-64E2092CE1BF}"/>
                </a:ext>
              </a:extLst>
            </xdr:cNvPr>
            <xdr:cNvSpPr/>
          </xdr:nvSpPr>
          <xdr:spPr>
            <a:xfrm>
              <a:off x="16362852" y="5465763"/>
              <a:ext cx="17919408" cy="4378413"/>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 name="Group 11">
              <a:extLst>
                <a:ext uri="{FF2B5EF4-FFF2-40B4-BE49-F238E27FC236}">
                  <a16:creationId xmlns:a16="http://schemas.microsoft.com/office/drawing/2014/main" id="{517E3D6D-857D-641D-AF43-83119753E65D}"/>
                </a:ext>
              </a:extLst>
            </xdr:cNvPr>
            <xdr:cNvGrpSpPr/>
          </xdr:nvGrpSpPr>
          <xdr:grpSpPr>
            <a:xfrm>
              <a:off x="22626486" y="5606213"/>
              <a:ext cx="5250106" cy="3545719"/>
              <a:chOff x="10944577" y="5765764"/>
              <a:chExt cx="5237279" cy="3508608"/>
            </a:xfrm>
          </xdr:grpSpPr>
          <xdr:graphicFrame macro="">
            <xdr:nvGraphicFramePr>
              <xdr:cNvPr id="10" name="Chart 9">
                <a:extLst>
                  <a:ext uri="{FF2B5EF4-FFF2-40B4-BE49-F238E27FC236}">
                    <a16:creationId xmlns:a16="http://schemas.microsoft.com/office/drawing/2014/main" id="{13E08862-6820-4A92-AACF-2B16DAA11D1F}"/>
                  </a:ext>
                </a:extLst>
              </xdr:cNvPr>
              <xdr:cNvGraphicFramePr>
                <a:graphicFrameLocks/>
              </xdr:cNvGraphicFramePr>
            </xdr:nvGraphicFramePr>
            <xdr:xfrm>
              <a:off x="10944577" y="5765764"/>
              <a:ext cx="5237279" cy="2857968"/>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11" name="Scenario 7">
                    <a:extLst>
                      <a:ext uri="{FF2B5EF4-FFF2-40B4-BE49-F238E27FC236}">
                        <a16:creationId xmlns:a16="http://schemas.microsoft.com/office/drawing/2014/main" id="{972FB28B-827A-417E-B49C-E10485363B50}"/>
                      </a:ext>
                    </a:extLst>
                  </xdr:cNvPr>
                  <xdr:cNvGraphicFramePr/>
                </xdr:nvGraphicFramePr>
                <xdr:xfrm>
                  <a:off x="11513951" y="8584284"/>
                  <a:ext cx="4357724" cy="690088"/>
                </xdr:xfrm>
                <a:graphic>
                  <a:graphicData uri="http://schemas.microsoft.com/office/drawing/2010/slicer">
                    <sle:slicer xmlns:sle="http://schemas.microsoft.com/office/drawing/2010/slicer" name="Scenario 7"/>
                  </a:graphicData>
                </a:graphic>
              </xdr:graphicFrame>
            </mc:Choice>
            <mc:Fallback xmlns="">
              <xdr:sp macro="" textlink="">
                <xdr:nvSpPr>
                  <xdr:cNvPr id="0" name=""/>
                  <xdr:cNvSpPr>
                    <a:spLocks noTextEdit="1"/>
                  </xdr:cNvSpPr>
                </xdr:nvSpPr>
                <xdr:spPr>
                  <a:xfrm>
                    <a:off x="22587463" y="8372911"/>
                    <a:ext cx="4395332" cy="690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2" name="Group 21">
              <a:extLst>
                <a:ext uri="{FF2B5EF4-FFF2-40B4-BE49-F238E27FC236}">
                  <a16:creationId xmlns:a16="http://schemas.microsoft.com/office/drawing/2014/main" id="{0F29ECC2-ADC8-2806-121D-76614EECE954}"/>
                </a:ext>
              </a:extLst>
            </xdr:cNvPr>
            <xdr:cNvGrpSpPr/>
          </xdr:nvGrpSpPr>
          <xdr:grpSpPr>
            <a:xfrm>
              <a:off x="16728063" y="5629728"/>
              <a:ext cx="5250107" cy="3562352"/>
              <a:chOff x="10091832" y="5998541"/>
              <a:chExt cx="5266944" cy="3552196"/>
            </a:xfrm>
          </xdr:grpSpPr>
          <xdr:graphicFrame macro="">
            <xdr:nvGraphicFramePr>
              <xdr:cNvPr id="13" name="Chart 12">
                <a:extLst>
                  <a:ext uri="{FF2B5EF4-FFF2-40B4-BE49-F238E27FC236}">
                    <a16:creationId xmlns:a16="http://schemas.microsoft.com/office/drawing/2014/main" id="{EA2F5180-C5C9-496E-9768-3B60F3ACC3C2}"/>
                  </a:ext>
                </a:extLst>
              </xdr:cNvPr>
              <xdr:cNvGraphicFramePr>
                <a:graphicFrameLocks/>
              </xdr:cNvGraphicFramePr>
            </xdr:nvGraphicFramePr>
            <xdr:xfrm>
              <a:off x="10091832" y="5998541"/>
              <a:ext cx="5266944" cy="288036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14" name="Scenario 8">
                    <a:extLst>
                      <a:ext uri="{FF2B5EF4-FFF2-40B4-BE49-F238E27FC236}">
                        <a16:creationId xmlns:a16="http://schemas.microsoft.com/office/drawing/2014/main" id="{400D2D10-1735-498E-8BB7-8564C0F0A7FA}"/>
                      </a:ext>
                    </a:extLst>
                  </xdr:cNvPr>
                  <xdr:cNvGraphicFramePr/>
                </xdr:nvGraphicFramePr>
                <xdr:xfrm>
                  <a:off x="10632886" y="8855793"/>
                  <a:ext cx="4361688" cy="694944"/>
                </xdr:xfrm>
                <a:graphic>
                  <a:graphicData uri="http://schemas.microsoft.com/office/drawing/2010/slicer">
                    <sle:slicer xmlns:sle="http://schemas.microsoft.com/office/drawing/2010/slicer" name="Scenario 8"/>
                  </a:graphicData>
                </a:graphic>
              </xdr:graphicFrame>
            </mc:Choice>
            <mc:Fallback xmlns="">
              <xdr:sp macro="" textlink="">
                <xdr:nvSpPr>
                  <xdr:cNvPr id="0" name=""/>
                  <xdr:cNvSpPr>
                    <a:spLocks noTextEdit="1"/>
                  </xdr:cNvSpPr>
                </xdr:nvSpPr>
                <xdr:spPr>
                  <a:xfrm>
                    <a:off x="16621032" y="8413115"/>
                    <a:ext cx="4374553" cy="6900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3" name="Group 22">
              <a:extLst>
                <a:ext uri="{FF2B5EF4-FFF2-40B4-BE49-F238E27FC236}">
                  <a16:creationId xmlns:a16="http://schemas.microsoft.com/office/drawing/2014/main" id="{67AD2D8D-7574-ED79-AE5F-D21DC7E01013}"/>
                </a:ext>
              </a:extLst>
            </xdr:cNvPr>
            <xdr:cNvGrpSpPr/>
          </xdr:nvGrpSpPr>
          <xdr:grpSpPr>
            <a:xfrm>
              <a:off x="28278882" y="5574743"/>
              <a:ext cx="5248236" cy="3532614"/>
              <a:chOff x="21260208" y="5930378"/>
              <a:chExt cx="5266944" cy="3522459"/>
            </a:xfrm>
          </xdr:grpSpPr>
          <xdr:graphicFrame macro="">
            <xdr:nvGraphicFramePr>
              <xdr:cNvPr id="15" name="Chart 14">
                <a:extLst>
                  <a:ext uri="{FF2B5EF4-FFF2-40B4-BE49-F238E27FC236}">
                    <a16:creationId xmlns:a16="http://schemas.microsoft.com/office/drawing/2014/main" id="{5E61D291-A735-4FAF-94FD-2C8279FEAFF6}"/>
                  </a:ext>
                </a:extLst>
              </xdr:cNvPr>
              <xdr:cNvGraphicFramePr>
                <a:graphicFrameLocks/>
              </xdr:cNvGraphicFramePr>
            </xdr:nvGraphicFramePr>
            <xdr:xfrm>
              <a:off x="21260208" y="5930378"/>
              <a:ext cx="5266944" cy="2880360"/>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16" name="Scenario 9">
                    <a:extLst>
                      <a:ext uri="{FF2B5EF4-FFF2-40B4-BE49-F238E27FC236}">
                        <a16:creationId xmlns:a16="http://schemas.microsoft.com/office/drawing/2014/main" id="{BC37637C-102E-43AA-AC9D-9A36E6EBB4B7}"/>
                      </a:ext>
                    </a:extLst>
                  </xdr:cNvPr>
                  <xdr:cNvGraphicFramePr/>
                </xdr:nvGraphicFramePr>
                <xdr:xfrm>
                  <a:off x="21820804" y="8757893"/>
                  <a:ext cx="4361688" cy="694944"/>
                </xdr:xfrm>
                <a:graphic>
                  <a:graphicData uri="http://schemas.microsoft.com/office/drawing/2010/slicer">
                    <sle:slicer xmlns:sle="http://schemas.microsoft.com/office/drawing/2010/slicer" name="Scenario 9"/>
                  </a:graphicData>
                </a:graphic>
              </xdr:graphicFrame>
            </mc:Choice>
            <mc:Fallback xmlns="">
              <xdr:sp macro="" textlink="">
                <xdr:nvSpPr>
                  <xdr:cNvPr id="0" name=""/>
                  <xdr:cNvSpPr>
                    <a:spLocks noTextEdit="1"/>
                  </xdr:cNvSpPr>
                </xdr:nvSpPr>
                <xdr:spPr>
                  <a:xfrm>
                    <a:off x="28262472" y="8329212"/>
                    <a:ext cx="4372994" cy="690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nvGrpSpPr>
          <xdr:cNvPr id="31" name="Group 30">
            <a:extLst>
              <a:ext uri="{FF2B5EF4-FFF2-40B4-BE49-F238E27FC236}">
                <a16:creationId xmlns:a16="http://schemas.microsoft.com/office/drawing/2014/main" id="{A6B8958E-4966-D860-C12A-86DFB818A899}"/>
              </a:ext>
            </a:extLst>
          </xdr:cNvPr>
          <xdr:cNvGrpSpPr/>
        </xdr:nvGrpSpPr>
        <xdr:grpSpPr>
          <a:xfrm>
            <a:off x="28748370" y="10451432"/>
            <a:ext cx="5774912" cy="3913400"/>
            <a:chOff x="28644084" y="10660004"/>
            <a:chExt cx="5766866" cy="4004380"/>
          </a:xfrm>
        </xdr:grpSpPr>
        <xdr:sp macro="" textlink="">
          <xdr:nvSpPr>
            <xdr:cNvPr id="6" name="Rectangle 5">
              <a:extLst>
                <a:ext uri="{FF2B5EF4-FFF2-40B4-BE49-F238E27FC236}">
                  <a16:creationId xmlns:a16="http://schemas.microsoft.com/office/drawing/2014/main" id="{F5EC4FC7-29C3-BEC7-E2CF-27DBEAD5C039}"/>
                </a:ext>
              </a:extLst>
            </xdr:cNvPr>
            <xdr:cNvSpPr/>
          </xdr:nvSpPr>
          <xdr:spPr>
            <a:xfrm>
              <a:off x="28644084" y="10660004"/>
              <a:ext cx="5766866" cy="4004380"/>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7" name="Group 26">
              <a:extLst>
                <a:ext uri="{FF2B5EF4-FFF2-40B4-BE49-F238E27FC236}">
                  <a16:creationId xmlns:a16="http://schemas.microsoft.com/office/drawing/2014/main" id="{E0FEEF6C-977E-36FD-4046-000727A2933D}"/>
                </a:ext>
              </a:extLst>
            </xdr:cNvPr>
            <xdr:cNvGrpSpPr/>
          </xdr:nvGrpSpPr>
          <xdr:grpSpPr>
            <a:xfrm>
              <a:off x="28808532" y="10816562"/>
              <a:ext cx="5239128" cy="3571262"/>
              <a:chOff x="21301781" y="10169005"/>
              <a:chExt cx="5230368" cy="3615947"/>
            </a:xfrm>
          </xdr:grpSpPr>
          <xdr:graphicFrame macro="">
            <xdr:nvGraphicFramePr>
              <xdr:cNvPr id="17" name="Chart 16">
                <a:extLst>
                  <a:ext uri="{FF2B5EF4-FFF2-40B4-BE49-F238E27FC236}">
                    <a16:creationId xmlns:a16="http://schemas.microsoft.com/office/drawing/2014/main" id="{97488894-07AA-46FA-8FBD-88C0D2636109}"/>
                  </a:ext>
                </a:extLst>
              </xdr:cNvPr>
              <xdr:cNvGraphicFramePr>
                <a:graphicFrameLocks/>
              </xdr:cNvGraphicFramePr>
            </xdr:nvGraphicFramePr>
            <xdr:xfrm>
              <a:off x="21301781" y="10169005"/>
              <a:ext cx="5230368" cy="2926080"/>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18" name="Scenario 10">
                    <a:extLst>
                      <a:ext uri="{FF2B5EF4-FFF2-40B4-BE49-F238E27FC236}">
                        <a16:creationId xmlns:a16="http://schemas.microsoft.com/office/drawing/2014/main" id="{4B73BD4F-E86D-4F56-9325-DDEAC57DEE8D}"/>
                      </a:ext>
                    </a:extLst>
                  </xdr:cNvPr>
                  <xdr:cNvGraphicFramePr/>
                </xdr:nvGraphicFramePr>
                <xdr:xfrm>
                  <a:off x="21877248" y="13090008"/>
                  <a:ext cx="4361688" cy="694944"/>
                </xdr:xfrm>
                <a:graphic>
                  <a:graphicData uri="http://schemas.microsoft.com/office/drawing/2010/slicer">
                    <sle:slicer xmlns:sle="http://schemas.microsoft.com/office/drawing/2010/slicer" name="Scenario 10"/>
                  </a:graphicData>
                </a:graphic>
              </xdr:graphicFrame>
            </mc:Choice>
            <mc:Fallback xmlns="">
              <xdr:sp macro="" textlink="">
                <xdr:nvSpPr>
                  <xdr:cNvPr id="0" name=""/>
                  <xdr:cNvSpPr>
                    <a:spLocks noTextEdit="1"/>
                  </xdr:cNvSpPr>
                </xdr:nvSpPr>
                <xdr:spPr>
                  <a:xfrm>
                    <a:off x="28817128" y="13575700"/>
                    <a:ext cx="4388500" cy="6796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nvGrpSpPr>
          <xdr:cNvPr id="33" name="Group 32">
            <a:extLst>
              <a:ext uri="{FF2B5EF4-FFF2-40B4-BE49-F238E27FC236}">
                <a16:creationId xmlns:a16="http://schemas.microsoft.com/office/drawing/2014/main" id="{2966AF28-6414-F6F7-3AD9-592FBF84372E}"/>
              </a:ext>
            </a:extLst>
          </xdr:cNvPr>
          <xdr:cNvGrpSpPr/>
        </xdr:nvGrpSpPr>
        <xdr:grpSpPr>
          <a:xfrm>
            <a:off x="22624649" y="1816652"/>
            <a:ext cx="5832577" cy="3121401"/>
            <a:chOff x="22624649" y="1816652"/>
            <a:chExt cx="5832577" cy="3121401"/>
          </a:xfrm>
        </xdr:grpSpPr>
        <xdr:sp macro="" textlink="">
          <xdr:nvSpPr>
            <xdr:cNvPr id="20" name="Rectangle 19">
              <a:extLst>
                <a:ext uri="{FF2B5EF4-FFF2-40B4-BE49-F238E27FC236}">
                  <a16:creationId xmlns:a16="http://schemas.microsoft.com/office/drawing/2014/main" id="{AC029236-74E2-001D-4FEF-B93C52F498AE}"/>
                </a:ext>
              </a:extLst>
            </xdr:cNvPr>
            <xdr:cNvSpPr/>
          </xdr:nvSpPr>
          <xdr:spPr>
            <a:xfrm>
              <a:off x="22624649" y="1816652"/>
              <a:ext cx="5832577" cy="3121401"/>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9" name="Chart 18">
              <a:extLst>
                <a:ext uri="{FF2B5EF4-FFF2-40B4-BE49-F238E27FC236}">
                  <a16:creationId xmlns:a16="http://schemas.microsoft.com/office/drawing/2014/main" id="{9E70AC9B-CA7B-4D75-B171-71ED89D1B4A5}"/>
                </a:ext>
              </a:extLst>
            </xdr:cNvPr>
            <xdr:cNvGraphicFramePr>
              <a:graphicFrameLocks/>
            </xdr:cNvGraphicFramePr>
          </xdr:nvGraphicFramePr>
          <xdr:xfrm>
            <a:off x="22939802" y="2040203"/>
            <a:ext cx="5269602" cy="2823393"/>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34" name="Group 33">
            <a:extLst>
              <a:ext uri="{FF2B5EF4-FFF2-40B4-BE49-F238E27FC236}">
                <a16:creationId xmlns:a16="http://schemas.microsoft.com/office/drawing/2014/main" id="{8E6C684C-E587-0C93-E0E7-C6290FE3307B}"/>
              </a:ext>
            </a:extLst>
          </xdr:cNvPr>
          <xdr:cNvGrpSpPr/>
        </xdr:nvGrpSpPr>
        <xdr:grpSpPr>
          <a:xfrm>
            <a:off x="28754009" y="1816652"/>
            <a:ext cx="5769274" cy="3121401"/>
            <a:chOff x="28754009" y="1816652"/>
            <a:chExt cx="5769274" cy="3121401"/>
          </a:xfrm>
        </xdr:grpSpPr>
        <xdr:sp macro="" textlink="">
          <xdr:nvSpPr>
            <xdr:cNvPr id="24" name="Rectangle 23">
              <a:extLst>
                <a:ext uri="{FF2B5EF4-FFF2-40B4-BE49-F238E27FC236}">
                  <a16:creationId xmlns:a16="http://schemas.microsoft.com/office/drawing/2014/main" id="{DA1B06A6-3C0E-46E9-980E-CF42FBEA04C1}"/>
                </a:ext>
              </a:extLst>
            </xdr:cNvPr>
            <xdr:cNvSpPr/>
          </xdr:nvSpPr>
          <xdr:spPr>
            <a:xfrm>
              <a:off x="28754009" y="1816652"/>
              <a:ext cx="5769274" cy="3121401"/>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5" name="Chart 24">
              <a:extLst>
                <a:ext uri="{FF2B5EF4-FFF2-40B4-BE49-F238E27FC236}">
                  <a16:creationId xmlns:a16="http://schemas.microsoft.com/office/drawing/2014/main" id="{4EF4FC11-8767-4172-AFCD-826FB26F9373}"/>
                </a:ext>
              </a:extLst>
            </xdr:cNvPr>
            <xdr:cNvGraphicFramePr>
              <a:graphicFrameLocks/>
            </xdr:cNvGraphicFramePr>
          </xdr:nvGraphicFramePr>
          <xdr:xfrm>
            <a:off x="28857144" y="2042508"/>
            <a:ext cx="5268255" cy="2825817"/>
          </xdr:xfrm>
          <a:graphic>
            <a:graphicData uri="http://schemas.openxmlformats.org/drawingml/2006/chart">
              <c:chart xmlns:c="http://schemas.openxmlformats.org/drawingml/2006/chart" xmlns:r="http://schemas.openxmlformats.org/officeDocument/2006/relationships" r:id="rId7"/>
            </a:graphicData>
          </a:graphic>
        </xdr:graphicFrame>
      </xdr:grpSp>
      <xdr:grpSp>
        <xdr:nvGrpSpPr>
          <xdr:cNvPr id="29" name="Group 28">
            <a:extLst>
              <a:ext uri="{FF2B5EF4-FFF2-40B4-BE49-F238E27FC236}">
                <a16:creationId xmlns:a16="http://schemas.microsoft.com/office/drawing/2014/main" id="{D0F74818-B7F6-0741-812D-A38D8D8A719E}"/>
              </a:ext>
            </a:extLst>
          </xdr:cNvPr>
          <xdr:cNvGrpSpPr/>
        </xdr:nvGrpSpPr>
        <xdr:grpSpPr>
          <a:xfrm>
            <a:off x="16487001" y="10451432"/>
            <a:ext cx="5932134" cy="3685144"/>
            <a:chOff x="16425729" y="10660004"/>
            <a:chExt cx="5909853" cy="3771792"/>
          </a:xfrm>
        </xdr:grpSpPr>
        <xdr:sp macro="" textlink="">
          <xdr:nvSpPr>
            <xdr:cNvPr id="8" name="Rectangle 7">
              <a:extLst>
                <a:ext uri="{FF2B5EF4-FFF2-40B4-BE49-F238E27FC236}">
                  <a16:creationId xmlns:a16="http://schemas.microsoft.com/office/drawing/2014/main" id="{7CC08840-7CAB-49C3-B4DD-3E7FC65096F1}"/>
                </a:ext>
              </a:extLst>
            </xdr:cNvPr>
            <xdr:cNvSpPr/>
          </xdr:nvSpPr>
          <xdr:spPr>
            <a:xfrm>
              <a:off x="16425729" y="10660004"/>
              <a:ext cx="5909853" cy="3771792"/>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243B5A27-42E0-409B-931F-61BD482AF994}"/>
                </a:ext>
              </a:extLst>
            </xdr:cNvPr>
            <xdr:cNvGraphicFramePr>
              <a:graphicFrameLocks/>
            </xdr:cNvGraphicFramePr>
          </xdr:nvGraphicFramePr>
          <xdr:xfrm>
            <a:off x="16762603" y="10988674"/>
            <a:ext cx="5201686" cy="3184761"/>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30" name="Group 29">
            <a:extLst>
              <a:ext uri="{FF2B5EF4-FFF2-40B4-BE49-F238E27FC236}">
                <a16:creationId xmlns:a16="http://schemas.microsoft.com/office/drawing/2014/main" id="{62D63129-4E41-DD1A-FFD8-257330CFE952}"/>
              </a:ext>
            </a:extLst>
          </xdr:cNvPr>
          <xdr:cNvGrpSpPr/>
        </xdr:nvGrpSpPr>
        <xdr:grpSpPr>
          <a:xfrm>
            <a:off x="22603292" y="10451432"/>
            <a:ext cx="5924100" cy="3687775"/>
            <a:chOff x="22519739" y="10660004"/>
            <a:chExt cx="5903367" cy="3774423"/>
          </a:xfrm>
        </xdr:grpSpPr>
        <xdr:sp macro="" textlink="">
          <xdr:nvSpPr>
            <xdr:cNvPr id="7" name="Rectangle 6">
              <a:extLst>
                <a:ext uri="{FF2B5EF4-FFF2-40B4-BE49-F238E27FC236}">
                  <a16:creationId xmlns:a16="http://schemas.microsoft.com/office/drawing/2014/main" id="{1CBA1C6C-F3AA-4F34-A094-8109FCF92AC8}"/>
                </a:ext>
              </a:extLst>
            </xdr:cNvPr>
            <xdr:cNvSpPr/>
          </xdr:nvSpPr>
          <xdr:spPr>
            <a:xfrm>
              <a:off x="22519739" y="10660004"/>
              <a:ext cx="5903367" cy="3774423"/>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8E910773-E0F5-411A-A81A-C316A27BCA6A}"/>
                </a:ext>
              </a:extLst>
            </xdr:cNvPr>
            <xdr:cNvGraphicFramePr>
              <a:graphicFrameLocks/>
            </xdr:cNvGraphicFramePr>
          </xdr:nvGraphicFramePr>
          <xdr:xfrm>
            <a:off x="22921906" y="10967508"/>
            <a:ext cx="5202936" cy="3204658"/>
          </xdr:xfrm>
          <a:graphic>
            <a:graphicData uri="http://schemas.openxmlformats.org/drawingml/2006/chart">
              <c:chart xmlns:c="http://schemas.openxmlformats.org/drawingml/2006/chart" xmlns:r="http://schemas.openxmlformats.org/officeDocument/2006/relationships" r:id="rId9"/>
            </a:graphicData>
          </a:graphic>
        </xdr:graphicFrame>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517524</xdr:colOff>
      <xdr:row>2</xdr:row>
      <xdr:rowOff>78317</xdr:rowOff>
    </xdr:from>
    <xdr:to>
      <xdr:col>21</xdr:col>
      <xdr:colOff>784224</xdr:colOff>
      <xdr:row>21</xdr:row>
      <xdr:rowOff>65618</xdr:rowOff>
    </xdr:to>
    <xdr:sp macro="" textlink="">
      <xdr:nvSpPr>
        <xdr:cNvPr id="2" name="TextBox 1">
          <a:extLst>
            <a:ext uri="{FF2B5EF4-FFF2-40B4-BE49-F238E27FC236}">
              <a16:creationId xmlns:a16="http://schemas.microsoft.com/office/drawing/2014/main" id="{E826F42B-AAE3-0745-94AD-9EA328991178}"/>
            </a:ext>
          </a:extLst>
        </xdr:cNvPr>
        <xdr:cNvSpPr txBox="1"/>
      </xdr:nvSpPr>
      <xdr:spPr>
        <a:xfrm>
          <a:off x="10492316" y="686859"/>
          <a:ext cx="7791450" cy="391371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Use if statements to create four scenarios for this financial model. </a:t>
          </a:r>
        </a:p>
        <a:p>
          <a:endParaRPr lang="en-US" sz="2000"/>
        </a:p>
        <a:p>
          <a:r>
            <a:rPr lang="en-US" sz="2000"/>
            <a:t>The</a:t>
          </a:r>
          <a:r>
            <a:rPr lang="en-US" sz="2000" baseline="0"/>
            <a:t> goal is to use if statements to connect to t</a:t>
          </a:r>
          <a:r>
            <a:rPr lang="en-US" sz="2000"/>
            <a:t>he Scenario box.</a:t>
          </a:r>
          <a:r>
            <a:rPr lang="en-US" sz="2000" baseline="0"/>
            <a:t> </a:t>
          </a:r>
          <a:r>
            <a:rPr lang="en-US" sz="2000"/>
            <a:t> When</a:t>
          </a:r>
          <a:r>
            <a:rPr lang="en-US" sz="2000" baseline="0"/>
            <a:t> </a:t>
          </a:r>
          <a:r>
            <a:rPr lang="en-US" sz="2000"/>
            <a:t>cell K14</a:t>
          </a:r>
          <a:r>
            <a:rPr lang="en-US" sz="2000" baseline="0"/>
            <a:t> is changed between 1,2,3,4 this will trigger the if statements to automatically update the financial model.  Use Data Validation </a:t>
          </a:r>
        </a:p>
        <a:p>
          <a:endParaRPr lang="en-US" sz="2000"/>
        </a:p>
        <a:p>
          <a:r>
            <a:rPr lang="en-US" sz="2000"/>
            <a:t>Use</a:t>
          </a:r>
          <a:r>
            <a:rPr lang="en-US" sz="2000" baseline="0"/>
            <a:t> the scenario information below to create if statements for rows 47-50 highlighted in </a:t>
          </a:r>
          <a:r>
            <a:rPr lang="en-US" sz="2000" baseline="0">
              <a:solidFill>
                <a:schemeClr val="tx1"/>
              </a:solidFill>
            </a:rPr>
            <a:t>yellow.  And 52-56 highlighted in Green.</a:t>
          </a:r>
          <a:endParaRPr lang="en-US" sz="2000" baseline="0">
            <a:solidFill>
              <a:srgbClr val="FFFF00"/>
            </a:solidFill>
          </a:endParaRPr>
        </a:p>
        <a:p>
          <a:endParaRPr lang="en-US" sz="2000" baseline="0"/>
        </a:p>
        <a:p>
          <a:r>
            <a:rPr lang="en-US" sz="2000" baseline="0"/>
            <a:t>Calculate NPV and IRR based on Leveraged free cash flow (row 100), see comment in cell K17 &amp; L17.</a:t>
          </a:r>
        </a:p>
        <a:p>
          <a:r>
            <a:rPr lang="en-US" sz="2000" baseline="0"/>
            <a:t>Please create an Executive Summary and Dashboard</a:t>
          </a:r>
        </a:p>
      </xdr:txBody>
    </xdr:sp>
    <xdr:clientData/>
  </xdr:twoCellAnchor>
  <xdr:twoCellAnchor>
    <xdr:from>
      <xdr:col>12</xdr:col>
      <xdr:colOff>474980</xdr:colOff>
      <xdr:row>15</xdr:row>
      <xdr:rowOff>152400</xdr:rowOff>
    </xdr:from>
    <xdr:to>
      <xdr:col>16</xdr:col>
      <xdr:colOff>160020</xdr:colOff>
      <xdr:row>46</xdr:row>
      <xdr:rowOff>22860</xdr:rowOff>
    </xdr:to>
    <xdr:cxnSp macro="">
      <xdr:nvCxnSpPr>
        <xdr:cNvPr id="9" name="Straight Arrow Connector 2">
          <a:extLst>
            <a:ext uri="{FF2B5EF4-FFF2-40B4-BE49-F238E27FC236}">
              <a16:creationId xmlns:a16="http://schemas.microsoft.com/office/drawing/2014/main" id="{169279C0-182D-8D4A-9D2D-3706FE9D2A45}"/>
            </a:ext>
          </a:extLst>
        </xdr:cNvPr>
        <xdr:cNvCxnSpPr/>
      </xdr:nvCxnSpPr>
      <xdr:spPr>
        <a:xfrm flipH="1">
          <a:off x="10487660" y="3421380"/>
          <a:ext cx="3037840" cy="6088380"/>
        </a:xfrm>
        <a:prstGeom prst="straightConnector1">
          <a:avLst/>
        </a:prstGeom>
        <a:ln w="825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7</xdr:row>
      <xdr:rowOff>25400</xdr:rowOff>
    </xdr:from>
    <xdr:to>
      <xdr:col>13</xdr:col>
      <xdr:colOff>241300</xdr:colOff>
      <xdr:row>12</xdr:row>
      <xdr:rowOff>127000</xdr:rowOff>
    </xdr:to>
    <xdr:cxnSp macro="">
      <xdr:nvCxnSpPr>
        <xdr:cNvPr id="4" name="Straight Arrow Connector 3">
          <a:extLst>
            <a:ext uri="{FF2B5EF4-FFF2-40B4-BE49-F238E27FC236}">
              <a16:creationId xmlns:a16="http://schemas.microsoft.com/office/drawing/2014/main" id="{0AC6624C-C213-2D4B-A1A9-FB2F89495980}"/>
            </a:ext>
          </a:extLst>
        </xdr:cNvPr>
        <xdr:cNvCxnSpPr/>
      </xdr:nvCxnSpPr>
      <xdr:spPr>
        <a:xfrm flipH="1">
          <a:off x="9283700" y="1651000"/>
          <a:ext cx="1879600" cy="1130300"/>
        </a:xfrm>
        <a:prstGeom prst="straightConnector1">
          <a:avLst/>
        </a:prstGeom>
        <a:ln w="825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165100</xdr:colOff>
      <xdr:row>14</xdr:row>
      <xdr:rowOff>25400</xdr:rowOff>
    </xdr:from>
    <xdr:to>
      <xdr:col>17</xdr:col>
      <xdr:colOff>279400</xdr:colOff>
      <xdr:row>22</xdr:row>
      <xdr:rowOff>114300</xdr:rowOff>
    </xdr:to>
    <xdr:cxnSp macro="">
      <xdr:nvCxnSpPr>
        <xdr:cNvPr id="5" name="Straight Arrow Connector 4">
          <a:extLst>
            <a:ext uri="{FF2B5EF4-FFF2-40B4-BE49-F238E27FC236}">
              <a16:creationId xmlns:a16="http://schemas.microsoft.com/office/drawing/2014/main" id="{C9E36384-3EC7-0F4F-AAB3-0679699B5C8A}"/>
            </a:ext>
          </a:extLst>
        </xdr:cNvPr>
        <xdr:cNvCxnSpPr/>
      </xdr:nvCxnSpPr>
      <xdr:spPr>
        <a:xfrm flipH="1">
          <a:off x="14389100" y="3162300"/>
          <a:ext cx="114300" cy="17399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660400</xdr:colOff>
      <xdr:row>15</xdr:row>
      <xdr:rowOff>50800</xdr:rowOff>
    </xdr:from>
    <xdr:to>
      <xdr:col>13</xdr:col>
      <xdr:colOff>101600</xdr:colOff>
      <xdr:row>17</xdr:row>
      <xdr:rowOff>177800</xdr:rowOff>
    </xdr:to>
    <xdr:cxnSp macro="">
      <xdr:nvCxnSpPr>
        <xdr:cNvPr id="6" name="Straight Arrow Connector 5">
          <a:extLst>
            <a:ext uri="{FF2B5EF4-FFF2-40B4-BE49-F238E27FC236}">
              <a16:creationId xmlns:a16="http://schemas.microsoft.com/office/drawing/2014/main" id="{0CA0E5EC-53C8-FE46-9E78-958164C99470}"/>
            </a:ext>
          </a:extLst>
        </xdr:cNvPr>
        <xdr:cNvCxnSpPr/>
      </xdr:nvCxnSpPr>
      <xdr:spPr>
        <a:xfrm flipH="1" flipV="1">
          <a:off x="9906000" y="3403600"/>
          <a:ext cx="1117600" cy="5461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213360</xdr:colOff>
      <xdr:row>47</xdr:row>
      <xdr:rowOff>0</xdr:rowOff>
    </xdr:from>
    <xdr:to>
      <xdr:col>14</xdr:col>
      <xdr:colOff>114300</xdr:colOff>
      <xdr:row>51</xdr:row>
      <xdr:rowOff>121920</xdr:rowOff>
    </xdr:to>
    <xdr:cxnSp macro="">
      <xdr:nvCxnSpPr>
        <xdr:cNvPr id="7" name="Straight Arrow Connector 6">
          <a:extLst>
            <a:ext uri="{FF2B5EF4-FFF2-40B4-BE49-F238E27FC236}">
              <a16:creationId xmlns:a16="http://schemas.microsoft.com/office/drawing/2014/main" id="{FD07DA7D-1B04-4B48-8B19-B71DC884D162}"/>
            </a:ext>
          </a:extLst>
        </xdr:cNvPr>
        <xdr:cNvCxnSpPr/>
      </xdr:nvCxnSpPr>
      <xdr:spPr>
        <a:xfrm flipH="1">
          <a:off x="10226040" y="9791700"/>
          <a:ext cx="1577340" cy="12192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511969</xdr:colOff>
      <xdr:row>5</xdr:row>
      <xdr:rowOff>170544</xdr:rowOff>
    </xdr:from>
    <xdr:to>
      <xdr:col>5</xdr:col>
      <xdr:colOff>264205</xdr:colOff>
      <xdr:row>19</xdr:row>
      <xdr:rowOff>57944</xdr:rowOff>
    </xdr:to>
    <xdr:graphicFrame macro="">
      <xdr:nvGraphicFramePr>
        <xdr:cNvPr id="6" name="Chart 5">
          <a:extLst>
            <a:ext uri="{FF2B5EF4-FFF2-40B4-BE49-F238E27FC236}">
              <a16:creationId xmlns:a16="http://schemas.microsoft.com/office/drawing/2014/main" id="{3D74B159-7736-482C-B4A7-94E9B8F0B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210345</xdr:colOff>
      <xdr:row>152</xdr:row>
      <xdr:rowOff>202009</xdr:rowOff>
    </xdr:from>
    <xdr:to>
      <xdr:col>4</xdr:col>
      <xdr:colOff>396876</xdr:colOff>
      <xdr:row>166</xdr:row>
      <xdr:rowOff>111522</xdr:rowOff>
    </xdr:to>
    <xdr:graphicFrame macro="">
      <xdr:nvGraphicFramePr>
        <xdr:cNvPr id="10" name="Chart 9">
          <a:extLst>
            <a:ext uri="{FF2B5EF4-FFF2-40B4-BE49-F238E27FC236}">
              <a16:creationId xmlns:a16="http://schemas.microsoft.com/office/drawing/2014/main" id="{C4778B6C-6C08-5270-68EA-DB287C519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5</xdr:col>
      <xdr:colOff>960438</xdr:colOff>
      <xdr:row>135</xdr:row>
      <xdr:rowOff>65883</xdr:rowOff>
    </xdr:from>
    <xdr:to>
      <xdr:col>8</xdr:col>
      <xdr:colOff>284986</xdr:colOff>
      <xdr:row>143</xdr:row>
      <xdr:rowOff>51595</xdr:rowOff>
    </xdr:to>
    <mc:AlternateContent xmlns:mc="http://schemas.openxmlformats.org/markup-compatibility/2006" xmlns:sle15="http://schemas.microsoft.com/office/drawing/2012/slicer">
      <mc:Choice Requires="sle15">
        <xdr:graphicFrame macro="">
          <xdr:nvGraphicFramePr>
            <xdr:cNvPr id="11" name="Scenario 2">
              <a:extLst>
                <a:ext uri="{FF2B5EF4-FFF2-40B4-BE49-F238E27FC236}">
                  <a16:creationId xmlns:a16="http://schemas.microsoft.com/office/drawing/2014/main" id="{FF43B25D-9BD9-EE15-8824-79AB5461A539}"/>
                </a:ext>
              </a:extLst>
            </xdr:cNvPr>
            <xdr:cNvGraphicFramePr/>
          </xdr:nvGraphicFramePr>
          <xdr:xfrm>
            <a:off x="0" y="0"/>
            <a:ext cx="0" cy="0"/>
          </xdr:xfrm>
          <a:graphic>
            <a:graphicData uri="http://schemas.microsoft.com/office/drawing/2010/slicer">
              <sle:slicer xmlns:sle="http://schemas.microsoft.com/office/drawing/2010/slicer" name="Scenario 2"/>
            </a:graphicData>
          </a:graphic>
        </xdr:graphicFrame>
      </mc:Choice>
      <mc:Fallback xmlns="">
        <xdr:sp macro="" textlink="">
          <xdr:nvSpPr>
            <xdr:cNvPr id="0" name=""/>
            <xdr:cNvSpPr>
              <a:spLocks noTextEdit="1"/>
            </xdr:cNvSpPr>
          </xdr:nvSpPr>
          <xdr:spPr>
            <a:xfrm>
              <a:off x="5064919" y="27390727"/>
              <a:ext cx="1828800" cy="160496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424509</xdr:colOff>
      <xdr:row>56</xdr:row>
      <xdr:rowOff>92428</xdr:rowOff>
    </xdr:from>
    <xdr:to>
      <xdr:col>8</xdr:col>
      <xdr:colOff>480953</xdr:colOff>
      <xdr:row>69</xdr:row>
      <xdr:rowOff>160396</xdr:rowOff>
    </xdr:to>
    <xdr:graphicFrame macro="">
      <xdr:nvGraphicFramePr>
        <xdr:cNvPr id="19" name="Chart 18">
          <a:extLst>
            <a:ext uri="{FF2B5EF4-FFF2-40B4-BE49-F238E27FC236}">
              <a16:creationId xmlns:a16="http://schemas.microsoft.com/office/drawing/2014/main" id="{96959A3C-9697-36F4-E1AA-A20EA7244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30574</xdr:colOff>
      <xdr:row>111</xdr:row>
      <xdr:rowOff>33633</xdr:rowOff>
    </xdr:from>
    <xdr:to>
      <xdr:col>8</xdr:col>
      <xdr:colOff>10583</xdr:colOff>
      <xdr:row>124</xdr:row>
      <xdr:rowOff>101601</xdr:rowOff>
    </xdr:to>
    <xdr:graphicFrame macro="">
      <xdr:nvGraphicFramePr>
        <xdr:cNvPr id="20" name="Chart 19">
          <a:extLst>
            <a:ext uri="{FF2B5EF4-FFF2-40B4-BE49-F238E27FC236}">
              <a16:creationId xmlns:a16="http://schemas.microsoft.com/office/drawing/2014/main" id="{D4C675C5-AB37-62D5-A0B5-5098128B9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144462</xdr:colOff>
      <xdr:row>269</xdr:row>
      <xdr:rowOff>133350</xdr:rowOff>
    </xdr:from>
    <xdr:to>
      <xdr:col>4</xdr:col>
      <xdr:colOff>792162</xdr:colOff>
      <xdr:row>283</xdr:row>
      <xdr:rowOff>31750</xdr:rowOff>
    </xdr:to>
    <xdr:graphicFrame macro="">
      <xdr:nvGraphicFramePr>
        <xdr:cNvPr id="21" name="Chart 20">
          <a:extLst>
            <a:ext uri="{FF2B5EF4-FFF2-40B4-BE49-F238E27FC236}">
              <a16:creationId xmlns:a16="http://schemas.microsoft.com/office/drawing/2014/main" id="{6CB73984-7EF3-4E73-8355-816D503C8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5</xdr:col>
      <xdr:colOff>133350</xdr:colOff>
      <xdr:row>269</xdr:row>
      <xdr:rowOff>82550</xdr:rowOff>
    </xdr:from>
    <xdr:ext cx="1828800" cy="2714619"/>
    <mc:AlternateContent xmlns:mc="http://schemas.openxmlformats.org/markup-compatibility/2006" xmlns:a14="http://schemas.microsoft.com/office/drawing/2010/main">
      <mc:Choice Requires="a14">
        <xdr:graphicFrame macro="">
          <xdr:nvGraphicFramePr>
            <xdr:cNvPr id="22" name="Scenario 3">
              <a:extLst>
                <a:ext uri="{FF2B5EF4-FFF2-40B4-BE49-F238E27FC236}">
                  <a16:creationId xmlns:a16="http://schemas.microsoft.com/office/drawing/2014/main" id="{7AE3E753-8535-4CF5-9AF4-512AD69569C8}"/>
                </a:ext>
              </a:extLst>
            </xdr:cNvPr>
            <xdr:cNvGraphicFramePr/>
          </xdr:nvGraphicFramePr>
          <xdr:xfrm>
            <a:off x="0" y="0"/>
            <a:ext cx="0" cy="0"/>
          </xdr:xfrm>
          <a:graphic>
            <a:graphicData uri="http://schemas.microsoft.com/office/drawing/2010/slicer">
              <sle:slicer xmlns:sle="http://schemas.microsoft.com/office/drawing/2010/slicer" name="Scenario 3"/>
            </a:graphicData>
          </a:graphic>
        </xdr:graphicFrame>
      </mc:Choice>
      <mc:Fallback xmlns="">
        <xdr:sp macro="" textlink="">
          <xdr:nvSpPr>
            <xdr:cNvPr id="0" name=""/>
            <xdr:cNvSpPr>
              <a:spLocks noTextEdit="1"/>
            </xdr:cNvSpPr>
          </xdr:nvSpPr>
          <xdr:spPr>
            <a:xfrm>
              <a:off x="6060017" y="47413569"/>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109537</xdr:colOff>
      <xdr:row>295</xdr:row>
      <xdr:rowOff>6350</xdr:rowOff>
    </xdr:from>
    <xdr:to>
      <xdr:col>4</xdr:col>
      <xdr:colOff>344487</xdr:colOff>
      <xdr:row>308</xdr:row>
      <xdr:rowOff>107950</xdr:rowOff>
    </xdr:to>
    <xdr:graphicFrame macro="">
      <xdr:nvGraphicFramePr>
        <xdr:cNvPr id="23" name="Chart 22">
          <a:extLst>
            <a:ext uri="{FF2B5EF4-FFF2-40B4-BE49-F238E27FC236}">
              <a16:creationId xmlns:a16="http://schemas.microsoft.com/office/drawing/2014/main" id="{56C89011-EE49-4865-B954-30F766454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619125</xdr:colOff>
      <xdr:row>296</xdr:row>
      <xdr:rowOff>57151</xdr:rowOff>
    </xdr:from>
    <xdr:ext cx="1828800" cy="1752600"/>
    <mc:AlternateContent xmlns:mc="http://schemas.openxmlformats.org/markup-compatibility/2006" xmlns:a14="http://schemas.microsoft.com/office/drawing/2010/main">
      <mc:Choice Requires="a14">
        <xdr:graphicFrame macro="">
          <xdr:nvGraphicFramePr>
            <xdr:cNvPr id="24" name="Scenario 4">
              <a:extLst>
                <a:ext uri="{FF2B5EF4-FFF2-40B4-BE49-F238E27FC236}">
                  <a16:creationId xmlns:a16="http://schemas.microsoft.com/office/drawing/2014/main" id="{4E8F5C40-7B8D-460E-AFFD-174E00AC5C64}"/>
                </a:ext>
              </a:extLst>
            </xdr:cNvPr>
            <xdr:cNvGraphicFramePr/>
          </xdr:nvGraphicFramePr>
          <xdr:xfrm>
            <a:off x="0" y="0"/>
            <a:ext cx="0" cy="0"/>
          </xdr:xfrm>
          <a:graphic>
            <a:graphicData uri="http://schemas.microsoft.com/office/drawing/2010/slicer">
              <sle:slicer xmlns:sle="http://schemas.microsoft.com/office/drawing/2010/slicer" name="Scenario 4"/>
            </a:graphicData>
          </a:graphic>
        </xdr:graphicFrame>
      </mc:Choice>
      <mc:Fallback xmlns="">
        <xdr:sp macro="" textlink="">
          <xdr:nvSpPr>
            <xdr:cNvPr id="0" name=""/>
            <xdr:cNvSpPr>
              <a:spLocks noTextEdit="1"/>
            </xdr:cNvSpPr>
          </xdr:nvSpPr>
          <xdr:spPr>
            <a:xfrm>
              <a:off x="5705005" y="53355994"/>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84137</xdr:colOff>
      <xdr:row>323</xdr:row>
      <xdr:rowOff>34925</xdr:rowOff>
    </xdr:from>
    <xdr:to>
      <xdr:col>5</xdr:col>
      <xdr:colOff>357187</xdr:colOff>
      <xdr:row>336</xdr:row>
      <xdr:rowOff>136525</xdr:rowOff>
    </xdr:to>
    <xdr:graphicFrame macro="">
      <xdr:nvGraphicFramePr>
        <xdr:cNvPr id="25" name="Chart 24">
          <a:extLst>
            <a:ext uri="{FF2B5EF4-FFF2-40B4-BE49-F238E27FC236}">
              <a16:creationId xmlns:a16="http://schemas.microsoft.com/office/drawing/2014/main" id="{8E2FFB19-A230-4FED-B745-A9E150AEC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xdr:col>
      <xdr:colOff>498475</xdr:colOff>
      <xdr:row>323</xdr:row>
      <xdr:rowOff>88900</xdr:rowOff>
    </xdr:from>
    <xdr:ext cx="1828800" cy="2714619"/>
    <mc:AlternateContent xmlns:mc="http://schemas.openxmlformats.org/markup-compatibility/2006" xmlns:a14="http://schemas.microsoft.com/office/drawing/2010/main">
      <mc:Choice Requires="a14">
        <xdr:graphicFrame macro="">
          <xdr:nvGraphicFramePr>
            <xdr:cNvPr id="26" name="Scenario 6">
              <a:extLst>
                <a:ext uri="{FF2B5EF4-FFF2-40B4-BE49-F238E27FC236}">
                  <a16:creationId xmlns:a16="http://schemas.microsoft.com/office/drawing/2014/main" id="{07E5A4AE-DD43-4D35-85BD-06B9ECE0EA2F}"/>
                </a:ext>
              </a:extLst>
            </xdr:cNvPr>
            <xdr:cNvGraphicFramePr/>
          </xdr:nvGraphicFramePr>
          <xdr:xfrm>
            <a:off x="0" y="0"/>
            <a:ext cx="0" cy="0"/>
          </xdr:xfrm>
          <a:graphic>
            <a:graphicData uri="http://schemas.microsoft.com/office/drawing/2010/slicer">
              <sle:slicer xmlns:sle="http://schemas.microsoft.com/office/drawing/2010/slicer" name="Scenario 6"/>
            </a:graphicData>
          </a:graphic>
        </xdr:graphicFrame>
      </mc:Choice>
      <mc:Fallback xmlns="">
        <xdr:sp macro="" textlink="">
          <xdr:nvSpPr>
            <xdr:cNvPr id="0" name=""/>
            <xdr:cNvSpPr>
              <a:spLocks noTextEdit="1"/>
            </xdr:cNvSpPr>
          </xdr:nvSpPr>
          <xdr:spPr>
            <a:xfrm>
              <a:off x="6425142" y="58943993"/>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17462</xdr:colOff>
      <xdr:row>351</xdr:row>
      <xdr:rowOff>111125</xdr:rowOff>
    </xdr:from>
    <xdr:to>
      <xdr:col>4</xdr:col>
      <xdr:colOff>763587</xdr:colOff>
      <xdr:row>365</xdr:row>
      <xdr:rowOff>9525</xdr:rowOff>
    </xdr:to>
    <xdr:graphicFrame macro="">
      <xdr:nvGraphicFramePr>
        <xdr:cNvPr id="27" name="Chart 26">
          <a:extLst>
            <a:ext uri="{FF2B5EF4-FFF2-40B4-BE49-F238E27FC236}">
              <a16:creationId xmlns:a16="http://schemas.microsoft.com/office/drawing/2014/main" id="{89376426-3698-4BD7-9688-3B098C774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5</xdr:col>
      <xdr:colOff>111125</xdr:colOff>
      <xdr:row>351</xdr:row>
      <xdr:rowOff>101600</xdr:rowOff>
    </xdr:from>
    <xdr:ext cx="1828800" cy="2714619"/>
    <mc:AlternateContent xmlns:mc="http://schemas.openxmlformats.org/markup-compatibility/2006" xmlns:a14="http://schemas.microsoft.com/office/drawing/2010/main">
      <mc:Choice Requires="a14">
        <xdr:graphicFrame macro="">
          <xdr:nvGraphicFramePr>
            <xdr:cNvPr id="28" name="Scenario 5">
              <a:extLst>
                <a:ext uri="{FF2B5EF4-FFF2-40B4-BE49-F238E27FC236}">
                  <a16:creationId xmlns:a16="http://schemas.microsoft.com/office/drawing/2014/main" id="{7036F478-F82C-490D-88D4-92E23150642B}"/>
                </a:ext>
              </a:extLst>
            </xdr:cNvPr>
            <xdr:cNvGraphicFramePr/>
          </xdr:nvGraphicFramePr>
          <xdr:xfrm>
            <a:off x="0" y="0"/>
            <a:ext cx="0" cy="0"/>
          </xdr:xfrm>
          <a:graphic>
            <a:graphicData uri="http://schemas.microsoft.com/office/drawing/2010/slicer">
              <sle:slicer xmlns:sle="http://schemas.microsoft.com/office/drawing/2010/slicer" name="Scenario 5"/>
            </a:graphicData>
          </a:graphic>
        </xdr:graphicFrame>
      </mc:Choice>
      <mc:Fallback xmlns="">
        <xdr:sp macro="" textlink="">
          <xdr:nvSpPr>
            <xdr:cNvPr id="0" name=""/>
            <xdr:cNvSpPr>
              <a:spLocks noTextEdit="1"/>
            </xdr:cNvSpPr>
          </xdr:nvSpPr>
          <xdr:spPr>
            <a:xfrm>
              <a:off x="6037792" y="6471873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531813</xdr:colOff>
      <xdr:row>405</xdr:row>
      <xdr:rowOff>11509</xdr:rowOff>
    </xdr:from>
    <xdr:to>
      <xdr:col>5</xdr:col>
      <xdr:colOff>912812</xdr:colOff>
      <xdr:row>418</xdr:row>
      <xdr:rowOff>123428</xdr:rowOff>
    </xdr:to>
    <xdr:graphicFrame macro="">
      <xdr:nvGraphicFramePr>
        <xdr:cNvPr id="3" name="Chart 2">
          <a:extLst>
            <a:ext uri="{FF2B5EF4-FFF2-40B4-BE49-F238E27FC236}">
              <a16:creationId xmlns:a16="http://schemas.microsoft.com/office/drawing/2014/main" id="{2F03D6F6-E599-63A1-DFE4-87ACF29ED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734218</xdr:colOff>
      <xdr:row>462</xdr:row>
      <xdr:rowOff>138508</xdr:rowOff>
    </xdr:from>
    <xdr:to>
      <xdr:col>6</xdr:col>
      <xdr:colOff>754062</xdr:colOff>
      <xdr:row>476</xdr:row>
      <xdr:rowOff>48022</xdr:rowOff>
    </xdr:to>
    <xdr:graphicFrame macro="">
      <xdr:nvGraphicFramePr>
        <xdr:cNvPr id="4" name="Chart 3">
          <a:extLst>
            <a:ext uri="{FF2B5EF4-FFF2-40B4-BE49-F238E27FC236}">
              <a16:creationId xmlns:a16="http://schemas.microsoft.com/office/drawing/2014/main" id="{86909ED8-ED53-0EEE-E49D-D792CAECC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1826388889" createdVersion="8" refreshedVersion="8" minRefreshableVersion="3" recordCount="24" xr:uid="{2FCF201B-C088-49FF-9B6F-1F227B405BE0}">
  <cacheSource type="worksheet">
    <worksheetSource name="Table35"/>
  </cacheSource>
  <cacheFields count="3">
    <cacheField name="Year" numFmtId="0">
      <sharedItems count="6">
        <s v="FY 2020E"/>
        <s v="FY 2021E"/>
        <s v="FY 2022E"/>
        <s v="FY 2023E"/>
        <s v="FY 2024E"/>
        <s v="FY 2025E"/>
      </sharedItems>
    </cacheField>
    <cacheField name="Net Income" numFmtId="167">
      <sharedItems containsSemiMixedTypes="0" containsString="0" containsNumber="1" minValue="13399.830853299043" maxValue="47384.086816916184"/>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7912767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4412268518" createdVersion="8" refreshedVersion="8" minRefreshableVersion="3" recordCount="24" xr:uid="{98C51EA9-48AF-4B3D-AEDE-6A9BB0577735}">
  <cacheSource type="worksheet">
    <worksheetSource name="Table3"/>
  </cacheSource>
  <cacheFields count="3">
    <cacheField name="Year" numFmtId="0">
      <sharedItems count="6">
        <s v="FY 2020E"/>
        <s v="FY 2021E"/>
        <s v="FY 2022E"/>
        <s v="FY 2023E"/>
        <s v="FY 2024E"/>
        <s v="FY 2025E"/>
      </sharedItems>
    </cacheField>
    <cacheField name="Operating Income" numFmtId="167">
      <sharedItems containsSemiMixedTypes="0" containsString="0" containsNumber="1" minValue="17055.100000000002" maxValue="59537.477587390495"/>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11673256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9887962963" createdVersion="8" refreshedVersion="8" minRefreshableVersion="3" recordCount="24" xr:uid="{5D0D15BA-2FB3-4EB9-8570-5A6F44CAF604}">
  <cacheSource type="worksheet">
    <worksheetSource name="Table356"/>
  </cacheSource>
  <cacheFields count="3">
    <cacheField name="Year" numFmtId="0">
      <sharedItems count="6">
        <s v="FY 2020E"/>
        <s v="FY 2021E"/>
        <s v="FY 2022E"/>
        <s v="FY 2023E"/>
        <s v="FY 2024E"/>
        <s v="FY 2025E"/>
      </sharedItems>
    </cacheField>
    <cacheField name="EPS" numFmtId="170">
      <sharedItems containsSemiMixedTypes="0" containsString="0" containsNumber="1" minValue="14.773712221320769" maxValue="52.242365606491894"/>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92212480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80572800923" createdVersion="8" refreshedVersion="8" minRefreshableVersion="3" recordCount="24" xr:uid="{1A2B1993-B703-479E-89FC-0CA30B7FF223}">
  <cacheSource type="worksheet">
    <worksheetSource name="Table3568"/>
  </cacheSource>
  <cacheFields count="3">
    <cacheField name="Year" numFmtId="0">
      <sharedItems count="6">
        <s v="FY 2020E"/>
        <s v="FY 2021E"/>
        <s v="FY 2022E"/>
        <s v="FY 2023E"/>
        <s v="FY 2024E"/>
        <s v="FY 2025E"/>
      </sharedItems>
    </cacheField>
    <cacheField name="Cash Flow" numFmtId="167">
      <sharedItems containsSemiMixedTypes="0" containsString="0" containsNumber="1" minValue="14115.421376858463" maxValue="55891.956077965035"/>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1234624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3983.48291018565"/>
    <x v="0"/>
  </r>
  <r>
    <x v="1"/>
    <n v="15111.005491220611"/>
    <x v="0"/>
  </r>
  <r>
    <x v="2"/>
    <n v="17098.696824363367"/>
    <x v="0"/>
  </r>
  <r>
    <x v="3"/>
    <n v="18442.108506732897"/>
    <x v="0"/>
  </r>
  <r>
    <x v="4"/>
    <n v="21205.784609329006"/>
    <x v="0"/>
  </r>
  <r>
    <x v="5"/>
    <n v="22876.183091411272"/>
    <x v="0"/>
  </r>
  <r>
    <x v="0"/>
    <n v="15631.690337431006"/>
    <x v="1"/>
  </r>
  <r>
    <x v="1"/>
    <n v="17813.714073206072"/>
    <x v="1"/>
  </r>
  <r>
    <x v="2"/>
    <n v="21845.672366839452"/>
    <x v="1"/>
  </r>
  <r>
    <x v="3"/>
    <n v="25342.465774581338"/>
    <x v="1"/>
  </r>
  <r>
    <x v="4"/>
    <n v="30690.902877371773"/>
    <x v="1"/>
  </r>
  <r>
    <x v="5"/>
    <n v="35483.432994882613"/>
    <x v="1"/>
  </r>
  <r>
    <x v="0"/>
    <n v="17115.696764676366"/>
    <x v="2"/>
  </r>
  <r>
    <x v="1"/>
    <n v="20827.38910879154"/>
    <x v="2"/>
  </r>
  <r>
    <x v="2"/>
    <n v="26131.045068155545"/>
    <x v="2"/>
  </r>
  <r>
    <x v="3"/>
    <n v="31333.247879589995"/>
    <x v="2"/>
  </r>
  <r>
    <x v="4"/>
    <n v="39228.463036993635"/>
    <x v="2"/>
  </r>
  <r>
    <x v="5"/>
    <n v="47384.086816916184"/>
    <x v="2"/>
  </r>
  <r>
    <x v="0"/>
    <n v="13399.830853299043"/>
    <x v="3"/>
  </r>
  <r>
    <x v="1"/>
    <n v="17101.642082903025"/>
    <x v="3"/>
  </r>
  <r>
    <x v="2"/>
    <n v="22551.142672235346"/>
    <x v="3"/>
  </r>
  <r>
    <x v="3"/>
    <n v="28155.722339622924"/>
    <x v="3"/>
  </r>
  <r>
    <x v="4"/>
    <n v="37004.093940298117"/>
    <x v="3"/>
  </r>
  <r>
    <x v="5"/>
    <n v="46710.92967734002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7055.100000000002"/>
    <x v="0"/>
  </r>
  <r>
    <x v="1"/>
    <n v="18344.748000000003"/>
    <x v="0"/>
  </r>
  <r>
    <x v="2"/>
    <n v="19983.877424000009"/>
    <x v="0"/>
  </r>
  <r>
    <x v="3"/>
    <n v="21359.696576000006"/>
    <x v="0"/>
  </r>
  <r>
    <x v="4"/>
    <n v="23417.530623728006"/>
    <x v="0"/>
  </r>
  <r>
    <x v="5"/>
    <n v="25552.170768392858"/>
    <x v="0"/>
  </r>
  <r>
    <x v="0"/>
    <n v="19616.374999999996"/>
    <x v="1"/>
  </r>
  <r>
    <x v="1"/>
    <n v="22299.762799999997"/>
    <x v="1"/>
  </r>
  <r>
    <x v="2"/>
    <n v="26636.209441999992"/>
    <x v="1"/>
  </r>
  <r>
    <x v="3"/>
    <n v="30836.074228699988"/>
    <x v="1"/>
  </r>
  <r>
    <x v="4"/>
    <n v="36327.230271367982"/>
    <x v="1"/>
  </r>
  <r>
    <x v="5"/>
    <n v="42562.17252954188"/>
    <x v="1"/>
  </r>
  <r>
    <x v="0"/>
    <n v="22096.399999999998"/>
    <x v="2"/>
  </r>
  <r>
    <x v="1"/>
    <n v="26872.915999999997"/>
    <x v="2"/>
  </r>
  <r>
    <x v="2"/>
    <n v="33030.61327999999"/>
    <x v="2"/>
  </r>
  <r>
    <x v="3"/>
    <n v="39611.632783999994"/>
    <x v="2"/>
  </r>
  <r>
    <x v="4"/>
    <n v="48666.599069119984"/>
    <x v="2"/>
  </r>
  <r>
    <x v="5"/>
    <n v="59537.477587390495"/>
    <x v="2"/>
  </r>
  <r>
    <x v="0"/>
    <n v="17442.187499999996"/>
    <x v="3"/>
  </r>
  <r>
    <x v="1"/>
    <n v="22264.983593749999"/>
    <x v="3"/>
  </r>
  <r>
    <x v="2"/>
    <n v="28705.525507812494"/>
    <x v="3"/>
  </r>
  <r>
    <x v="3"/>
    <n v="35912.018200683597"/>
    <x v="3"/>
  </r>
  <r>
    <x v="4"/>
    <n v="46380.440780944817"/>
    <x v="3"/>
  </r>
  <r>
    <x v="5"/>
    <n v="59476.332163663508"/>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5.417205980326074"/>
    <x v="0"/>
  </r>
  <r>
    <x v="1"/>
    <n v="16.660333174812276"/>
    <x v="0"/>
  </r>
  <r>
    <x v="2"/>
    <n v="18.851822012407169"/>
    <x v="0"/>
  </r>
  <r>
    <x v="3"/>
    <n v="20.332973364791702"/>
    <x v="0"/>
  </r>
  <r>
    <x v="4"/>
    <n v="23.380008499764617"/>
    <x v="0"/>
  </r>
  <r>
    <x v="5"/>
    <n v="25.221672528168284"/>
    <x v="0"/>
  </r>
  <r>
    <x v="0"/>
    <n v="17.234403710487822"/>
    <x v="1"/>
  </r>
  <r>
    <x v="1"/>
    <n v="19.640149804252534"/>
    <x v="1"/>
  </r>
  <r>
    <x v="2"/>
    <n v="24.08550379197408"/>
    <x v="1"/>
  </r>
  <r>
    <x v="3"/>
    <n v="27.94082256942502"/>
    <x v="1"/>
  </r>
  <r>
    <x v="4"/>
    <n v="33.837633615439579"/>
    <x v="1"/>
  </r>
  <r>
    <x v="5"/>
    <n v="39.121540669436897"/>
    <x v="1"/>
  </r>
  <r>
    <x v="0"/>
    <n v="18.870564952427348"/>
    <x v="2"/>
  </r>
  <r>
    <x v="1"/>
    <n v="22.962816201444912"/>
    <x v="2"/>
  </r>
  <r>
    <x v="2"/>
    <n v="28.810254704390324"/>
    <x v="2"/>
  </r>
  <r>
    <x v="3"/>
    <n v="34.545838093053504"/>
    <x v="2"/>
  </r>
  <r>
    <x v="4"/>
    <n v="43.250547722442143"/>
    <x v="2"/>
  </r>
  <r>
    <x v="5"/>
    <n v="52.242365606491894"/>
    <x v="2"/>
  </r>
  <r>
    <x v="0"/>
    <n v="14.773712221320769"/>
    <x v="3"/>
  </r>
  <r>
    <x v="1"/>
    <n v="18.855069247581902"/>
    <x v="3"/>
  </r>
  <r>
    <x v="2"/>
    <n v="24.863305794604603"/>
    <x v="3"/>
  </r>
  <r>
    <x v="3"/>
    <n v="31.042521639487017"/>
    <x v="3"/>
  </r>
  <r>
    <x v="4"/>
    <n v="40.798114608296665"/>
    <x v="3"/>
  </r>
  <r>
    <x v="5"/>
    <n v="51.500189830640437"/>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4307.8491803712"/>
    <x v="0"/>
  </r>
  <r>
    <x v="1"/>
    <n v="16717.299299234015"/>
    <x v="0"/>
  </r>
  <r>
    <x v="2"/>
    <n v="19028.16316570287"/>
    <x v="0"/>
  </r>
  <r>
    <x v="3"/>
    <n v="20500.875389377339"/>
    <x v="0"/>
  </r>
  <r>
    <x v="4"/>
    <n v="24014.989110193157"/>
    <x v="0"/>
  </r>
  <r>
    <x v="5"/>
    <n v="26208.890330441081"/>
    <x v="0"/>
  </r>
  <r>
    <x v="0"/>
    <n v="15634.689262102349"/>
    <x v="1"/>
  </r>
  <r>
    <x v="1"/>
    <n v="19855.110260272013"/>
    <x v="1"/>
  </r>
  <r>
    <x v="2"/>
    <n v="24189.891812400547"/>
    <x v="1"/>
  </r>
  <r>
    <x v="3"/>
    <n v="28076.15231034976"/>
    <x v="1"/>
  </r>
  <r>
    <x v="4"/>
    <n v="34254.205993369826"/>
    <x v="1"/>
  </r>
  <r>
    <x v="5"/>
    <n v="39895.127805993077"/>
    <x v="1"/>
  </r>
  <r>
    <x v="0"/>
    <n v="16765.319154093733"/>
    <x v="2"/>
  </r>
  <r>
    <x v="1"/>
    <n v="23177.376978119653"/>
    <x v="2"/>
  </r>
  <r>
    <x v="2"/>
    <n v="29038.740679435963"/>
    <x v="2"/>
  </r>
  <r>
    <x v="3"/>
    <n v="34982.108257018437"/>
    <x v="2"/>
  </r>
  <r>
    <x v="4"/>
    <n v="44003.622408522395"/>
    <x v="2"/>
  </r>
  <r>
    <x v="5"/>
    <n v="53435.410817931363"/>
    <x v="2"/>
  </r>
  <r>
    <x v="0"/>
    <n v="14115.421376858463"/>
    <x v="3"/>
  </r>
  <r>
    <x v="1"/>
    <n v="20163.592752828321"/>
    <x v="3"/>
  </r>
  <r>
    <x v="2"/>
    <n v="26558.770130735393"/>
    <x v="3"/>
  </r>
  <r>
    <x v="3"/>
    <n v="33265.549290648865"/>
    <x v="3"/>
  </r>
  <r>
    <x v="4"/>
    <n v="43972.525951848154"/>
    <x v="3"/>
  </r>
  <r>
    <x v="5"/>
    <n v="55891.95607796503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D116E2-39EC-4993-A121-A5CE8B402A35}" name="PivotTable59"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43:B350"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h="1" x="0"/>
        <item h="1" x="1"/>
        <item h="1"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1">
    <i>
      <x v="3"/>
    </i>
  </colItems>
  <dataFields count="1">
    <dataField name="Sum of Cash Flow" fld="1" baseField="0" baseItem="0" numFmtId="167"/>
  </dataFields>
  <formats count="1">
    <format dxfId="11">
      <pivotArea outline="0" collapsedLevelsAreSubtotals="1" fieldPosition="0"/>
    </format>
  </formats>
  <chartFormats count="10">
    <chartFormat chart="4" format="17" series="1">
      <pivotArea type="data" outline="0" fieldPosition="0">
        <references count="2">
          <reference field="4294967294" count="1" selected="0">
            <x v="0"/>
          </reference>
          <reference field="2" count="1" selected="0">
            <x v="0"/>
          </reference>
        </references>
      </pivotArea>
    </chartFormat>
    <chartFormat chart="4" format="18" series="1">
      <pivotArea type="data" outline="0" fieldPosition="0">
        <references count="2">
          <reference field="4294967294" count="1" selected="0">
            <x v="0"/>
          </reference>
          <reference field="2" count="1" selected="0">
            <x v="1"/>
          </reference>
        </references>
      </pivotArea>
    </chartFormat>
    <chartFormat chart="4" format="19" series="1">
      <pivotArea type="data" outline="0" fieldPosition="0">
        <references count="2">
          <reference field="4294967294" count="1" selected="0">
            <x v="0"/>
          </reference>
          <reference field="2" count="1" selected="0">
            <x v="2"/>
          </reference>
        </references>
      </pivotArea>
    </chartFormat>
    <chartFormat chart="4" format="20" series="1">
      <pivotArea type="data" outline="0" fieldPosition="0">
        <references count="2">
          <reference field="4294967294" count="1" selected="0">
            <x v="0"/>
          </reference>
          <reference field="2" count="1" selected="0">
            <x v="3"/>
          </reference>
        </references>
      </pivotArea>
    </chartFormat>
    <chartFormat chart="4" format="21" series="1">
      <pivotArea type="data" outline="0" fieldPosition="0">
        <references count="1">
          <reference field="4294967294" count="1" selected="0">
            <x v="0"/>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 chart="6"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79D5BC-AE26-46DD-8109-3F9585F75DEB}" name="PivotTable5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15:B322"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70"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h="1" x="1"/>
        <item h="1" x="2"/>
        <item h="1"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1">
    <i>
      <x/>
    </i>
  </colItems>
  <dataFields count="1">
    <dataField name="Sum of EPS" fld="1" baseField="0" baseItem="0" numFmtId="170"/>
  </dataFields>
  <formats count="1">
    <format dxfId="12">
      <pivotArea outline="0" collapsedLevelsAreSubtotals="1" fieldPosition="0"/>
    </format>
  </formats>
  <chartFormats count="10">
    <chartFormat chart="4" format="17" series="1">
      <pivotArea type="data" outline="0" fieldPosition="0">
        <references count="2">
          <reference field="4294967294" count="1" selected="0">
            <x v="0"/>
          </reference>
          <reference field="2" count="1" selected="0">
            <x v="0"/>
          </reference>
        </references>
      </pivotArea>
    </chartFormat>
    <chartFormat chart="4" format="18" series="1">
      <pivotArea type="data" outline="0" fieldPosition="0">
        <references count="2">
          <reference field="4294967294" count="1" selected="0">
            <x v="0"/>
          </reference>
          <reference field="2" count="1" selected="0">
            <x v="1"/>
          </reference>
        </references>
      </pivotArea>
    </chartFormat>
    <chartFormat chart="4" format="19" series="1">
      <pivotArea type="data" outline="0" fieldPosition="0">
        <references count="2">
          <reference field="4294967294" count="1" selected="0">
            <x v="0"/>
          </reference>
          <reference field="2" count="1" selected="0">
            <x v="2"/>
          </reference>
        </references>
      </pivotArea>
    </chartFormat>
    <chartFormat chart="4" format="20" series="1">
      <pivotArea type="data" outline="0" fieldPosition="0">
        <references count="2">
          <reference field="4294967294" count="1" selected="0">
            <x v="0"/>
          </reference>
          <reference field="2" count="1" selected="0">
            <x v="3"/>
          </reference>
        </references>
      </pivotArea>
    </chartFormat>
    <chartFormat chart="4" format="21" series="1">
      <pivotArea type="data" outline="0" fieldPosition="0">
        <references count="1">
          <reference field="4294967294" count="1" selected="0">
            <x v="0"/>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 chart="6"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A24916-E651-4526-987F-2BFF1136AC87}" name="PivotTable3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286:E293"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Operating Income" fld="1" baseField="0" baseItem="0" numFmtId="167"/>
  </dataFields>
  <formats count="1">
    <format dxfId="13">
      <pivotArea outline="0" collapsedLevelsAreSubtotals="1" fieldPosition="0"/>
    </format>
  </formats>
  <chartFormats count="10">
    <chartFormat chart="4" format="16" series="1">
      <pivotArea type="data" outline="0" fieldPosition="0">
        <references count="2">
          <reference field="4294967294" count="1" selected="0">
            <x v="0"/>
          </reference>
          <reference field="2" count="1" selected="0">
            <x v="0"/>
          </reference>
        </references>
      </pivotArea>
    </chartFormat>
    <chartFormat chart="4"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series="1">
      <pivotArea type="data" outline="0" fieldPosition="0">
        <references count="2">
          <reference field="4294967294" count="1" selected="0">
            <x v="0"/>
          </reference>
          <reference field="2" count="1" selected="0">
            <x v="3"/>
          </reference>
        </references>
      </pivotArea>
    </chartFormat>
    <chartFormat chart="4" format="20" series="1">
      <pivotArea type="data" outline="0" fieldPosition="0">
        <references count="1">
          <reference field="4294967294" count="1" selected="0">
            <x v="0"/>
          </reference>
        </references>
      </pivotArea>
    </chartFormat>
    <chartFormat chart="6" format="17" series="1">
      <pivotArea type="data" outline="0" fieldPosition="0">
        <references count="2">
          <reference field="4294967294" count="1" selected="0">
            <x v="0"/>
          </reference>
          <reference field="2" count="1" selected="0">
            <x v="0"/>
          </reference>
        </references>
      </pivotArea>
    </chartFormat>
    <chartFormat chart="6" format="18" series="1">
      <pivotArea type="data" outline="0" fieldPosition="0">
        <references count="2">
          <reference field="4294967294" count="1" selected="0">
            <x v="0"/>
          </reference>
          <reference field="2" count="1" selected="0">
            <x v="1"/>
          </reference>
        </references>
      </pivotArea>
    </chartFormat>
    <chartFormat chart="6" format="19" series="1">
      <pivotArea type="data" outline="0" fieldPosition="0">
        <references count="2">
          <reference field="4294967294" count="1" selected="0">
            <x v="0"/>
          </reference>
          <reference field="2" count="1" selected="0">
            <x v="2"/>
          </reference>
        </references>
      </pivotArea>
    </chartFormat>
    <chartFormat chart="6" format="20" series="1">
      <pivotArea type="data" outline="0" fieldPosition="0">
        <references count="2">
          <reference field="4294967294" count="1" selected="0">
            <x v="0"/>
          </reference>
          <reference field="2" count="1" selected="0">
            <x v="3"/>
          </reference>
        </references>
      </pivotArea>
    </chartFormat>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15FD55-1224-4BA5-B46B-7C9480C4874B}"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262:E269"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Net Income" fld="1" baseField="0" baseItem="0" numFmtId="167"/>
  </dataFields>
  <formats count="1">
    <format dxfId="14">
      <pivotArea outline="0" collapsedLevelsAreSubtotals="1" fieldPosition="0"/>
    </format>
  </formats>
  <chartFormats count="10">
    <chartFormat chart="2" format="9" series="1">
      <pivotArea type="data" outline="0" fieldPosition="0">
        <references count="2">
          <reference field="4294967294" count="1" selected="0">
            <x v="0"/>
          </reference>
          <reference field="2" count="1" selected="0">
            <x v="0"/>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2">
          <reference field="4294967294" count="1" selected="0">
            <x v="0"/>
          </reference>
          <reference field="2" count="1" selected="0">
            <x v="3"/>
          </reference>
        </references>
      </pivotArea>
    </chartFormat>
    <chartFormat chart="2" format="13" series="1">
      <pivotArea type="data" outline="0" fieldPosition="0">
        <references count="1">
          <reference field="4294967294" count="1" selected="0">
            <x v="0"/>
          </reference>
        </references>
      </pivotArea>
    </chartFormat>
    <chartFormat chart="4" format="9" series="1">
      <pivotArea type="data" outline="0" fieldPosition="0">
        <references count="2">
          <reference field="4294967294" count="1" selected="0">
            <x v="0"/>
          </reference>
          <reference field="2" count="1" selected="0">
            <x v="0"/>
          </reference>
        </references>
      </pivotArea>
    </chartFormat>
    <chartFormat chart="4" format="10" series="1">
      <pivotArea type="data" outline="0" fieldPosition="0">
        <references count="2">
          <reference field="4294967294" count="1" selected="0">
            <x v="0"/>
          </reference>
          <reference field="2" count="1" selected="0">
            <x v="1"/>
          </reference>
        </references>
      </pivotArea>
    </chartFormat>
    <chartFormat chart="4" format="11"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3"/>
          </reference>
        </references>
      </pivotArea>
    </chartFormat>
    <chartFormat chart="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3" xr10:uid="{0C0AE975-BA7F-49E2-9010-CDECB638EB60}" sourceName="Scenario">
  <pivotTables>
    <pivotTable tabId="5" name="PivotTable9"/>
  </pivotTables>
  <data>
    <tabular pivotCacheId="79127677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4" xr10:uid="{3FD3A105-0C94-4B5B-AA0A-A363EA0D618C}" sourceName="Scenario">
  <pivotTables>
    <pivotTable tabId="5" name="PivotTable33"/>
  </pivotTables>
  <data>
    <tabular pivotCacheId="1167325687">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6" xr10:uid="{C7A7414B-F240-4C8C-B986-14CE05F681B8}" sourceName="Scenario">
  <pivotTables>
    <pivotTable tabId="5" name="PivotTable50"/>
  </pivotTables>
  <data>
    <tabular pivotCacheId="922124800">
      <items count="4">
        <i x="0" s="1"/>
        <i x="1"/>
        <i x="2"/>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5" xr10:uid="{BAFA43C1-8206-49AE-BE5B-03CF53D7B6C7}" sourceName="Scenario">
  <pivotTables>
    <pivotTable tabId="5" name="PivotTable59"/>
  </pivotTables>
  <data>
    <tabular pivotCacheId="1234624321">
      <items count="4">
        <i x="0"/>
        <i x="1"/>
        <i x="2"/>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2" xr10:uid="{0A21CEB9-1CEB-4E31-9FE8-5D1092C02BF0}" sourceName="Scenario">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7" xr10:uid="{1F71B1F0-61D6-4B13-B0C3-58FE4D9F3E92}" cache="Slicer_Scenario3" caption="Scenario" columnCount="4" style="Slicer Style 1" rowHeight="262466"/>
  <slicer name="Scenario 8" xr10:uid="{EE7FE339-2946-4C6B-B195-9BD63D190B7F}" cache="Slicer_Scenario4" caption="Scenario" columnCount="4" style="Slicer Style 1" rowHeight="262466"/>
  <slicer name="Scenario 9" xr10:uid="{F8FE3DB0-672D-4578-83EE-31B7303DB286}" cache="Slicer_Scenario6" caption="Scenario" columnCount="4" style="Slicer Style 1" rowHeight="262466"/>
  <slicer name="Scenario 10" xr10:uid="{518C0E8C-B1D0-4FAA-8626-BE735C2F4CEB}" cache="Slicer_Scenario5" caption="Scenario" columnCount="4" style="Slicer Style 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3" xr10:uid="{71631B6D-2B98-41D0-A874-363B3956CAEB}" cache="Slicer_Scenario3" caption="Scenario" rowHeight="262466"/>
  <slicer name="Scenario 4" xr10:uid="{24C82517-B07B-4181-82AC-D1826536798C}" cache="Slicer_Scenario4" caption="Scenario" rowHeight="262466"/>
  <slicer name="Scenario 6" xr10:uid="{C4CB9749-A3DD-4791-B2DA-3E66C858B928}" cache="Slicer_Scenario6" caption="Scenario" rowHeight="262466"/>
  <slicer name="Scenario 5" xr10:uid="{9ABBB013-F693-41B6-8568-110A8F314ACA}" cache="Slicer_Scenario5" caption="Scenario"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2" xr10:uid="{96C6DC29-EF8D-4928-B723-5A54B6034C5A}" cache="Slicer_Scenario2" caption="Scenario"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3428BC-2A76-440A-83C8-94C09631AF6B}" name="Table1" displayName="Table1" ref="A22:D46" totalsRowShown="0" headerRowDxfId="10" headerRowCellStyle="Percent">
  <autoFilter ref="A22:D46" xr:uid="{553428BC-2A76-440A-83C8-94C09631AF6B}"/>
  <tableColumns count="4">
    <tableColumn id="1" xr3:uid="{D973D17B-A5A4-4290-8DC2-709DE89BACF6}" name="Year" dataDxfId="9"/>
    <tableColumn id="2" xr3:uid="{A02E8F08-2F7F-4D55-A150-12237C940396}" name="Revenue %" dataDxfId="8" dataCellStyle="Percent"/>
    <tableColumn id="3" xr3:uid="{FA3BC7A6-1267-4C7F-90CA-A3D66A8B7176}" name="COGS %" dataDxfId="7" dataCellStyle="Percent"/>
    <tableColumn id="4" xr3:uid="{CBEABC86-32C2-4B44-BBA8-FCD4DF9867CE}" name="Scenario"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994B3E-7421-4F20-BC35-D6E296B14F59}" name="Table2" displayName="Table2" ref="A76:D100" totalsRowShown="0">
  <autoFilter ref="A76:D100" xr:uid="{AA994B3E-7421-4F20-BC35-D6E296B14F59}"/>
  <tableColumns count="4">
    <tableColumn id="1" xr3:uid="{25872227-19D0-4DA9-A5F3-22580DD5C013}" name="Year"/>
    <tableColumn id="2" xr3:uid="{DC9A6518-9E8A-4039-AD52-6D640727637E}" name="R&amp;D%" dataDxfId="5" dataCellStyle="Percent"/>
    <tableColumn id="3" xr3:uid="{CC943462-D860-4EBF-8AFA-E0B575482A44}" name="SG&amp;A%" dataDxfId="4" dataCellStyle="Percent"/>
    <tableColumn id="4" xr3:uid="{863778F8-B040-4C8B-A618-29C3844FEA05}" name="Scenari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C9D15A-FC09-4A64-AD38-CBD97ECD3CFF}" name="Table3" displayName="Table3" ref="A128:C152" totalsRowShown="0">
  <autoFilter ref="A128:C152" xr:uid="{37C9D15A-FC09-4A64-AD38-CBD97ECD3CFF}"/>
  <tableColumns count="3">
    <tableColumn id="1" xr3:uid="{7B8599CE-35C6-49B6-8694-64246A5B2BA3}" name="Year"/>
    <tableColumn id="2" xr3:uid="{988B4209-9344-42A4-873C-707486BB0DE3}" name="Operating Income" dataDxfId="3"/>
    <tableColumn id="3" xr3:uid="{DA97EA50-376A-46DF-A1DF-47E3FA0689EB}" name="Scenari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BAD8DC-281F-42F0-9237-F61D86F20CA0}" name="Table35" displayName="Table35" ref="A171:C195" totalsRowShown="0">
  <autoFilter ref="A171:C195" xr:uid="{58BAD8DC-281F-42F0-9237-F61D86F20CA0}"/>
  <tableColumns count="3">
    <tableColumn id="1" xr3:uid="{FDA85A25-729A-4449-B218-5DE1CC414A45}" name="Year"/>
    <tableColumn id="2" xr3:uid="{FB4EF306-D976-432D-BDC3-17CFBBA98098}" name="Net Income" dataDxfId="2"/>
    <tableColumn id="3" xr3:uid="{FFD05CAD-157E-4C21-91DF-5657CD046547}" name="Scenari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70505E-8449-45DB-B715-8DED34A19361}" name="Table356" displayName="Table356" ref="A202:C226" totalsRowShown="0">
  <autoFilter ref="A202:C226" xr:uid="{DC70505E-8449-45DB-B715-8DED34A19361}"/>
  <tableColumns count="3">
    <tableColumn id="1" xr3:uid="{52359981-3672-4E94-9554-DA50B617F955}" name="Year"/>
    <tableColumn id="2" xr3:uid="{769ACABA-1AF7-4C3C-B074-A44C5A069AE6}" name="EPS" dataDxfId="1"/>
    <tableColumn id="3" xr3:uid="{919A2905-EBE6-4BFA-A23B-779E7A11ABF2}" name="Scenari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1F21EC-1719-4B81-86D7-F512EA1D0932}" name="Table3568" displayName="Table3568" ref="A233:C257" totalsRowShown="0">
  <autoFilter ref="A233:C257" xr:uid="{551F21EC-1719-4B81-86D7-F512EA1D0932}"/>
  <tableColumns count="3">
    <tableColumn id="1" xr3:uid="{2427D501-3568-4090-8196-AE8348933637}" name="Year"/>
    <tableColumn id="2" xr3:uid="{E5D5170F-0A69-448B-9B0E-79C240D059CF}" name="Cash Flow" dataDxfId="0"/>
    <tableColumn id="3" xr3:uid="{D4ECBC97-254E-4952-BC1F-9756228105D0}" name="Scenario"/>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table" Target="../tables/table1.xml"/><Relationship Id="rId12" Type="http://schemas.openxmlformats.org/officeDocument/2006/relationships/table" Target="../tables/table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11" Type="http://schemas.openxmlformats.org/officeDocument/2006/relationships/table" Target="../tables/table5.xml"/><Relationship Id="rId5" Type="http://schemas.openxmlformats.org/officeDocument/2006/relationships/printerSettings" Target="../printerSettings/printerSettings3.bin"/><Relationship Id="rId10" Type="http://schemas.openxmlformats.org/officeDocument/2006/relationships/table" Target="../tables/table4.xml"/><Relationship Id="rId4" Type="http://schemas.openxmlformats.org/officeDocument/2006/relationships/pivotTable" Target="../pivotTables/pivotTable4.xml"/><Relationship Id="rId9" Type="http://schemas.openxmlformats.org/officeDocument/2006/relationships/table" Target="../tables/table3.xml"/><Relationship Id="rId1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FD04-591A-4575-877E-BEFA9CB5B645}">
  <sheetPr codeName="Sheet1"/>
  <dimension ref="U2:AT78"/>
  <sheetViews>
    <sheetView tabSelected="1" topLeftCell="C5" zoomScale="61" zoomScaleNormal="90" workbookViewId="0">
      <selection activeCell="J19" sqref="J19"/>
    </sheetView>
  </sheetViews>
  <sheetFormatPr defaultColWidth="9.69921875" defaultRowHeight="14.4" x14ac:dyDescent="0.3"/>
  <cols>
    <col min="1" max="36" width="9.69921875" style="163"/>
    <col min="37" max="37" width="11.5" style="163" customWidth="1"/>
    <col min="38" max="43" width="9.69921875" style="163"/>
    <col min="44" max="45" width="10.796875" style="163" customWidth="1"/>
    <col min="46" max="16384" width="9.69921875" style="163"/>
  </cols>
  <sheetData>
    <row r="2" spans="21:46" ht="15" thickBot="1" x14ac:dyDescent="0.35"/>
    <row r="3" spans="21:46" ht="36.6" x14ac:dyDescent="0.7">
      <c r="U3" s="198"/>
      <c r="V3" s="199"/>
      <c r="W3" s="199"/>
      <c r="X3" s="199"/>
      <c r="Y3" s="199"/>
      <c r="Z3" s="199"/>
      <c r="AA3" s="199"/>
      <c r="AB3" s="199"/>
      <c r="AC3" s="199"/>
      <c r="AD3" s="199"/>
      <c r="AE3" s="199"/>
      <c r="AF3" s="199"/>
      <c r="AG3" s="199"/>
      <c r="AH3" s="199"/>
      <c r="AI3" s="199"/>
      <c r="AJ3" s="199"/>
      <c r="AK3" s="199"/>
      <c r="AL3" s="199"/>
      <c r="AM3" s="199"/>
      <c r="AN3" s="199"/>
      <c r="AO3" s="199"/>
      <c r="AP3" s="199"/>
      <c r="AQ3" s="199"/>
      <c r="AR3" s="199"/>
      <c r="AS3" s="199"/>
      <c r="AT3" s="200"/>
    </row>
    <row r="4" spans="21:46" x14ac:dyDescent="0.3">
      <c r="U4" s="201"/>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3"/>
    </row>
    <row r="5" spans="21:46" x14ac:dyDescent="0.3">
      <c r="U5" s="201"/>
      <c r="V5" s="202"/>
      <c r="W5" s="202"/>
      <c r="X5" s="202"/>
      <c r="Y5" s="202"/>
      <c r="Z5" s="202"/>
      <c r="AA5" s="202"/>
      <c r="AB5" s="202"/>
      <c r="AC5" s="202"/>
      <c r="AD5" s="202"/>
      <c r="AE5" s="202"/>
      <c r="AF5" s="202"/>
      <c r="AG5" s="202"/>
      <c r="AH5" s="202"/>
      <c r="AI5" s="202"/>
      <c r="AJ5" s="202"/>
      <c r="AK5" s="202"/>
      <c r="AL5" s="202"/>
      <c r="AM5" s="202"/>
      <c r="AN5" s="202"/>
      <c r="AO5" s="202"/>
      <c r="AP5" s="202"/>
      <c r="AQ5" s="202"/>
      <c r="AR5" s="202"/>
      <c r="AS5" s="202"/>
      <c r="AT5" s="203"/>
    </row>
    <row r="6" spans="21:46" x14ac:dyDescent="0.3">
      <c r="U6" s="201"/>
      <c r="V6" s="202"/>
      <c r="W6" s="202"/>
      <c r="X6" s="202"/>
      <c r="Y6" s="202"/>
      <c r="Z6" s="202"/>
      <c r="AA6" s="202"/>
      <c r="AB6" s="202"/>
      <c r="AC6" s="202"/>
      <c r="AD6" s="202"/>
      <c r="AE6" s="202"/>
      <c r="AF6" s="202"/>
      <c r="AG6" s="202"/>
      <c r="AH6" s="202"/>
      <c r="AI6" s="202"/>
      <c r="AJ6" s="202"/>
      <c r="AK6" s="202"/>
      <c r="AL6" s="202"/>
      <c r="AM6" s="202"/>
      <c r="AN6" s="202"/>
      <c r="AO6" s="202"/>
      <c r="AP6" s="202"/>
      <c r="AQ6" s="202"/>
      <c r="AR6" s="202"/>
      <c r="AS6" s="202"/>
      <c r="AT6" s="203"/>
    </row>
    <row r="7" spans="21:46" x14ac:dyDescent="0.3">
      <c r="U7" s="201"/>
      <c r="V7" s="202"/>
      <c r="W7" s="202"/>
      <c r="X7" s="202"/>
      <c r="Y7" s="202"/>
      <c r="Z7" s="202"/>
      <c r="AA7" s="202"/>
      <c r="AB7" s="202"/>
      <c r="AC7" s="202"/>
      <c r="AD7" s="202"/>
      <c r="AE7" s="202"/>
      <c r="AF7" s="202"/>
      <c r="AG7" s="202"/>
      <c r="AH7" s="202"/>
      <c r="AI7" s="202"/>
      <c r="AJ7" s="202"/>
      <c r="AK7" s="202"/>
      <c r="AL7" s="202"/>
      <c r="AM7" s="202"/>
      <c r="AN7" s="202"/>
      <c r="AO7" s="202"/>
      <c r="AP7" s="202"/>
      <c r="AQ7" s="202"/>
      <c r="AR7" s="202"/>
      <c r="AS7" s="202"/>
      <c r="AT7" s="203"/>
    </row>
    <row r="8" spans="21:46" ht="18" x14ac:dyDescent="0.35">
      <c r="U8" s="201"/>
      <c r="V8" s="202"/>
      <c r="W8" s="202"/>
      <c r="X8" s="202"/>
      <c r="Y8" s="202"/>
      <c r="Z8" s="202"/>
      <c r="AA8" s="202"/>
      <c r="AB8" s="202"/>
      <c r="AC8" s="202"/>
      <c r="AD8" s="202"/>
      <c r="AE8" s="202"/>
      <c r="AF8" s="202"/>
      <c r="AG8" s="202"/>
      <c r="AH8" s="202"/>
      <c r="AI8" s="202"/>
      <c r="AJ8" s="207" t="s">
        <v>195</v>
      </c>
      <c r="AK8" s="208" t="s">
        <v>7</v>
      </c>
      <c r="AL8" s="202"/>
      <c r="AM8" s="202"/>
      <c r="AN8" s="202"/>
      <c r="AO8" s="202"/>
      <c r="AP8" s="202"/>
      <c r="AQ8" s="207" t="s">
        <v>195</v>
      </c>
      <c r="AR8" s="209" t="s">
        <v>5</v>
      </c>
      <c r="AS8" s="209"/>
      <c r="AT8" s="203"/>
    </row>
    <row r="9" spans="21:46" x14ac:dyDescent="0.3">
      <c r="U9" s="201"/>
      <c r="V9" s="202"/>
      <c r="W9" s="202"/>
      <c r="X9" s="202"/>
      <c r="Y9" s="202"/>
      <c r="Z9" s="202"/>
      <c r="AA9" s="202"/>
      <c r="AB9" s="202"/>
      <c r="AC9" s="202"/>
      <c r="AD9" s="202"/>
      <c r="AE9" s="202"/>
      <c r="AF9" s="202"/>
      <c r="AG9" s="202"/>
      <c r="AH9" s="202"/>
      <c r="AI9" s="202"/>
      <c r="AJ9" s="202"/>
      <c r="AK9" s="202"/>
      <c r="AL9" s="202"/>
      <c r="AM9" s="202"/>
      <c r="AN9" s="202"/>
      <c r="AO9" s="202"/>
      <c r="AP9" s="202"/>
      <c r="AQ9" s="202"/>
      <c r="AR9" s="202"/>
      <c r="AS9" s="202"/>
      <c r="AT9" s="203"/>
    </row>
    <row r="10" spans="21:46" x14ac:dyDescent="0.3">
      <c r="U10" s="201"/>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3"/>
    </row>
    <row r="11" spans="21:46" x14ac:dyDescent="0.3">
      <c r="U11" s="201"/>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3"/>
    </row>
    <row r="12" spans="21:46" x14ac:dyDescent="0.3">
      <c r="U12" s="201"/>
      <c r="V12" s="202"/>
      <c r="W12" s="202"/>
      <c r="X12" s="202"/>
      <c r="Y12" s="202"/>
      <c r="Z12" s="202"/>
      <c r="AA12" s="202"/>
      <c r="AB12" s="202"/>
      <c r="AC12" s="202"/>
      <c r="AD12" s="202"/>
      <c r="AE12" s="202"/>
      <c r="AF12" s="202"/>
      <c r="AG12" s="202"/>
      <c r="AH12" s="202"/>
      <c r="AI12" s="202"/>
      <c r="AJ12" s="202"/>
      <c r="AK12" s="202"/>
      <c r="AL12" s="202"/>
      <c r="AM12" s="202"/>
      <c r="AN12" s="202"/>
      <c r="AO12" s="202"/>
      <c r="AP12" s="202"/>
      <c r="AQ12" s="202"/>
      <c r="AR12" s="202"/>
      <c r="AS12" s="202"/>
      <c r="AT12" s="203"/>
    </row>
    <row r="13" spans="21:46" x14ac:dyDescent="0.3">
      <c r="U13" s="201"/>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3"/>
    </row>
    <row r="14" spans="21:46" x14ac:dyDescent="0.3">
      <c r="U14" s="201"/>
      <c r="V14" s="202"/>
      <c r="W14" s="202"/>
      <c r="X14" s="202"/>
      <c r="Y14" s="202"/>
      <c r="Z14" s="202"/>
      <c r="AA14" s="202"/>
      <c r="AB14" s="202"/>
      <c r="AC14" s="202"/>
      <c r="AD14" s="202"/>
      <c r="AE14" s="202"/>
      <c r="AF14" s="202"/>
      <c r="AG14" s="202"/>
      <c r="AH14" s="202"/>
      <c r="AI14" s="202"/>
      <c r="AJ14" s="202"/>
      <c r="AK14" s="202"/>
      <c r="AL14" s="202"/>
      <c r="AM14" s="202"/>
      <c r="AN14" s="202"/>
      <c r="AO14" s="202"/>
      <c r="AP14" s="202"/>
      <c r="AQ14" s="202"/>
      <c r="AR14" s="202"/>
      <c r="AS14" s="202"/>
      <c r="AT14" s="203"/>
    </row>
    <row r="15" spans="21:46" x14ac:dyDescent="0.3">
      <c r="U15" s="201"/>
      <c r="V15" s="202"/>
      <c r="W15" s="202"/>
      <c r="X15" s="202"/>
      <c r="Y15" s="202"/>
      <c r="Z15" s="202"/>
      <c r="AA15" s="202"/>
      <c r="AB15" s="202"/>
      <c r="AC15" s="202"/>
      <c r="AD15" s="202"/>
      <c r="AE15" s="202"/>
      <c r="AF15" s="202"/>
      <c r="AG15" s="202"/>
      <c r="AH15" s="202"/>
      <c r="AI15" s="202"/>
      <c r="AJ15" s="202"/>
      <c r="AK15" s="202"/>
      <c r="AL15" s="202"/>
      <c r="AM15" s="202"/>
      <c r="AN15" s="202"/>
      <c r="AO15" s="202"/>
      <c r="AP15" s="202"/>
      <c r="AQ15" s="202"/>
      <c r="AR15" s="202"/>
      <c r="AS15" s="202"/>
      <c r="AT15" s="203"/>
    </row>
    <row r="16" spans="21:46" x14ac:dyDescent="0.3">
      <c r="U16" s="201"/>
      <c r="V16" s="202"/>
      <c r="W16" s="202"/>
      <c r="X16" s="202"/>
      <c r="Y16" s="202"/>
      <c r="Z16" s="202"/>
      <c r="AA16" s="202"/>
      <c r="AB16" s="202"/>
      <c r="AC16" s="202"/>
      <c r="AD16" s="202"/>
      <c r="AE16" s="202"/>
      <c r="AF16" s="202"/>
      <c r="AG16" s="202"/>
      <c r="AH16" s="202"/>
      <c r="AI16" s="202"/>
      <c r="AJ16" s="202"/>
      <c r="AK16" s="202"/>
      <c r="AL16" s="202"/>
      <c r="AM16" s="202"/>
      <c r="AN16" s="202"/>
      <c r="AO16" s="202"/>
      <c r="AP16" s="202"/>
      <c r="AQ16" s="202"/>
      <c r="AR16" s="202"/>
      <c r="AS16" s="202"/>
      <c r="AT16" s="203"/>
    </row>
    <row r="17" spans="21:46" x14ac:dyDescent="0.3">
      <c r="U17" s="201"/>
      <c r="V17" s="202"/>
      <c r="W17" s="202"/>
      <c r="X17" s="202"/>
      <c r="Y17" s="202"/>
      <c r="Z17" s="202"/>
      <c r="AA17" s="202"/>
      <c r="AB17" s="202"/>
      <c r="AC17" s="202"/>
      <c r="AD17" s="202"/>
      <c r="AE17" s="202"/>
      <c r="AF17" s="202"/>
      <c r="AG17" s="202"/>
      <c r="AH17" s="202"/>
      <c r="AI17" s="202"/>
      <c r="AJ17" s="202"/>
      <c r="AK17" s="202"/>
      <c r="AL17" s="202"/>
      <c r="AM17" s="202"/>
      <c r="AN17" s="202"/>
      <c r="AO17" s="202"/>
      <c r="AP17" s="202"/>
      <c r="AQ17" s="202"/>
      <c r="AR17" s="202"/>
      <c r="AS17" s="202"/>
      <c r="AT17" s="203"/>
    </row>
    <row r="18" spans="21:46" x14ac:dyDescent="0.3">
      <c r="U18" s="201"/>
      <c r="V18" s="202"/>
      <c r="W18" s="202"/>
      <c r="X18" s="202"/>
      <c r="Y18" s="202"/>
      <c r="Z18" s="202"/>
      <c r="AA18" s="202"/>
      <c r="AB18" s="202"/>
      <c r="AC18" s="202"/>
      <c r="AD18" s="202"/>
      <c r="AE18" s="202"/>
      <c r="AF18" s="202"/>
      <c r="AG18" s="202"/>
      <c r="AH18" s="202"/>
      <c r="AI18" s="202"/>
      <c r="AJ18" s="202"/>
      <c r="AK18" s="202"/>
      <c r="AL18" s="202"/>
      <c r="AM18" s="202"/>
      <c r="AN18" s="202"/>
      <c r="AO18" s="202"/>
      <c r="AP18" s="202"/>
      <c r="AQ18" s="202"/>
      <c r="AR18" s="202"/>
      <c r="AS18" s="202"/>
      <c r="AT18" s="203"/>
    </row>
    <row r="19" spans="21:46" x14ac:dyDescent="0.3">
      <c r="U19" s="201"/>
      <c r="V19" s="202"/>
      <c r="W19" s="202"/>
      <c r="X19" s="202"/>
      <c r="Y19" s="202"/>
      <c r="Z19" s="202"/>
      <c r="AA19" s="202"/>
      <c r="AB19" s="202"/>
      <c r="AC19" s="202"/>
      <c r="AD19" s="202"/>
      <c r="AE19" s="202"/>
      <c r="AF19" s="202"/>
      <c r="AG19" s="202"/>
      <c r="AH19" s="202"/>
      <c r="AI19" s="202"/>
      <c r="AJ19" s="202"/>
      <c r="AK19" s="202"/>
      <c r="AL19" s="202"/>
      <c r="AM19" s="202"/>
      <c r="AN19" s="202"/>
      <c r="AO19" s="202"/>
      <c r="AP19" s="202"/>
      <c r="AQ19" s="202"/>
      <c r="AR19" s="202"/>
      <c r="AS19" s="202"/>
      <c r="AT19" s="203"/>
    </row>
    <row r="20" spans="21:46" x14ac:dyDescent="0.3">
      <c r="U20" s="201"/>
      <c r="V20" s="202"/>
      <c r="W20" s="202"/>
      <c r="X20" s="202"/>
      <c r="Y20" s="202"/>
      <c r="Z20" s="202"/>
      <c r="AA20" s="202"/>
      <c r="AB20" s="202"/>
      <c r="AC20" s="202"/>
      <c r="AD20" s="202"/>
      <c r="AE20" s="202"/>
      <c r="AF20" s="202"/>
      <c r="AG20" s="202"/>
      <c r="AH20" s="202"/>
      <c r="AI20" s="202"/>
      <c r="AJ20" s="202"/>
      <c r="AK20" s="202"/>
      <c r="AL20" s="202"/>
      <c r="AM20" s="202"/>
      <c r="AN20" s="202"/>
      <c r="AO20" s="202"/>
      <c r="AP20" s="202"/>
      <c r="AQ20" s="202"/>
      <c r="AR20" s="202"/>
      <c r="AS20" s="202"/>
      <c r="AT20" s="203"/>
    </row>
    <row r="21" spans="21:46" x14ac:dyDescent="0.3">
      <c r="U21" s="201"/>
      <c r="V21" s="202"/>
      <c r="W21" s="202"/>
      <c r="X21" s="202"/>
      <c r="Y21" s="202"/>
      <c r="Z21" s="202"/>
      <c r="AA21" s="202"/>
      <c r="AB21" s="202"/>
      <c r="AC21" s="202"/>
      <c r="AD21" s="202"/>
      <c r="AE21" s="202"/>
      <c r="AF21" s="202"/>
      <c r="AG21" s="202"/>
      <c r="AH21" s="202"/>
      <c r="AI21" s="202"/>
      <c r="AJ21" s="202"/>
      <c r="AK21" s="202"/>
      <c r="AL21" s="202"/>
      <c r="AM21" s="202"/>
      <c r="AN21" s="202"/>
      <c r="AO21" s="202"/>
      <c r="AP21" s="202"/>
      <c r="AQ21" s="202"/>
      <c r="AR21" s="202"/>
      <c r="AS21" s="202"/>
      <c r="AT21" s="203"/>
    </row>
    <row r="22" spans="21:46" x14ac:dyDescent="0.3">
      <c r="U22" s="201"/>
      <c r="V22" s="202"/>
      <c r="W22" s="202"/>
      <c r="X22" s="202"/>
      <c r="Y22" s="202"/>
      <c r="Z22" s="202"/>
      <c r="AA22" s="202"/>
      <c r="AB22" s="202"/>
      <c r="AC22" s="202"/>
      <c r="AD22" s="202"/>
      <c r="AE22" s="202"/>
      <c r="AF22" s="202"/>
      <c r="AG22" s="202"/>
      <c r="AH22" s="202"/>
      <c r="AI22" s="202"/>
      <c r="AJ22" s="202"/>
      <c r="AK22" s="202"/>
      <c r="AL22" s="202"/>
      <c r="AM22" s="202"/>
      <c r="AN22" s="202"/>
      <c r="AO22" s="202"/>
      <c r="AP22" s="202"/>
      <c r="AQ22" s="202"/>
      <c r="AR22" s="202"/>
      <c r="AS22" s="202"/>
      <c r="AT22" s="203"/>
    </row>
    <row r="23" spans="21:46" x14ac:dyDescent="0.3">
      <c r="U23" s="201"/>
      <c r="V23" s="202"/>
      <c r="W23" s="202"/>
      <c r="X23" s="202"/>
      <c r="Y23" s="202"/>
      <c r="Z23" s="202"/>
      <c r="AA23" s="202"/>
      <c r="AB23" s="202"/>
      <c r="AC23" s="202"/>
      <c r="AD23" s="202"/>
      <c r="AE23" s="202"/>
      <c r="AF23" s="202"/>
      <c r="AG23" s="202"/>
      <c r="AH23" s="202"/>
      <c r="AI23" s="202"/>
      <c r="AJ23" s="202"/>
      <c r="AK23" s="202"/>
      <c r="AL23" s="202"/>
      <c r="AM23" s="202"/>
      <c r="AN23" s="202"/>
      <c r="AO23" s="202"/>
      <c r="AP23" s="202"/>
      <c r="AQ23" s="202"/>
      <c r="AR23" s="202"/>
      <c r="AS23" s="202"/>
      <c r="AT23" s="203"/>
    </row>
    <row r="24" spans="21:46" x14ac:dyDescent="0.3">
      <c r="U24" s="201"/>
      <c r="V24" s="202"/>
      <c r="W24" s="202"/>
      <c r="X24" s="202"/>
      <c r="Y24" s="202"/>
      <c r="Z24" s="202"/>
      <c r="AA24" s="202"/>
      <c r="AB24" s="202"/>
      <c r="AC24" s="202"/>
      <c r="AD24" s="202"/>
      <c r="AE24" s="202"/>
      <c r="AF24" s="202"/>
      <c r="AG24" s="202"/>
      <c r="AH24" s="202"/>
      <c r="AI24" s="202"/>
      <c r="AJ24" s="202"/>
      <c r="AK24" s="202"/>
      <c r="AL24" s="202"/>
      <c r="AM24" s="202"/>
      <c r="AN24" s="202"/>
      <c r="AO24" s="202"/>
      <c r="AP24" s="202"/>
      <c r="AQ24" s="202"/>
      <c r="AR24" s="202"/>
      <c r="AS24" s="202"/>
      <c r="AT24" s="203"/>
    </row>
    <row r="25" spans="21:46" x14ac:dyDescent="0.3">
      <c r="U25" s="201"/>
      <c r="V25" s="202"/>
      <c r="W25" s="202"/>
      <c r="X25" s="202"/>
      <c r="Y25" s="202"/>
      <c r="Z25" s="202"/>
      <c r="AA25" s="202"/>
      <c r="AB25" s="202"/>
      <c r="AC25" s="202"/>
      <c r="AD25" s="202"/>
      <c r="AE25" s="202"/>
      <c r="AF25" s="202"/>
      <c r="AG25" s="202"/>
      <c r="AH25" s="202"/>
      <c r="AI25" s="202"/>
      <c r="AJ25" s="202"/>
      <c r="AK25" s="202"/>
      <c r="AL25" s="202"/>
      <c r="AM25" s="202"/>
      <c r="AN25" s="202"/>
      <c r="AO25" s="202"/>
      <c r="AP25" s="202"/>
      <c r="AQ25" s="202"/>
      <c r="AR25" s="202"/>
      <c r="AS25" s="202"/>
      <c r="AT25" s="203"/>
    </row>
    <row r="26" spans="21:46" x14ac:dyDescent="0.3">
      <c r="U26" s="201"/>
      <c r="V26" s="202"/>
      <c r="W26" s="202"/>
      <c r="X26" s="202"/>
      <c r="Y26" s="202"/>
      <c r="Z26" s="202"/>
      <c r="AA26" s="202"/>
      <c r="AB26" s="202"/>
      <c r="AC26" s="202"/>
      <c r="AD26" s="202"/>
      <c r="AE26" s="202"/>
      <c r="AF26" s="202"/>
      <c r="AG26" s="202"/>
      <c r="AH26" s="202"/>
      <c r="AI26" s="202"/>
      <c r="AJ26" s="202"/>
      <c r="AK26" s="202"/>
      <c r="AL26" s="202"/>
      <c r="AM26" s="202"/>
      <c r="AN26" s="202"/>
      <c r="AO26" s="202"/>
      <c r="AP26" s="202"/>
      <c r="AQ26" s="202"/>
      <c r="AR26" s="202"/>
      <c r="AS26" s="202"/>
      <c r="AT26" s="203"/>
    </row>
    <row r="27" spans="21:46" x14ac:dyDescent="0.3">
      <c r="U27" s="201"/>
      <c r="V27" s="202"/>
      <c r="W27" s="202"/>
      <c r="X27" s="202"/>
      <c r="Y27" s="202"/>
      <c r="Z27" s="202"/>
      <c r="AA27" s="202"/>
      <c r="AB27" s="202"/>
      <c r="AC27" s="202"/>
      <c r="AD27" s="202"/>
      <c r="AE27" s="202"/>
      <c r="AF27" s="202"/>
      <c r="AG27" s="202"/>
      <c r="AH27" s="202"/>
      <c r="AI27" s="202"/>
      <c r="AJ27" s="202"/>
      <c r="AK27" s="202"/>
      <c r="AL27" s="202"/>
      <c r="AM27" s="202"/>
      <c r="AN27" s="202"/>
      <c r="AO27" s="202"/>
      <c r="AP27" s="202"/>
      <c r="AQ27" s="202"/>
      <c r="AR27" s="202"/>
      <c r="AS27" s="202"/>
      <c r="AT27" s="203"/>
    </row>
    <row r="28" spans="21:46" x14ac:dyDescent="0.3">
      <c r="U28" s="201"/>
      <c r="V28" s="202"/>
      <c r="W28" s="202"/>
      <c r="X28" s="202"/>
      <c r="Y28" s="202"/>
      <c r="Z28" s="202"/>
      <c r="AA28" s="202"/>
      <c r="AB28" s="202"/>
      <c r="AC28" s="202"/>
      <c r="AD28" s="202"/>
      <c r="AE28" s="202"/>
      <c r="AF28" s="202"/>
      <c r="AG28" s="202"/>
      <c r="AH28" s="202"/>
      <c r="AI28" s="202"/>
      <c r="AJ28" s="202"/>
      <c r="AK28" s="202"/>
      <c r="AL28" s="202"/>
      <c r="AM28" s="202"/>
      <c r="AN28" s="202"/>
      <c r="AO28" s="202"/>
      <c r="AP28" s="202"/>
      <c r="AQ28" s="202"/>
      <c r="AR28" s="202"/>
      <c r="AS28" s="202"/>
      <c r="AT28" s="203"/>
    </row>
    <row r="29" spans="21:46" x14ac:dyDescent="0.3">
      <c r="U29" s="201"/>
      <c r="V29" s="202"/>
      <c r="W29" s="202"/>
      <c r="X29" s="202"/>
      <c r="Y29" s="202"/>
      <c r="Z29" s="202"/>
      <c r="AA29" s="202"/>
      <c r="AB29" s="202"/>
      <c r="AC29" s="202"/>
      <c r="AD29" s="202"/>
      <c r="AE29" s="202"/>
      <c r="AF29" s="202"/>
      <c r="AG29" s="202"/>
      <c r="AH29" s="202"/>
      <c r="AI29" s="202"/>
      <c r="AJ29" s="202"/>
      <c r="AK29" s="202"/>
      <c r="AL29" s="202"/>
      <c r="AM29" s="202"/>
      <c r="AN29" s="202"/>
      <c r="AO29" s="202"/>
      <c r="AP29" s="202"/>
      <c r="AQ29" s="202"/>
      <c r="AR29" s="202"/>
      <c r="AS29" s="202"/>
      <c r="AT29" s="203"/>
    </row>
    <row r="30" spans="21:46" x14ac:dyDescent="0.3">
      <c r="U30" s="201"/>
      <c r="V30" s="202"/>
      <c r="W30" s="202"/>
      <c r="X30" s="202"/>
      <c r="Y30" s="202"/>
      <c r="Z30" s="202"/>
      <c r="AA30" s="202"/>
      <c r="AB30" s="202"/>
      <c r="AC30" s="202"/>
      <c r="AD30" s="202"/>
      <c r="AE30" s="202"/>
      <c r="AF30" s="202"/>
      <c r="AG30" s="202"/>
      <c r="AH30" s="202"/>
      <c r="AI30" s="202"/>
      <c r="AJ30" s="202"/>
      <c r="AK30" s="202"/>
      <c r="AL30" s="202"/>
      <c r="AM30" s="202"/>
      <c r="AN30" s="202"/>
      <c r="AO30" s="202"/>
      <c r="AP30" s="202"/>
      <c r="AQ30" s="202"/>
      <c r="AR30" s="202"/>
      <c r="AS30" s="202"/>
      <c r="AT30" s="203"/>
    </row>
    <row r="31" spans="21:46" x14ac:dyDescent="0.3">
      <c r="U31" s="201"/>
      <c r="V31" s="202"/>
      <c r="W31" s="202"/>
      <c r="X31" s="202"/>
      <c r="Y31" s="202"/>
      <c r="Z31" s="202"/>
      <c r="AA31" s="202"/>
      <c r="AB31" s="202"/>
      <c r="AC31" s="202"/>
      <c r="AD31" s="202"/>
      <c r="AE31" s="202"/>
      <c r="AF31" s="202"/>
      <c r="AG31" s="202"/>
      <c r="AH31" s="202"/>
      <c r="AI31" s="202"/>
      <c r="AJ31" s="202"/>
      <c r="AK31" s="202"/>
      <c r="AL31" s="202"/>
      <c r="AM31" s="202"/>
      <c r="AN31" s="202"/>
      <c r="AO31" s="202"/>
      <c r="AP31" s="202"/>
      <c r="AQ31" s="202"/>
      <c r="AR31" s="202"/>
      <c r="AS31" s="202"/>
      <c r="AT31" s="203"/>
    </row>
    <row r="32" spans="21:46" x14ac:dyDescent="0.3">
      <c r="U32" s="201"/>
      <c r="V32" s="202"/>
      <c r="W32" s="202"/>
      <c r="X32" s="202"/>
      <c r="Y32" s="202"/>
      <c r="Z32" s="202"/>
      <c r="AA32" s="202"/>
      <c r="AB32" s="202"/>
      <c r="AC32" s="202"/>
      <c r="AD32" s="202"/>
      <c r="AE32" s="202"/>
      <c r="AF32" s="202"/>
      <c r="AG32" s="202"/>
      <c r="AH32" s="202"/>
      <c r="AI32" s="202"/>
      <c r="AJ32" s="202"/>
      <c r="AK32" s="202"/>
      <c r="AL32" s="202"/>
      <c r="AM32" s="202"/>
      <c r="AN32" s="202"/>
      <c r="AO32" s="202"/>
      <c r="AP32" s="202"/>
      <c r="AQ32" s="202"/>
      <c r="AR32" s="202"/>
      <c r="AS32" s="202"/>
      <c r="AT32" s="203"/>
    </row>
    <row r="33" spans="21:46" x14ac:dyDescent="0.3">
      <c r="U33" s="201"/>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3"/>
    </row>
    <row r="34" spans="21:46" x14ac:dyDescent="0.3">
      <c r="U34" s="201"/>
      <c r="V34" s="202"/>
      <c r="W34" s="202"/>
      <c r="X34" s="202"/>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3"/>
    </row>
    <row r="35" spans="21:46" x14ac:dyDescent="0.3">
      <c r="U35" s="201"/>
      <c r="V35" s="202"/>
      <c r="W35" s="202"/>
      <c r="X35" s="202"/>
      <c r="Y35" s="202"/>
      <c r="Z35" s="202"/>
      <c r="AA35" s="202"/>
      <c r="AB35" s="202"/>
      <c r="AC35" s="202"/>
      <c r="AD35" s="202"/>
      <c r="AE35" s="202"/>
      <c r="AF35" s="202"/>
      <c r="AG35" s="202"/>
      <c r="AH35" s="202"/>
      <c r="AI35" s="202"/>
      <c r="AJ35" s="202"/>
      <c r="AK35" s="202"/>
      <c r="AL35" s="202"/>
      <c r="AM35" s="202"/>
      <c r="AN35" s="202"/>
      <c r="AO35" s="202"/>
      <c r="AP35" s="202"/>
      <c r="AQ35" s="202"/>
      <c r="AR35" s="202"/>
      <c r="AS35" s="202"/>
      <c r="AT35" s="203"/>
    </row>
    <row r="36" spans="21:46" x14ac:dyDescent="0.3">
      <c r="U36" s="201"/>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3"/>
    </row>
    <row r="37" spans="21:46" x14ac:dyDescent="0.3">
      <c r="U37" s="201"/>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3"/>
    </row>
    <row r="38" spans="21:46" x14ac:dyDescent="0.3">
      <c r="U38" s="201"/>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3"/>
    </row>
    <row r="39" spans="21:46" x14ac:dyDescent="0.3">
      <c r="U39" s="201"/>
      <c r="V39" s="202"/>
      <c r="W39" s="202"/>
      <c r="X39" s="202"/>
      <c r="Y39" s="202"/>
      <c r="Z39" s="202"/>
      <c r="AA39" s="202"/>
      <c r="AB39" s="202"/>
      <c r="AC39" s="202"/>
      <c r="AD39" s="202"/>
      <c r="AE39" s="202"/>
      <c r="AF39" s="202"/>
      <c r="AG39" s="202"/>
      <c r="AH39" s="202"/>
      <c r="AI39" s="202"/>
      <c r="AJ39" s="202"/>
      <c r="AK39" s="202"/>
      <c r="AL39" s="202"/>
      <c r="AM39" s="202"/>
      <c r="AN39" s="202"/>
      <c r="AO39" s="202"/>
      <c r="AP39" s="202"/>
      <c r="AQ39" s="202"/>
      <c r="AR39" s="202"/>
      <c r="AS39" s="202"/>
      <c r="AT39" s="203"/>
    </row>
    <row r="40" spans="21:46" x14ac:dyDescent="0.3">
      <c r="U40" s="201"/>
      <c r="V40" s="202"/>
      <c r="W40" s="202"/>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3"/>
    </row>
    <row r="41" spans="21:46" x14ac:dyDescent="0.3">
      <c r="U41" s="201"/>
      <c r="V41" s="202"/>
      <c r="W41" s="202"/>
      <c r="X41" s="202"/>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3"/>
    </row>
    <row r="42" spans="21:46" x14ac:dyDescent="0.3">
      <c r="U42" s="201"/>
      <c r="V42" s="202"/>
      <c r="W42" s="202"/>
      <c r="X42" s="202"/>
      <c r="Y42" s="202"/>
      <c r="Z42" s="202"/>
      <c r="AA42" s="202"/>
      <c r="AB42" s="202"/>
      <c r="AC42" s="202"/>
      <c r="AD42" s="202"/>
      <c r="AE42" s="202"/>
      <c r="AF42" s="202"/>
      <c r="AG42" s="202"/>
      <c r="AH42" s="202"/>
      <c r="AI42" s="202"/>
      <c r="AJ42" s="202"/>
      <c r="AK42" s="202"/>
      <c r="AL42" s="202"/>
      <c r="AM42" s="202"/>
      <c r="AN42" s="202"/>
      <c r="AO42" s="202"/>
      <c r="AP42" s="202"/>
      <c r="AQ42" s="202"/>
      <c r="AR42" s="202"/>
      <c r="AS42" s="202"/>
      <c r="AT42" s="203"/>
    </row>
    <row r="43" spans="21:46" x14ac:dyDescent="0.3">
      <c r="U43" s="201"/>
      <c r="V43" s="202"/>
      <c r="W43" s="202"/>
      <c r="X43" s="202"/>
      <c r="Y43" s="202"/>
      <c r="Z43" s="202"/>
      <c r="AA43" s="202"/>
      <c r="AB43" s="202"/>
      <c r="AC43" s="202"/>
      <c r="AD43" s="202"/>
      <c r="AE43" s="202"/>
      <c r="AF43" s="202"/>
      <c r="AG43" s="202"/>
      <c r="AH43" s="202"/>
      <c r="AI43" s="202"/>
      <c r="AJ43" s="202"/>
      <c r="AK43" s="202"/>
      <c r="AL43" s="202"/>
      <c r="AM43" s="202"/>
      <c r="AN43" s="202"/>
      <c r="AO43" s="202"/>
      <c r="AP43" s="202"/>
      <c r="AQ43" s="202"/>
      <c r="AR43" s="202"/>
      <c r="AS43" s="202"/>
      <c r="AT43" s="203"/>
    </row>
    <row r="44" spans="21:46" x14ac:dyDescent="0.3">
      <c r="U44" s="201"/>
      <c r="V44" s="202"/>
      <c r="W44" s="202"/>
      <c r="X44" s="202"/>
      <c r="Y44" s="202"/>
      <c r="Z44" s="202"/>
      <c r="AA44" s="202"/>
      <c r="AB44" s="202"/>
      <c r="AC44" s="202"/>
      <c r="AD44" s="202"/>
      <c r="AE44" s="202"/>
      <c r="AF44" s="202"/>
      <c r="AG44" s="202"/>
      <c r="AH44" s="202"/>
      <c r="AI44" s="202"/>
      <c r="AJ44" s="202"/>
      <c r="AK44" s="202"/>
      <c r="AL44" s="202"/>
      <c r="AM44" s="202"/>
      <c r="AN44" s="202"/>
      <c r="AO44" s="202"/>
      <c r="AP44" s="202"/>
      <c r="AQ44" s="202"/>
      <c r="AR44" s="202"/>
      <c r="AS44" s="202"/>
      <c r="AT44" s="203"/>
    </row>
    <row r="45" spans="21:46" x14ac:dyDescent="0.3">
      <c r="U45" s="201"/>
      <c r="V45" s="202"/>
      <c r="W45" s="202"/>
      <c r="X45" s="202"/>
      <c r="Y45" s="202"/>
      <c r="Z45" s="202"/>
      <c r="AA45" s="202"/>
      <c r="AB45" s="202"/>
      <c r="AC45" s="202"/>
      <c r="AD45" s="202"/>
      <c r="AE45" s="202"/>
      <c r="AF45" s="202"/>
      <c r="AG45" s="202"/>
      <c r="AH45" s="202"/>
      <c r="AI45" s="202"/>
      <c r="AJ45" s="202"/>
      <c r="AK45" s="202"/>
      <c r="AL45" s="202"/>
      <c r="AM45" s="202"/>
      <c r="AN45" s="202"/>
      <c r="AO45" s="202"/>
      <c r="AP45" s="202"/>
      <c r="AQ45" s="202"/>
      <c r="AR45" s="202"/>
      <c r="AS45" s="202"/>
      <c r="AT45" s="203"/>
    </row>
    <row r="46" spans="21:46" x14ac:dyDescent="0.3">
      <c r="U46" s="201"/>
      <c r="V46" s="202"/>
      <c r="W46" s="202"/>
      <c r="X46" s="202"/>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3"/>
    </row>
    <row r="47" spans="21:46" x14ac:dyDescent="0.3">
      <c r="U47" s="201"/>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3"/>
    </row>
    <row r="48" spans="21:46" x14ac:dyDescent="0.3">
      <c r="U48" s="201"/>
      <c r="V48" s="202"/>
      <c r="W48" s="202"/>
      <c r="X48" s="202"/>
      <c r="Y48" s="202"/>
      <c r="Z48" s="202"/>
      <c r="AA48" s="202"/>
      <c r="AB48" s="202"/>
      <c r="AC48" s="202"/>
      <c r="AD48" s="202"/>
      <c r="AE48" s="202"/>
      <c r="AF48" s="202"/>
      <c r="AG48" s="202"/>
      <c r="AH48" s="202"/>
      <c r="AI48" s="202"/>
      <c r="AJ48" s="202"/>
      <c r="AK48" s="202"/>
      <c r="AL48" s="202"/>
      <c r="AM48" s="202"/>
      <c r="AN48" s="202"/>
      <c r="AO48" s="202"/>
      <c r="AP48" s="202"/>
      <c r="AQ48" s="202"/>
      <c r="AR48" s="202"/>
      <c r="AS48" s="202"/>
      <c r="AT48" s="203"/>
    </row>
    <row r="49" spans="21:46" x14ac:dyDescent="0.3">
      <c r="U49" s="201"/>
      <c r="V49" s="202"/>
      <c r="W49" s="202"/>
      <c r="X49" s="202"/>
      <c r="Y49" s="202"/>
      <c r="Z49" s="202"/>
      <c r="AA49" s="202"/>
      <c r="AB49" s="202"/>
      <c r="AC49" s="202"/>
      <c r="AD49" s="202"/>
      <c r="AE49" s="202"/>
      <c r="AF49" s="202"/>
      <c r="AG49" s="202"/>
      <c r="AH49" s="202"/>
      <c r="AI49" s="202"/>
      <c r="AJ49" s="202"/>
      <c r="AK49" s="202"/>
      <c r="AL49" s="202"/>
      <c r="AM49" s="202"/>
      <c r="AN49" s="202"/>
      <c r="AO49" s="202"/>
      <c r="AP49" s="202"/>
      <c r="AQ49" s="202"/>
      <c r="AR49" s="202"/>
      <c r="AS49" s="202"/>
      <c r="AT49" s="203"/>
    </row>
    <row r="50" spans="21:46" x14ac:dyDescent="0.3">
      <c r="U50" s="201"/>
      <c r="V50" s="202"/>
      <c r="W50" s="202"/>
      <c r="X50" s="202"/>
      <c r="Y50" s="202"/>
      <c r="Z50" s="202"/>
      <c r="AA50" s="202"/>
      <c r="AB50" s="202"/>
      <c r="AC50" s="202"/>
      <c r="AD50" s="202"/>
      <c r="AE50" s="202"/>
      <c r="AF50" s="202"/>
      <c r="AG50" s="202"/>
      <c r="AH50" s="202"/>
      <c r="AI50" s="202"/>
      <c r="AJ50" s="202"/>
      <c r="AK50" s="202"/>
      <c r="AL50" s="202"/>
      <c r="AM50" s="202"/>
      <c r="AN50" s="202"/>
      <c r="AO50" s="202"/>
      <c r="AP50" s="202"/>
      <c r="AQ50" s="202"/>
      <c r="AR50" s="202"/>
      <c r="AS50" s="202"/>
      <c r="AT50" s="203"/>
    </row>
    <row r="51" spans="21:46" x14ac:dyDescent="0.3">
      <c r="U51" s="201"/>
      <c r="V51" s="202"/>
      <c r="W51" s="202"/>
      <c r="X51" s="202"/>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3"/>
    </row>
    <row r="52" spans="21:46" x14ac:dyDescent="0.3">
      <c r="U52" s="201"/>
      <c r="V52" s="202"/>
      <c r="W52" s="202"/>
      <c r="X52" s="202"/>
      <c r="Y52" s="202"/>
      <c r="Z52" s="202"/>
      <c r="AA52" s="202"/>
      <c r="AB52" s="202"/>
      <c r="AC52" s="202"/>
      <c r="AD52" s="202"/>
      <c r="AE52" s="202"/>
      <c r="AF52" s="202"/>
      <c r="AG52" s="202"/>
      <c r="AH52" s="202"/>
      <c r="AI52" s="202"/>
      <c r="AJ52" s="202"/>
      <c r="AK52" s="202"/>
      <c r="AL52" s="202"/>
      <c r="AM52" s="202"/>
      <c r="AN52" s="202"/>
      <c r="AO52" s="202"/>
      <c r="AP52" s="202"/>
      <c r="AQ52" s="202"/>
      <c r="AR52" s="202"/>
      <c r="AS52" s="202"/>
      <c r="AT52" s="203"/>
    </row>
    <row r="53" spans="21:46" ht="18" x14ac:dyDescent="0.35">
      <c r="U53" s="201"/>
      <c r="V53" s="202"/>
      <c r="W53" s="202"/>
      <c r="X53" s="202"/>
      <c r="Y53" s="202"/>
      <c r="Z53" s="202"/>
      <c r="AA53" s="202"/>
      <c r="AB53" s="212" t="s">
        <v>203</v>
      </c>
      <c r="AC53" s="209" t="s">
        <v>14</v>
      </c>
      <c r="AD53" s="202"/>
      <c r="AE53" s="202"/>
      <c r="AF53" s="202"/>
      <c r="AG53" s="202"/>
      <c r="AH53" s="202"/>
      <c r="AI53" s="202"/>
      <c r="AJ53" s="212" t="s">
        <v>203</v>
      </c>
      <c r="AK53" s="209" t="s">
        <v>14</v>
      </c>
      <c r="AL53" s="202"/>
      <c r="AM53" s="202"/>
      <c r="AN53" s="202"/>
      <c r="AO53" s="202"/>
      <c r="AP53" s="202"/>
      <c r="AQ53" s="202"/>
      <c r="AR53" s="202"/>
      <c r="AS53" s="202"/>
      <c r="AT53" s="203"/>
    </row>
    <row r="54" spans="21:46" ht="18" x14ac:dyDescent="0.35">
      <c r="U54" s="201"/>
      <c r="V54" s="202"/>
      <c r="W54" s="202"/>
      <c r="X54" s="202"/>
      <c r="Y54" s="202"/>
      <c r="Z54" s="202"/>
      <c r="AA54" s="202"/>
      <c r="AB54" s="212" t="s">
        <v>195</v>
      </c>
      <c r="AC54" s="209" t="s">
        <v>5</v>
      </c>
      <c r="AD54" s="202"/>
      <c r="AE54" s="202"/>
      <c r="AF54" s="202"/>
      <c r="AG54" s="202"/>
      <c r="AH54" s="202"/>
      <c r="AI54" s="202"/>
      <c r="AJ54" s="212" t="s">
        <v>195</v>
      </c>
      <c r="AK54" s="209" t="s">
        <v>7</v>
      </c>
      <c r="AL54" s="202"/>
      <c r="AM54" s="202"/>
      <c r="AN54" s="202"/>
      <c r="AO54" s="202"/>
      <c r="AP54" s="202"/>
      <c r="AQ54" s="202"/>
      <c r="AR54" s="202"/>
      <c r="AS54" s="202"/>
      <c r="AT54" s="203"/>
    </row>
    <row r="55" spans="21:46" x14ac:dyDescent="0.3">
      <c r="U55" s="201"/>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3"/>
    </row>
    <row r="56" spans="21:46" x14ac:dyDescent="0.3">
      <c r="U56" s="201"/>
      <c r="V56" s="202"/>
      <c r="W56" s="202"/>
      <c r="X56" s="202"/>
      <c r="Y56" s="202"/>
      <c r="Z56" s="202"/>
      <c r="AA56" s="202"/>
      <c r="AB56" s="202"/>
      <c r="AC56" s="202"/>
      <c r="AD56" s="202"/>
      <c r="AE56" s="202"/>
      <c r="AF56" s="202"/>
      <c r="AG56" s="202"/>
      <c r="AH56" s="202"/>
      <c r="AI56" s="202"/>
      <c r="AJ56" s="202"/>
      <c r="AK56" s="202"/>
      <c r="AL56" s="202"/>
      <c r="AM56" s="202"/>
      <c r="AN56" s="202"/>
      <c r="AO56" s="202"/>
      <c r="AP56" s="202"/>
      <c r="AQ56" s="202"/>
      <c r="AR56" s="202"/>
      <c r="AS56" s="202"/>
      <c r="AT56" s="203"/>
    </row>
    <row r="57" spans="21:46" x14ac:dyDescent="0.3">
      <c r="U57" s="201"/>
      <c r="V57" s="202"/>
      <c r="W57" s="202"/>
      <c r="X57" s="202"/>
      <c r="Y57" s="202"/>
      <c r="Z57" s="202"/>
      <c r="AA57" s="202"/>
      <c r="AB57" s="202"/>
      <c r="AC57" s="202"/>
      <c r="AD57" s="202"/>
      <c r="AE57" s="202"/>
      <c r="AF57" s="202"/>
      <c r="AG57" s="202"/>
      <c r="AH57" s="202"/>
      <c r="AI57" s="202"/>
      <c r="AJ57" s="202"/>
      <c r="AK57" s="202"/>
      <c r="AL57" s="202"/>
      <c r="AM57" s="202"/>
      <c r="AN57" s="202"/>
      <c r="AO57" s="202"/>
      <c r="AP57" s="202"/>
      <c r="AQ57" s="202"/>
      <c r="AR57" s="202"/>
      <c r="AS57" s="202"/>
      <c r="AT57" s="203"/>
    </row>
    <row r="58" spans="21:46" x14ac:dyDescent="0.3">
      <c r="U58" s="201"/>
      <c r="V58" s="202"/>
      <c r="W58" s="202"/>
      <c r="X58" s="202"/>
      <c r="Y58" s="202"/>
      <c r="Z58" s="202"/>
      <c r="AA58" s="202"/>
      <c r="AB58" s="202"/>
      <c r="AC58" s="202"/>
      <c r="AD58" s="202"/>
      <c r="AE58" s="202"/>
      <c r="AF58" s="202"/>
      <c r="AG58" s="202"/>
      <c r="AH58" s="202"/>
      <c r="AI58" s="202"/>
      <c r="AJ58" s="202"/>
      <c r="AK58" s="202"/>
      <c r="AL58" s="202"/>
      <c r="AM58" s="202"/>
      <c r="AN58" s="202"/>
      <c r="AO58" s="202"/>
      <c r="AP58" s="202"/>
      <c r="AQ58" s="202"/>
      <c r="AR58" s="202"/>
      <c r="AS58" s="202"/>
      <c r="AT58" s="203"/>
    </row>
    <row r="59" spans="21:46" x14ac:dyDescent="0.3">
      <c r="U59" s="201"/>
      <c r="V59" s="202"/>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3"/>
    </row>
    <row r="60" spans="21:46" x14ac:dyDescent="0.3">
      <c r="U60" s="201"/>
      <c r="V60" s="202"/>
      <c r="W60" s="202"/>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3"/>
    </row>
    <row r="61" spans="21:46" x14ac:dyDescent="0.3">
      <c r="U61" s="201"/>
      <c r="V61" s="202"/>
      <c r="W61" s="202"/>
      <c r="X61" s="202"/>
      <c r="Y61" s="202"/>
      <c r="Z61" s="202"/>
      <c r="AA61" s="202"/>
      <c r="AB61" s="202"/>
      <c r="AC61" s="202"/>
      <c r="AD61" s="202"/>
      <c r="AE61" s="202"/>
      <c r="AF61" s="202"/>
      <c r="AG61" s="202"/>
      <c r="AH61" s="202"/>
      <c r="AI61" s="202"/>
      <c r="AJ61" s="202"/>
      <c r="AK61" s="202"/>
      <c r="AL61" s="202"/>
      <c r="AM61" s="202"/>
      <c r="AN61" s="202"/>
      <c r="AO61" s="202"/>
      <c r="AP61" s="202"/>
      <c r="AQ61" s="202"/>
      <c r="AR61" s="202"/>
      <c r="AS61" s="202"/>
      <c r="AT61" s="203"/>
    </row>
    <row r="62" spans="21:46" x14ac:dyDescent="0.3">
      <c r="U62" s="201"/>
      <c r="V62" s="202"/>
      <c r="W62" s="202"/>
      <c r="X62" s="202"/>
      <c r="Y62" s="202"/>
      <c r="Z62" s="202"/>
      <c r="AA62" s="202"/>
      <c r="AB62" s="202"/>
      <c r="AC62" s="202"/>
      <c r="AD62" s="202"/>
      <c r="AE62" s="202"/>
      <c r="AF62" s="202"/>
      <c r="AG62" s="202"/>
      <c r="AH62" s="202"/>
      <c r="AI62" s="202"/>
      <c r="AJ62" s="202"/>
      <c r="AK62" s="202"/>
      <c r="AL62" s="202"/>
      <c r="AM62" s="202"/>
      <c r="AN62" s="202"/>
      <c r="AO62" s="202"/>
      <c r="AP62" s="202"/>
      <c r="AQ62" s="202"/>
      <c r="AR62" s="202"/>
      <c r="AS62" s="202"/>
      <c r="AT62" s="203"/>
    </row>
    <row r="63" spans="21:46" x14ac:dyDescent="0.3">
      <c r="U63" s="201"/>
      <c r="V63" s="202"/>
      <c r="W63" s="202"/>
      <c r="X63" s="202"/>
      <c r="Y63" s="202"/>
      <c r="Z63" s="202"/>
      <c r="AA63" s="202"/>
      <c r="AB63" s="202"/>
      <c r="AC63" s="202"/>
      <c r="AD63" s="202"/>
      <c r="AE63" s="202"/>
      <c r="AF63" s="202"/>
      <c r="AG63" s="202"/>
      <c r="AH63" s="202"/>
      <c r="AI63" s="202"/>
      <c r="AJ63" s="202"/>
      <c r="AK63" s="202"/>
      <c r="AL63" s="202"/>
      <c r="AM63" s="202"/>
      <c r="AN63" s="202"/>
      <c r="AO63" s="202"/>
      <c r="AP63" s="202"/>
      <c r="AQ63" s="202"/>
      <c r="AR63" s="202"/>
      <c r="AS63" s="202"/>
      <c r="AT63" s="203"/>
    </row>
    <row r="64" spans="21:46" x14ac:dyDescent="0.3">
      <c r="U64" s="201"/>
      <c r="V64" s="202"/>
      <c r="W64" s="202"/>
      <c r="X64" s="202"/>
      <c r="Y64" s="202"/>
      <c r="Z64" s="202"/>
      <c r="AA64" s="202"/>
      <c r="AB64" s="202"/>
      <c r="AC64" s="202"/>
      <c r="AD64" s="202"/>
      <c r="AE64" s="202"/>
      <c r="AF64" s="202"/>
      <c r="AG64" s="202"/>
      <c r="AH64" s="202"/>
      <c r="AI64" s="202"/>
      <c r="AJ64" s="202"/>
      <c r="AK64" s="202"/>
      <c r="AL64" s="202"/>
      <c r="AM64" s="202"/>
      <c r="AN64" s="202"/>
      <c r="AO64" s="202"/>
      <c r="AP64" s="202"/>
      <c r="AQ64" s="202"/>
      <c r="AR64" s="202"/>
      <c r="AS64" s="202"/>
      <c r="AT64" s="203"/>
    </row>
    <row r="65" spans="21:46" x14ac:dyDescent="0.3">
      <c r="U65" s="201"/>
      <c r="V65" s="202"/>
      <c r="W65" s="202"/>
      <c r="X65" s="202"/>
      <c r="Y65" s="202"/>
      <c r="Z65" s="202"/>
      <c r="AA65" s="202"/>
      <c r="AB65" s="202"/>
      <c r="AC65" s="202"/>
      <c r="AD65" s="202"/>
      <c r="AE65" s="202"/>
      <c r="AF65" s="202"/>
      <c r="AG65" s="202"/>
      <c r="AH65" s="202"/>
      <c r="AI65" s="202"/>
      <c r="AJ65" s="202"/>
      <c r="AK65" s="202"/>
      <c r="AL65" s="202"/>
      <c r="AM65" s="202"/>
      <c r="AN65" s="202"/>
      <c r="AO65" s="202"/>
      <c r="AP65" s="202"/>
      <c r="AQ65" s="202"/>
      <c r="AR65" s="202"/>
      <c r="AS65" s="202"/>
      <c r="AT65" s="203"/>
    </row>
    <row r="66" spans="21:46" x14ac:dyDescent="0.3">
      <c r="U66" s="201"/>
      <c r="V66" s="202"/>
      <c r="W66" s="202"/>
      <c r="X66" s="202"/>
      <c r="Y66" s="202"/>
      <c r="Z66" s="202"/>
      <c r="AA66" s="202"/>
      <c r="AB66" s="202"/>
      <c r="AC66" s="202"/>
      <c r="AD66" s="202"/>
      <c r="AE66" s="202"/>
      <c r="AF66" s="202"/>
      <c r="AG66" s="202"/>
      <c r="AH66" s="202"/>
      <c r="AI66" s="202"/>
      <c r="AJ66" s="202"/>
      <c r="AK66" s="202"/>
      <c r="AL66" s="202"/>
      <c r="AM66" s="202"/>
      <c r="AN66" s="202"/>
      <c r="AO66" s="202"/>
      <c r="AP66" s="202"/>
      <c r="AQ66" s="202"/>
      <c r="AR66" s="202"/>
      <c r="AS66" s="202"/>
      <c r="AT66" s="203"/>
    </row>
    <row r="67" spans="21:46" x14ac:dyDescent="0.3">
      <c r="U67" s="201"/>
      <c r="V67" s="202"/>
      <c r="W67" s="202"/>
      <c r="X67" s="202"/>
      <c r="Y67" s="202"/>
      <c r="Z67" s="202"/>
      <c r="AA67" s="202"/>
      <c r="AB67" s="202"/>
      <c r="AC67" s="202"/>
      <c r="AD67" s="202"/>
      <c r="AE67" s="202"/>
      <c r="AF67" s="202"/>
      <c r="AG67" s="202"/>
      <c r="AH67" s="202"/>
      <c r="AI67" s="202"/>
      <c r="AJ67" s="202"/>
      <c r="AK67" s="202"/>
      <c r="AL67" s="202"/>
      <c r="AM67" s="202"/>
      <c r="AN67" s="202"/>
      <c r="AO67" s="202"/>
      <c r="AP67" s="202"/>
      <c r="AQ67" s="202"/>
      <c r="AR67" s="202"/>
      <c r="AS67" s="202"/>
      <c r="AT67" s="203"/>
    </row>
    <row r="68" spans="21:46" x14ac:dyDescent="0.3">
      <c r="U68" s="201"/>
      <c r="V68" s="202"/>
      <c r="W68" s="202"/>
      <c r="X68" s="202"/>
      <c r="Y68" s="202"/>
      <c r="Z68" s="202"/>
      <c r="AA68" s="202"/>
      <c r="AB68" s="202"/>
      <c r="AC68" s="202"/>
      <c r="AD68" s="202"/>
      <c r="AE68" s="202"/>
      <c r="AF68" s="202"/>
      <c r="AG68" s="202"/>
      <c r="AH68" s="202"/>
      <c r="AI68" s="202"/>
      <c r="AJ68" s="202"/>
      <c r="AK68" s="202"/>
      <c r="AL68" s="202"/>
      <c r="AM68" s="202"/>
      <c r="AN68" s="202"/>
      <c r="AO68" s="202"/>
      <c r="AP68" s="202"/>
      <c r="AQ68" s="202"/>
      <c r="AR68" s="202"/>
      <c r="AS68" s="202"/>
      <c r="AT68" s="203"/>
    </row>
    <row r="69" spans="21:46" x14ac:dyDescent="0.3">
      <c r="U69" s="201"/>
      <c r="V69" s="202"/>
      <c r="W69" s="202"/>
      <c r="X69" s="202"/>
      <c r="Y69" s="202"/>
      <c r="Z69" s="202"/>
      <c r="AA69" s="202"/>
      <c r="AB69" s="202"/>
      <c r="AC69" s="202"/>
      <c r="AD69" s="202"/>
      <c r="AE69" s="202"/>
      <c r="AF69" s="202"/>
      <c r="AG69" s="202"/>
      <c r="AH69" s="202"/>
      <c r="AI69" s="202"/>
      <c r="AJ69" s="202"/>
      <c r="AK69" s="202"/>
      <c r="AL69" s="202"/>
      <c r="AM69" s="202"/>
      <c r="AN69" s="202"/>
      <c r="AO69" s="202"/>
      <c r="AP69" s="202"/>
      <c r="AQ69" s="202"/>
      <c r="AR69" s="202"/>
      <c r="AS69" s="202"/>
      <c r="AT69" s="203"/>
    </row>
    <row r="70" spans="21:46" x14ac:dyDescent="0.3">
      <c r="U70" s="201"/>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3"/>
    </row>
    <row r="71" spans="21:46" x14ac:dyDescent="0.3">
      <c r="U71" s="201"/>
      <c r="V71" s="202"/>
      <c r="W71" s="202"/>
      <c r="X71" s="202"/>
      <c r="Y71" s="202"/>
      <c r="Z71" s="202"/>
      <c r="AA71" s="202"/>
      <c r="AB71" s="202"/>
      <c r="AC71" s="202"/>
      <c r="AD71" s="202"/>
      <c r="AE71" s="202"/>
      <c r="AF71" s="202"/>
      <c r="AG71" s="202"/>
      <c r="AH71" s="202"/>
      <c r="AI71" s="202"/>
      <c r="AJ71" s="202"/>
      <c r="AK71" s="202"/>
      <c r="AL71" s="202"/>
      <c r="AM71" s="202"/>
      <c r="AN71" s="202"/>
      <c r="AO71" s="202"/>
      <c r="AP71" s="202"/>
      <c r="AQ71" s="202"/>
      <c r="AR71" s="202"/>
      <c r="AS71" s="202"/>
      <c r="AT71" s="203"/>
    </row>
    <row r="72" spans="21:46" x14ac:dyDescent="0.3">
      <c r="U72" s="201"/>
      <c r="V72" s="202"/>
      <c r="W72" s="202"/>
      <c r="X72" s="202"/>
      <c r="Y72" s="202"/>
      <c r="Z72" s="202"/>
      <c r="AA72" s="202"/>
      <c r="AB72" s="202"/>
      <c r="AC72" s="202"/>
      <c r="AD72" s="202"/>
      <c r="AE72" s="202"/>
      <c r="AF72" s="202"/>
      <c r="AG72" s="202"/>
      <c r="AH72" s="202"/>
      <c r="AI72" s="202"/>
      <c r="AJ72" s="202"/>
      <c r="AK72" s="202"/>
      <c r="AL72" s="202"/>
      <c r="AM72" s="202"/>
      <c r="AN72" s="202"/>
      <c r="AO72" s="202"/>
      <c r="AP72" s="202"/>
      <c r="AQ72" s="202"/>
      <c r="AR72" s="202"/>
      <c r="AS72" s="202"/>
      <c r="AT72" s="203"/>
    </row>
    <row r="73" spans="21:46" x14ac:dyDescent="0.3">
      <c r="U73" s="201"/>
      <c r="V73" s="202"/>
      <c r="W73" s="202"/>
      <c r="X73" s="202"/>
      <c r="Y73" s="202"/>
      <c r="Z73" s="202"/>
      <c r="AA73" s="202"/>
      <c r="AB73" s="202"/>
      <c r="AC73" s="202"/>
      <c r="AD73" s="202"/>
      <c r="AE73" s="202"/>
      <c r="AF73" s="202"/>
      <c r="AG73" s="202"/>
      <c r="AH73" s="202"/>
      <c r="AI73" s="202"/>
      <c r="AJ73" s="202"/>
      <c r="AK73" s="202"/>
      <c r="AL73" s="202"/>
      <c r="AM73" s="202"/>
      <c r="AN73" s="202"/>
      <c r="AO73" s="202"/>
      <c r="AP73" s="202"/>
      <c r="AQ73" s="202"/>
      <c r="AR73" s="202"/>
      <c r="AS73" s="202"/>
      <c r="AT73" s="203"/>
    </row>
    <row r="74" spans="21:46" x14ac:dyDescent="0.3">
      <c r="U74" s="201"/>
      <c r="V74" s="202"/>
      <c r="W74" s="202"/>
      <c r="X74" s="202"/>
      <c r="Y74" s="202"/>
      <c r="Z74" s="202"/>
      <c r="AA74" s="202"/>
      <c r="AB74" s="202"/>
      <c r="AC74" s="202"/>
      <c r="AD74" s="202"/>
      <c r="AE74" s="202"/>
      <c r="AF74" s="202"/>
      <c r="AG74" s="202"/>
      <c r="AH74" s="202"/>
      <c r="AI74" s="202"/>
      <c r="AJ74" s="202"/>
      <c r="AK74" s="202"/>
      <c r="AL74" s="202"/>
      <c r="AM74" s="202"/>
      <c r="AN74" s="202"/>
      <c r="AO74" s="202"/>
      <c r="AP74" s="202"/>
      <c r="AQ74" s="202"/>
      <c r="AR74" s="202"/>
      <c r="AS74" s="202"/>
      <c r="AT74" s="203"/>
    </row>
    <row r="75" spans="21:46" x14ac:dyDescent="0.3">
      <c r="U75" s="201"/>
      <c r="V75" s="202"/>
      <c r="W75" s="202"/>
      <c r="X75" s="202"/>
      <c r="Y75" s="202"/>
      <c r="Z75" s="202"/>
      <c r="AA75" s="202"/>
      <c r="AB75" s="202"/>
      <c r="AC75" s="202"/>
      <c r="AD75" s="202"/>
      <c r="AE75" s="202"/>
      <c r="AF75" s="202"/>
      <c r="AG75" s="202"/>
      <c r="AH75" s="202"/>
      <c r="AI75" s="202"/>
      <c r="AJ75" s="202"/>
      <c r="AK75" s="202"/>
      <c r="AL75" s="202"/>
      <c r="AM75" s="202"/>
      <c r="AN75" s="202"/>
      <c r="AO75" s="202"/>
      <c r="AP75" s="202"/>
      <c r="AQ75" s="202"/>
      <c r="AR75" s="202"/>
      <c r="AS75" s="202"/>
      <c r="AT75" s="203"/>
    </row>
    <row r="76" spans="21:46" x14ac:dyDescent="0.3">
      <c r="U76" s="201"/>
      <c r="V76" s="202"/>
      <c r="W76" s="202"/>
      <c r="X76" s="202"/>
      <c r="Y76" s="202"/>
      <c r="Z76" s="202"/>
      <c r="AA76" s="202"/>
      <c r="AB76" s="202"/>
      <c r="AC76" s="202"/>
      <c r="AD76" s="202"/>
      <c r="AE76" s="202"/>
      <c r="AF76" s="202"/>
      <c r="AG76" s="202"/>
      <c r="AH76" s="202"/>
      <c r="AI76" s="202"/>
      <c r="AJ76" s="202"/>
      <c r="AK76" s="202"/>
      <c r="AL76" s="202"/>
      <c r="AM76" s="202"/>
      <c r="AN76" s="202"/>
      <c r="AO76" s="202"/>
      <c r="AP76" s="202"/>
      <c r="AQ76" s="202"/>
      <c r="AR76" s="202"/>
      <c r="AS76" s="202"/>
      <c r="AT76" s="203"/>
    </row>
    <row r="77" spans="21:46" x14ac:dyDescent="0.3">
      <c r="U77" s="201"/>
      <c r="V77" s="202"/>
      <c r="W77" s="202"/>
      <c r="X77" s="202"/>
      <c r="Y77" s="202"/>
      <c r="Z77" s="202"/>
      <c r="AA77" s="202"/>
      <c r="AB77" s="202"/>
      <c r="AC77" s="202"/>
      <c r="AD77" s="202"/>
      <c r="AE77" s="202"/>
      <c r="AF77" s="202"/>
      <c r="AG77" s="202"/>
      <c r="AH77" s="202"/>
      <c r="AI77" s="202"/>
      <c r="AJ77" s="202"/>
      <c r="AK77" s="202"/>
      <c r="AL77" s="202"/>
      <c r="AM77" s="202"/>
      <c r="AN77" s="202"/>
      <c r="AO77" s="202"/>
      <c r="AP77" s="202"/>
      <c r="AQ77" s="202"/>
      <c r="AR77" s="202"/>
      <c r="AS77" s="202"/>
      <c r="AT77" s="203"/>
    </row>
    <row r="78" spans="21:46" ht="15" thickBot="1" x14ac:dyDescent="0.35">
      <c r="U78" s="204"/>
      <c r="V78" s="205"/>
      <c r="W78" s="205"/>
      <c r="X78" s="205"/>
      <c r="Y78" s="205"/>
      <c r="Z78" s="205"/>
      <c r="AA78" s="205"/>
      <c r="AB78" s="205"/>
      <c r="AC78" s="205"/>
      <c r="AD78" s="205"/>
      <c r="AE78" s="205"/>
      <c r="AF78" s="205"/>
      <c r="AG78" s="205"/>
      <c r="AH78" s="205"/>
      <c r="AI78" s="205"/>
      <c r="AJ78" s="205"/>
      <c r="AK78" s="205"/>
      <c r="AL78" s="205"/>
      <c r="AM78" s="205"/>
      <c r="AN78" s="205"/>
      <c r="AO78" s="205"/>
      <c r="AP78" s="205"/>
      <c r="AQ78" s="205"/>
      <c r="AR78" s="205"/>
      <c r="AS78" s="205"/>
      <c r="AT78" s="206"/>
    </row>
  </sheetData>
  <pageMargins left="0.45" right="0.45" top="0.5" bottom="0.5" header="0.3" footer="0.3"/>
  <pageSetup scale="46" orientation="landscape" r:id="rId1"/>
  <headerFooter>
    <oddHeader>&amp;A</oddHeader>
    <oddFooter>Page &amp;P of &amp;N</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E0B7E833-229A-4C4C-A26D-DB1B582189C3}">
          <x14:formula1>
            <xm:f>Charts!$A$2:$A$5</xm:f>
          </x14:formula1>
          <xm:sqref>AK8 AR8:AS8 AC54 AK54</xm:sqref>
        </x14:dataValidation>
        <x14:dataValidation type="list" allowBlank="1" showInputMessage="1" showErrorMessage="1" xr:uid="{3896854C-F295-480F-BE38-D12D39E5DDBF}">
          <x14:formula1>
            <xm:f>Charts!$A$373:$A$378</xm:f>
          </x14:formula1>
          <xm:sqref>AC53 AK53</xm:sqref>
        </x14:dataValidation>
      </x14:dataValidation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X186"/>
  <sheetViews>
    <sheetView zoomScale="60" zoomScaleNormal="60" workbookViewId="0">
      <selection activeCell="A2" sqref="A2"/>
    </sheetView>
  </sheetViews>
  <sheetFormatPr defaultColWidth="11" defaultRowHeight="15.6" x14ac:dyDescent="0.3"/>
  <cols>
    <col min="1" max="2" width="9" customWidth="1"/>
    <col min="3" max="3" width="12.19921875" customWidth="1"/>
    <col min="4" max="4" width="9.69921875" customWidth="1"/>
    <col min="5" max="5" width="11.69921875" customWidth="1"/>
    <col min="6" max="6" width="12" customWidth="1"/>
    <col min="7" max="7" width="11.69921875" customWidth="1"/>
    <col min="8" max="8" width="11.19921875" customWidth="1"/>
    <col min="9" max="9" width="10.69921875" bestFit="1" customWidth="1"/>
    <col min="10" max="12" width="11.19921875" customWidth="1"/>
  </cols>
  <sheetData>
    <row r="1" spans="1:24" ht="31.8" thickBot="1" x14ac:dyDescent="0.65">
      <c r="A1" s="221" t="s">
        <v>19</v>
      </c>
      <c r="B1" s="222"/>
      <c r="C1" s="222"/>
      <c r="D1" s="222"/>
      <c r="E1" s="222"/>
      <c r="F1" s="222"/>
      <c r="G1" s="222"/>
      <c r="H1" s="222"/>
      <c r="I1" s="222"/>
      <c r="J1" s="222"/>
      <c r="K1" s="222"/>
      <c r="L1" s="223"/>
    </row>
    <row r="2" spans="1:24" x14ac:dyDescent="0.3">
      <c r="A2" s="1"/>
    </row>
    <row r="3" spans="1:24" x14ac:dyDescent="0.3">
      <c r="A3" t="s">
        <v>20</v>
      </c>
    </row>
    <row r="4" spans="1:24" x14ac:dyDescent="0.3">
      <c r="A4" s="2" t="s">
        <v>21</v>
      </c>
      <c r="B4" s="3"/>
      <c r="C4" s="3"/>
      <c r="D4" s="3"/>
      <c r="E4" s="3"/>
      <c r="F4" s="3"/>
      <c r="G4" s="4"/>
      <c r="H4" s="4"/>
      <c r="I4" s="4"/>
      <c r="J4" s="4"/>
      <c r="K4" s="4"/>
      <c r="L4" s="5"/>
      <c r="N4" s="6"/>
      <c r="O4" s="6"/>
      <c r="P4" s="6"/>
      <c r="Q4" s="6"/>
      <c r="R4" s="6"/>
      <c r="S4" s="6"/>
      <c r="T4" s="6"/>
      <c r="U4" s="6"/>
      <c r="V4" s="6"/>
      <c r="W4" s="6"/>
      <c r="X4" s="6"/>
    </row>
    <row r="5" spans="1:24" x14ac:dyDescent="0.3">
      <c r="A5" s="7"/>
      <c r="J5" s="1" t="s">
        <v>22</v>
      </c>
      <c r="L5" s="8">
        <v>360</v>
      </c>
      <c r="N5" s="6"/>
      <c r="O5" s="6"/>
      <c r="P5" s="6"/>
      <c r="Q5" s="6"/>
      <c r="R5" s="6"/>
      <c r="S5" s="6"/>
      <c r="T5" s="6"/>
      <c r="U5" s="6"/>
      <c r="V5" s="6"/>
      <c r="W5" s="6"/>
      <c r="X5" s="6"/>
    </row>
    <row r="6" spans="1:24" x14ac:dyDescent="0.3">
      <c r="A6" s="9" t="s">
        <v>23</v>
      </c>
      <c r="D6" s="10">
        <v>42764</v>
      </c>
      <c r="F6" s="1" t="s">
        <v>24</v>
      </c>
      <c r="H6" s="11">
        <v>2017</v>
      </c>
      <c r="J6" s="1" t="s">
        <v>25</v>
      </c>
      <c r="L6" s="12">
        <v>100000</v>
      </c>
      <c r="N6" s="6"/>
      <c r="O6" s="6"/>
      <c r="P6" s="6"/>
      <c r="Q6" s="6"/>
      <c r="R6" s="6"/>
      <c r="S6" s="6"/>
      <c r="T6" s="6"/>
      <c r="U6" s="6"/>
      <c r="V6" s="6"/>
      <c r="W6" s="6"/>
      <c r="X6" s="6"/>
    </row>
    <row r="7" spans="1:24" x14ac:dyDescent="0.3">
      <c r="A7" s="9" t="s">
        <v>26</v>
      </c>
      <c r="D7" s="11" t="s">
        <v>27</v>
      </c>
      <c r="F7" s="1" t="s">
        <v>28</v>
      </c>
      <c r="H7" s="11">
        <v>2018</v>
      </c>
      <c r="J7" s="1" t="s">
        <v>29</v>
      </c>
      <c r="L7" s="13">
        <v>0.2</v>
      </c>
      <c r="N7" s="6"/>
      <c r="O7" s="6"/>
      <c r="P7" s="6"/>
      <c r="Q7" s="6"/>
      <c r="R7" s="6"/>
      <c r="S7" s="6"/>
      <c r="T7" s="6"/>
      <c r="U7" s="6"/>
      <c r="V7" s="6"/>
      <c r="W7" s="6"/>
      <c r="X7" s="6"/>
    </row>
    <row r="8" spans="1:24" x14ac:dyDescent="0.3">
      <c r="A8" s="9" t="s">
        <v>30</v>
      </c>
      <c r="C8" s="14"/>
      <c r="D8" s="15">
        <v>140</v>
      </c>
      <c r="F8" s="1" t="s">
        <v>31</v>
      </c>
      <c r="H8" s="11">
        <v>1000</v>
      </c>
      <c r="J8" s="1" t="s">
        <v>32</v>
      </c>
      <c r="L8" s="16">
        <v>0.06</v>
      </c>
      <c r="N8" s="6"/>
      <c r="O8" s="6"/>
      <c r="P8" s="6"/>
      <c r="Q8" s="6"/>
      <c r="R8" s="6"/>
      <c r="S8" s="6"/>
      <c r="T8" s="6"/>
      <c r="U8" s="6"/>
      <c r="V8" s="6"/>
      <c r="W8" s="6"/>
      <c r="X8" s="6"/>
    </row>
    <row r="9" spans="1:24" x14ac:dyDescent="0.3">
      <c r="A9" s="7"/>
      <c r="J9" s="1" t="s">
        <v>33</v>
      </c>
      <c r="L9" s="16">
        <v>5.0000000000000001E-3</v>
      </c>
      <c r="N9" s="6"/>
      <c r="O9" s="6"/>
      <c r="P9" s="6"/>
      <c r="Q9" s="6"/>
      <c r="R9" s="6"/>
      <c r="S9" s="6"/>
      <c r="T9" s="6"/>
      <c r="U9" s="6"/>
      <c r="V9" s="6"/>
      <c r="W9" s="6"/>
      <c r="X9" s="6"/>
    </row>
    <row r="10" spans="1:24" x14ac:dyDescent="0.3">
      <c r="A10" s="9" t="s">
        <v>34</v>
      </c>
      <c r="D10" s="17">
        <v>1000000</v>
      </c>
      <c r="F10" s="1" t="s">
        <v>35</v>
      </c>
      <c r="J10" s="1" t="s">
        <v>36</v>
      </c>
      <c r="L10" s="18">
        <f>IF($K$14=1,-15%,IF($K$14=2,10%,IF($K$14=3,20%,0%)))</f>
        <v>0</v>
      </c>
      <c r="N10" s="6"/>
      <c r="O10" s="6"/>
      <c r="P10" s="6"/>
      <c r="Q10" s="6"/>
      <c r="R10" s="6"/>
      <c r="S10" s="6"/>
      <c r="T10" s="6"/>
      <c r="U10" s="6"/>
      <c r="V10" s="6"/>
      <c r="W10" s="6"/>
      <c r="X10" s="6"/>
    </row>
    <row r="11" spans="1:24" x14ac:dyDescent="0.3">
      <c r="A11" s="9" t="s">
        <v>37</v>
      </c>
      <c r="D11" s="19">
        <f>D10/Units*Share_Price</f>
        <v>140000</v>
      </c>
      <c r="J11" s="1" t="s">
        <v>38</v>
      </c>
      <c r="L11" s="20">
        <f>+K14</f>
        <v>4</v>
      </c>
      <c r="N11" s="6"/>
      <c r="O11" s="6"/>
      <c r="P11" s="6"/>
      <c r="Q11" s="6"/>
      <c r="R11" s="6"/>
      <c r="S11" s="6"/>
      <c r="T11" s="6"/>
      <c r="U11" s="6"/>
      <c r="V11" s="6"/>
      <c r="W11" s="6"/>
      <c r="X11" s="6"/>
    </row>
    <row r="12" spans="1:24" ht="16.2" thickBot="1" x14ac:dyDescent="0.35">
      <c r="A12" s="9" t="s">
        <v>39</v>
      </c>
      <c r="D12" s="21">
        <f>D10+I19</f>
        <v>1000000</v>
      </c>
      <c r="F12" s="22"/>
      <c r="G12" s="22"/>
      <c r="H12" s="22" t="s">
        <v>40</v>
      </c>
      <c r="I12" s="22"/>
      <c r="J12" s="1"/>
      <c r="L12" s="23"/>
      <c r="N12" s="6"/>
      <c r="O12" s="6"/>
      <c r="P12" s="6"/>
      <c r="Q12" s="6"/>
      <c r="R12" s="6"/>
      <c r="S12" s="6"/>
      <c r="T12" s="6"/>
      <c r="U12" s="6"/>
      <c r="V12" s="6"/>
      <c r="W12" s="6"/>
      <c r="X12" s="6"/>
    </row>
    <row r="13" spans="1:24" x14ac:dyDescent="0.3">
      <c r="A13" s="9" t="s">
        <v>41</v>
      </c>
      <c r="D13" s="19">
        <f>D12/Units*Share_Price</f>
        <v>140000</v>
      </c>
      <c r="F13" s="24" t="s">
        <v>42</v>
      </c>
      <c r="G13" s="24" t="s">
        <v>43</v>
      </c>
      <c r="H13" s="24" t="s">
        <v>44</v>
      </c>
      <c r="I13" s="24" t="s">
        <v>45</v>
      </c>
      <c r="K13" s="25" t="s">
        <v>46</v>
      </c>
      <c r="L13" s="26"/>
      <c r="N13" s="6"/>
      <c r="O13" s="6"/>
      <c r="P13" s="6"/>
      <c r="Q13" s="6"/>
      <c r="R13" s="6"/>
      <c r="S13" s="6"/>
      <c r="T13" s="6"/>
      <c r="U13" s="6"/>
      <c r="V13" s="6"/>
      <c r="W13" s="6"/>
      <c r="X13" s="6"/>
    </row>
    <row r="14" spans="1:24" ht="21.6" thickBot="1" x14ac:dyDescent="0.45">
      <c r="A14" s="27" t="s">
        <v>47</v>
      </c>
      <c r="D14" s="28">
        <f>G107+G108+G116</f>
        <v>35799</v>
      </c>
      <c r="F14" s="29" t="s">
        <v>48</v>
      </c>
      <c r="G14" s="17">
        <v>100000</v>
      </c>
      <c r="H14" s="15">
        <v>140</v>
      </c>
      <c r="I14" s="21">
        <f>IF(H14&gt;Share_Price,0,G14-G14*H14/Share_Price)</f>
        <v>0</v>
      </c>
      <c r="K14" s="30">
        <v>4</v>
      </c>
      <c r="L14" s="26"/>
      <c r="N14" s="6"/>
      <c r="O14" s="6"/>
      <c r="P14" s="6"/>
      <c r="Q14" s="6"/>
      <c r="R14" s="6"/>
      <c r="S14" s="6"/>
      <c r="T14" s="6"/>
      <c r="U14" s="6"/>
      <c r="V14" s="6"/>
      <c r="W14" s="6"/>
      <c r="X14" s="6"/>
    </row>
    <row r="15" spans="1:24" ht="16.2" thickBot="1" x14ac:dyDescent="0.35">
      <c r="A15" s="27" t="s">
        <v>49</v>
      </c>
      <c r="D15" s="28">
        <f>G132</f>
        <v>0</v>
      </c>
      <c r="F15" s="29" t="s">
        <v>50</v>
      </c>
      <c r="G15" s="17"/>
      <c r="H15" s="15"/>
      <c r="I15" s="21"/>
      <c r="L15" s="23"/>
      <c r="N15" s="6"/>
      <c r="O15" s="6"/>
      <c r="P15" s="6"/>
      <c r="Q15" s="6"/>
      <c r="R15" s="6"/>
      <c r="S15" s="6"/>
      <c r="T15" s="6"/>
      <c r="U15" s="6"/>
      <c r="V15" s="6"/>
      <c r="W15" s="6"/>
      <c r="X15" s="6"/>
    </row>
    <row r="16" spans="1:24" x14ac:dyDescent="0.3">
      <c r="A16" s="27" t="s">
        <v>51</v>
      </c>
      <c r="D16" s="31">
        <v>0</v>
      </c>
      <c r="F16" s="29" t="s">
        <v>52</v>
      </c>
      <c r="G16" s="17"/>
      <c r="H16" s="15"/>
      <c r="I16" s="21"/>
      <c r="J16" s="32"/>
      <c r="K16" s="33" t="s">
        <v>53</v>
      </c>
      <c r="L16" s="34" t="s">
        <v>54</v>
      </c>
      <c r="N16" s="6"/>
      <c r="O16" s="6"/>
      <c r="P16" s="6"/>
      <c r="Q16" s="6"/>
      <c r="R16" s="6"/>
      <c r="S16" s="6"/>
      <c r="T16" s="6"/>
      <c r="U16" s="6"/>
      <c r="V16" s="6"/>
      <c r="W16" s="6"/>
      <c r="X16" s="6"/>
    </row>
    <row r="17" spans="1:24" ht="16.2" thickBot="1" x14ac:dyDescent="0.35">
      <c r="A17" s="27" t="s">
        <v>55</v>
      </c>
      <c r="D17" s="31">
        <v>0</v>
      </c>
      <c r="F17" s="29" t="s">
        <v>56</v>
      </c>
      <c r="G17" s="17"/>
      <c r="H17" s="15"/>
      <c r="I17" s="21"/>
      <c r="J17" s="35" t="s">
        <v>57</v>
      </c>
      <c r="K17" s="184">
        <f>NPV(L8,E100:M100)+D100</f>
        <v>99118.051750589657</v>
      </c>
      <c r="L17" s="185">
        <f>IRR(D100:M100)</f>
        <v>0.27770644588410609</v>
      </c>
      <c r="N17" s="6"/>
      <c r="O17" s="6"/>
      <c r="P17" s="6"/>
      <c r="Q17" s="6"/>
      <c r="R17" s="6"/>
      <c r="S17" s="6"/>
      <c r="T17" s="6"/>
      <c r="U17" s="6"/>
      <c r="V17" s="6"/>
      <c r="W17" s="6"/>
      <c r="X17" s="6"/>
    </row>
    <row r="18" spans="1:24" x14ac:dyDescent="0.3">
      <c r="A18" s="27" t="s">
        <v>58</v>
      </c>
      <c r="D18" s="31">
        <v>0</v>
      </c>
      <c r="F18" s="29" t="s">
        <v>59</v>
      </c>
      <c r="G18" s="17"/>
      <c r="H18" s="15"/>
      <c r="I18" s="21"/>
      <c r="K18" s="186"/>
      <c r="N18" s="6"/>
      <c r="O18" s="6"/>
      <c r="P18" s="6"/>
      <c r="Q18" s="6"/>
      <c r="R18" s="6"/>
      <c r="S18" s="6"/>
      <c r="T18" s="6"/>
      <c r="U18" s="6"/>
      <c r="V18" s="6"/>
      <c r="W18" s="6"/>
      <c r="X18" s="6"/>
    </row>
    <row r="19" spans="1:24" x14ac:dyDescent="0.3">
      <c r="A19" s="9" t="s">
        <v>60</v>
      </c>
      <c r="D19" s="36">
        <f>Equity_Value-D14+D15+D16+D17+D18</f>
        <v>104201</v>
      </c>
      <c r="F19" s="37" t="s">
        <v>61</v>
      </c>
      <c r="G19" s="38"/>
      <c r="H19" s="38"/>
      <c r="I19" s="39">
        <f>SUM(I14:I18)</f>
        <v>0</v>
      </c>
      <c r="N19" s="6"/>
      <c r="O19" s="6"/>
      <c r="P19" s="6"/>
      <c r="Q19" s="6"/>
      <c r="R19" s="6"/>
      <c r="S19" s="6"/>
      <c r="T19" s="6"/>
      <c r="U19" s="6"/>
      <c r="V19" s="6"/>
      <c r="W19" s="6"/>
      <c r="X19" s="6"/>
    </row>
    <row r="20" spans="1:24" x14ac:dyDescent="0.3">
      <c r="A20" s="7"/>
      <c r="L20" s="23"/>
      <c r="N20" s="6"/>
      <c r="O20" s="6"/>
      <c r="P20" s="6"/>
      <c r="Q20" s="6"/>
      <c r="R20" s="6"/>
      <c r="S20" s="6"/>
      <c r="T20" s="6"/>
      <c r="U20" s="6"/>
      <c r="V20" s="6"/>
      <c r="W20" s="6"/>
      <c r="X20" s="6"/>
    </row>
    <row r="21" spans="1:24" x14ac:dyDescent="0.3">
      <c r="A21" s="7"/>
      <c r="E21" s="40" t="s">
        <v>62</v>
      </c>
      <c r="F21" s="41"/>
      <c r="G21" s="42"/>
      <c r="H21" s="43" t="s">
        <v>63</v>
      </c>
      <c r="I21" s="43"/>
      <c r="J21" s="43"/>
      <c r="K21" s="43"/>
      <c r="L21" s="44"/>
      <c r="M21" s="44"/>
      <c r="N21" s="6"/>
      <c r="O21" s="6"/>
      <c r="P21" s="6"/>
      <c r="Q21" s="6"/>
      <c r="R21" s="6"/>
      <c r="S21" s="6"/>
      <c r="T21" s="6"/>
      <c r="U21" s="6"/>
      <c r="V21" s="6"/>
      <c r="W21" s="6"/>
      <c r="X21" s="6"/>
    </row>
    <row r="22" spans="1:24" x14ac:dyDescent="0.3">
      <c r="A22" s="7"/>
      <c r="E22" s="45">
        <f>F22-1</f>
        <v>2017</v>
      </c>
      <c r="F22" s="45">
        <f>G22-1</f>
        <v>2018</v>
      </c>
      <c r="G22" s="46">
        <v>2019</v>
      </c>
      <c r="H22" s="45">
        <f t="shared" ref="H22:M22" si="0">G22+1</f>
        <v>2020</v>
      </c>
      <c r="I22" s="45">
        <f t="shared" si="0"/>
        <v>2021</v>
      </c>
      <c r="J22" s="45">
        <f t="shared" si="0"/>
        <v>2022</v>
      </c>
      <c r="K22" s="45">
        <f t="shared" si="0"/>
        <v>2023</v>
      </c>
      <c r="L22" s="46">
        <f t="shared" si="0"/>
        <v>2024</v>
      </c>
      <c r="M22" s="46">
        <f t="shared" si="0"/>
        <v>2025</v>
      </c>
      <c r="N22" s="6"/>
      <c r="O22" s="6"/>
      <c r="P22" s="6"/>
      <c r="Q22" s="6"/>
      <c r="R22" s="6"/>
      <c r="S22" s="6"/>
      <c r="T22" s="6"/>
      <c r="U22" s="6"/>
      <c r="V22" s="6"/>
      <c r="W22" s="6"/>
      <c r="X22" s="6"/>
    </row>
    <row r="23" spans="1:24" ht="16.2" thickBot="1" x14ac:dyDescent="0.35">
      <c r="A23" s="7"/>
      <c r="E23" s="45" t="str">
        <f>"FY "&amp;G22-2</f>
        <v>FY 2017</v>
      </c>
      <c r="F23" s="45" t="str">
        <f>"FY "&amp;G22-1</f>
        <v>FY 2018</v>
      </c>
      <c r="G23" s="46" t="str">
        <f>"FY "&amp;G22</f>
        <v>FY 2019</v>
      </c>
      <c r="H23" s="45" t="str">
        <f>"FY "&amp;$G$22+1&amp;"E"</f>
        <v>FY 2020E</v>
      </c>
      <c r="I23" s="45" t="str">
        <f>"FY "&amp;$G$22+2&amp;"E"</f>
        <v>FY 2021E</v>
      </c>
      <c r="J23" s="45" t="str">
        <f>"FY "&amp;$G$22+3&amp;"E"</f>
        <v>FY 2022E</v>
      </c>
      <c r="K23" s="45" t="str">
        <f>"FY "&amp;$G$22+4&amp;"E"</f>
        <v>FY 2023E</v>
      </c>
      <c r="L23" s="46" t="str">
        <f>"FY "&amp;$G$22+5&amp;"E"</f>
        <v>FY 2024E</v>
      </c>
      <c r="M23" s="46" t="str">
        <f>"FY "&amp;$H$22+5&amp;"E"</f>
        <v>FY 2025E</v>
      </c>
      <c r="N23" s="6"/>
      <c r="O23" s="6"/>
      <c r="P23" s="6"/>
      <c r="Q23" s="6"/>
      <c r="R23" s="6"/>
      <c r="S23" s="6"/>
      <c r="T23" s="6"/>
      <c r="U23" s="6"/>
      <c r="V23" s="6"/>
      <c r="W23" s="6"/>
      <c r="X23" s="6"/>
    </row>
    <row r="24" spans="1:24" x14ac:dyDescent="0.3">
      <c r="A24" s="7"/>
      <c r="E24" s="47"/>
      <c r="F24" s="47"/>
      <c r="G24" s="47"/>
      <c r="H24" s="47"/>
      <c r="I24" s="47"/>
      <c r="J24" s="47"/>
      <c r="K24" s="47"/>
      <c r="L24" s="48"/>
      <c r="M24" s="48"/>
      <c r="N24" s="6"/>
      <c r="O24" s="219" t="s">
        <v>0</v>
      </c>
      <c r="P24" s="220"/>
      <c r="Q24" s="172" t="str">
        <f>"FY "&amp;$G$22+1&amp;"E"</f>
        <v>FY 2020E</v>
      </c>
      <c r="R24" s="172" t="str">
        <f>"FY "&amp;$G$22+2&amp;"E"</f>
        <v>FY 2021E</v>
      </c>
      <c r="S24" s="172" t="str">
        <f>"FY "&amp;$G$22+3&amp;"E"</f>
        <v>FY 2022E</v>
      </c>
      <c r="T24" s="172" t="str">
        <f>"FY "&amp;$G$22+4&amp;"E"</f>
        <v>FY 2023E</v>
      </c>
      <c r="U24" s="172" t="str">
        <f>"FY "&amp;$G$22+5&amp;"E"</f>
        <v>FY 2024E</v>
      </c>
      <c r="V24" s="173" t="str">
        <f>"FY "&amp;$H$22+5&amp;"E"</f>
        <v>FY 2025E</v>
      </c>
      <c r="W24" s="6"/>
      <c r="X24" s="6"/>
    </row>
    <row r="25" spans="1:24" x14ac:dyDescent="0.3">
      <c r="A25" s="9" t="s">
        <v>64</v>
      </c>
      <c r="E25" s="49">
        <f t="shared" ref="E25:L25" si="1">Enterprise_Value/E74</f>
        <v>4.1847791164658634</v>
      </c>
      <c r="F25" s="49">
        <f t="shared" si="1"/>
        <v>2.7566402116402116</v>
      </c>
      <c r="G25" s="49">
        <f t="shared" si="1"/>
        <v>2.423279069767442</v>
      </c>
      <c r="H25" s="49">
        <f t="shared" si="1"/>
        <v>1.9386232558139536</v>
      </c>
      <c r="I25" s="49">
        <f t="shared" si="1"/>
        <v>1.5355431729219433</v>
      </c>
      <c r="J25" s="49">
        <f t="shared" si="1"/>
        <v>1.2043475866054458</v>
      </c>
      <c r="K25" s="49">
        <f t="shared" si="1"/>
        <v>0.96347806928435664</v>
      </c>
      <c r="L25" s="50">
        <f t="shared" si="1"/>
        <v>0.75566907394851501</v>
      </c>
      <c r="M25" s="50">
        <f t="shared" ref="M25" si="2">Enterprise_Value/M74</f>
        <v>0.59326325727066931</v>
      </c>
      <c r="N25" s="6"/>
      <c r="O25" s="51" t="s">
        <v>1</v>
      </c>
      <c r="P25" s="52"/>
      <c r="Q25" s="53">
        <v>0.1</v>
      </c>
      <c r="R25" s="53">
        <v>0.11</v>
      </c>
      <c r="S25" s="53">
        <v>0.12</v>
      </c>
      <c r="T25" s="53">
        <v>0.1</v>
      </c>
      <c r="U25" s="53">
        <v>0.13</v>
      </c>
      <c r="V25" s="54">
        <v>0.127</v>
      </c>
      <c r="W25" s="6"/>
      <c r="X25" s="6"/>
    </row>
    <row r="26" spans="1:24" x14ac:dyDescent="0.3">
      <c r="A26" s="9" t="s">
        <v>65</v>
      </c>
      <c r="E26" s="49">
        <f t="shared" ref="E26:L27" si="3">Enterprise_Value/E98</f>
        <v>20.961778314222489</v>
      </c>
      <c r="F26" s="49">
        <f t="shared" si="3"/>
        <v>11.385598776223777</v>
      </c>
      <c r="G26" s="49">
        <f t="shared" si="3"/>
        <v>8.3061777600637701</v>
      </c>
      <c r="H26" s="49">
        <f t="shared" si="3"/>
        <v>5.578678623412693</v>
      </c>
      <c r="I26" s="49">
        <f t="shared" si="3"/>
        <v>4.3610407189501093</v>
      </c>
      <c r="J26" s="49">
        <f t="shared" si="3"/>
        <v>3.3756371238482559</v>
      </c>
      <c r="K26" s="49">
        <f t="shared" si="3"/>
        <v>2.6908676433375587</v>
      </c>
      <c r="L26" s="50">
        <f t="shared" si="3"/>
        <v>2.0797135460076963</v>
      </c>
      <c r="M26" s="50">
        <f t="shared" ref="M26" si="4">Enterprise_Value/M98</f>
        <v>1.6181720892078193</v>
      </c>
      <c r="N26" s="6"/>
      <c r="O26" s="51" t="s">
        <v>2</v>
      </c>
      <c r="P26" s="52"/>
      <c r="Q26" s="53">
        <v>0.505</v>
      </c>
      <c r="R26" s="53">
        <v>0.51250000000000007</v>
      </c>
      <c r="S26" s="53">
        <v>0.52</v>
      </c>
      <c r="T26" s="53">
        <v>0.52750000000000008</v>
      </c>
      <c r="U26" s="53">
        <v>0.53500000000000003</v>
      </c>
      <c r="V26" s="54">
        <v>0.54249999999999998</v>
      </c>
      <c r="W26" s="6"/>
      <c r="X26" s="6"/>
    </row>
    <row r="27" spans="1:24" x14ac:dyDescent="0.3">
      <c r="A27" s="9" t="s">
        <v>66</v>
      </c>
      <c r="E27" s="49">
        <f t="shared" si="3"/>
        <v>19.6679879199698</v>
      </c>
      <c r="F27" s="49">
        <f t="shared" si="3"/>
        <v>10.800269485903815</v>
      </c>
      <c r="G27" s="49">
        <f t="shared" si="3"/>
        <v>7.8470517358234808</v>
      </c>
      <c r="H27" s="49">
        <f t="shared" si="3"/>
        <v>5.3664311579625021</v>
      </c>
      <c r="I27" s="49">
        <f t="shared" si="3"/>
        <v>4.1880353823044958</v>
      </c>
      <c r="J27" s="49">
        <f t="shared" si="3"/>
        <v>3.2366234523124051</v>
      </c>
      <c r="K27" s="49">
        <f t="shared" si="3"/>
        <v>2.5749397188063248</v>
      </c>
      <c r="L27" s="50">
        <f t="shared" si="3"/>
        <v>1.9863812156102123</v>
      </c>
      <c r="M27" s="50">
        <f t="shared" ref="M27" si="5">Enterprise_Value/M99</f>
        <v>1.5422153523247597</v>
      </c>
      <c r="N27" s="6"/>
      <c r="O27" s="51" t="s">
        <v>3</v>
      </c>
      <c r="P27" s="52"/>
      <c r="Q27" s="53">
        <v>0.02</v>
      </c>
      <c r="R27" s="53">
        <v>1.9310077519379847E-2</v>
      </c>
      <c r="S27" s="53">
        <v>1.9099999999999999E-2</v>
      </c>
      <c r="T27" s="53">
        <v>1.9E-2</v>
      </c>
      <c r="U27" s="53">
        <v>1.89E-2</v>
      </c>
      <c r="V27" s="54">
        <v>1.8508992248062E-2</v>
      </c>
      <c r="W27" s="6"/>
      <c r="X27" s="6"/>
    </row>
    <row r="28" spans="1:24" ht="16.2" thickBot="1" x14ac:dyDescent="0.35">
      <c r="A28" s="7"/>
      <c r="L28" s="23"/>
      <c r="M28" s="23"/>
      <c r="N28" s="6"/>
      <c r="O28" s="55" t="s">
        <v>4</v>
      </c>
      <c r="P28" s="56"/>
      <c r="Q28" s="57">
        <v>0.08</v>
      </c>
      <c r="R28" s="57">
        <v>8.2500000000000004E-2</v>
      </c>
      <c r="S28" s="57">
        <v>8.3000000000000004E-2</v>
      </c>
      <c r="T28" s="57">
        <v>8.3500000000000005E-2</v>
      </c>
      <c r="U28" s="57">
        <v>8.4000000000000005E-2</v>
      </c>
      <c r="V28" s="58">
        <v>8.5096201550387607E-2</v>
      </c>
      <c r="W28" s="6"/>
      <c r="X28" s="6"/>
    </row>
    <row r="29" spans="1:24" ht="16.2" thickBot="1" x14ac:dyDescent="0.35">
      <c r="A29" s="9" t="s">
        <v>67</v>
      </c>
      <c r="E29" s="49">
        <f t="shared" ref="E29:L29" si="6">Equity_Value/E100</f>
        <v>27.684397864346451</v>
      </c>
      <c r="F29" s="49">
        <f t="shared" si="6"/>
        <v>15.883821193555708</v>
      </c>
      <c r="G29" s="49">
        <f t="shared" si="6"/>
        <v>13.453776667307324</v>
      </c>
      <c r="H29" s="49">
        <f t="shared" si="6"/>
        <v>9.918230300196571</v>
      </c>
      <c r="I29" s="49">
        <f t="shared" si="6"/>
        <v>6.943207081999927</v>
      </c>
      <c r="J29" s="49">
        <f t="shared" si="6"/>
        <v>5.271328427892211</v>
      </c>
      <c r="K29" s="49">
        <f t="shared" si="6"/>
        <v>4.2085581926451097</v>
      </c>
      <c r="L29" s="50">
        <f t="shared" si="6"/>
        <v>3.1838061828266619</v>
      </c>
      <c r="M29" s="50">
        <f t="shared" ref="M29" si="7">Equity_Value/M100</f>
        <v>2.5048327133999502</v>
      </c>
      <c r="N29" s="6"/>
      <c r="O29" s="161"/>
      <c r="P29" s="6"/>
      <c r="Q29" s="6"/>
      <c r="R29" s="6"/>
      <c r="S29" s="6"/>
      <c r="T29" s="6"/>
      <c r="U29" s="162"/>
      <c r="V29" s="6"/>
      <c r="W29" s="6"/>
      <c r="X29" s="6"/>
    </row>
    <row r="30" spans="1:24" x14ac:dyDescent="0.3">
      <c r="A30" s="9" t="s">
        <v>68</v>
      </c>
      <c r="E30" s="49">
        <f t="shared" ref="E30:L30" si="8">Share_Price/E95</f>
        <v>32.6174692166623</v>
      </c>
      <c r="F30" s="49">
        <f t="shared" si="8"/>
        <v>19.648329184816429</v>
      </c>
      <c r="G30" s="49">
        <f t="shared" si="8"/>
        <v>15.243781512605043</v>
      </c>
      <c r="H30" s="49">
        <f t="shared" si="8"/>
        <v>9.4762912599555165</v>
      </c>
      <c r="I30" s="49">
        <f t="shared" si="8"/>
        <v>7.4250589144855317</v>
      </c>
      <c r="J30" s="49">
        <f t="shared" si="8"/>
        <v>5.6307878427968472</v>
      </c>
      <c r="K30" s="49">
        <f t="shared" si="8"/>
        <v>4.5099428978706362</v>
      </c>
      <c r="L30" s="50">
        <f t="shared" si="8"/>
        <v>3.4315311220663549</v>
      </c>
      <c r="M30" s="50">
        <f t="shared" ref="M30" si="9">Share_Price/M95</f>
        <v>2.7184365816979166</v>
      </c>
      <c r="N30" s="6"/>
      <c r="O30" s="219" t="s">
        <v>5</v>
      </c>
      <c r="P30" s="220"/>
      <c r="Q30" s="172" t="str">
        <f>"FY "&amp;$G$22+1&amp;"E"</f>
        <v>FY 2020E</v>
      </c>
      <c r="R30" s="172" t="str">
        <f>"FY "&amp;$G$22+2&amp;"E"</f>
        <v>FY 2021E</v>
      </c>
      <c r="S30" s="172" t="str">
        <f>"FY "&amp;$G$22+3&amp;"E"</f>
        <v>FY 2022E</v>
      </c>
      <c r="T30" s="172" t="str">
        <f>"FY "&amp;$G$22+4&amp;"E"</f>
        <v>FY 2023E</v>
      </c>
      <c r="U30" s="172" t="str">
        <f>"FY "&amp;$G$22+5&amp;"E"</f>
        <v>FY 2024E</v>
      </c>
      <c r="V30" s="173" t="str">
        <f>"FY "&amp;$H$22+5&amp;"E"</f>
        <v>FY 2025E</v>
      </c>
      <c r="W30" s="6"/>
      <c r="X30" s="6"/>
    </row>
    <row r="31" spans="1:24" x14ac:dyDescent="0.3">
      <c r="A31" s="59" t="s">
        <v>69</v>
      </c>
      <c r="B31" s="60"/>
      <c r="C31" s="60"/>
      <c r="D31" s="60"/>
      <c r="E31" s="61"/>
      <c r="F31" s="61">
        <f t="shared" ref="F31:L31" si="10">Share_Price/F101</f>
        <v>5.7112896807452289</v>
      </c>
      <c r="G31" s="61">
        <f t="shared" si="10"/>
        <v>3.9996440720675315</v>
      </c>
      <c r="H31" s="61">
        <f t="shared" si="10"/>
        <v>2.7239339203225046</v>
      </c>
      <c r="I31" s="188">
        <f>Share_Price/I101</f>
        <v>1.9420782244509298</v>
      </c>
      <c r="J31" s="61">
        <f t="shared" si="10"/>
        <v>1.4089228157449292</v>
      </c>
      <c r="K31" s="61">
        <f t="shared" si="10"/>
        <v>1.0485024069435502</v>
      </c>
      <c r="L31" s="62">
        <f t="shared" si="10"/>
        <v>0.78458739779142328</v>
      </c>
      <c r="M31" s="62">
        <f t="shared" ref="M31" si="11">Share_Price/M101</f>
        <v>0.59480534866465617</v>
      </c>
      <c r="N31" s="6"/>
      <c r="O31" s="51" t="s">
        <v>1</v>
      </c>
      <c r="P31" s="52"/>
      <c r="Q31" s="53">
        <v>0.15</v>
      </c>
      <c r="R31" s="53">
        <v>0.16</v>
      </c>
      <c r="S31" s="53">
        <v>0.17</v>
      </c>
      <c r="T31" s="53">
        <v>0.15</v>
      </c>
      <c r="U31" s="53">
        <v>0.17</v>
      </c>
      <c r="V31" s="54">
        <v>0.16900000000000001</v>
      </c>
      <c r="W31" s="6"/>
      <c r="X31" s="6"/>
    </row>
    <row r="32" spans="1:24" x14ac:dyDescent="0.3">
      <c r="N32" s="6"/>
      <c r="O32" s="51" t="s">
        <v>2</v>
      </c>
      <c r="P32" s="52"/>
      <c r="Q32" s="53">
        <v>0.48</v>
      </c>
      <c r="R32" s="53">
        <v>0.48499999999999999</v>
      </c>
      <c r="S32" s="53">
        <v>0.47499999999999998</v>
      </c>
      <c r="T32" s="53">
        <v>0.47</v>
      </c>
      <c r="U32" s="53">
        <v>0.46500000000000002</v>
      </c>
      <c r="V32" s="54">
        <v>0.46150000000000002</v>
      </c>
      <c r="W32" s="6"/>
      <c r="X32" s="6"/>
    </row>
    <row r="33" spans="1:22" x14ac:dyDescent="0.3">
      <c r="A33" s="2" t="s">
        <v>70</v>
      </c>
      <c r="B33" s="3"/>
      <c r="C33" s="3"/>
      <c r="D33" s="3"/>
      <c r="E33" s="3"/>
      <c r="F33" s="3"/>
      <c r="G33" s="4"/>
      <c r="H33" s="4"/>
      <c r="I33" s="4"/>
      <c r="J33" s="4"/>
      <c r="K33" s="4"/>
      <c r="L33" s="5"/>
      <c r="M33" s="5"/>
      <c r="O33" s="51" t="s">
        <v>3</v>
      </c>
      <c r="P33" s="52"/>
      <c r="Q33" s="53">
        <v>1.7500000000000002E-2</v>
      </c>
      <c r="R33" s="53">
        <v>1.7600000000000001E-2</v>
      </c>
      <c r="S33" s="53">
        <v>1.72E-2</v>
      </c>
      <c r="T33" s="53">
        <v>1.7299999999999999E-2</v>
      </c>
      <c r="U33" s="53">
        <v>1.7100000000000001E-2</v>
      </c>
      <c r="V33" s="54">
        <v>1.7010000000000001E-2</v>
      </c>
    </row>
    <row r="34" spans="1:22" ht="16.2" thickBot="1" x14ac:dyDescent="0.35">
      <c r="A34" s="7"/>
      <c r="L34" s="23"/>
      <c r="M34" s="23"/>
      <c r="O34" s="55" t="s">
        <v>4</v>
      </c>
      <c r="P34" s="56"/>
      <c r="Q34" s="57">
        <v>7.0000000000000007E-2</v>
      </c>
      <c r="R34" s="57">
        <v>7.0999999999999994E-2</v>
      </c>
      <c r="S34" s="57">
        <v>7.1499999999999994E-2</v>
      </c>
      <c r="T34" s="57">
        <v>7.1999999999999995E-2</v>
      </c>
      <c r="U34" s="57">
        <v>7.2499999999999995E-2</v>
      </c>
      <c r="V34" s="58">
        <v>7.3200000000000001E-2</v>
      </c>
    </row>
    <row r="35" spans="1:22" ht="16.2" thickBot="1" x14ac:dyDescent="0.35">
      <c r="A35" s="7"/>
      <c r="E35" s="40" t="str">
        <f>E21</f>
        <v>Historical</v>
      </c>
      <c r="F35" s="41"/>
      <c r="G35" s="42"/>
      <c r="H35" s="43" t="str">
        <f>H21</f>
        <v>Projections</v>
      </c>
      <c r="I35" s="43"/>
      <c r="J35" s="43"/>
      <c r="K35" s="43"/>
      <c r="L35" s="44"/>
      <c r="M35" s="44"/>
      <c r="O35" s="77"/>
      <c r="U35" s="78"/>
    </row>
    <row r="36" spans="1:22" ht="16.2" thickBot="1" x14ac:dyDescent="0.35">
      <c r="A36" s="7"/>
      <c r="E36" s="45" t="str">
        <f>E23</f>
        <v>FY 2017</v>
      </c>
      <c r="F36" s="45" t="str">
        <f t="shared" ref="F36:L36" si="12">F23</f>
        <v>FY 2018</v>
      </c>
      <c r="G36" s="46" t="str">
        <f t="shared" si="12"/>
        <v>FY 2019</v>
      </c>
      <c r="H36" s="47" t="str">
        <f t="shared" si="12"/>
        <v>FY 2020E</v>
      </c>
      <c r="I36" s="47" t="str">
        <f t="shared" si="12"/>
        <v>FY 2021E</v>
      </c>
      <c r="J36" s="47" t="str">
        <f t="shared" si="12"/>
        <v>FY 2022E</v>
      </c>
      <c r="K36" s="47" t="str">
        <f t="shared" si="12"/>
        <v>FY 2023E</v>
      </c>
      <c r="L36" s="48" t="str">
        <f t="shared" si="12"/>
        <v>FY 2024E</v>
      </c>
      <c r="M36" s="48" t="str">
        <f t="shared" ref="M36" si="13">M23</f>
        <v>FY 2025E</v>
      </c>
      <c r="O36" s="219" t="s">
        <v>6</v>
      </c>
      <c r="P36" s="220"/>
      <c r="Q36" s="172" t="str">
        <f>"FY "&amp;$G$22+1&amp;"E"</f>
        <v>FY 2020E</v>
      </c>
      <c r="R36" s="172" t="str">
        <f>"FY "&amp;$G$22+2&amp;"E"</f>
        <v>FY 2021E</v>
      </c>
      <c r="S36" s="172" t="str">
        <f>"FY "&amp;$G$22+3&amp;"E"</f>
        <v>FY 2022E</v>
      </c>
      <c r="T36" s="172" t="str">
        <f>"FY "&amp;$G$22+4&amp;"E"</f>
        <v>FY 2023E</v>
      </c>
      <c r="U36" s="172" t="str">
        <f>"FY "&amp;$G$22+5&amp;"E"</f>
        <v>FY 2024E</v>
      </c>
      <c r="V36" s="173" t="str">
        <f>"FY "&amp;$H$22+5&amp;"E"</f>
        <v>FY 2025E</v>
      </c>
    </row>
    <row r="37" spans="1:22" x14ac:dyDescent="0.3">
      <c r="A37" s="7" t="s">
        <v>71</v>
      </c>
      <c r="E37" s="47"/>
      <c r="F37" s="47"/>
      <c r="G37" s="47"/>
      <c r="H37" s="63">
        <v>0.03</v>
      </c>
      <c r="I37" s="64">
        <v>0.04</v>
      </c>
      <c r="J37" s="64">
        <v>0.04</v>
      </c>
      <c r="K37" s="64">
        <v>0.02</v>
      </c>
      <c r="L37" s="65">
        <v>-0.03</v>
      </c>
      <c r="M37" s="65">
        <v>-0.03</v>
      </c>
      <c r="O37" s="51" t="s">
        <v>1</v>
      </c>
      <c r="P37" s="52"/>
      <c r="Q37" s="53">
        <v>0.2</v>
      </c>
      <c r="R37" s="53">
        <v>0.21</v>
      </c>
      <c r="S37" s="53">
        <v>0.22</v>
      </c>
      <c r="T37" s="53">
        <v>0.2</v>
      </c>
      <c r="U37" s="53">
        <v>0.22</v>
      </c>
      <c r="V37" s="54">
        <v>0.219</v>
      </c>
    </row>
    <row r="38" spans="1:22" x14ac:dyDescent="0.3">
      <c r="A38" s="7" t="s">
        <v>72</v>
      </c>
      <c r="E38" s="47"/>
      <c r="F38" s="47"/>
      <c r="G38" s="47"/>
      <c r="H38" s="66">
        <v>0.01</v>
      </c>
      <c r="I38" s="67">
        <v>0.01</v>
      </c>
      <c r="J38" s="67">
        <v>0.03</v>
      </c>
      <c r="K38" s="67">
        <v>0</v>
      </c>
      <c r="L38" s="68">
        <v>-0.02</v>
      </c>
      <c r="M38" s="68">
        <v>-0.02</v>
      </c>
      <c r="O38" s="51" t="s">
        <v>2</v>
      </c>
      <c r="P38" s="52"/>
      <c r="Q38" s="53">
        <v>0.46</v>
      </c>
      <c r="R38" s="53">
        <v>0.45500000000000002</v>
      </c>
      <c r="S38" s="53">
        <v>0.45200000000000001</v>
      </c>
      <c r="T38" s="53">
        <v>0.45</v>
      </c>
      <c r="U38" s="53">
        <v>0.44500000000000001</v>
      </c>
      <c r="V38" s="54">
        <v>0.44190000000000002</v>
      </c>
    </row>
    <row r="39" spans="1:22" x14ac:dyDescent="0.3">
      <c r="A39" s="7" t="s">
        <v>73</v>
      </c>
      <c r="H39" s="66">
        <v>0.06</v>
      </c>
      <c r="I39" s="69">
        <v>0.05</v>
      </c>
      <c r="J39" s="69">
        <v>0.03</v>
      </c>
      <c r="K39" s="69">
        <v>0.02</v>
      </c>
      <c r="L39" s="70">
        <v>0.02</v>
      </c>
      <c r="M39" s="70">
        <v>0.02</v>
      </c>
      <c r="O39" s="51" t="s">
        <v>3</v>
      </c>
      <c r="P39" s="52"/>
      <c r="Q39" s="53">
        <v>1.4999999999999999E-2</v>
      </c>
      <c r="R39" s="53">
        <v>1.4999999999999999E-2</v>
      </c>
      <c r="S39" s="53">
        <v>1.2500000000000001E-2</v>
      </c>
      <c r="T39" s="53">
        <v>1.2500000000000001E-2</v>
      </c>
      <c r="U39" s="53">
        <v>1.2E-2</v>
      </c>
      <c r="V39" s="54">
        <v>1.085E-2</v>
      </c>
    </row>
    <row r="40" spans="1:22" ht="16.2" thickBot="1" x14ac:dyDescent="0.35">
      <c r="A40" s="7" t="s">
        <v>74</v>
      </c>
      <c r="H40" s="71">
        <f t="shared" ref="H40:M40" si="14">((1+H37)*(1+H38)*(1+H39))-1</f>
        <v>0.10271800000000009</v>
      </c>
      <c r="I40" s="69">
        <f t="shared" si="14"/>
        <v>0.10292000000000012</v>
      </c>
      <c r="J40" s="69">
        <f t="shared" si="14"/>
        <v>0.10333600000000009</v>
      </c>
      <c r="K40" s="69">
        <f t="shared" si="14"/>
        <v>4.0399999999999991E-2</v>
      </c>
      <c r="L40" s="70">
        <f t="shared" si="14"/>
        <v>-3.0387999999999971E-2</v>
      </c>
      <c r="M40" s="70">
        <f t="shared" si="14"/>
        <v>-3.0387999999999971E-2</v>
      </c>
      <c r="O40" s="55" t="s">
        <v>4</v>
      </c>
      <c r="P40" s="56"/>
      <c r="Q40" s="57">
        <v>0.06</v>
      </c>
      <c r="R40" s="57">
        <v>6.0999999999999999E-2</v>
      </c>
      <c r="S40" s="57">
        <v>6.1499999999999999E-2</v>
      </c>
      <c r="T40" s="57">
        <v>6.2E-2</v>
      </c>
      <c r="U40" s="57">
        <v>6.25E-2</v>
      </c>
      <c r="V40" s="58">
        <v>6.3200000000000006E-2</v>
      </c>
    </row>
    <row r="41" spans="1:22" ht="16.2" thickBot="1" x14ac:dyDescent="0.35">
      <c r="A41" s="7"/>
      <c r="H41" s="71"/>
      <c r="I41" s="69"/>
      <c r="J41" s="69"/>
      <c r="K41" s="69"/>
      <c r="L41" s="70"/>
      <c r="M41" s="70"/>
    </row>
    <row r="42" spans="1:22" x14ac:dyDescent="0.3">
      <c r="A42" s="7" t="s">
        <v>75</v>
      </c>
      <c r="H42" s="71">
        <v>0.02</v>
      </c>
      <c r="I42" s="69">
        <v>0.03</v>
      </c>
      <c r="J42" s="69">
        <v>0.04</v>
      </c>
      <c r="K42" s="69">
        <v>0.05</v>
      </c>
      <c r="L42" s="70">
        <v>-0.08</v>
      </c>
      <c r="M42" s="70">
        <v>-0.08</v>
      </c>
      <c r="O42" s="219" t="s">
        <v>7</v>
      </c>
      <c r="P42" s="220"/>
      <c r="Q42" s="172" t="str">
        <f>"FY "&amp;$G$22+1&amp;"E"</f>
        <v>FY 2020E</v>
      </c>
      <c r="R42" s="172" t="str">
        <f>"FY "&amp;$G$22+2&amp;"E"</f>
        <v>FY 2021E</v>
      </c>
      <c r="S42" s="172" t="str">
        <f>"FY "&amp;$G$22+3&amp;"E"</f>
        <v>FY 2022E</v>
      </c>
      <c r="T42" s="172" t="str">
        <f>"FY "&amp;$G$22+4&amp;"E"</f>
        <v>FY 2023E</v>
      </c>
      <c r="U42" s="172" t="str">
        <f>"FY "&amp;$G$22+5&amp;"E"</f>
        <v>FY 2024E</v>
      </c>
      <c r="V42" s="173" t="str">
        <f>"FY "&amp;$H$22+5&amp;"E"</f>
        <v>FY 2025E</v>
      </c>
    </row>
    <row r="43" spans="1:22" x14ac:dyDescent="0.3">
      <c r="A43" s="7" t="s">
        <v>76</v>
      </c>
      <c r="H43" s="71">
        <v>0.01</v>
      </c>
      <c r="I43" s="69">
        <v>0.01</v>
      </c>
      <c r="J43" s="69">
        <v>5.0000000000000001E-3</v>
      </c>
      <c r="K43" s="69">
        <v>0</v>
      </c>
      <c r="L43" s="70">
        <v>-0.01</v>
      </c>
      <c r="M43" s="70">
        <v>-0.01</v>
      </c>
      <c r="O43" s="51" t="s">
        <v>1</v>
      </c>
      <c r="P43" s="52"/>
      <c r="Q43" s="53">
        <v>0.25</v>
      </c>
      <c r="R43" s="53">
        <v>0.26250000000000001</v>
      </c>
      <c r="S43" s="53">
        <v>0.27500000000000002</v>
      </c>
      <c r="T43" s="53">
        <v>0.25</v>
      </c>
      <c r="U43" s="53">
        <v>0.27500000000000002</v>
      </c>
      <c r="V43" s="54">
        <v>0.27374999999999999</v>
      </c>
    </row>
    <row r="44" spans="1:22" x14ac:dyDescent="0.3">
      <c r="A44" s="7" t="s">
        <v>77</v>
      </c>
      <c r="H44" s="71">
        <v>0.02</v>
      </c>
      <c r="I44" s="69">
        <v>0.03</v>
      </c>
      <c r="J44" s="69">
        <v>0.05</v>
      </c>
      <c r="K44" s="69">
        <v>0.03</v>
      </c>
      <c r="L44" s="70">
        <v>0.02</v>
      </c>
      <c r="M44" s="70">
        <v>0.02</v>
      </c>
      <c r="O44" s="51" t="s">
        <v>2</v>
      </c>
      <c r="P44" s="52"/>
      <c r="Q44" s="53">
        <v>0.57500000000000007</v>
      </c>
      <c r="R44" s="53">
        <v>0.56874999999999998</v>
      </c>
      <c r="S44" s="53">
        <v>0.56500000000000006</v>
      </c>
      <c r="T44" s="53">
        <v>0.5625</v>
      </c>
      <c r="U44" s="53">
        <v>0.55625000000000002</v>
      </c>
      <c r="V44" s="54">
        <v>0.55237500000000006</v>
      </c>
    </row>
    <row r="45" spans="1:22" x14ac:dyDescent="0.3">
      <c r="A45" s="7" t="s">
        <v>78</v>
      </c>
      <c r="H45" s="71">
        <f t="shared" ref="H45:M45" si="15">((1+H42)*(1+H43)*(1+H44))-1</f>
        <v>5.0804000000000071E-2</v>
      </c>
      <c r="I45" s="69">
        <f t="shared" si="15"/>
        <v>7.1509000000000045E-2</v>
      </c>
      <c r="J45" s="69">
        <f t="shared" si="15"/>
        <v>9.745999999999988E-2</v>
      </c>
      <c r="K45" s="69">
        <f t="shared" si="15"/>
        <v>8.1500000000000128E-2</v>
      </c>
      <c r="L45" s="70">
        <f t="shared" si="15"/>
        <v>-7.0983999999999936E-2</v>
      </c>
      <c r="M45" s="70">
        <f t="shared" si="15"/>
        <v>-7.0983999999999936E-2</v>
      </c>
      <c r="O45" s="51" t="s">
        <v>3</v>
      </c>
      <c r="P45" s="52"/>
      <c r="Q45" s="53">
        <v>1.2749999999999999E-2</v>
      </c>
      <c r="R45" s="53">
        <v>1.2749999999999999E-2</v>
      </c>
      <c r="S45" s="53">
        <v>1.0625000000000001E-2</v>
      </c>
      <c r="T45" s="53">
        <v>1.0625000000000001E-2</v>
      </c>
      <c r="U45" s="53">
        <v>1.0200000000000001E-2</v>
      </c>
      <c r="V45" s="54">
        <v>9.2224999999999998E-3</v>
      </c>
    </row>
    <row r="46" spans="1:22" ht="16.2" thickBot="1" x14ac:dyDescent="0.35">
      <c r="A46" s="7"/>
      <c r="H46" s="71"/>
      <c r="I46" s="69"/>
      <c r="J46" s="69"/>
      <c r="K46" s="69"/>
      <c r="L46" s="70"/>
      <c r="M46" s="70"/>
      <c r="O46" s="55" t="s">
        <v>4</v>
      </c>
      <c r="P46" s="56"/>
      <c r="Q46" s="57">
        <v>5.0999999999999997E-2</v>
      </c>
      <c r="R46" s="57">
        <v>5.185E-2</v>
      </c>
      <c r="S46" s="57">
        <v>5.2274999999999995E-2</v>
      </c>
      <c r="T46" s="57">
        <v>5.2699999999999997E-2</v>
      </c>
      <c r="U46" s="57">
        <v>5.3124999999999999E-2</v>
      </c>
      <c r="V46" s="58">
        <v>5.3720000000000004E-2</v>
      </c>
    </row>
    <row r="47" spans="1:22" ht="24" thickBot="1" x14ac:dyDescent="0.5">
      <c r="A47" s="7" t="s">
        <v>1</v>
      </c>
      <c r="E47" s="72">
        <f>E74/19315-1</f>
        <v>0.2891535076365519</v>
      </c>
      <c r="F47" s="72">
        <f>F74/E74-1</f>
        <v>0.51807228915662651</v>
      </c>
      <c r="G47" s="72">
        <f>G74/F74-1</f>
        <v>0.13756613756613767</v>
      </c>
      <c r="H47" s="73">
        <f>IF($K$14=1,Q25,IF($K$14=2,Q31,IF($K$14=3,Q37,IF($K$14=4,Q43,"Not Applicable"))))</f>
        <v>0.25</v>
      </c>
      <c r="I47" s="73">
        <f t="shared" ref="I47:M50" si="16">IF($K$14=1,R25,IF($K$14=2,R31,IF($K$14=3,R37,IF($K$14=4,R43,"Not Applicable"))))</f>
        <v>0.26250000000000001</v>
      </c>
      <c r="J47" s="73">
        <f t="shared" si="16"/>
        <v>0.27500000000000002</v>
      </c>
      <c r="K47" s="73">
        <f t="shared" si="16"/>
        <v>0.25</v>
      </c>
      <c r="L47" s="73">
        <f t="shared" si="16"/>
        <v>0.27500000000000002</v>
      </c>
      <c r="M47" s="73">
        <f t="shared" si="16"/>
        <v>0.27374999999999999</v>
      </c>
    </row>
    <row r="48" spans="1:22" ht="24" thickBot="1" x14ac:dyDescent="0.5">
      <c r="A48" s="7" t="s">
        <v>2</v>
      </c>
      <c r="E48" s="72">
        <f>E75/E74</f>
        <v>0.65389558232931722</v>
      </c>
      <c r="F48" s="72">
        <f>F75/F74</f>
        <v>0.63620811287477952</v>
      </c>
      <c r="G48" s="72">
        <f>G75/G74</f>
        <v>0.588937984496124</v>
      </c>
      <c r="H48" s="73">
        <f>IF($K$14=1,Q26,IF($K$14=2,Q32,IF($K$14=3,Q38,IF($K$14=4,Q44,"Not Applicable"))))</f>
        <v>0.57500000000000007</v>
      </c>
      <c r="I48" s="73">
        <f t="shared" si="16"/>
        <v>0.56874999999999998</v>
      </c>
      <c r="J48" s="73">
        <f t="shared" si="16"/>
        <v>0.56500000000000006</v>
      </c>
      <c r="K48" s="73">
        <f t="shared" si="16"/>
        <v>0.5625</v>
      </c>
      <c r="L48" s="73">
        <f t="shared" si="16"/>
        <v>0.55625000000000002</v>
      </c>
      <c r="M48" s="73">
        <f t="shared" si="16"/>
        <v>0.55237500000000006</v>
      </c>
      <c r="O48" s="217" t="s">
        <v>0</v>
      </c>
      <c r="P48" s="218"/>
      <c r="Q48" s="172" t="str">
        <f>"FY "&amp;$G$22+1&amp;"E"</f>
        <v>FY 2020E</v>
      </c>
      <c r="R48" s="172" t="str">
        <f>"FY "&amp;$G$22+2&amp;"E"</f>
        <v>FY 2021E</v>
      </c>
      <c r="S48" s="172" t="str">
        <f>"FY "&amp;$G$22+3&amp;"E"</f>
        <v>FY 2022E</v>
      </c>
      <c r="T48" s="172" t="str">
        <f>"FY "&amp;$G$22+4&amp;"E"</f>
        <v>FY 2023E</v>
      </c>
      <c r="U48" s="172" t="str">
        <f>"FY "&amp;$G$22+5&amp;"E"</f>
        <v>FY 2024E</v>
      </c>
      <c r="V48" s="173" t="str">
        <f>"FY "&amp;$H$22+5&amp;"E"</f>
        <v>FY 2025E</v>
      </c>
    </row>
    <row r="49" spans="1:22" ht="24" thickBot="1" x14ac:dyDescent="0.5">
      <c r="A49" s="7" t="s">
        <v>3</v>
      </c>
      <c r="E49" s="72">
        <f>E78/E74</f>
        <v>2.3935742971887549E-2</v>
      </c>
      <c r="F49" s="72">
        <f>F78/F74</f>
        <v>2.0070546737213403E-2</v>
      </c>
      <c r="G49" s="72">
        <f>G78/G74</f>
        <v>1.9310077519379847E-2</v>
      </c>
      <c r="H49" s="73">
        <f t="shared" ref="H49:H50" si="17">IF($K$14=1,Q27,IF($K$14=2,Q33,IF($K$14=3,Q39,IF($K$14=4,Q45,"Not Applicable"))))</f>
        <v>1.2749999999999999E-2</v>
      </c>
      <c r="I49" s="73">
        <f t="shared" si="16"/>
        <v>1.2749999999999999E-2</v>
      </c>
      <c r="J49" s="73">
        <f t="shared" si="16"/>
        <v>1.0625000000000001E-2</v>
      </c>
      <c r="K49" s="73">
        <f t="shared" si="16"/>
        <v>1.0625000000000001E-2</v>
      </c>
      <c r="L49" s="73">
        <f t="shared" si="16"/>
        <v>1.0200000000000001E-2</v>
      </c>
      <c r="M49" s="73">
        <f t="shared" si="16"/>
        <v>9.2224999999999998E-3</v>
      </c>
      <c r="O49" s="213" t="s">
        <v>8</v>
      </c>
      <c r="P49" s="214"/>
      <c r="Q49" s="177">
        <v>1.6511627906976745E-2</v>
      </c>
      <c r="R49" s="177">
        <v>1.7511627906976746E-2</v>
      </c>
      <c r="S49" s="177">
        <v>1.8511627906976746E-2</v>
      </c>
      <c r="T49" s="177">
        <v>1.9511627906976747E-2</v>
      </c>
      <c r="U49" s="177">
        <v>2.0511627906976748E-2</v>
      </c>
      <c r="V49" s="177">
        <v>2.1511627906976749E-2</v>
      </c>
    </row>
    <row r="50" spans="1:22" ht="23.4" x14ac:dyDescent="0.45">
      <c r="A50" s="7" t="s">
        <v>4</v>
      </c>
      <c r="E50" s="72">
        <f>E79/E74</f>
        <v>0.10939759036144578</v>
      </c>
      <c r="F50" s="72">
        <f>F79/F74</f>
        <v>8.8483245149911807E-2</v>
      </c>
      <c r="G50" s="72">
        <f>G79/G74</f>
        <v>8.2937984496124037E-2</v>
      </c>
      <c r="H50" s="73">
        <f t="shared" si="17"/>
        <v>5.0999999999999997E-2</v>
      </c>
      <c r="I50" s="73">
        <f t="shared" si="16"/>
        <v>5.185E-2</v>
      </c>
      <c r="J50" s="73">
        <f t="shared" si="16"/>
        <v>5.2274999999999995E-2</v>
      </c>
      <c r="K50" s="73">
        <f t="shared" si="16"/>
        <v>5.2699999999999997E-2</v>
      </c>
      <c r="L50" s="73">
        <f t="shared" si="16"/>
        <v>5.3124999999999999E-2</v>
      </c>
      <c r="M50" s="73">
        <f t="shared" si="16"/>
        <v>5.3720000000000004E-2</v>
      </c>
      <c r="O50" s="213" t="s">
        <v>9</v>
      </c>
      <c r="P50" s="214"/>
      <c r="Q50" s="177">
        <v>1.7069767441860464E-2</v>
      </c>
      <c r="R50" s="177">
        <v>1.8069767441860465E-2</v>
      </c>
      <c r="S50" s="177">
        <v>1.9069767441860466E-2</v>
      </c>
      <c r="T50" s="177">
        <v>2.0069767441860467E-2</v>
      </c>
      <c r="U50" s="177">
        <v>2.1069767441860468E-2</v>
      </c>
      <c r="V50" s="177">
        <v>2.2069767441860469E-2</v>
      </c>
    </row>
    <row r="51" spans="1:22" ht="16.2" thickBot="1" x14ac:dyDescent="0.35">
      <c r="A51" s="7"/>
      <c r="E51" s="72"/>
      <c r="F51" s="72"/>
      <c r="G51" s="72"/>
      <c r="H51" s="74"/>
      <c r="I51" s="72"/>
      <c r="J51" s="72"/>
      <c r="K51" s="72"/>
      <c r="L51" s="75"/>
      <c r="M51" s="75"/>
      <c r="O51" s="213" t="s">
        <v>10</v>
      </c>
      <c r="P51" s="214"/>
      <c r="Q51" s="178">
        <v>0.01</v>
      </c>
      <c r="R51" s="177">
        <v>1.0999999999999999E-2</v>
      </c>
      <c r="S51" s="177">
        <v>1.2E-2</v>
      </c>
      <c r="T51" s="177">
        <v>1.3000000000000001E-2</v>
      </c>
      <c r="U51" s="177">
        <v>1.4000000000000002E-2</v>
      </c>
      <c r="V51" s="177">
        <v>1.5000000000000003E-2</v>
      </c>
    </row>
    <row r="52" spans="1:22" ht="16.2" thickBot="1" x14ac:dyDescent="0.35">
      <c r="A52" s="7" t="s">
        <v>8</v>
      </c>
      <c r="E52" s="72">
        <f>E84/E74</f>
        <v>9.7188755020080324E-3</v>
      </c>
      <c r="F52" s="72">
        <f>F84/F74</f>
        <v>1.3650793650793651E-2</v>
      </c>
      <c r="G52" s="72">
        <f>G84/G74</f>
        <v>1.6511627906976745E-2</v>
      </c>
      <c r="H52" s="183">
        <f t="shared" ref="H52:M56" si="18">IF($K$14=1,Q49,IF($K$14=2,Q56,IF($K$14=3,Q63,IF($K$14=4,Q70))))</f>
        <v>2.3E-2</v>
      </c>
      <c r="I52" s="183">
        <f t="shared" si="18"/>
        <v>2.4E-2</v>
      </c>
      <c r="J52" s="183">
        <f t="shared" si="18"/>
        <v>2.5000000000000001E-2</v>
      </c>
      <c r="K52" s="183">
        <f t="shared" si="18"/>
        <v>2.6000000000000002E-2</v>
      </c>
      <c r="L52" s="183">
        <f t="shared" si="18"/>
        <v>2.7000000000000003E-2</v>
      </c>
      <c r="M52" s="183">
        <f t="shared" si="18"/>
        <v>2.8000000000000004E-2</v>
      </c>
      <c r="O52" s="213" t="s">
        <v>11</v>
      </c>
      <c r="P52" s="214"/>
      <c r="Q52" s="178">
        <v>0.06</v>
      </c>
      <c r="R52" s="177">
        <v>6.0999999999999999E-2</v>
      </c>
      <c r="S52" s="177">
        <v>6.2E-2</v>
      </c>
      <c r="T52" s="177">
        <v>6.3E-2</v>
      </c>
      <c r="U52" s="177">
        <v>6.4000000000000001E-2</v>
      </c>
      <c r="V52" s="177">
        <v>6.5000000000000002E-2</v>
      </c>
    </row>
    <row r="53" spans="1:22" ht="16.2" thickBot="1" x14ac:dyDescent="0.35">
      <c r="A53" s="7" t="s">
        <v>9</v>
      </c>
      <c r="E53" s="72">
        <f>E82/E74</f>
        <v>1.3132530120481928E-2</v>
      </c>
      <c r="F53" s="72">
        <f>F82/F74</f>
        <v>1.3121693121693121E-2</v>
      </c>
      <c r="G53" s="72">
        <f>G82/G74</f>
        <v>1.7069767441860464E-2</v>
      </c>
      <c r="H53" s="183">
        <f t="shared" si="18"/>
        <v>1.2999999999999999E-2</v>
      </c>
      <c r="I53" s="183">
        <f t="shared" si="18"/>
        <v>1.3999999999999999E-2</v>
      </c>
      <c r="J53" s="183">
        <f t="shared" si="18"/>
        <v>1.4999999999999999E-2</v>
      </c>
      <c r="K53" s="183">
        <f t="shared" si="18"/>
        <v>1.6E-2</v>
      </c>
      <c r="L53" s="183">
        <f t="shared" si="18"/>
        <v>1.7000000000000001E-2</v>
      </c>
      <c r="M53" s="183">
        <f t="shared" si="18"/>
        <v>1.8000000000000002E-2</v>
      </c>
      <c r="O53" s="215" t="s">
        <v>12</v>
      </c>
      <c r="P53" s="216"/>
      <c r="Q53" s="179">
        <v>0.2</v>
      </c>
      <c r="R53" s="177">
        <v>0.20100000000000001</v>
      </c>
      <c r="S53" s="177">
        <v>0.20200000000000001</v>
      </c>
      <c r="T53" s="177">
        <v>0.20300000000000001</v>
      </c>
      <c r="U53" s="177">
        <v>0.20400000000000001</v>
      </c>
      <c r="V53" s="177">
        <v>0.20500000000000002</v>
      </c>
    </row>
    <row r="54" spans="1:22" ht="16.2" thickBot="1" x14ac:dyDescent="0.35">
      <c r="A54" s="7" t="s">
        <v>10</v>
      </c>
      <c r="E54" s="76">
        <v>5.2699999999999997E-2</v>
      </c>
      <c r="F54" s="76">
        <v>3.44E-2</v>
      </c>
      <c r="G54" s="76">
        <v>1.43E-2</v>
      </c>
      <c r="H54" s="183">
        <f t="shared" si="18"/>
        <v>1.4999999999999999E-2</v>
      </c>
      <c r="I54" s="183">
        <f t="shared" si="18"/>
        <v>1.6E-2</v>
      </c>
      <c r="J54" s="183">
        <f t="shared" si="18"/>
        <v>1.7000000000000001E-2</v>
      </c>
      <c r="K54" s="183">
        <f t="shared" si="18"/>
        <v>1.8000000000000002E-2</v>
      </c>
      <c r="L54" s="183">
        <f t="shared" si="18"/>
        <v>1.9000000000000003E-2</v>
      </c>
      <c r="M54" s="183">
        <f t="shared" si="18"/>
        <v>2.0000000000000004E-2</v>
      </c>
      <c r="Q54" s="180"/>
      <c r="R54" s="180"/>
      <c r="S54" s="180"/>
      <c r="T54" s="180"/>
      <c r="U54" s="180"/>
      <c r="V54" s="180"/>
    </row>
    <row r="55" spans="1:22" ht="16.2" thickBot="1" x14ac:dyDescent="0.35">
      <c r="A55" s="7" t="s">
        <v>11</v>
      </c>
      <c r="E55" s="76">
        <v>0</v>
      </c>
      <c r="F55" s="76">
        <v>0</v>
      </c>
      <c r="G55" s="76">
        <v>0</v>
      </c>
      <c r="H55" s="183">
        <f t="shared" si="18"/>
        <v>0.08</v>
      </c>
      <c r="I55" s="183">
        <f t="shared" si="18"/>
        <v>8.1000000000000003E-2</v>
      </c>
      <c r="J55" s="183">
        <f t="shared" si="18"/>
        <v>8.2000000000000003E-2</v>
      </c>
      <c r="K55" s="183">
        <f t="shared" si="18"/>
        <v>8.3000000000000004E-2</v>
      </c>
      <c r="L55" s="183">
        <f t="shared" si="18"/>
        <v>8.4000000000000005E-2</v>
      </c>
      <c r="M55" s="183">
        <f t="shared" si="18"/>
        <v>8.5000000000000006E-2</v>
      </c>
      <c r="O55" s="217" t="s">
        <v>5</v>
      </c>
      <c r="P55" s="218"/>
      <c r="Q55" s="181" t="s">
        <v>13</v>
      </c>
      <c r="R55" s="181" t="s">
        <v>14</v>
      </c>
      <c r="S55" s="181" t="s">
        <v>15</v>
      </c>
      <c r="T55" s="181" t="s">
        <v>16</v>
      </c>
      <c r="U55" s="181" t="s">
        <v>17</v>
      </c>
      <c r="V55" s="182" t="s">
        <v>18</v>
      </c>
    </row>
    <row r="56" spans="1:22" x14ac:dyDescent="0.3">
      <c r="A56" s="7" t="s">
        <v>12</v>
      </c>
      <c r="E56" s="72">
        <f>E91/E90</f>
        <v>0.2835960960960961</v>
      </c>
      <c r="F56" s="72">
        <f>F91/F90</f>
        <v>0.3055315471045808</v>
      </c>
      <c r="G56" s="72">
        <f>G91/G90</f>
        <v>0.31502343557273249</v>
      </c>
      <c r="H56" s="183">
        <f t="shared" si="18"/>
        <v>0.25</v>
      </c>
      <c r="I56" s="183">
        <f t="shared" si="18"/>
        <v>0.251</v>
      </c>
      <c r="J56" s="183">
        <f t="shared" si="18"/>
        <v>0.252</v>
      </c>
      <c r="K56" s="183">
        <f t="shared" si="18"/>
        <v>0.253</v>
      </c>
      <c r="L56" s="183">
        <f t="shared" si="18"/>
        <v>0.254</v>
      </c>
      <c r="M56" s="183">
        <f t="shared" si="18"/>
        <v>0.255</v>
      </c>
      <c r="O56" s="213" t="s">
        <v>8</v>
      </c>
      <c r="P56" s="214"/>
      <c r="Q56" s="177">
        <v>0.02</v>
      </c>
      <c r="R56" s="177">
        <v>2.1000000000000001E-2</v>
      </c>
      <c r="S56" s="177">
        <v>2.2000000000000002E-2</v>
      </c>
      <c r="T56" s="177">
        <v>2.3000000000000003E-2</v>
      </c>
      <c r="U56" s="177">
        <v>2.4000000000000004E-2</v>
      </c>
      <c r="V56" s="177">
        <v>2.5000000000000005E-2</v>
      </c>
    </row>
    <row r="57" spans="1:22" x14ac:dyDescent="0.3">
      <c r="A57" s="7"/>
      <c r="H57" s="77"/>
      <c r="L57" s="78"/>
      <c r="M57" s="78"/>
      <c r="O57" s="213" t="s">
        <v>9</v>
      </c>
      <c r="P57" s="214"/>
      <c r="Q57" s="177">
        <v>1.4999999999999999E-2</v>
      </c>
      <c r="R57" s="177">
        <v>1.6E-2</v>
      </c>
      <c r="S57" s="177">
        <v>1.7000000000000001E-2</v>
      </c>
      <c r="T57" s="177">
        <v>1.8000000000000002E-2</v>
      </c>
      <c r="U57" s="177">
        <v>1.9000000000000003E-2</v>
      </c>
      <c r="V57" s="177">
        <v>2.0000000000000004E-2</v>
      </c>
    </row>
    <row r="58" spans="1:22" x14ac:dyDescent="0.3">
      <c r="A58" s="7" t="s">
        <v>79</v>
      </c>
      <c r="F58" s="72">
        <f>F109/F74</f>
        <v>6.4074074074074075E-2</v>
      </c>
      <c r="G58" s="72">
        <f>G109/G74</f>
        <v>7.8162790697674414E-2</v>
      </c>
      <c r="H58" s="79">
        <f>H59/Days_In_Year</f>
        <v>7.8162790697674414E-2</v>
      </c>
      <c r="I58" s="80">
        <f t="shared" ref="I58:M58" si="19">I59/Days_In_Year</f>
        <v>7.8162790697674414E-2</v>
      </c>
      <c r="J58" s="80">
        <f t="shared" si="19"/>
        <v>7.8162790697674414E-2</v>
      </c>
      <c r="K58" s="80">
        <f t="shared" si="19"/>
        <v>7.8162790697674414E-2</v>
      </c>
      <c r="L58" s="81">
        <f t="shared" si="19"/>
        <v>7.8162790697674414E-2</v>
      </c>
      <c r="M58" s="81">
        <f t="shared" si="19"/>
        <v>7.8162790697674414E-2</v>
      </c>
      <c r="O58" s="213" t="s">
        <v>10</v>
      </c>
      <c r="P58" s="214"/>
      <c r="Q58" s="178">
        <v>1.2500000000000001E-2</v>
      </c>
      <c r="R58" s="177">
        <v>1.3500000000000002E-2</v>
      </c>
      <c r="S58" s="177">
        <v>1.4500000000000002E-2</v>
      </c>
      <c r="T58" s="177">
        <v>1.5500000000000003E-2</v>
      </c>
      <c r="U58" s="177">
        <v>1.6500000000000004E-2</v>
      </c>
      <c r="V58" s="177">
        <v>1.7500000000000005E-2</v>
      </c>
    </row>
    <row r="59" spans="1:22" x14ac:dyDescent="0.3">
      <c r="A59" s="7" t="s">
        <v>80</v>
      </c>
      <c r="F59" s="82">
        <f>F58*Days_In_Year</f>
        <v>23.066666666666666</v>
      </c>
      <c r="G59" s="82">
        <f>G58*Days_In_Year</f>
        <v>28.13860465116279</v>
      </c>
      <c r="H59" s="83">
        <f t="shared" ref="H59:M60" si="20">G59</f>
        <v>28.13860465116279</v>
      </c>
      <c r="I59" s="82">
        <f t="shared" si="20"/>
        <v>28.13860465116279</v>
      </c>
      <c r="J59" s="82">
        <f t="shared" si="20"/>
        <v>28.13860465116279</v>
      </c>
      <c r="K59" s="82">
        <f t="shared" si="20"/>
        <v>28.13860465116279</v>
      </c>
      <c r="L59" s="84">
        <f t="shared" si="20"/>
        <v>28.13860465116279</v>
      </c>
      <c r="M59" s="84">
        <f t="shared" si="20"/>
        <v>28.13860465116279</v>
      </c>
      <c r="O59" s="213" t="s">
        <v>11</v>
      </c>
      <c r="P59" s="214"/>
      <c r="Q59" s="178">
        <v>7.0000000000000007E-2</v>
      </c>
      <c r="R59" s="177">
        <v>7.1000000000000008E-2</v>
      </c>
      <c r="S59" s="177">
        <v>7.2000000000000008E-2</v>
      </c>
      <c r="T59" s="177">
        <v>7.3000000000000009E-2</v>
      </c>
      <c r="U59" s="177">
        <v>7.400000000000001E-2</v>
      </c>
      <c r="V59" s="177">
        <v>7.5000000000000011E-2</v>
      </c>
    </row>
    <row r="60" spans="1:22" ht="16.2" thickBot="1" x14ac:dyDescent="0.35">
      <c r="A60" s="7" t="s">
        <v>81</v>
      </c>
      <c r="F60" s="72">
        <f>F110/F75</f>
        <v>2.1165414575998669E-2</v>
      </c>
      <c r="G60" s="72">
        <f>G110/G75</f>
        <v>1.7966909296723836E-2</v>
      </c>
      <c r="H60" s="74">
        <f t="shared" si="20"/>
        <v>1.7966909296723836E-2</v>
      </c>
      <c r="I60" s="72">
        <f t="shared" si="20"/>
        <v>1.7966909296723836E-2</v>
      </c>
      <c r="J60" s="72">
        <f t="shared" si="20"/>
        <v>1.7966909296723836E-2</v>
      </c>
      <c r="K60" s="72">
        <f t="shared" si="20"/>
        <v>1.7966909296723836E-2</v>
      </c>
      <c r="L60" s="75">
        <f t="shared" si="20"/>
        <v>1.7966909296723836E-2</v>
      </c>
      <c r="M60" s="75">
        <f t="shared" si="20"/>
        <v>1.7966909296723836E-2</v>
      </c>
      <c r="O60" s="215" t="s">
        <v>12</v>
      </c>
      <c r="P60" s="216"/>
      <c r="Q60" s="179">
        <v>0.22</v>
      </c>
      <c r="R60" s="177">
        <v>0.221</v>
      </c>
      <c r="S60" s="177">
        <v>0.222</v>
      </c>
      <c r="T60" s="177">
        <v>0.223</v>
      </c>
      <c r="U60" s="177">
        <v>0.224</v>
      </c>
      <c r="V60" s="177">
        <v>0.22500000000000001</v>
      </c>
    </row>
    <row r="61" spans="1:22" ht="16.2" thickBot="1" x14ac:dyDescent="0.35">
      <c r="A61" s="7" t="s">
        <v>82</v>
      </c>
      <c r="E61" s="31"/>
      <c r="F61" s="31"/>
      <c r="G61" s="31"/>
      <c r="H61" s="85">
        <v>40</v>
      </c>
      <c r="I61" s="31">
        <v>37</v>
      </c>
      <c r="J61" s="31">
        <v>28</v>
      </c>
      <c r="K61" s="31">
        <v>13</v>
      </c>
      <c r="L61" s="86">
        <v>10</v>
      </c>
      <c r="M61" s="86">
        <v>10</v>
      </c>
      <c r="Q61" s="180"/>
      <c r="R61" s="180"/>
      <c r="S61" s="180"/>
      <c r="T61" s="180"/>
      <c r="U61" s="180"/>
      <c r="V61" s="180"/>
    </row>
    <row r="62" spans="1:22" x14ac:dyDescent="0.3">
      <c r="A62" s="7"/>
      <c r="F62" s="87"/>
      <c r="G62" s="87"/>
      <c r="H62" s="88"/>
      <c r="I62" s="87"/>
      <c r="J62" s="87"/>
      <c r="K62" s="87"/>
      <c r="L62" s="89"/>
      <c r="M62" s="89"/>
      <c r="O62" s="217" t="s">
        <v>6</v>
      </c>
      <c r="P62" s="218"/>
      <c r="Q62" s="181" t="s">
        <v>13</v>
      </c>
      <c r="R62" s="181" t="s">
        <v>14</v>
      </c>
      <c r="S62" s="181" t="s">
        <v>15</v>
      </c>
      <c r="T62" s="181" t="s">
        <v>16</v>
      </c>
      <c r="U62" s="181" t="s">
        <v>17</v>
      </c>
      <c r="V62" s="182" t="s">
        <v>18</v>
      </c>
    </row>
    <row r="63" spans="1:22" x14ac:dyDescent="0.3">
      <c r="A63" s="7" t="s">
        <v>83</v>
      </c>
      <c r="F63" s="72">
        <f>F125/F75</f>
        <v>0.22953455493028024</v>
      </c>
      <c r="G63" s="72">
        <f>G125/G75</f>
        <v>0.22117067905703344</v>
      </c>
      <c r="H63" s="79">
        <f t="shared" ref="H63:M63" si="21">H64/Days_In_Year</f>
        <v>0.22117067905703341</v>
      </c>
      <c r="I63" s="80">
        <f t="shared" si="21"/>
        <v>0.22117067905703341</v>
      </c>
      <c r="J63" s="80">
        <f t="shared" si="21"/>
        <v>0.22117067905703341</v>
      </c>
      <c r="K63" s="80">
        <f t="shared" si="21"/>
        <v>0.22117067905703341</v>
      </c>
      <c r="L63" s="81">
        <f t="shared" si="21"/>
        <v>0.22117067905703341</v>
      </c>
      <c r="M63" s="81">
        <f t="shared" si="21"/>
        <v>0.22117067905703341</v>
      </c>
      <c r="O63" s="213" t="s">
        <v>8</v>
      </c>
      <c r="P63" s="214"/>
      <c r="Q63" s="177">
        <v>2.1999999999999999E-2</v>
      </c>
      <c r="R63" s="177">
        <v>2.3E-2</v>
      </c>
      <c r="S63" s="177">
        <v>2.4E-2</v>
      </c>
      <c r="T63" s="177">
        <v>2.5000000000000001E-2</v>
      </c>
      <c r="U63" s="177">
        <v>2.6000000000000002E-2</v>
      </c>
      <c r="V63" s="177">
        <v>2.7000000000000003E-2</v>
      </c>
    </row>
    <row r="64" spans="1:22" x14ac:dyDescent="0.3">
      <c r="A64" s="7" t="s">
        <v>84</v>
      </c>
      <c r="F64" s="82">
        <f>F63*Days_In_Year</f>
        <v>82.632439774900888</v>
      </c>
      <c r="G64" s="82">
        <f>G63*Days_In_Year</f>
        <v>79.621444460532032</v>
      </c>
      <c r="H64" s="83">
        <f t="shared" ref="H64:M67" si="22">G64</f>
        <v>79.621444460532032</v>
      </c>
      <c r="I64" s="82">
        <f t="shared" si="22"/>
        <v>79.621444460532032</v>
      </c>
      <c r="J64" s="82">
        <f t="shared" si="22"/>
        <v>79.621444460532032</v>
      </c>
      <c r="K64" s="82">
        <f t="shared" si="22"/>
        <v>79.621444460532032</v>
      </c>
      <c r="L64" s="84">
        <f t="shared" si="22"/>
        <v>79.621444460532032</v>
      </c>
      <c r="M64" s="84">
        <f t="shared" si="22"/>
        <v>79.621444460532032</v>
      </c>
      <c r="O64" s="213" t="s">
        <v>9</v>
      </c>
      <c r="P64" s="214"/>
      <c r="Q64" s="177">
        <v>1.4E-2</v>
      </c>
      <c r="R64" s="177">
        <v>1.4999999999999999E-2</v>
      </c>
      <c r="S64" s="177">
        <v>1.6E-2</v>
      </c>
      <c r="T64" s="177">
        <v>1.7000000000000001E-2</v>
      </c>
      <c r="U64" s="177">
        <v>1.8000000000000002E-2</v>
      </c>
      <c r="V64" s="177">
        <v>1.9000000000000003E-2</v>
      </c>
    </row>
    <row r="65" spans="1:22" x14ac:dyDescent="0.3">
      <c r="A65" s="7" t="s">
        <v>85</v>
      </c>
      <c r="F65" s="72">
        <f>F126/F80</f>
        <v>1.0294069861900894</v>
      </c>
      <c r="G65" s="72">
        <f>G126/G80</f>
        <v>0.87611827141774068</v>
      </c>
      <c r="H65" s="74">
        <f t="shared" si="22"/>
        <v>0.87611827141774068</v>
      </c>
      <c r="I65" s="72">
        <f t="shared" si="22"/>
        <v>0.87611827141774068</v>
      </c>
      <c r="J65" s="72">
        <f t="shared" si="22"/>
        <v>0.87611827141774068</v>
      </c>
      <c r="K65" s="72">
        <f t="shared" si="22"/>
        <v>0.87611827141774068</v>
      </c>
      <c r="L65" s="75">
        <f t="shared" si="22"/>
        <v>0.87611827141774068</v>
      </c>
      <c r="M65" s="75">
        <f t="shared" si="22"/>
        <v>0.87611827141774068</v>
      </c>
      <c r="O65" s="213" t="s">
        <v>10</v>
      </c>
      <c r="P65" s="214"/>
      <c r="Q65" s="178">
        <v>1.4E-2</v>
      </c>
      <c r="R65" s="177">
        <v>1.4999999999999999E-2</v>
      </c>
      <c r="S65" s="177">
        <v>1.6E-2</v>
      </c>
      <c r="T65" s="177">
        <v>1.7000000000000001E-2</v>
      </c>
      <c r="U65" s="177">
        <v>1.8000000000000002E-2</v>
      </c>
      <c r="V65" s="177">
        <v>1.9000000000000003E-2</v>
      </c>
    </row>
    <row r="66" spans="1:22" x14ac:dyDescent="0.3">
      <c r="A66" s="7" t="s">
        <v>86</v>
      </c>
      <c r="F66" s="72">
        <f>F127/F74</f>
        <v>4.2777777777777776E-2</v>
      </c>
      <c r="G66" s="72">
        <f>G127/G74</f>
        <v>4.7744186046511629E-2</v>
      </c>
      <c r="H66" s="74">
        <f t="shared" si="22"/>
        <v>4.7744186046511629E-2</v>
      </c>
      <c r="I66" s="72">
        <f t="shared" si="22"/>
        <v>4.7744186046511629E-2</v>
      </c>
      <c r="J66" s="72">
        <f t="shared" si="22"/>
        <v>4.7744186046511629E-2</v>
      </c>
      <c r="K66" s="72">
        <f t="shared" si="22"/>
        <v>4.7744186046511629E-2</v>
      </c>
      <c r="L66" s="75">
        <f t="shared" si="22"/>
        <v>4.7744186046511629E-2</v>
      </c>
      <c r="M66" s="75">
        <f t="shared" si="22"/>
        <v>4.7744186046511629E-2</v>
      </c>
      <c r="O66" s="213" t="s">
        <v>11</v>
      </c>
      <c r="P66" s="214"/>
      <c r="Q66" s="178">
        <v>7.4999999999999997E-2</v>
      </c>
      <c r="R66" s="177">
        <v>7.5999999999999998E-2</v>
      </c>
      <c r="S66" s="177">
        <v>7.6999999999999999E-2</v>
      </c>
      <c r="T66" s="177">
        <v>7.8E-2</v>
      </c>
      <c r="U66" s="177">
        <v>7.9000000000000001E-2</v>
      </c>
      <c r="V66" s="177">
        <v>0.08</v>
      </c>
    </row>
    <row r="67" spans="1:22" ht="16.2" thickBot="1" x14ac:dyDescent="0.35">
      <c r="A67" s="7" t="s">
        <v>87</v>
      </c>
      <c r="F67" s="72">
        <f>F131/F74</f>
        <v>2.0317460317460317E-2</v>
      </c>
      <c r="G67" s="72">
        <f>G131/G74</f>
        <v>1.9837209302325583E-2</v>
      </c>
      <c r="H67" s="74">
        <f t="shared" si="22"/>
        <v>1.9837209302325583E-2</v>
      </c>
      <c r="I67" s="72">
        <f t="shared" si="22"/>
        <v>1.9837209302325583E-2</v>
      </c>
      <c r="J67" s="72">
        <f t="shared" si="22"/>
        <v>1.9837209302325583E-2</v>
      </c>
      <c r="K67" s="72">
        <f t="shared" si="22"/>
        <v>1.9837209302325583E-2</v>
      </c>
      <c r="L67" s="75">
        <f t="shared" si="22"/>
        <v>1.9837209302325583E-2</v>
      </c>
      <c r="M67" s="75">
        <f t="shared" si="22"/>
        <v>1.9837209302325583E-2</v>
      </c>
      <c r="O67" s="215" t="s">
        <v>12</v>
      </c>
      <c r="P67" s="216"/>
      <c r="Q67" s="179">
        <v>0.24</v>
      </c>
      <c r="R67" s="177">
        <v>0.24099999999999999</v>
      </c>
      <c r="S67" s="177">
        <v>0.24199999999999999</v>
      </c>
      <c r="T67" s="177">
        <v>0.24299999999999999</v>
      </c>
      <c r="U67" s="177">
        <v>0.24399999999999999</v>
      </c>
      <c r="V67" s="177">
        <v>0.245</v>
      </c>
    </row>
    <row r="68" spans="1:22" ht="16.2" thickBot="1" x14ac:dyDescent="0.35">
      <c r="A68" s="7"/>
      <c r="H68" s="77"/>
      <c r="L68" s="78"/>
      <c r="M68" s="78"/>
    </row>
    <row r="69" spans="1:22" ht="16.2" thickBot="1" x14ac:dyDescent="0.35">
      <c r="A69" s="90" t="s">
        <v>88</v>
      </c>
      <c r="B69" s="60"/>
      <c r="C69" s="60"/>
      <c r="D69" s="60"/>
      <c r="E69" s="91">
        <f>-E171/E74</f>
        <v>2.9518072289156625E-2</v>
      </c>
      <c r="F69" s="91">
        <f>-F171/F74</f>
        <v>2.8862433862433864E-2</v>
      </c>
      <c r="G69" s="91">
        <f>-G171/G74</f>
        <v>2.6604651162790698E-2</v>
      </c>
      <c r="H69" s="92">
        <f t="shared" ref="H69:M69" si="23">G69</f>
        <v>2.6604651162790698E-2</v>
      </c>
      <c r="I69" s="93">
        <f t="shared" si="23"/>
        <v>2.6604651162790698E-2</v>
      </c>
      <c r="J69" s="93">
        <f t="shared" si="23"/>
        <v>2.6604651162790698E-2</v>
      </c>
      <c r="K69" s="93">
        <f t="shared" si="23"/>
        <v>2.6604651162790698E-2</v>
      </c>
      <c r="L69" s="94">
        <f t="shared" si="23"/>
        <v>2.6604651162790698E-2</v>
      </c>
      <c r="M69" s="94">
        <f t="shared" si="23"/>
        <v>2.6604651162790698E-2</v>
      </c>
      <c r="O69" s="217" t="s">
        <v>7</v>
      </c>
      <c r="P69" s="218"/>
      <c r="Q69" s="172" t="s">
        <v>13</v>
      </c>
      <c r="R69" s="172" t="s">
        <v>14</v>
      </c>
      <c r="S69" s="172" t="s">
        <v>15</v>
      </c>
      <c r="T69" s="172" t="s">
        <v>16</v>
      </c>
      <c r="U69" s="172" t="s">
        <v>17</v>
      </c>
      <c r="V69" s="173" t="s">
        <v>18</v>
      </c>
    </row>
    <row r="70" spans="1:22" x14ac:dyDescent="0.3">
      <c r="D70" s="187" t="s">
        <v>89</v>
      </c>
      <c r="E70" s="187" t="s">
        <v>90</v>
      </c>
      <c r="F70" s="187" t="s">
        <v>91</v>
      </c>
      <c r="G70" s="187" t="s">
        <v>92</v>
      </c>
      <c r="H70" s="187" t="s">
        <v>93</v>
      </c>
      <c r="I70" s="187" t="s">
        <v>94</v>
      </c>
      <c r="J70" s="187" t="s">
        <v>95</v>
      </c>
      <c r="K70" s="187" t="s">
        <v>96</v>
      </c>
      <c r="L70" s="187" t="s">
        <v>97</v>
      </c>
      <c r="M70" s="187" t="s">
        <v>97</v>
      </c>
      <c r="O70" s="213" t="s">
        <v>8</v>
      </c>
      <c r="P70" s="214"/>
      <c r="Q70" s="174">
        <v>2.3E-2</v>
      </c>
      <c r="R70" s="174">
        <v>2.4E-2</v>
      </c>
      <c r="S70" s="174">
        <v>2.5000000000000001E-2</v>
      </c>
      <c r="T70" s="174">
        <v>2.6000000000000002E-2</v>
      </c>
      <c r="U70" s="174">
        <v>2.7000000000000003E-2</v>
      </c>
      <c r="V70" s="174">
        <v>2.8000000000000004E-2</v>
      </c>
    </row>
    <row r="71" spans="1:22" x14ac:dyDescent="0.3">
      <c r="A71" s="2" t="s">
        <v>98</v>
      </c>
      <c r="B71" s="3"/>
      <c r="C71" s="3"/>
      <c r="D71" s="3"/>
      <c r="E71" s="3"/>
      <c r="F71" s="3"/>
      <c r="G71" s="4"/>
      <c r="H71" s="4"/>
      <c r="I71" s="4"/>
      <c r="J71" s="4"/>
      <c r="K71" s="4"/>
      <c r="L71" s="5"/>
      <c r="M71" s="5"/>
      <c r="O71" s="213" t="s">
        <v>9</v>
      </c>
      <c r="P71" s="214"/>
      <c r="Q71" s="174">
        <v>1.2999999999999999E-2</v>
      </c>
      <c r="R71" s="174">
        <v>1.3999999999999999E-2</v>
      </c>
      <c r="S71" s="174">
        <v>1.4999999999999999E-2</v>
      </c>
      <c r="T71" s="174">
        <v>1.6E-2</v>
      </c>
      <c r="U71" s="174">
        <v>1.7000000000000001E-2</v>
      </c>
      <c r="V71" s="174">
        <v>1.8000000000000002E-2</v>
      </c>
    </row>
    <row r="72" spans="1:22" x14ac:dyDescent="0.3">
      <c r="A72" s="7"/>
      <c r="E72" s="45" t="str">
        <f t="shared" ref="E72:M72" si="24">E$23</f>
        <v>FY 2017</v>
      </c>
      <c r="F72" s="45" t="str">
        <f t="shared" si="24"/>
        <v>FY 2018</v>
      </c>
      <c r="G72" s="46" t="str">
        <f t="shared" si="24"/>
        <v>FY 2019</v>
      </c>
      <c r="H72" s="45" t="str">
        <f t="shared" si="24"/>
        <v>FY 2020E</v>
      </c>
      <c r="I72" s="45" t="str">
        <f t="shared" si="24"/>
        <v>FY 2021E</v>
      </c>
      <c r="J72" s="45" t="str">
        <f t="shared" si="24"/>
        <v>FY 2022E</v>
      </c>
      <c r="K72" s="45" t="str">
        <f t="shared" si="24"/>
        <v>FY 2023E</v>
      </c>
      <c r="L72" s="46" t="str">
        <f t="shared" si="24"/>
        <v>FY 2024E</v>
      </c>
      <c r="M72" s="46" t="str">
        <f t="shared" si="24"/>
        <v>FY 2025E</v>
      </c>
      <c r="O72" s="213" t="s">
        <v>10</v>
      </c>
      <c r="P72" s="214"/>
      <c r="Q72" s="175">
        <v>1.4999999999999999E-2</v>
      </c>
      <c r="R72" s="174">
        <v>1.6E-2</v>
      </c>
      <c r="S72" s="174">
        <v>1.7000000000000001E-2</v>
      </c>
      <c r="T72" s="174">
        <v>1.8000000000000002E-2</v>
      </c>
      <c r="U72" s="174">
        <v>1.9000000000000003E-2</v>
      </c>
      <c r="V72" s="174">
        <v>2.0000000000000004E-2</v>
      </c>
    </row>
    <row r="73" spans="1:22" x14ac:dyDescent="0.3">
      <c r="A73" s="7"/>
      <c r="G73" s="95"/>
      <c r="L73" s="95"/>
      <c r="M73" s="95"/>
      <c r="O73" s="213" t="s">
        <v>11</v>
      </c>
      <c r="P73" s="214"/>
      <c r="Q73" s="175">
        <v>0.08</v>
      </c>
      <c r="R73" s="174">
        <v>8.1000000000000003E-2</v>
      </c>
      <c r="S73" s="174">
        <v>8.2000000000000003E-2</v>
      </c>
      <c r="T73" s="174">
        <v>8.3000000000000004E-2</v>
      </c>
      <c r="U73" s="174">
        <v>8.4000000000000005E-2</v>
      </c>
      <c r="V73" s="174">
        <v>8.5000000000000006E-2</v>
      </c>
    </row>
    <row r="74" spans="1:22" ht="16.2" thickBot="1" x14ac:dyDescent="0.35">
      <c r="A74" s="9" t="s">
        <v>99</v>
      </c>
      <c r="E74" s="96">
        <v>24900</v>
      </c>
      <c r="F74" s="96">
        <v>37800</v>
      </c>
      <c r="G74" s="97">
        <v>43000</v>
      </c>
      <c r="H74" s="98">
        <f t="shared" ref="H74:M74" si="25">G74*(1+H47)</f>
        <v>53750</v>
      </c>
      <c r="I74" s="98">
        <f>H74*(1+I47)</f>
        <v>67859.375</v>
      </c>
      <c r="J74" s="98">
        <f t="shared" si="25"/>
        <v>86520.703125</v>
      </c>
      <c r="K74" s="98">
        <f t="shared" si="25"/>
        <v>108150.87890625</v>
      </c>
      <c r="L74" s="99">
        <f t="shared" si="25"/>
        <v>137892.37060546875</v>
      </c>
      <c r="M74" s="99">
        <f t="shared" si="25"/>
        <v>175640.40705871582</v>
      </c>
      <c r="O74" s="215" t="s">
        <v>12</v>
      </c>
      <c r="P74" s="216"/>
      <c r="Q74" s="176">
        <v>0.25</v>
      </c>
      <c r="R74" s="174">
        <v>0.251</v>
      </c>
      <c r="S74" s="174">
        <v>0.252</v>
      </c>
      <c r="T74" s="174">
        <v>0.253</v>
      </c>
      <c r="U74" s="174">
        <v>0.254</v>
      </c>
      <c r="V74" s="174">
        <v>0.255</v>
      </c>
    </row>
    <row r="75" spans="1:22" x14ac:dyDescent="0.3">
      <c r="A75" s="7" t="s">
        <v>100</v>
      </c>
      <c r="E75" s="19">
        <f>16426-35-E$82/3</f>
        <v>16282</v>
      </c>
      <c r="F75" s="19">
        <f>24294-80-F$82/3</f>
        <v>24048.666666666668</v>
      </c>
      <c r="G75" s="100">
        <f>25683-114-G$82/3</f>
        <v>25324.333333333332</v>
      </c>
      <c r="H75" s="19">
        <f t="shared" ref="H75:M75" si="26">H48*H74</f>
        <v>30906.250000000004</v>
      </c>
      <c r="I75" s="19">
        <f t="shared" si="26"/>
        <v>38595.01953125</v>
      </c>
      <c r="J75" s="19">
        <f t="shared" si="26"/>
        <v>48884.197265625007</v>
      </c>
      <c r="K75" s="19">
        <f t="shared" si="26"/>
        <v>60834.869384765625</v>
      </c>
      <c r="L75" s="100">
        <f t="shared" si="26"/>
        <v>76702.631149291992</v>
      </c>
      <c r="M75" s="100">
        <f t="shared" si="26"/>
        <v>97019.369849058159</v>
      </c>
    </row>
    <row r="76" spans="1:22" x14ac:dyDescent="0.3">
      <c r="A76" s="101" t="s">
        <v>101</v>
      </c>
      <c r="E76" s="102">
        <f t="shared" ref="E76:L76" si="27">E74-E75</f>
        <v>8618</v>
      </c>
      <c r="F76" s="102">
        <f t="shared" si="27"/>
        <v>13751.333333333332</v>
      </c>
      <c r="G76" s="103">
        <f t="shared" si="27"/>
        <v>17675.666666666668</v>
      </c>
      <c r="H76" s="104">
        <f t="shared" si="27"/>
        <v>22843.749999999996</v>
      </c>
      <c r="I76" s="102">
        <f t="shared" si="27"/>
        <v>29264.35546875</v>
      </c>
      <c r="J76" s="102">
        <f t="shared" si="27"/>
        <v>37636.505859374993</v>
      </c>
      <c r="K76" s="102">
        <f t="shared" si="27"/>
        <v>47316.009521484375</v>
      </c>
      <c r="L76" s="103">
        <f t="shared" si="27"/>
        <v>61189.739456176758</v>
      </c>
      <c r="M76" s="103">
        <f t="shared" ref="M76" si="28">M74-M75</f>
        <v>78621.037209657661</v>
      </c>
    </row>
    <row r="77" spans="1:22" x14ac:dyDescent="0.3">
      <c r="A77" s="7" t="s">
        <v>102</v>
      </c>
      <c r="G77" s="23"/>
      <c r="L77" s="23"/>
      <c r="M77" s="23"/>
    </row>
    <row r="78" spans="1:22" x14ac:dyDescent="0.3">
      <c r="A78" s="27" t="s">
        <v>103</v>
      </c>
      <c r="E78" s="19">
        <f>782-77-E$82/3</f>
        <v>596</v>
      </c>
      <c r="F78" s="19">
        <f>1109-185-F$82/3</f>
        <v>758.66666666666663</v>
      </c>
      <c r="G78" s="100">
        <f>1333-258-G$82/3</f>
        <v>830.33333333333337</v>
      </c>
      <c r="H78" s="19">
        <f t="shared" ref="H78:M78" si="29">H49*H74</f>
        <v>685.3125</v>
      </c>
      <c r="I78" s="19">
        <f t="shared" si="29"/>
        <v>865.20703125</v>
      </c>
      <c r="J78" s="19">
        <f t="shared" si="29"/>
        <v>919.28247070312511</v>
      </c>
      <c r="K78" s="19">
        <f t="shared" si="29"/>
        <v>1149.1030883789063</v>
      </c>
      <c r="L78" s="100">
        <f t="shared" si="29"/>
        <v>1406.5021801757814</v>
      </c>
      <c r="M78" s="100">
        <f t="shared" si="29"/>
        <v>1619.8436540990067</v>
      </c>
    </row>
    <row r="79" spans="1:22" x14ac:dyDescent="0.3">
      <c r="A79" s="27" t="s">
        <v>104</v>
      </c>
      <c r="E79" s="19">
        <f>2963-130-E$82/3</f>
        <v>2724</v>
      </c>
      <c r="F79" s="19">
        <f>3761-251-F$82/3</f>
        <v>3344.6666666666665</v>
      </c>
      <c r="G79" s="100">
        <f>4149-338-G$82/3</f>
        <v>3566.3333333333335</v>
      </c>
      <c r="H79" s="19">
        <f t="shared" ref="H79:M79" si="30">H50*H74</f>
        <v>2741.25</v>
      </c>
      <c r="I79" s="19">
        <f t="shared" si="30"/>
        <v>3518.5085937499998</v>
      </c>
      <c r="J79" s="19">
        <f t="shared" si="30"/>
        <v>4522.8697558593749</v>
      </c>
      <c r="K79" s="19">
        <f t="shared" si="30"/>
        <v>5699.5513183593748</v>
      </c>
      <c r="L79" s="100">
        <f t="shared" si="30"/>
        <v>7325.5321884155273</v>
      </c>
      <c r="M79" s="100">
        <f t="shared" si="30"/>
        <v>9435.4026671942138</v>
      </c>
    </row>
    <row r="80" spans="1:22" x14ac:dyDescent="0.3">
      <c r="A80" s="105" t="s">
        <v>105</v>
      </c>
      <c r="B80" s="38"/>
      <c r="C80" s="38"/>
      <c r="D80" s="38"/>
      <c r="E80" s="36">
        <f t="shared" ref="E80:K80" si="31">SUM(E78:E79)</f>
        <v>3320</v>
      </c>
      <c r="F80" s="36">
        <f t="shared" si="31"/>
        <v>4103.333333333333</v>
      </c>
      <c r="G80" s="106">
        <f t="shared" si="31"/>
        <v>4396.666666666667</v>
      </c>
      <c r="H80" s="36">
        <f t="shared" si="31"/>
        <v>3426.5625</v>
      </c>
      <c r="I80" s="36">
        <f t="shared" si="31"/>
        <v>4383.7156249999998</v>
      </c>
      <c r="J80" s="36">
        <f t="shared" si="31"/>
        <v>5442.1522265624999</v>
      </c>
      <c r="K80" s="36">
        <f t="shared" si="31"/>
        <v>6848.6544067382811</v>
      </c>
      <c r="L80" s="106">
        <f>SUM(L78:L79)</f>
        <v>8732.0343685913085</v>
      </c>
      <c r="M80" s="106">
        <f>SUM(M78:M79)</f>
        <v>11055.24632129322</v>
      </c>
    </row>
    <row r="81" spans="1:13" x14ac:dyDescent="0.3">
      <c r="A81" s="107"/>
      <c r="E81" s="108"/>
      <c r="F81" s="108"/>
      <c r="G81" s="109"/>
      <c r="H81" s="108"/>
      <c r="I81" s="108"/>
      <c r="J81" s="108"/>
      <c r="K81" s="108"/>
      <c r="L81" s="109"/>
      <c r="M81" s="109"/>
    </row>
    <row r="82" spans="1:13" x14ac:dyDescent="0.3">
      <c r="A82" s="27" t="s">
        <v>106</v>
      </c>
      <c r="E82" s="31">
        <v>327</v>
      </c>
      <c r="F82" s="31">
        <v>496</v>
      </c>
      <c r="G82" s="12">
        <v>734</v>
      </c>
      <c r="H82" s="19">
        <f t="shared" ref="H82:M82" si="32">H53*H74</f>
        <v>698.75</v>
      </c>
      <c r="I82" s="19">
        <f t="shared" si="32"/>
        <v>950.03124999999989</v>
      </c>
      <c r="J82" s="19">
        <f t="shared" si="32"/>
        <v>1297.810546875</v>
      </c>
      <c r="K82" s="19">
        <f t="shared" si="32"/>
        <v>1730.4140625</v>
      </c>
      <c r="L82" s="100">
        <f t="shared" si="32"/>
        <v>2344.1703002929689</v>
      </c>
      <c r="M82" s="100">
        <f t="shared" si="32"/>
        <v>3161.527327056885</v>
      </c>
    </row>
    <row r="83" spans="1:13" x14ac:dyDescent="0.3">
      <c r="A83" s="27" t="s">
        <v>82</v>
      </c>
      <c r="E83" s="31">
        <v>0</v>
      </c>
      <c r="F83" s="31">
        <v>0</v>
      </c>
      <c r="G83" s="12">
        <v>0</v>
      </c>
      <c r="H83" s="19">
        <f t="shared" ref="H83:M83" si="33">H61</f>
        <v>40</v>
      </c>
      <c r="I83" s="19">
        <f t="shared" si="33"/>
        <v>37</v>
      </c>
      <c r="J83" s="19">
        <f t="shared" si="33"/>
        <v>28</v>
      </c>
      <c r="K83" s="19">
        <f t="shared" si="33"/>
        <v>13</v>
      </c>
      <c r="L83" s="100">
        <f t="shared" si="33"/>
        <v>10</v>
      </c>
      <c r="M83" s="100">
        <f t="shared" si="33"/>
        <v>10</v>
      </c>
    </row>
    <row r="84" spans="1:13" x14ac:dyDescent="0.3">
      <c r="A84" s="27" t="s">
        <v>107</v>
      </c>
      <c r="E84" s="31">
        <v>242</v>
      </c>
      <c r="F84" s="31">
        <v>516</v>
      </c>
      <c r="G84" s="12">
        <v>710</v>
      </c>
      <c r="H84" s="19">
        <f t="shared" ref="H84:M84" si="34">H52*H74</f>
        <v>1236.25</v>
      </c>
      <c r="I84" s="19">
        <f t="shared" si="34"/>
        <v>1628.625</v>
      </c>
      <c r="J84" s="19">
        <f t="shared" si="34"/>
        <v>2163.017578125</v>
      </c>
      <c r="K84" s="19">
        <f t="shared" si="34"/>
        <v>2811.9228515625005</v>
      </c>
      <c r="L84" s="100">
        <f t="shared" si="34"/>
        <v>3723.0940063476569</v>
      </c>
      <c r="M84" s="100">
        <f t="shared" si="34"/>
        <v>4917.9313976440435</v>
      </c>
    </row>
    <row r="85" spans="1:13" x14ac:dyDescent="0.3">
      <c r="A85" s="107"/>
      <c r="E85" s="108"/>
      <c r="F85" s="108"/>
      <c r="G85" s="109"/>
      <c r="H85" s="108"/>
      <c r="I85" s="108"/>
      <c r="J85" s="108"/>
      <c r="K85" s="108"/>
      <c r="L85" s="109"/>
      <c r="M85" s="109"/>
    </row>
    <row r="86" spans="1:13" x14ac:dyDescent="0.3">
      <c r="A86" s="107" t="s">
        <v>108</v>
      </c>
      <c r="E86" s="102">
        <f t="shared" ref="E86:K86" si="35">E76-E80-E82-E83-E84</f>
        <v>4729</v>
      </c>
      <c r="F86" s="102">
        <f t="shared" si="35"/>
        <v>8636</v>
      </c>
      <c r="G86" s="103">
        <f t="shared" si="35"/>
        <v>11835</v>
      </c>
      <c r="H86" s="104">
        <f t="shared" si="35"/>
        <v>17442.187499999996</v>
      </c>
      <c r="I86" s="102">
        <f t="shared" si="35"/>
        <v>22264.983593749999</v>
      </c>
      <c r="J86" s="102">
        <f t="shared" si="35"/>
        <v>28705.525507812494</v>
      </c>
      <c r="K86" s="102">
        <f t="shared" si="35"/>
        <v>35912.018200683597</v>
      </c>
      <c r="L86" s="103">
        <f>L76-L80-L82-L83-L84</f>
        <v>46380.440780944817</v>
      </c>
      <c r="M86" s="103">
        <f>M76-M80-M82-M83-M84</f>
        <v>59476.332163663508</v>
      </c>
    </row>
    <row r="87" spans="1:13" x14ac:dyDescent="0.3">
      <c r="A87" s="27" t="s">
        <v>109</v>
      </c>
      <c r="E87" s="31">
        <v>647</v>
      </c>
      <c r="F87" s="31">
        <v>653</v>
      </c>
      <c r="G87" s="12">
        <v>407</v>
      </c>
      <c r="H87" s="28">
        <v>424.2536377320622</v>
      </c>
      <c r="I87" s="28">
        <v>567.64936072666785</v>
      </c>
      <c r="J87" s="28">
        <v>1443.0609523951889</v>
      </c>
      <c r="K87" s="28">
        <v>1779.7118389722609</v>
      </c>
      <c r="L87" s="110">
        <v>3222.902302564717</v>
      </c>
      <c r="M87" s="110">
        <v>3222.902302564717</v>
      </c>
    </row>
    <row r="88" spans="1:13" x14ac:dyDescent="0.3">
      <c r="A88" s="27" t="s">
        <v>110</v>
      </c>
      <c r="E88" s="31">
        <v>0</v>
      </c>
      <c r="F88" s="31">
        <v>0</v>
      </c>
      <c r="G88" s="12">
        <v>0</v>
      </c>
      <c r="H88" s="28">
        <f t="shared" ref="H88:M88" si="36">-AVERAGE(G132,H132)*H55</f>
        <v>0</v>
      </c>
      <c r="I88" s="28">
        <f t="shared" si="36"/>
        <v>0</v>
      </c>
      <c r="J88" s="28">
        <f t="shared" si="36"/>
        <v>0</v>
      </c>
      <c r="K88" s="28">
        <f t="shared" si="36"/>
        <v>0</v>
      </c>
      <c r="L88" s="110">
        <f t="shared" si="36"/>
        <v>0</v>
      </c>
      <c r="M88" s="110">
        <f t="shared" si="36"/>
        <v>0</v>
      </c>
    </row>
    <row r="89" spans="1:13" x14ac:dyDescent="0.3">
      <c r="A89" s="27" t="s">
        <v>111</v>
      </c>
      <c r="E89" s="31">
        <v>-48</v>
      </c>
      <c r="F89" s="31">
        <v>-33</v>
      </c>
      <c r="G89" s="12">
        <v>-81</v>
      </c>
      <c r="H89" s="31">
        <v>0</v>
      </c>
      <c r="I89" s="19">
        <f>H89</f>
        <v>0</v>
      </c>
      <c r="J89" s="19">
        <f>I89</f>
        <v>0</v>
      </c>
      <c r="K89" s="19">
        <f>J89</f>
        <v>0</v>
      </c>
      <c r="L89" s="100">
        <f>K89</f>
        <v>0</v>
      </c>
      <c r="M89" s="100">
        <f>L89</f>
        <v>0</v>
      </c>
    </row>
    <row r="90" spans="1:13" x14ac:dyDescent="0.3">
      <c r="A90" s="105" t="s">
        <v>112</v>
      </c>
      <c r="B90" s="38"/>
      <c r="C90" s="38"/>
      <c r="D90" s="38"/>
      <c r="E90" s="36">
        <f t="shared" ref="E90:L90" si="37">SUM(E86:E89)</f>
        <v>5328</v>
      </c>
      <c r="F90" s="36">
        <f t="shared" si="37"/>
        <v>9256</v>
      </c>
      <c r="G90" s="106">
        <f t="shared" si="37"/>
        <v>12161</v>
      </c>
      <c r="H90" s="36">
        <f>SUM(H86:H89)</f>
        <v>17866.441137732058</v>
      </c>
      <c r="I90" s="36">
        <f t="shared" si="37"/>
        <v>22832.632954476667</v>
      </c>
      <c r="J90" s="36">
        <f t="shared" si="37"/>
        <v>30148.586460207684</v>
      </c>
      <c r="K90" s="36">
        <f t="shared" si="37"/>
        <v>37691.730039655857</v>
      </c>
      <c r="L90" s="106">
        <f t="shared" si="37"/>
        <v>49603.343083509535</v>
      </c>
      <c r="M90" s="106">
        <f t="shared" ref="M90" si="38">SUM(M86:M89)</f>
        <v>62699.234466228227</v>
      </c>
    </row>
    <row r="91" spans="1:13" x14ac:dyDescent="0.3">
      <c r="A91" s="111" t="s">
        <v>113</v>
      </c>
      <c r="E91" s="31">
        <v>1511</v>
      </c>
      <c r="F91" s="31">
        <v>2828</v>
      </c>
      <c r="G91" s="12">
        <v>3831</v>
      </c>
      <c r="H91" s="28">
        <f t="shared" ref="H91:M91" si="39">H90*H56</f>
        <v>4466.6102844330144</v>
      </c>
      <c r="I91" s="28">
        <f t="shared" si="39"/>
        <v>5730.9908715736437</v>
      </c>
      <c r="J91" s="28">
        <f t="shared" si="39"/>
        <v>7597.4437879723364</v>
      </c>
      <c r="K91" s="28">
        <f t="shared" si="39"/>
        <v>9536.0077000329311</v>
      </c>
      <c r="L91" s="110">
        <f t="shared" si="39"/>
        <v>12599.249143211422</v>
      </c>
      <c r="M91" s="110">
        <f t="shared" si="39"/>
        <v>15988.304788888197</v>
      </c>
    </row>
    <row r="92" spans="1:13" x14ac:dyDescent="0.3">
      <c r="A92" s="27"/>
      <c r="G92" s="23"/>
      <c r="L92" s="23"/>
      <c r="M92" s="23"/>
    </row>
    <row r="93" spans="1:13" x14ac:dyDescent="0.3">
      <c r="A93" s="107" t="s">
        <v>114</v>
      </c>
      <c r="E93" s="102">
        <f t="shared" ref="E93:L93" si="40">E90-E91</f>
        <v>3817</v>
      </c>
      <c r="F93" s="102">
        <f t="shared" si="40"/>
        <v>6428</v>
      </c>
      <c r="G93" s="103">
        <f t="shared" si="40"/>
        <v>8330</v>
      </c>
      <c r="H93" s="102">
        <f>H90-H91</f>
        <v>13399.830853299043</v>
      </c>
      <c r="I93" s="102">
        <f t="shared" si="40"/>
        <v>17101.642082903025</v>
      </c>
      <c r="J93" s="102">
        <f t="shared" si="40"/>
        <v>22551.142672235346</v>
      </c>
      <c r="K93" s="102">
        <f t="shared" si="40"/>
        <v>28155.722339622924</v>
      </c>
      <c r="L93" s="102">
        <f t="shared" si="40"/>
        <v>37004.093940298117</v>
      </c>
      <c r="M93" s="102">
        <f t="shared" ref="M93" si="41">M90-M91</f>
        <v>46710.929677340027</v>
      </c>
    </row>
    <row r="94" spans="1:13" x14ac:dyDescent="0.3">
      <c r="A94" s="27"/>
      <c r="G94" s="23"/>
      <c r="L94" s="23"/>
      <c r="M94" s="23"/>
    </row>
    <row r="95" spans="1:13" x14ac:dyDescent="0.3">
      <c r="A95" s="107" t="s">
        <v>115</v>
      </c>
      <c r="E95" s="112">
        <f t="shared" ref="E95:L95" si="42">E93*Units/E96</f>
        <v>4.2921784970515873</v>
      </c>
      <c r="F95" s="112">
        <f t="shared" si="42"/>
        <v>7.1252877882454921</v>
      </c>
      <c r="G95" s="113">
        <f t="shared" si="42"/>
        <v>9.1840728551661783</v>
      </c>
      <c r="H95" s="112">
        <f>H93*Units/H96</f>
        <v>14.773712221320769</v>
      </c>
      <c r="I95" s="112">
        <f t="shared" si="42"/>
        <v>18.855069247581902</v>
      </c>
      <c r="J95" s="112">
        <f t="shared" si="42"/>
        <v>24.863305794604603</v>
      </c>
      <c r="K95" s="112">
        <f t="shared" si="42"/>
        <v>31.042521639487017</v>
      </c>
      <c r="L95" s="113">
        <f t="shared" si="42"/>
        <v>40.798114608296665</v>
      </c>
      <c r="M95" s="113">
        <f t="shared" ref="M95" si="43">M93*Units/M96</f>
        <v>51.500189830640437</v>
      </c>
    </row>
    <row r="96" spans="1:13" x14ac:dyDescent="0.3">
      <c r="A96" s="111" t="s">
        <v>39</v>
      </c>
      <c r="E96" s="17">
        <v>889292</v>
      </c>
      <c r="F96" s="17">
        <v>902139</v>
      </c>
      <c r="G96" s="114">
        <v>907005</v>
      </c>
      <c r="H96" s="21">
        <f t="shared" ref="H96:M96" si="44">G96</f>
        <v>907005</v>
      </c>
      <c r="I96" s="21">
        <f t="shared" si="44"/>
        <v>907005</v>
      </c>
      <c r="J96" s="21">
        <f t="shared" si="44"/>
        <v>907005</v>
      </c>
      <c r="K96" s="21">
        <f t="shared" si="44"/>
        <v>907005</v>
      </c>
      <c r="L96" s="115">
        <f t="shared" si="44"/>
        <v>907005</v>
      </c>
      <c r="M96" s="115">
        <f t="shared" si="44"/>
        <v>907005</v>
      </c>
    </row>
    <row r="97" spans="1:13" x14ac:dyDescent="0.3">
      <c r="A97" s="111"/>
      <c r="E97" s="17"/>
      <c r="F97" s="17"/>
      <c r="G97" s="114"/>
      <c r="H97" s="21"/>
      <c r="I97" s="21"/>
      <c r="J97" s="21"/>
      <c r="K97" s="21"/>
      <c r="L97" s="115"/>
      <c r="M97" s="115"/>
    </row>
    <row r="98" spans="1:13" x14ac:dyDescent="0.3">
      <c r="A98" s="101" t="s">
        <v>116</v>
      </c>
      <c r="E98" s="102">
        <f t="shared" ref="E98:L98" si="45">E86+E84</f>
        <v>4971</v>
      </c>
      <c r="F98" s="102">
        <f t="shared" si="45"/>
        <v>9152</v>
      </c>
      <c r="G98" s="103">
        <f t="shared" si="45"/>
        <v>12545</v>
      </c>
      <c r="H98" s="104">
        <f t="shared" si="45"/>
        <v>18678.437499999996</v>
      </c>
      <c r="I98" s="102">
        <f t="shared" si="45"/>
        <v>23893.608593749999</v>
      </c>
      <c r="J98" s="102">
        <f t="shared" si="45"/>
        <v>30868.543085937494</v>
      </c>
      <c r="K98" s="102">
        <f t="shared" si="45"/>
        <v>38723.941052246097</v>
      </c>
      <c r="L98" s="103">
        <f t="shared" si="45"/>
        <v>50103.534787292476</v>
      </c>
      <c r="M98" s="103">
        <f t="shared" ref="M98" si="46">M86+M84</f>
        <v>64394.263561307554</v>
      </c>
    </row>
    <row r="99" spans="1:13" ht="16.2" thickBot="1" x14ac:dyDescent="0.35">
      <c r="A99" s="101" t="s">
        <v>117</v>
      </c>
      <c r="D99" s="171" t="s">
        <v>118</v>
      </c>
      <c r="E99" s="102">
        <f t="shared" ref="E99:L99" si="47">E86+E84+E83+E82</f>
        <v>5298</v>
      </c>
      <c r="F99" s="102">
        <f t="shared" si="47"/>
        <v>9648</v>
      </c>
      <c r="G99" s="103">
        <f t="shared" si="47"/>
        <v>13279</v>
      </c>
      <c r="H99" s="104">
        <f t="shared" si="47"/>
        <v>19417.187499999996</v>
      </c>
      <c r="I99" s="102">
        <f t="shared" si="47"/>
        <v>24880.639843749999</v>
      </c>
      <c r="J99" s="102">
        <f t="shared" si="47"/>
        <v>32194.353632812494</v>
      </c>
      <c r="K99" s="102">
        <f t="shared" si="47"/>
        <v>40467.355114746097</v>
      </c>
      <c r="L99" s="103">
        <f t="shared" si="47"/>
        <v>52457.705087585447</v>
      </c>
      <c r="M99" s="103">
        <f t="shared" ref="M99" si="48">M86+M84+M83+M82</f>
        <v>67565.790888364441</v>
      </c>
    </row>
    <row r="100" spans="1:13" ht="21.6" thickBot="1" x14ac:dyDescent="0.45">
      <c r="A100" s="164" t="s">
        <v>119</v>
      </c>
      <c r="B100" s="165"/>
      <c r="C100" s="165"/>
      <c r="D100" s="170">
        <v>-50000</v>
      </c>
      <c r="E100" s="166">
        <f t="shared" ref="E100:L100" si="49">E165+E171</f>
        <v>5057</v>
      </c>
      <c r="F100" s="166">
        <f t="shared" si="49"/>
        <v>8814</v>
      </c>
      <c r="G100" s="167">
        <f t="shared" si="49"/>
        <v>10406</v>
      </c>
      <c r="H100" s="168">
        <f t="shared" si="49"/>
        <v>14115.421376858463</v>
      </c>
      <c r="I100" s="166">
        <f t="shared" si="49"/>
        <v>20163.592752828321</v>
      </c>
      <c r="J100" s="166">
        <f t="shared" si="49"/>
        <v>26558.770130735393</v>
      </c>
      <c r="K100" s="166">
        <f t="shared" si="49"/>
        <v>33265.549290648865</v>
      </c>
      <c r="L100" s="169">
        <f t="shared" si="49"/>
        <v>43972.525951848154</v>
      </c>
      <c r="M100" s="169">
        <f t="shared" ref="M100" si="50">M165+M171</f>
        <v>55891.956077965035</v>
      </c>
    </row>
    <row r="101" spans="1:13" x14ac:dyDescent="0.3">
      <c r="A101" s="116" t="s">
        <v>120</v>
      </c>
      <c r="B101" s="60"/>
      <c r="C101" s="60"/>
      <c r="D101" s="60"/>
      <c r="E101" s="117"/>
      <c r="F101" s="118">
        <f t="shared" ref="F101:L101" si="51">(F121-F118-F119-F134)*Units/F96</f>
        <v>24.512852232305665</v>
      </c>
      <c r="G101" s="119">
        <f t="shared" si="51"/>
        <v>35.003114646556526</v>
      </c>
      <c r="H101" s="118">
        <f t="shared" si="51"/>
        <v>51.396254129184044</v>
      </c>
      <c r="I101" s="118">
        <f t="shared" si="51"/>
        <v>72.087724499141231</v>
      </c>
      <c r="J101" s="118">
        <f t="shared" si="51"/>
        <v>99.36669236630884</v>
      </c>
      <c r="K101" s="118">
        <f t="shared" si="51"/>
        <v>133.52377550387195</v>
      </c>
      <c r="L101" s="119">
        <f t="shared" si="51"/>
        <v>178.43773733059368</v>
      </c>
      <c r="M101" s="119">
        <f t="shared" ref="M101" si="52">(M121-M118-M119-M134)*Units/M96</f>
        <v>235.3711181553787</v>
      </c>
    </row>
    <row r="102" spans="1:13" x14ac:dyDescent="0.3">
      <c r="D102" s="187" t="s">
        <v>89</v>
      </c>
      <c r="E102" s="187" t="s">
        <v>90</v>
      </c>
      <c r="F102" s="187" t="s">
        <v>91</v>
      </c>
      <c r="G102" s="187" t="s">
        <v>92</v>
      </c>
      <c r="H102" s="187" t="s">
        <v>93</v>
      </c>
      <c r="I102" s="187" t="s">
        <v>94</v>
      </c>
      <c r="J102" s="187" t="s">
        <v>95</v>
      </c>
      <c r="K102" s="187" t="s">
        <v>96</v>
      </c>
      <c r="L102" s="187" t="s">
        <v>97</v>
      </c>
      <c r="M102" s="187" t="s">
        <v>97</v>
      </c>
    </row>
    <row r="103" spans="1:13" x14ac:dyDescent="0.3">
      <c r="A103" s="2" t="s">
        <v>121</v>
      </c>
      <c r="B103" s="3"/>
      <c r="C103" s="3"/>
      <c r="D103" s="3"/>
      <c r="E103" s="3"/>
      <c r="F103" s="4"/>
      <c r="G103" s="4"/>
      <c r="H103" s="4"/>
      <c r="I103" s="4"/>
      <c r="J103" s="4"/>
      <c r="K103" s="4"/>
      <c r="L103" s="5"/>
      <c r="M103" s="5"/>
    </row>
    <row r="104" spans="1:13" x14ac:dyDescent="0.3">
      <c r="A104" s="7"/>
      <c r="D104" s="47"/>
      <c r="E104" s="47"/>
      <c r="F104" s="45" t="str">
        <f t="shared" ref="F104:M104" si="53">F$23</f>
        <v>FY 2018</v>
      </c>
      <c r="G104" s="46" t="str">
        <f t="shared" si="53"/>
        <v>FY 2019</v>
      </c>
      <c r="H104" s="45" t="str">
        <f t="shared" si="53"/>
        <v>FY 2020E</v>
      </c>
      <c r="I104" s="45" t="str">
        <f t="shared" si="53"/>
        <v>FY 2021E</v>
      </c>
      <c r="J104" s="45" t="str">
        <f t="shared" si="53"/>
        <v>FY 2022E</v>
      </c>
      <c r="K104" s="45" t="str">
        <f t="shared" si="53"/>
        <v>FY 2023E</v>
      </c>
      <c r="L104" s="46" t="str">
        <f t="shared" si="53"/>
        <v>FY 2024E</v>
      </c>
      <c r="M104" s="46" t="str">
        <f t="shared" si="53"/>
        <v>FY 2025E</v>
      </c>
    </row>
    <row r="105" spans="1:13" x14ac:dyDescent="0.3">
      <c r="A105" s="120" t="s">
        <v>122</v>
      </c>
      <c r="B105" s="121"/>
      <c r="C105" s="121"/>
      <c r="D105" s="122"/>
      <c r="E105" s="122"/>
      <c r="F105" s="122"/>
      <c r="G105" s="123"/>
      <c r="H105" s="38"/>
      <c r="L105" s="124"/>
      <c r="M105" s="124"/>
    </row>
    <row r="106" spans="1:13" x14ac:dyDescent="0.3">
      <c r="A106" s="9" t="s">
        <v>123</v>
      </c>
      <c r="B106" s="125"/>
      <c r="C106" s="125"/>
      <c r="D106" s="125"/>
      <c r="F106" s="125"/>
      <c r="G106" s="126"/>
      <c r="L106" s="23"/>
      <c r="M106" s="23"/>
    </row>
    <row r="107" spans="1:13" x14ac:dyDescent="0.3">
      <c r="A107" s="27" t="s">
        <v>124</v>
      </c>
      <c r="B107" s="127"/>
      <c r="C107" s="127"/>
      <c r="D107" s="31"/>
      <c r="F107" s="19">
        <f t="shared" ref="F107:L107" si="54">F186</f>
        <v>12184</v>
      </c>
      <c r="G107" s="100">
        <f t="shared" si="54"/>
        <v>6963</v>
      </c>
      <c r="H107" s="19">
        <v>21271</v>
      </c>
      <c r="I107" s="19">
        <f t="shared" si="54"/>
        <v>41434.592752828321</v>
      </c>
      <c r="J107" s="19">
        <f t="shared" si="54"/>
        <v>67993.362883563706</v>
      </c>
      <c r="K107" s="19">
        <f t="shared" si="54"/>
        <v>101258.91217421257</v>
      </c>
      <c r="L107" s="100">
        <f t="shared" si="54"/>
        <v>145231.43812606073</v>
      </c>
      <c r="M107" s="100">
        <f t="shared" ref="M107" si="55">M186</f>
        <v>201123.39420402577</v>
      </c>
    </row>
    <row r="108" spans="1:13" x14ac:dyDescent="0.3">
      <c r="A108" s="27" t="s">
        <v>125</v>
      </c>
      <c r="B108" s="102"/>
      <c r="C108" s="98"/>
      <c r="D108" s="31"/>
      <c r="F108" s="31">
        <v>10236</v>
      </c>
      <c r="G108" s="100">
        <f t="shared" ref="G108:M108" si="56">F108-G168-G169</f>
        <v>26282</v>
      </c>
      <c r="H108" s="19">
        <f t="shared" si="56"/>
        <v>26282</v>
      </c>
      <c r="I108" s="19">
        <f t="shared" si="56"/>
        <v>26282</v>
      </c>
      <c r="J108" s="19">
        <f t="shared" si="56"/>
        <v>26282</v>
      </c>
      <c r="K108" s="19">
        <f t="shared" si="56"/>
        <v>26282</v>
      </c>
      <c r="L108" s="100">
        <f t="shared" si="56"/>
        <v>26282</v>
      </c>
      <c r="M108" s="100">
        <f t="shared" si="56"/>
        <v>26282</v>
      </c>
    </row>
    <row r="109" spans="1:13" x14ac:dyDescent="0.3">
      <c r="A109" s="27" t="s">
        <v>126</v>
      </c>
      <c r="D109" s="31"/>
      <c r="F109" s="31">
        <v>2422</v>
      </c>
      <c r="G109" s="12">
        <v>3361</v>
      </c>
      <c r="H109" s="19">
        <f t="shared" ref="H109:M109" si="57">H58*H74</f>
        <v>4201.25</v>
      </c>
      <c r="I109" s="19">
        <f t="shared" si="57"/>
        <v>5304.078125</v>
      </c>
      <c r="J109" s="19">
        <f t="shared" si="57"/>
        <v>6762.6996093749995</v>
      </c>
      <c r="K109" s="19">
        <f t="shared" si="57"/>
        <v>8453.37451171875</v>
      </c>
      <c r="L109" s="100">
        <f t="shared" si="57"/>
        <v>10778.052502441406</v>
      </c>
      <c r="M109" s="100">
        <f t="shared" si="57"/>
        <v>13728.54437498474</v>
      </c>
    </row>
    <row r="110" spans="1:13" x14ac:dyDescent="0.3">
      <c r="A110" s="27" t="s">
        <v>127</v>
      </c>
      <c r="B110" s="127"/>
      <c r="C110" s="127"/>
      <c r="D110" s="31"/>
      <c r="F110" s="31">
        <v>509</v>
      </c>
      <c r="G110" s="12">
        <v>455</v>
      </c>
      <c r="H110" s="19">
        <f t="shared" ref="H110:M110" si="58">H60*H75</f>
        <v>555.28979045187111</v>
      </c>
      <c r="I110" s="19">
        <f t="shared" si="58"/>
        <v>693.43321522325368</v>
      </c>
      <c r="J110" s="19">
        <f t="shared" si="58"/>
        <v>878.29793831463985</v>
      </c>
      <c r="K110" s="19">
        <f t="shared" si="58"/>
        <v>1093.0145803141259</v>
      </c>
      <c r="L110" s="100">
        <f t="shared" si="58"/>
        <v>1378.1092166793935</v>
      </c>
      <c r="M110" s="100">
        <f t="shared" si="58"/>
        <v>1743.1382181033314</v>
      </c>
    </row>
    <row r="111" spans="1:13" x14ac:dyDescent="0.3">
      <c r="A111" s="27" t="s">
        <v>128</v>
      </c>
      <c r="B111" s="127"/>
      <c r="C111" s="127"/>
      <c r="D111" s="31"/>
      <c r="F111" s="31">
        <v>1044</v>
      </c>
      <c r="G111" s="100">
        <f t="shared" ref="G111:M111" si="59">F111-G155</f>
        <v>4</v>
      </c>
      <c r="H111" s="19">
        <f t="shared" si="59"/>
        <v>4</v>
      </c>
      <c r="I111" s="19">
        <f t="shared" si="59"/>
        <v>4</v>
      </c>
      <c r="J111" s="19">
        <f t="shared" si="59"/>
        <v>4</v>
      </c>
      <c r="K111" s="19">
        <f t="shared" si="59"/>
        <v>4</v>
      </c>
      <c r="L111" s="100">
        <f t="shared" si="59"/>
        <v>4</v>
      </c>
      <c r="M111" s="100">
        <f t="shared" si="59"/>
        <v>4</v>
      </c>
    </row>
    <row r="112" spans="1:13" x14ac:dyDescent="0.3">
      <c r="A112" s="27" t="s">
        <v>129</v>
      </c>
      <c r="B112" s="102"/>
      <c r="C112" s="98"/>
      <c r="D112" s="31"/>
      <c r="F112" s="31">
        <v>3920</v>
      </c>
      <c r="G112" s="12">
        <v>3140</v>
      </c>
      <c r="H112" s="19">
        <f t="shared" ref="H112:M112" si="60">G112</f>
        <v>3140</v>
      </c>
      <c r="I112" s="19">
        <f t="shared" si="60"/>
        <v>3140</v>
      </c>
      <c r="J112" s="19">
        <f t="shared" si="60"/>
        <v>3140</v>
      </c>
      <c r="K112" s="19">
        <f t="shared" si="60"/>
        <v>3140</v>
      </c>
      <c r="L112" s="100">
        <f t="shared" si="60"/>
        <v>3140</v>
      </c>
      <c r="M112" s="100">
        <f t="shared" si="60"/>
        <v>3140</v>
      </c>
    </row>
    <row r="113" spans="1:13" x14ac:dyDescent="0.3">
      <c r="A113" s="128" t="s">
        <v>130</v>
      </c>
      <c r="B113" s="129"/>
      <c r="C113" s="130"/>
      <c r="D113" s="131"/>
      <c r="E113" s="38"/>
      <c r="F113" s="131">
        <f t="shared" ref="F113:L113" si="61">SUM(F107:F112)</f>
        <v>30315</v>
      </c>
      <c r="G113" s="132">
        <f t="shared" si="61"/>
        <v>40205</v>
      </c>
      <c r="H113" s="131">
        <f t="shared" si="61"/>
        <v>55453.539790451869</v>
      </c>
      <c r="I113" s="131">
        <f t="shared" si="61"/>
        <v>76858.104093051574</v>
      </c>
      <c r="J113" s="131">
        <f t="shared" si="61"/>
        <v>105060.36043125336</v>
      </c>
      <c r="K113" s="131">
        <f t="shared" si="61"/>
        <v>140231.30126624546</v>
      </c>
      <c r="L113" s="132">
        <f t="shared" si="61"/>
        <v>186813.59984518151</v>
      </c>
      <c r="M113" s="132">
        <f t="shared" ref="M113" si="62">SUM(M107:M112)</f>
        <v>246021.07679711384</v>
      </c>
    </row>
    <row r="114" spans="1:13" x14ac:dyDescent="0.3">
      <c r="A114" s="7"/>
      <c r="B114" s="102"/>
      <c r="C114" s="98"/>
      <c r="D114" s="98"/>
      <c r="F114" s="98"/>
      <c r="G114" s="99"/>
      <c r="H114" s="98"/>
      <c r="I114" s="98"/>
      <c r="J114" s="98"/>
      <c r="K114" s="98"/>
      <c r="L114" s="99"/>
      <c r="M114" s="99"/>
    </row>
    <row r="115" spans="1:13" x14ac:dyDescent="0.3">
      <c r="A115" s="9" t="s">
        <v>131</v>
      </c>
      <c r="B115" s="102"/>
      <c r="C115" s="98"/>
      <c r="D115" s="98"/>
      <c r="F115" s="98"/>
      <c r="G115" s="99"/>
      <c r="H115" s="98"/>
      <c r="I115" s="98"/>
      <c r="J115" s="98"/>
      <c r="K115" s="98"/>
      <c r="L115" s="99"/>
      <c r="M115" s="99"/>
    </row>
    <row r="116" spans="1:13" x14ac:dyDescent="0.3">
      <c r="A116" s="27" t="s">
        <v>132</v>
      </c>
      <c r="B116" s="133"/>
      <c r="C116" s="19"/>
      <c r="D116" s="31"/>
      <c r="F116" s="31">
        <v>2379</v>
      </c>
      <c r="G116" s="100">
        <f t="shared" ref="G116:M116" si="63">F116-G170-G173</f>
        <v>2554</v>
      </c>
      <c r="H116" s="19">
        <f t="shared" si="63"/>
        <v>2554</v>
      </c>
      <c r="I116" s="19">
        <f t="shared" si="63"/>
        <v>2554</v>
      </c>
      <c r="J116" s="19">
        <f t="shared" si="63"/>
        <v>2554</v>
      </c>
      <c r="K116" s="19">
        <f t="shared" si="63"/>
        <v>2554</v>
      </c>
      <c r="L116" s="100">
        <f t="shared" si="63"/>
        <v>2554</v>
      </c>
      <c r="M116" s="100">
        <f t="shared" si="63"/>
        <v>2554</v>
      </c>
    </row>
    <row r="117" spans="1:13" x14ac:dyDescent="0.3">
      <c r="A117" s="27" t="s">
        <v>133</v>
      </c>
      <c r="B117" s="102"/>
      <c r="C117" s="98"/>
      <c r="D117" s="31"/>
      <c r="F117" s="31">
        <v>2455</v>
      </c>
      <c r="G117" s="100">
        <f t="shared" ref="G117:M117" si="64">F117-G171-G152-G156</f>
        <v>2839</v>
      </c>
      <c r="H117" s="19">
        <f t="shared" si="64"/>
        <v>3570.25</v>
      </c>
      <c r="I117" s="19">
        <f t="shared" si="64"/>
        <v>4425.59375</v>
      </c>
      <c r="J117" s="19">
        <f t="shared" si="64"/>
        <v>5429.6363281249996</v>
      </c>
      <c r="K117" s="19">
        <f t="shared" si="64"/>
        <v>6576.5386718749996</v>
      </c>
      <c r="L117" s="100">
        <f t="shared" si="64"/>
        <v>7900.9467895507796</v>
      </c>
      <c r="M117" s="100">
        <f t="shared" si="64"/>
        <v>9412.2712223815888</v>
      </c>
    </row>
    <row r="118" spans="1:13" x14ac:dyDescent="0.3">
      <c r="A118" s="27" t="s">
        <v>134</v>
      </c>
      <c r="B118" s="134"/>
      <c r="C118" s="135"/>
      <c r="D118" s="31"/>
      <c r="F118" s="31">
        <v>207</v>
      </c>
      <c r="G118" s="100">
        <f t="shared" ref="G118:M118" si="65">F118</f>
        <v>207</v>
      </c>
      <c r="H118" s="19">
        <f t="shared" si="65"/>
        <v>207</v>
      </c>
      <c r="I118" s="19">
        <f t="shared" si="65"/>
        <v>207</v>
      </c>
      <c r="J118" s="19">
        <f t="shared" si="65"/>
        <v>207</v>
      </c>
      <c r="K118" s="19">
        <f t="shared" si="65"/>
        <v>207</v>
      </c>
      <c r="L118" s="100">
        <f t="shared" si="65"/>
        <v>207</v>
      </c>
      <c r="M118" s="100">
        <f t="shared" si="65"/>
        <v>207</v>
      </c>
    </row>
    <row r="119" spans="1:13" x14ac:dyDescent="0.3">
      <c r="A119" s="136" t="s">
        <v>135</v>
      </c>
      <c r="B119" s="137"/>
      <c r="C119" s="138"/>
      <c r="D119" s="31"/>
      <c r="F119" s="31">
        <v>285</v>
      </c>
      <c r="G119" s="100">
        <f t="shared" ref="G119:M119" si="66">F119-G153-G172</f>
        <v>354</v>
      </c>
      <c r="H119" s="19">
        <f t="shared" si="66"/>
        <v>314</v>
      </c>
      <c r="I119" s="19">
        <f t="shared" si="66"/>
        <v>277</v>
      </c>
      <c r="J119" s="19">
        <f t="shared" si="66"/>
        <v>249</v>
      </c>
      <c r="K119" s="19">
        <f t="shared" si="66"/>
        <v>236</v>
      </c>
      <c r="L119" s="100">
        <f t="shared" si="66"/>
        <v>226</v>
      </c>
      <c r="M119" s="100">
        <f t="shared" si="66"/>
        <v>216</v>
      </c>
    </row>
    <row r="120" spans="1:13" x14ac:dyDescent="0.3">
      <c r="A120" s="136" t="s">
        <v>136</v>
      </c>
      <c r="B120" s="137"/>
      <c r="C120" s="138"/>
      <c r="D120" s="31"/>
      <c r="F120" s="31">
        <v>839</v>
      </c>
      <c r="G120" s="12">
        <v>2011</v>
      </c>
      <c r="H120" s="19">
        <f t="shared" ref="H120:M120" si="67">G120</f>
        <v>2011</v>
      </c>
      <c r="I120" s="19">
        <f t="shared" si="67"/>
        <v>2011</v>
      </c>
      <c r="J120" s="19">
        <f t="shared" si="67"/>
        <v>2011</v>
      </c>
      <c r="K120" s="19">
        <f t="shared" si="67"/>
        <v>2011</v>
      </c>
      <c r="L120" s="100">
        <f t="shared" si="67"/>
        <v>2011</v>
      </c>
      <c r="M120" s="100">
        <f t="shared" si="67"/>
        <v>2011</v>
      </c>
    </row>
    <row r="121" spans="1:13" x14ac:dyDescent="0.3">
      <c r="A121" s="128" t="s">
        <v>137</v>
      </c>
      <c r="B121" s="129"/>
      <c r="C121" s="130"/>
      <c r="D121" s="131"/>
      <c r="E121" s="38"/>
      <c r="F121" s="131">
        <f t="shared" ref="F121:L121" si="68">SUM(F116:F120)+F113</f>
        <v>36480</v>
      </c>
      <c r="G121" s="132">
        <f t="shared" si="68"/>
        <v>48170</v>
      </c>
      <c r="H121" s="131">
        <f t="shared" si="68"/>
        <v>64109.789790451869</v>
      </c>
      <c r="I121" s="131">
        <f t="shared" si="68"/>
        <v>86332.697843051574</v>
      </c>
      <c r="J121" s="131">
        <f t="shared" si="68"/>
        <v>115510.99675937835</v>
      </c>
      <c r="K121" s="131">
        <f t="shared" si="68"/>
        <v>151815.83993812045</v>
      </c>
      <c r="L121" s="132">
        <f t="shared" si="68"/>
        <v>199712.54663473228</v>
      </c>
      <c r="M121" s="132">
        <f t="shared" ref="M121" si="69">SUM(M116:M120)+M113</f>
        <v>260421.34801949543</v>
      </c>
    </row>
    <row r="122" spans="1:13" x14ac:dyDescent="0.3">
      <c r="A122" s="139"/>
      <c r="B122" s="137"/>
      <c r="C122" s="138"/>
      <c r="D122" s="138"/>
      <c r="F122" s="138"/>
      <c r="G122" s="140"/>
      <c r="H122" s="138"/>
      <c r="I122" s="138"/>
      <c r="J122" s="138"/>
      <c r="K122" s="138"/>
      <c r="L122" s="140"/>
      <c r="M122" s="140"/>
    </row>
    <row r="123" spans="1:13" x14ac:dyDescent="0.3">
      <c r="A123" s="141" t="s">
        <v>138</v>
      </c>
      <c r="B123" s="142"/>
      <c r="C123" s="143"/>
      <c r="D123" s="143"/>
      <c r="F123" s="144"/>
      <c r="G123" s="145"/>
      <c r="H123" s="144"/>
      <c r="I123" s="144"/>
      <c r="J123" s="144"/>
      <c r="K123" s="144"/>
      <c r="L123" s="145"/>
      <c r="M123" s="145"/>
    </row>
    <row r="124" spans="1:13" x14ac:dyDescent="0.3">
      <c r="A124" s="9" t="s">
        <v>139</v>
      </c>
      <c r="B124" s="102"/>
      <c r="C124" s="98"/>
      <c r="D124" s="98"/>
      <c r="F124" s="98"/>
      <c r="G124" s="99"/>
      <c r="H124" s="98"/>
      <c r="I124" s="98"/>
      <c r="J124" s="98"/>
      <c r="K124" s="98"/>
      <c r="L124" s="99"/>
      <c r="M124" s="99"/>
    </row>
    <row r="125" spans="1:13" x14ac:dyDescent="0.3">
      <c r="A125" s="27" t="s">
        <v>140</v>
      </c>
      <c r="B125" s="102"/>
      <c r="C125" s="98"/>
      <c r="D125" s="31"/>
      <c r="F125" s="31">
        <v>5520</v>
      </c>
      <c r="G125" s="12">
        <v>5601</v>
      </c>
      <c r="H125" s="19">
        <f t="shared" ref="H125:M125" si="70">H63*H75</f>
        <v>6835.55629960644</v>
      </c>
      <c r="I125" s="19">
        <f t="shared" si="70"/>
        <v>8536.0866779460302</v>
      </c>
      <c r="J125" s="19">
        <f t="shared" si="70"/>
        <v>10811.751104396259</v>
      </c>
      <c r="K125" s="19">
        <f t="shared" si="70"/>
        <v>13454.889372174546</v>
      </c>
      <c r="L125" s="100">
        <f t="shared" si="70"/>
        <v>16964.373016750073</v>
      </c>
      <c r="M125" s="100">
        <f t="shared" si="70"/>
        <v>21457.839911201667</v>
      </c>
    </row>
    <row r="126" spans="1:13" x14ac:dyDescent="0.3">
      <c r="A126" s="27" t="s">
        <v>141</v>
      </c>
      <c r="B126" s="102"/>
      <c r="C126" s="98"/>
      <c r="D126" s="31"/>
      <c r="F126" s="31">
        <v>4224</v>
      </c>
      <c r="G126" s="12">
        <v>3852</v>
      </c>
      <c r="H126" s="19">
        <f t="shared" ref="H126:M126" si="71">H65*H80</f>
        <v>3002.0740144048518</v>
      </c>
      <c r="I126" s="19">
        <f t="shared" si="71"/>
        <v>3840.6533557619405</v>
      </c>
      <c r="J126" s="19">
        <f t="shared" si="71"/>
        <v>4767.9690015281458</v>
      </c>
      <c r="K126" s="19">
        <f t="shared" si="71"/>
        <v>6000.2312603690352</v>
      </c>
      <c r="L126" s="100">
        <f t="shared" si="71"/>
        <v>7650.2948569705195</v>
      </c>
      <c r="M126" s="100">
        <f t="shared" si="71"/>
        <v>9685.7032971087519</v>
      </c>
    </row>
    <row r="127" spans="1:13" x14ac:dyDescent="0.3">
      <c r="A127" s="27" t="s">
        <v>142</v>
      </c>
      <c r="D127" s="31"/>
      <c r="F127" s="31">
        <v>1617</v>
      </c>
      <c r="G127" s="12">
        <v>2053</v>
      </c>
      <c r="H127" s="19">
        <f t="shared" ref="H127:M127" si="72">H66*H74</f>
        <v>2566.25</v>
      </c>
      <c r="I127" s="19">
        <f t="shared" si="72"/>
        <v>3239.890625</v>
      </c>
      <c r="J127" s="19">
        <f t="shared" si="72"/>
        <v>4130.8605468750002</v>
      </c>
      <c r="K127" s="19">
        <f t="shared" si="72"/>
        <v>5163.57568359375</v>
      </c>
      <c r="L127" s="100">
        <f t="shared" si="72"/>
        <v>6583.5589965820318</v>
      </c>
      <c r="M127" s="100">
        <f t="shared" si="72"/>
        <v>8385.8082718963633</v>
      </c>
    </row>
    <row r="128" spans="1:13" x14ac:dyDescent="0.3">
      <c r="A128" s="128" t="s">
        <v>143</v>
      </c>
      <c r="B128" s="38"/>
      <c r="C128" s="38"/>
      <c r="D128" s="131"/>
      <c r="E128" s="38"/>
      <c r="F128" s="131">
        <f t="shared" ref="F128:L128" si="73">SUM(F125:F127)</f>
        <v>11361</v>
      </c>
      <c r="G128" s="132">
        <f t="shared" si="73"/>
        <v>11506</v>
      </c>
      <c r="H128" s="131">
        <f t="shared" si="73"/>
        <v>12403.880314011292</v>
      </c>
      <c r="I128" s="131">
        <f t="shared" si="73"/>
        <v>15616.630658707971</v>
      </c>
      <c r="J128" s="131">
        <f t="shared" si="73"/>
        <v>19710.580652799403</v>
      </c>
      <c r="K128" s="131">
        <f t="shared" si="73"/>
        <v>24618.696316137331</v>
      </c>
      <c r="L128" s="132">
        <f t="shared" si="73"/>
        <v>31198.226870302624</v>
      </c>
      <c r="M128" s="132">
        <f t="shared" ref="M128" si="74">SUM(M125:M127)</f>
        <v>39529.35148020678</v>
      </c>
    </row>
    <row r="129" spans="1:13" x14ac:dyDescent="0.3">
      <c r="A129" s="7"/>
      <c r="G129" s="23"/>
      <c r="L129" s="23"/>
      <c r="M129" s="23"/>
    </row>
    <row r="130" spans="1:13" x14ac:dyDescent="0.3">
      <c r="A130" s="9" t="s">
        <v>144</v>
      </c>
      <c r="G130" s="23"/>
      <c r="L130" s="23"/>
      <c r="M130" s="23"/>
    </row>
    <row r="131" spans="1:13" x14ac:dyDescent="0.3">
      <c r="A131" s="27" t="s">
        <v>142</v>
      </c>
      <c r="D131" s="31"/>
      <c r="F131" s="31">
        <v>768</v>
      </c>
      <c r="G131" s="12">
        <v>853</v>
      </c>
      <c r="H131" s="19">
        <f t="shared" ref="H131:M131" si="75">H67*H74</f>
        <v>1066.25</v>
      </c>
      <c r="I131" s="19">
        <f t="shared" si="75"/>
        <v>1346.140625</v>
      </c>
      <c r="J131" s="19">
        <f t="shared" si="75"/>
        <v>1716.3292968750002</v>
      </c>
      <c r="K131" s="19">
        <f t="shared" si="75"/>
        <v>2145.41162109375</v>
      </c>
      <c r="L131" s="100">
        <f t="shared" si="75"/>
        <v>2735.3998168945313</v>
      </c>
      <c r="M131" s="100">
        <f t="shared" si="75"/>
        <v>3484.2155167694095</v>
      </c>
    </row>
    <row r="132" spans="1:13" x14ac:dyDescent="0.3">
      <c r="A132" s="27" t="s">
        <v>145</v>
      </c>
      <c r="D132" s="31"/>
      <c r="F132" s="31">
        <v>0</v>
      </c>
      <c r="G132" s="12">
        <v>0</v>
      </c>
      <c r="H132" s="19">
        <f t="shared" ref="H132:M132" si="76">G132+H181</f>
        <v>0</v>
      </c>
      <c r="I132" s="19">
        <f t="shared" si="76"/>
        <v>0</v>
      </c>
      <c r="J132" s="19">
        <f t="shared" si="76"/>
        <v>0</v>
      </c>
      <c r="K132" s="19">
        <f t="shared" si="76"/>
        <v>0</v>
      </c>
      <c r="L132" s="100">
        <f t="shared" si="76"/>
        <v>0</v>
      </c>
      <c r="M132" s="100">
        <f t="shared" si="76"/>
        <v>0</v>
      </c>
    </row>
    <row r="133" spans="1:13" x14ac:dyDescent="0.3">
      <c r="A133" s="27" t="s">
        <v>146</v>
      </c>
      <c r="D133" s="31"/>
      <c r="F133" s="31">
        <v>1745</v>
      </c>
      <c r="G133" s="12">
        <v>3502</v>
      </c>
      <c r="H133" s="19">
        <f t="shared" ref="H133:M133" si="77">G133</f>
        <v>3502</v>
      </c>
      <c r="I133" s="19">
        <f t="shared" si="77"/>
        <v>3502</v>
      </c>
      <c r="J133" s="19">
        <f t="shared" si="77"/>
        <v>3502</v>
      </c>
      <c r="K133" s="19">
        <f t="shared" si="77"/>
        <v>3502</v>
      </c>
      <c r="L133" s="100">
        <f t="shared" si="77"/>
        <v>3502</v>
      </c>
      <c r="M133" s="100">
        <f t="shared" si="77"/>
        <v>3502</v>
      </c>
    </row>
    <row r="134" spans="1:13" x14ac:dyDescent="0.3">
      <c r="A134" s="128" t="s">
        <v>147</v>
      </c>
      <c r="B134" s="38"/>
      <c r="C134" s="38"/>
      <c r="D134" s="131"/>
      <c r="E134" s="38"/>
      <c r="F134" s="131">
        <f t="shared" ref="F134:L134" si="78">SUM(F131:F133)+F128</f>
        <v>13874</v>
      </c>
      <c r="G134" s="132">
        <f t="shared" si="78"/>
        <v>15861</v>
      </c>
      <c r="H134" s="131">
        <f t="shared" si="78"/>
        <v>16972.130314011294</v>
      </c>
      <c r="I134" s="131">
        <f t="shared" si="78"/>
        <v>20464.771283707971</v>
      </c>
      <c r="J134" s="131">
        <f t="shared" si="78"/>
        <v>24928.909949674402</v>
      </c>
      <c r="K134" s="131">
        <f>SUM(K131:K133)+K128</f>
        <v>30266.107937231081</v>
      </c>
      <c r="L134" s="132">
        <f t="shared" si="78"/>
        <v>37435.626687197153</v>
      </c>
      <c r="M134" s="132">
        <f t="shared" ref="M134" si="79">SUM(M131:M133)+M128</f>
        <v>46515.566996976188</v>
      </c>
    </row>
    <row r="135" spans="1:13" x14ac:dyDescent="0.3">
      <c r="A135" s="7"/>
      <c r="G135" s="23"/>
      <c r="L135" s="23"/>
      <c r="M135" s="23"/>
    </row>
    <row r="136" spans="1:13" x14ac:dyDescent="0.3">
      <c r="A136" s="9" t="s">
        <v>148</v>
      </c>
      <c r="G136" s="23"/>
      <c r="L136" s="23"/>
      <c r="M136" s="23"/>
    </row>
    <row r="137" spans="1:13" x14ac:dyDescent="0.3">
      <c r="A137" s="27" t="s">
        <v>149</v>
      </c>
      <c r="D137" s="31"/>
      <c r="F137" s="31">
        <v>7177</v>
      </c>
      <c r="G137" s="100">
        <f t="shared" ref="G137:M137" si="80">F137</f>
        <v>7177</v>
      </c>
      <c r="H137" s="19">
        <f t="shared" si="80"/>
        <v>7177</v>
      </c>
      <c r="I137" s="19">
        <f t="shared" si="80"/>
        <v>7177</v>
      </c>
      <c r="J137" s="19">
        <f t="shared" si="80"/>
        <v>7177</v>
      </c>
      <c r="K137" s="19">
        <f t="shared" si="80"/>
        <v>7177</v>
      </c>
      <c r="L137" s="100">
        <f t="shared" si="80"/>
        <v>7177</v>
      </c>
      <c r="M137" s="100">
        <f t="shared" si="80"/>
        <v>7177</v>
      </c>
    </row>
    <row r="138" spans="1:13" x14ac:dyDescent="0.3">
      <c r="A138" s="27" t="s">
        <v>150</v>
      </c>
      <c r="D138" s="31"/>
      <c r="F138" s="31">
        <v>0</v>
      </c>
      <c r="G138" s="100">
        <f t="shared" ref="G138:M138" si="81">F138+G177+G154</f>
        <v>1185</v>
      </c>
      <c r="H138" s="19">
        <f t="shared" si="81"/>
        <v>2421.25</v>
      </c>
      <c r="I138" s="19">
        <f t="shared" si="81"/>
        <v>4049.875</v>
      </c>
      <c r="J138" s="19">
        <f t="shared" si="81"/>
        <v>6212.892578125</v>
      </c>
      <c r="K138" s="19">
        <f t="shared" si="81"/>
        <v>9024.8154296875</v>
      </c>
      <c r="L138" s="100">
        <f t="shared" si="81"/>
        <v>12747.909436035157</v>
      </c>
      <c r="M138" s="100">
        <f t="shared" si="81"/>
        <v>17665.840833679202</v>
      </c>
    </row>
    <row r="139" spans="1:13" x14ac:dyDescent="0.3">
      <c r="A139" s="27" t="s">
        <v>151</v>
      </c>
      <c r="D139" s="31"/>
      <c r="F139" s="31">
        <v>309</v>
      </c>
      <c r="G139" s="100">
        <f t="shared" ref="G139:M139" si="82">F139+G178</f>
        <v>309</v>
      </c>
      <c r="H139" s="19">
        <f t="shared" si="82"/>
        <v>309</v>
      </c>
      <c r="I139" s="19">
        <f t="shared" si="82"/>
        <v>309</v>
      </c>
      <c r="J139" s="19">
        <f t="shared" si="82"/>
        <v>309</v>
      </c>
      <c r="K139" s="19">
        <f t="shared" si="82"/>
        <v>309</v>
      </c>
      <c r="L139" s="100">
        <f t="shared" si="82"/>
        <v>309</v>
      </c>
      <c r="M139" s="100">
        <f t="shared" si="82"/>
        <v>309</v>
      </c>
    </row>
    <row r="140" spans="1:13" x14ac:dyDescent="0.3">
      <c r="A140" s="27" t="s">
        <v>152</v>
      </c>
      <c r="D140" s="31"/>
      <c r="F140" s="31">
        <v>15129</v>
      </c>
      <c r="G140" s="100">
        <f t="shared" ref="G140:M140" si="83">F140+G93-G179</f>
        <v>23459</v>
      </c>
      <c r="H140" s="19">
        <f t="shared" si="83"/>
        <v>36858.830853299041</v>
      </c>
      <c r="I140" s="19">
        <f t="shared" si="83"/>
        <v>53960.472936202066</v>
      </c>
      <c r="J140" s="19">
        <f t="shared" si="83"/>
        <v>76511.615608437409</v>
      </c>
      <c r="K140" s="19">
        <f t="shared" si="83"/>
        <v>104667.33794806033</v>
      </c>
      <c r="L140" s="100">
        <f t="shared" si="83"/>
        <v>141671.43188835843</v>
      </c>
      <c r="M140" s="100">
        <f t="shared" si="83"/>
        <v>188382.36156569846</v>
      </c>
    </row>
    <row r="141" spans="1:13" x14ac:dyDescent="0.3">
      <c r="A141" s="27" t="s">
        <v>153</v>
      </c>
      <c r="D141" s="31"/>
      <c r="F141" s="31">
        <v>-9</v>
      </c>
      <c r="G141" s="100">
        <f t="shared" ref="G141:M141" si="84">F141+G180+G182</f>
        <v>179</v>
      </c>
      <c r="H141" s="19">
        <f t="shared" si="84"/>
        <v>179</v>
      </c>
      <c r="I141" s="19">
        <f t="shared" si="84"/>
        <v>179</v>
      </c>
      <c r="J141" s="19">
        <f t="shared" si="84"/>
        <v>179</v>
      </c>
      <c r="K141" s="19">
        <f t="shared" si="84"/>
        <v>179</v>
      </c>
      <c r="L141" s="100">
        <f t="shared" si="84"/>
        <v>179</v>
      </c>
      <c r="M141" s="100">
        <f t="shared" si="84"/>
        <v>179</v>
      </c>
    </row>
    <row r="142" spans="1:13" x14ac:dyDescent="0.3">
      <c r="A142" s="128" t="s">
        <v>154</v>
      </c>
      <c r="B142" s="38"/>
      <c r="C142" s="38"/>
      <c r="D142" s="131"/>
      <c r="E142" s="38"/>
      <c r="F142" s="131">
        <f t="shared" ref="F142:L142" si="85">SUM(F137:F141)</f>
        <v>22606</v>
      </c>
      <c r="G142" s="132">
        <f t="shared" si="85"/>
        <v>32309</v>
      </c>
      <c r="H142" s="131">
        <f t="shared" si="85"/>
        <v>46945.080853299041</v>
      </c>
      <c r="I142" s="131">
        <f t="shared" si="85"/>
        <v>65675.347936202073</v>
      </c>
      <c r="J142" s="131">
        <f t="shared" si="85"/>
        <v>90389.508186562409</v>
      </c>
      <c r="K142" s="131">
        <f>SUM(K137:K141)</f>
        <v>121357.15337774783</v>
      </c>
      <c r="L142" s="132">
        <f t="shared" si="85"/>
        <v>162084.34132439358</v>
      </c>
      <c r="M142" s="132">
        <f t="shared" ref="M142" si="86">SUM(M137:M141)</f>
        <v>213713.20239937765</v>
      </c>
    </row>
    <row r="143" spans="1:13" x14ac:dyDescent="0.3">
      <c r="A143" s="7"/>
      <c r="G143" s="23"/>
      <c r="L143" s="23"/>
      <c r="M143" s="23"/>
    </row>
    <row r="144" spans="1:13" x14ac:dyDescent="0.3">
      <c r="A144" s="59" t="s">
        <v>155</v>
      </c>
      <c r="B144" s="60"/>
      <c r="C144" s="60"/>
      <c r="D144" s="146"/>
      <c r="E144" s="60"/>
      <c r="F144" s="146">
        <f t="shared" ref="F144:L144" si="87">F142+F134</f>
        <v>36480</v>
      </c>
      <c r="G144" s="147">
        <f t="shared" si="87"/>
        <v>48170</v>
      </c>
      <c r="H144" s="146">
        <f t="shared" si="87"/>
        <v>63917.211167310335</v>
      </c>
      <c r="I144" s="146">
        <f t="shared" si="87"/>
        <v>86140.119219910048</v>
      </c>
      <c r="J144" s="146">
        <f t="shared" si="87"/>
        <v>115318.41813623681</v>
      </c>
      <c r="K144" s="146">
        <f>K142+K134</f>
        <v>151623.26131497891</v>
      </c>
      <c r="L144" s="147">
        <f t="shared" si="87"/>
        <v>199519.96801159074</v>
      </c>
      <c r="M144" s="147">
        <f t="shared" ref="M144" si="88">M142+M134</f>
        <v>260228.76939635383</v>
      </c>
    </row>
    <row r="146" spans="1:13" x14ac:dyDescent="0.3">
      <c r="A146" s="1" t="s">
        <v>156</v>
      </c>
      <c r="F146" s="148">
        <f>F121-F144</f>
        <v>0</v>
      </c>
      <c r="G146" s="148">
        <f t="shared" ref="G146:L146" si="89">G121-G144</f>
        <v>0</v>
      </c>
      <c r="H146" s="148">
        <f t="shared" si="89"/>
        <v>192.57862314153317</v>
      </c>
      <c r="I146" s="148">
        <f t="shared" si="89"/>
        <v>192.5786231415259</v>
      </c>
      <c r="J146" s="148">
        <f t="shared" si="89"/>
        <v>192.57862314154045</v>
      </c>
      <c r="K146" s="148">
        <f>K121-K144</f>
        <v>192.57862314154045</v>
      </c>
      <c r="L146" s="148">
        <f t="shared" si="89"/>
        <v>192.57862314154045</v>
      </c>
      <c r="M146" s="148">
        <f t="shared" ref="M146" si="90">M121-M144</f>
        <v>192.57862314159865</v>
      </c>
    </row>
    <row r="148" spans="1:13" x14ac:dyDescent="0.3">
      <c r="A148" s="2" t="s">
        <v>157</v>
      </c>
      <c r="B148" s="3"/>
      <c r="C148" s="3"/>
      <c r="D148" s="4"/>
      <c r="E148" s="4"/>
      <c r="F148" s="4"/>
      <c r="G148" s="4"/>
      <c r="H148" s="4"/>
      <c r="I148" s="4"/>
      <c r="J148" s="4"/>
      <c r="K148" s="4"/>
      <c r="L148" s="5"/>
      <c r="M148" s="5"/>
    </row>
    <row r="149" spans="1:13" x14ac:dyDescent="0.3">
      <c r="A149" s="7"/>
      <c r="E149" s="45" t="str">
        <f t="shared" ref="E149:M149" si="91">E$23</f>
        <v>FY 2017</v>
      </c>
      <c r="F149" s="45" t="str">
        <f t="shared" si="91"/>
        <v>FY 2018</v>
      </c>
      <c r="G149" s="46" t="str">
        <f t="shared" si="91"/>
        <v>FY 2019</v>
      </c>
      <c r="H149" s="45" t="str">
        <f t="shared" si="91"/>
        <v>FY 2020E</v>
      </c>
      <c r="I149" s="45" t="str">
        <f t="shared" si="91"/>
        <v>FY 2021E</v>
      </c>
      <c r="J149" s="45" t="str">
        <f t="shared" si="91"/>
        <v>FY 2022E</v>
      </c>
      <c r="K149" s="45" t="str">
        <f t="shared" si="91"/>
        <v>FY 2023E</v>
      </c>
      <c r="L149" s="46" t="str">
        <f t="shared" si="91"/>
        <v>FY 2024E</v>
      </c>
      <c r="M149" s="46" t="str">
        <f t="shared" si="91"/>
        <v>FY 2025E</v>
      </c>
    </row>
    <row r="150" spans="1:13" x14ac:dyDescent="0.3">
      <c r="A150" s="120" t="s">
        <v>158</v>
      </c>
      <c r="B150" s="149"/>
      <c r="C150" s="149"/>
      <c r="D150" s="149"/>
      <c r="G150" s="150"/>
      <c r="L150" s="23"/>
      <c r="M150" s="23"/>
    </row>
    <row r="151" spans="1:13" x14ac:dyDescent="0.3">
      <c r="A151" s="9" t="s">
        <v>114</v>
      </c>
      <c r="E151" s="98">
        <f t="shared" ref="E151:L151" si="92">E93</f>
        <v>3817</v>
      </c>
      <c r="F151" s="98">
        <f t="shared" si="92"/>
        <v>6428</v>
      </c>
      <c r="G151" s="98">
        <f t="shared" si="92"/>
        <v>8330</v>
      </c>
      <c r="H151" s="151">
        <f t="shared" si="92"/>
        <v>13399.830853299043</v>
      </c>
      <c r="I151" s="98">
        <f t="shared" si="92"/>
        <v>17101.642082903025</v>
      </c>
      <c r="J151" s="98">
        <f t="shared" si="92"/>
        <v>22551.142672235346</v>
      </c>
      <c r="K151" s="98">
        <f t="shared" si="92"/>
        <v>28155.722339622924</v>
      </c>
      <c r="L151" s="98">
        <f t="shared" si="92"/>
        <v>37004.093940298117</v>
      </c>
      <c r="M151" s="98">
        <f t="shared" ref="M151" si="93">M93</f>
        <v>46710.929677340027</v>
      </c>
    </row>
    <row r="152" spans="1:13" x14ac:dyDescent="0.3">
      <c r="A152" s="111" t="s">
        <v>106</v>
      </c>
      <c r="D152" s="127"/>
      <c r="E152" s="19">
        <f t="shared" ref="E152:L154" si="94">E82</f>
        <v>327</v>
      </c>
      <c r="F152" s="19">
        <f t="shared" si="94"/>
        <v>496</v>
      </c>
      <c r="G152" s="19">
        <f t="shared" si="94"/>
        <v>734</v>
      </c>
      <c r="H152" s="152">
        <f t="shared" si="94"/>
        <v>698.75</v>
      </c>
      <c r="I152" s="19">
        <f t="shared" si="94"/>
        <v>950.03124999999989</v>
      </c>
      <c r="J152" s="19">
        <f t="shared" si="94"/>
        <v>1297.810546875</v>
      </c>
      <c r="K152" s="19">
        <f t="shared" si="94"/>
        <v>1730.4140625</v>
      </c>
      <c r="L152" s="19">
        <f t="shared" si="94"/>
        <v>2344.1703002929689</v>
      </c>
      <c r="M152" s="19">
        <f t="shared" ref="M152" si="95">M82</f>
        <v>3161.527327056885</v>
      </c>
    </row>
    <row r="153" spans="1:13" x14ac:dyDescent="0.3">
      <c r="A153" s="111" t="s">
        <v>82</v>
      </c>
      <c r="D153" s="127"/>
      <c r="E153" s="19">
        <f>E61</f>
        <v>0</v>
      </c>
      <c r="F153" s="19">
        <f>F61</f>
        <v>0</v>
      </c>
      <c r="G153" s="19">
        <f>G61</f>
        <v>0</v>
      </c>
      <c r="H153" s="152">
        <f t="shared" si="94"/>
        <v>40</v>
      </c>
      <c r="I153" s="19">
        <f t="shared" si="94"/>
        <v>37</v>
      </c>
      <c r="J153" s="19">
        <f t="shared" si="94"/>
        <v>28</v>
      </c>
      <c r="K153" s="19">
        <f t="shared" si="94"/>
        <v>13</v>
      </c>
      <c r="L153" s="19">
        <f t="shared" si="94"/>
        <v>10</v>
      </c>
      <c r="M153" s="19">
        <f t="shared" ref="M153" si="96">M83</f>
        <v>10</v>
      </c>
    </row>
    <row r="154" spans="1:13" x14ac:dyDescent="0.3">
      <c r="A154" s="111" t="s">
        <v>107</v>
      </c>
      <c r="D154" s="102"/>
      <c r="E154" s="19">
        <f>E84</f>
        <v>242</v>
      </c>
      <c r="F154" s="19">
        <f>F84</f>
        <v>516</v>
      </c>
      <c r="G154" s="19">
        <f>G84</f>
        <v>710</v>
      </c>
      <c r="H154" s="152">
        <f t="shared" si="94"/>
        <v>1236.25</v>
      </c>
      <c r="I154" s="19">
        <f t="shared" si="94"/>
        <v>1628.625</v>
      </c>
      <c r="J154" s="19">
        <f t="shared" si="94"/>
        <v>2163.017578125</v>
      </c>
      <c r="K154" s="19">
        <f t="shared" si="94"/>
        <v>2811.9228515625005</v>
      </c>
      <c r="L154" s="19">
        <f t="shared" si="94"/>
        <v>3723.0940063476569</v>
      </c>
      <c r="M154" s="19">
        <f t="shared" ref="M154" si="97">M84</f>
        <v>4917.9313976440435</v>
      </c>
    </row>
    <row r="155" spans="1:13" x14ac:dyDescent="0.3">
      <c r="A155" s="7" t="s">
        <v>159</v>
      </c>
      <c r="E155" s="31">
        <v>73</v>
      </c>
      <c r="F155" s="31">
        <v>398</v>
      </c>
      <c r="G155" s="12">
        <v>1040</v>
      </c>
      <c r="H155" s="31">
        <v>0</v>
      </c>
      <c r="I155" s="28">
        <f t="shared" ref="I155:M156" si="98">H155</f>
        <v>0</v>
      </c>
      <c r="J155" s="28">
        <f t="shared" si="98"/>
        <v>0</v>
      </c>
      <c r="K155" s="28">
        <f t="shared" si="98"/>
        <v>0</v>
      </c>
      <c r="L155" s="110">
        <f t="shared" si="98"/>
        <v>0</v>
      </c>
      <c r="M155" s="110">
        <f t="shared" si="98"/>
        <v>0</v>
      </c>
    </row>
    <row r="156" spans="1:13" x14ac:dyDescent="0.3">
      <c r="A156" s="111" t="s">
        <v>160</v>
      </c>
      <c r="D156" s="127"/>
      <c r="E156" s="31">
        <v>12</v>
      </c>
      <c r="F156" s="31">
        <v>22</v>
      </c>
      <c r="G156" s="12">
        <v>26</v>
      </c>
      <c r="H156" s="31">
        <v>0</v>
      </c>
      <c r="I156" s="28">
        <f t="shared" si="98"/>
        <v>0</v>
      </c>
      <c r="J156" s="28">
        <f t="shared" si="98"/>
        <v>0</v>
      </c>
      <c r="K156" s="28">
        <f t="shared" si="98"/>
        <v>0</v>
      </c>
      <c r="L156" s="110">
        <f t="shared" si="98"/>
        <v>0</v>
      </c>
      <c r="M156" s="110">
        <f t="shared" si="98"/>
        <v>0</v>
      </c>
    </row>
    <row r="157" spans="1:13" x14ac:dyDescent="0.3">
      <c r="A157" s="107" t="s">
        <v>161</v>
      </c>
      <c r="D157" s="127"/>
      <c r="G157" s="23"/>
      <c r="L157" s="23"/>
      <c r="M157" s="23"/>
    </row>
    <row r="158" spans="1:13" x14ac:dyDescent="0.3">
      <c r="A158" s="27" t="s">
        <v>126</v>
      </c>
      <c r="D158" s="102"/>
      <c r="E158" s="31">
        <v>-385</v>
      </c>
      <c r="F158" s="31">
        <v>-785</v>
      </c>
      <c r="G158" s="110">
        <f t="shared" ref="G158:M159" si="99">F109-G109</f>
        <v>-939</v>
      </c>
      <c r="H158" s="153">
        <f t="shared" si="99"/>
        <v>-840.25</v>
      </c>
      <c r="I158" s="28">
        <f t="shared" si="99"/>
        <v>-1102.828125</v>
      </c>
      <c r="J158" s="28">
        <f t="shared" si="99"/>
        <v>-1458.6214843749995</v>
      </c>
      <c r="K158" s="28">
        <f t="shared" si="99"/>
        <v>-1690.6749023437505</v>
      </c>
      <c r="L158" s="110">
        <f t="shared" si="99"/>
        <v>-2324.6779907226555</v>
      </c>
      <c r="M158" s="110">
        <f t="shared" si="99"/>
        <v>-2950.4918725433345</v>
      </c>
    </row>
    <row r="159" spans="1:13" x14ac:dyDescent="0.3">
      <c r="A159" s="27" t="s">
        <v>127</v>
      </c>
      <c r="D159" s="108"/>
      <c r="E159" s="31">
        <v>-76</v>
      </c>
      <c r="F159" s="31">
        <v>-163</v>
      </c>
      <c r="G159" s="110">
        <f t="shared" si="99"/>
        <v>54</v>
      </c>
      <c r="H159" s="153">
        <f t="shared" si="99"/>
        <v>-100.28979045187111</v>
      </c>
      <c r="I159" s="28">
        <f t="shared" si="99"/>
        <v>-138.14342477138257</v>
      </c>
      <c r="J159" s="28">
        <f t="shared" si="99"/>
        <v>-184.86472309138617</v>
      </c>
      <c r="K159" s="28">
        <f t="shared" si="99"/>
        <v>-214.716641999486</v>
      </c>
      <c r="L159" s="110">
        <f t="shared" si="99"/>
        <v>-285.09463636526766</v>
      </c>
      <c r="M159" s="110">
        <f t="shared" si="99"/>
        <v>-365.02900142393787</v>
      </c>
    </row>
    <row r="160" spans="1:13" x14ac:dyDescent="0.3">
      <c r="A160" s="27" t="s">
        <v>129</v>
      </c>
      <c r="D160" s="102"/>
      <c r="E160" s="31">
        <v>-1279</v>
      </c>
      <c r="F160" s="31">
        <v>-274</v>
      </c>
      <c r="G160" s="110">
        <f t="shared" ref="G160:M160" si="100">F112-G112</f>
        <v>780</v>
      </c>
      <c r="H160" s="153">
        <f t="shared" si="100"/>
        <v>0</v>
      </c>
      <c r="I160" s="28">
        <f t="shared" si="100"/>
        <v>0</v>
      </c>
      <c r="J160" s="28">
        <f t="shared" si="100"/>
        <v>0</v>
      </c>
      <c r="K160" s="28">
        <f t="shared" si="100"/>
        <v>0</v>
      </c>
      <c r="L160" s="110">
        <f t="shared" si="100"/>
        <v>0</v>
      </c>
      <c r="M160" s="110">
        <f t="shared" si="100"/>
        <v>0</v>
      </c>
    </row>
    <row r="161" spans="1:13" x14ac:dyDescent="0.3">
      <c r="A161" s="136" t="s">
        <v>136</v>
      </c>
      <c r="D161" s="127"/>
      <c r="E161" s="31">
        <v>285</v>
      </c>
      <c r="F161" s="31">
        <v>289</v>
      </c>
      <c r="G161" s="110">
        <f t="shared" ref="G161:M161" si="101">F120-G120</f>
        <v>-1172</v>
      </c>
      <c r="H161" s="153">
        <f t="shared" si="101"/>
        <v>0</v>
      </c>
      <c r="I161" s="28">
        <f t="shared" si="101"/>
        <v>0</v>
      </c>
      <c r="J161" s="28">
        <f t="shared" si="101"/>
        <v>0</v>
      </c>
      <c r="K161" s="28">
        <f t="shared" si="101"/>
        <v>0</v>
      </c>
      <c r="L161" s="110">
        <f t="shared" si="101"/>
        <v>0</v>
      </c>
      <c r="M161" s="110">
        <f t="shared" si="101"/>
        <v>0</v>
      </c>
    </row>
    <row r="162" spans="1:13" x14ac:dyDescent="0.3">
      <c r="A162" s="27" t="s">
        <v>140</v>
      </c>
      <c r="D162" s="102"/>
      <c r="E162" s="31">
        <v>1494</v>
      </c>
      <c r="F162" s="31">
        <v>596</v>
      </c>
      <c r="G162" s="110">
        <f t="shared" ref="G162:M162" si="102">G125-F125</f>
        <v>81</v>
      </c>
      <c r="H162" s="153">
        <f t="shared" si="102"/>
        <v>1234.55629960644</v>
      </c>
      <c r="I162" s="28">
        <f t="shared" si="102"/>
        <v>1700.5303783395902</v>
      </c>
      <c r="J162" s="28">
        <f t="shared" si="102"/>
        <v>2275.6644264502283</v>
      </c>
      <c r="K162" s="28">
        <f t="shared" si="102"/>
        <v>2643.1382677782876</v>
      </c>
      <c r="L162" s="110">
        <f t="shared" si="102"/>
        <v>3509.4836445755263</v>
      </c>
      <c r="M162" s="110">
        <f t="shared" si="102"/>
        <v>4493.4668944515943</v>
      </c>
    </row>
    <row r="163" spans="1:13" x14ac:dyDescent="0.3">
      <c r="A163" s="27" t="s">
        <v>142</v>
      </c>
      <c r="D163" s="127"/>
      <c r="E163" s="31">
        <v>566</v>
      </c>
      <c r="F163" s="31">
        <v>718</v>
      </c>
      <c r="G163" s="110">
        <f t="shared" ref="G163:M163" si="103">G127-F127+G131-F131</f>
        <v>521</v>
      </c>
      <c r="H163" s="153">
        <f t="shared" si="103"/>
        <v>726.5</v>
      </c>
      <c r="I163" s="28">
        <f t="shared" si="103"/>
        <v>953.53125</v>
      </c>
      <c r="J163" s="28">
        <f t="shared" si="103"/>
        <v>1261.1585937500004</v>
      </c>
      <c r="K163" s="28">
        <f t="shared" si="103"/>
        <v>1461.7974609374996</v>
      </c>
      <c r="L163" s="110">
        <f t="shared" si="103"/>
        <v>2009.9715087890636</v>
      </c>
      <c r="M163" s="110">
        <f t="shared" si="103"/>
        <v>2551.0649751892101</v>
      </c>
    </row>
    <row r="164" spans="1:13" x14ac:dyDescent="0.3">
      <c r="A164" s="27" t="s">
        <v>162</v>
      </c>
      <c r="E164" s="31">
        <v>716</v>
      </c>
      <c r="F164" s="31">
        <v>1664</v>
      </c>
      <c r="G164" s="110">
        <f t="shared" ref="G164:M164" si="104">G126-F126+G133-F133</f>
        <v>1385</v>
      </c>
      <c r="H164" s="153">
        <f t="shared" si="104"/>
        <v>-849.92598559514818</v>
      </c>
      <c r="I164" s="28">
        <f t="shared" si="104"/>
        <v>838.5793413570882</v>
      </c>
      <c r="J164" s="28">
        <f t="shared" si="104"/>
        <v>927.31564576620531</v>
      </c>
      <c r="K164" s="28">
        <f t="shared" si="104"/>
        <v>1232.2622588408894</v>
      </c>
      <c r="L164" s="110">
        <f t="shared" si="104"/>
        <v>1650.0635966014843</v>
      </c>
      <c r="M164" s="110">
        <f t="shared" si="104"/>
        <v>2035.4084401382324</v>
      </c>
    </row>
    <row r="165" spans="1:13" x14ac:dyDescent="0.3">
      <c r="A165" s="105" t="s">
        <v>163</v>
      </c>
      <c r="B165" s="38"/>
      <c r="C165" s="38"/>
      <c r="D165" s="36"/>
      <c r="E165" s="36">
        <f t="shared" ref="E165:L165" si="105">SUM(E158:E164)+SUM(E151:E156)</f>
        <v>5792</v>
      </c>
      <c r="F165" s="36">
        <f t="shared" si="105"/>
        <v>9905</v>
      </c>
      <c r="G165" s="106">
        <f t="shared" si="105"/>
        <v>11550</v>
      </c>
      <c r="H165" s="154">
        <f t="shared" si="105"/>
        <v>15545.421376858463</v>
      </c>
      <c r="I165" s="36">
        <f t="shared" si="105"/>
        <v>21968.967752828321</v>
      </c>
      <c r="J165" s="36">
        <f t="shared" si="105"/>
        <v>28860.623255735394</v>
      </c>
      <c r="K165" s="36">
        <f t="shared" si="105"/>
        <v>36142.865696898865</v>
      </c>
      <c r="L165" s="106">
        <f t="shared" si="105"/>
        <v>47641.104369816901</v>
      </c>
      <c r="M165" s="106">
        <f t="shared" ref="M165" si="106">SUM(M158:M164)+SUM(M151:M156)</f>
        <v>60564.807837852728</v>
      </c>
    </row>
    <row r="166" spans="1:13" x14ac:dyDescent="0.3">
      <c r="A166" s="27"/>
      <c r="G166" s="23"/>
      <c r="H166" s="28"/>
      <c r="L166" s="23"/>
      <c r="M166" s="23"/>
    </row>
    <row r="167" spans="1:13" x14ac:dyDescent="0.3">
      <c r="A167" s="120" t="s">
        <v>164</v>
      </c>
      <c r="B167" s="121"/>
      <c r="C167" s="121"/>
      <c r="D167" s="155"/>
      <c r="G167" s="156"/>
      <c r="L167" s="23"/>
      <c r="M167" s="23"/>
    </row>
    <row r="168" spans="1:13" x14ac:dyDescent="0.3">
      <c r="A168" s="111" t="s">
        <v>165</v>
      </c>
      <c r="D168" s="157"/>
      <c r="E168" s="31">
        <v>-11719</v>
      </c>
      <c r="F168" s="31">
        <v>-22965</v>
      </c>
      <c r="G168" s="12">
        <v>-46724</v>
      </c>
      <c r="H168" s="31">
        <v>0</v>
      </c>
      <c r="I168" s="28">
        <f>H168</f>
        <v>0</v>
      </c>
      <c r="J168" s="28">
        <f>I168</f>
        <v>0</v>
      </c>
      <c r="K168" s="28">
        <f>J168</f>
        <v>0</v>
      </c>
      <c r="L168" s="110">
        <f>K168</f>
        <v>0</v>
      </c>
      <c r="M168" s="110">
        <f>L168</f>
        <v>0</v>
      </c>
    </row>
    <row r="169" spans="1:13" x14ac:dyDescent="0.3">
      <c r="A169" s="111" t="s">
        <v>166</v>
      </c>
      <c r="E169" s="28">
        <f>6483+2941</f>
        <v>9424</v>
      </c>
      <c r="F169" s="28">
        <f>11804+4439</f>
        <v>16243</v>
      </c>
      <c r="G169" s="110">
        <f>19790+10888</f>
        <v>30678</v>
      </c>
      <c r="H169" s="31">
        <v>0</v>
      </c>
      <c r="I169" s="28">
        <f t="shared" ref="I169:M173" si="107">H169</f>
        <v>0</v>
      </c>
      <c r="J169" s="28">
        <f t="shared" si="107"/>
        <v>0</v>
      </c>
      <c r="K169" s="28">
        <f t="shared" si="107"/>
        <v>0</v>
      </c>
      <c r="L169" s="110">
        <f t="shared" si="107"/>
        <v>0</v>
      </c>
      <c r="M169" s="110">
        <f t="shared" si="107"/>
        <v>0</v>
      </c>
    </row>
    <row r="170" spans="1:13" x14ac:dyDescent="0.3">
      <c r="A170" s="111" t="s">
        <v>167</v>
      </c>
      <c r="E170" s="31">
        <v>-17</v>
      </c>
      <c r="F170" s="31">
        <v>-38</v>
      </c>
      <c r="G170" s="12">
        <v>-101</v>
      </c>
      <c r="H170" s="31">
        <v>0</v>
      </c>
      <c r="I170" s="28">
        <f t="shared" si="107"/>
        <v>0</v>
      </c>
      <c r="J170" s="28">
        <f t="shared" si="107"/>
        <v>0</v>
      </c>
      <c r="K170" s="28">
        <f t="shared" si="107"/>
        <v>0</v>
      </c>
      <c r="L170" s="110">
        <f t="shared" si="107"/>
        <v>0</v>
      </c>
      <c r="M170" s="110">
        <f t="shared" si="107"/>
        <v>0</v>
      </c>
    </row>
    <row r="171" spans="1:13" x14ac:dyDescent="0.3">
      <c r="A171" s="111" t="s">
        <v>168</v>
      </c>
      <c r="E171" s="31">
        <v>-735</v>
      </c>
      <c r="F171" s="31">
        <v>-1091</v>
      </c>
      <c r="G171" s="12">
        <v>-1144</v>
      </c>
      <c r="H171" s="153">
        <f t="shared" ref="H171:M171" si="108">-H69*H74</f>
        <v>-1430</v>
      </c>
      <c r="I171" s="28">
        <f t="shared" si="108"/>
        <v>-1805.375</v>
      </c>
      <c r="J171" s="28">
        <f t="shared" si="108"/>
        <v>-2301.8531250000001</v>
      </c>
      <c r="K171" s="28">
        <f t="shared" si="108"/>
        <v>-2877.31640625</v>
      </c>
      <c r="L171" s="110">
        <f t="shared" si="108"/>
        <v>-3668.5784179687498</v>
      </c>
      <c r="M171" s="110">
        <f t="shared" si="108"/>
        <v>-4672.8517598876952</v>
      </c>
    </row>
    <row r="172" spans="1:13" x14ac:dyDescent="0.3">
      <c r="A172" s="111" t="s">
        <v>169</v>
      </c>
      <c r="E172" s="31">
        <v>-251</v>
      </c>
      <c r="F172" s="31">
        <v>-108</v>
      </c>
      <c r="G172" s="12">
        <v>-69</v>
      </c>
      <c r="H172" s="31">
        <v>0</v>
      </c>
      <c r="I172" s="28">
        <f t="shared" si="107"/>
        <v>0</v>
      </c>
      <c r="J172" s="28">
        <f t="shared" si="107"/>
        <v>0</v>
      </c>
      <c r="K172" s="28">
        <f t="shared" si="107"/>
        <v>0</v>
      </c>
      <c r="L172" s="110">
        <f t="shared" si="107"/>
        <v>0</v>
      </c>
      <c r="M172" s="110">
        <f t="shared" si="107"/>
        <v>0</v>
      </c>
    </row>
    <row r="173" spans="1:13" x14ac:dyDescent="0.3">
      <c r="A173" s="111" t="s">
        <v>170</v>
      </c>
      <c r="E173" s="31">
        <v>49</v>
      </c>
      <c r="F173" s="31">
        <f>-10-220</f>
        <v>-230</v>
      </c>
      <c r="G173" s="12">
        <v>-74</v>
      </c>
      <c r="H173" s="31">
        <v>0</v>
      </c>
      <c r="I173" s="28">
        <f t="shared" si="107"/>
        <v>0</v>
      </c>
      <c r="J173" s="28">
        <f t="shared" si="107"/>
        <v>0</v>
      </c>
      <c r="K173" s="28">
        <f t="shared" si="107"/>
        <v>0</v>
      </c>
      <c r="L173" s="110">
        <f t="shared" si="107"/>
        <v>0</v>
      </c>
      <c r="M173" s="110">
        <f t="shared" si="107"/>
        <v>0</v>
      </c>
    </row>
    <row r="174" spans="1:13" x14ac:dyDescent="0.3">
      <c r="A174" s="105" t="s">
        <v>171</v>
      </c>
      <c r="B174" s="38"/>
      <c r="C174" s="38"/>
      <c r="D174" s="36"/>
      <c r="E174" s="36">
        <f t="shared" ref="E174:L174" si="109">SUM(E168:E173)</f>
        <v>-3249</v>
      </c>
      <c r="F174" s="36">
        <f t="shared" si="109"/>
        <v>-8189</v>
      </c>
      <c r="G174" s="106">
        <f t="shared" si="109"/>
        <v>-17434</v>
      </c>
      <c r="H174" s="36">
        <f t="shared" si="109"/>
        <v>-1430</v>
      </c>
      <c r="I174" s="36">
        <f t="shared" si="109"/>
        <v>-1805.375</v>
      </c>
      <c r="J174" s="36">
        <f t="shared" si="109"/>
        <v>-2301.8531250000001</v>
      </c>
      <c r="K174" s="36">
        <f t="shared" si="109"/>
        <v>-2877.31640625</v>
      </c>
      <c r="L174" s="106">
        <f t="shared" si="109"/>
        <v>-3668.5784179687498</v>
      </c>
      <c r="M174" s="106">
        <f t="shared" ref="M174" si="110">SUM(M168:M173)</f>
        <v>-4672.8517598876952</v>
      </c>
    </row>
    <row r="175" spans="1:13" x14ac:dyDescent="0.3">
      <c r="A175" s="111"/>
      <c r="G175" s="23"/>
      <c r="H175" s="28"/>
      <c r="L175" s="23"/>
      <c r="M175" s="23"/>
    </row>
    <row r="176" spans="1:13" x14ac:dyDescent="0.3">
      <c r="A176" s="120" t="s">
        <v>172</v>
      </c>
      <c r="B176" s="121"/>
      <c r="C176" s="121"/>
      <c r="D176" s="121"/>
      <c r="G176" s="156"/>
      <c r="L176" s="23"/>
      <c r="M176" s="23"/>
    </row>
    <row r="177" spans="1:13" x14ac:dyDescent="0.3">
      <c r="A177" s="7" t="s">
        <v>173</v>
      </c>
      <c r="E177" s="31">
        <v>365</v>
      </c>
      <c r="F177" s="31">
        <v>483</v>
      </c>
      <c r="G177" s="12">
        <v>475</v>
      </c>
      <c r="H177" s="31">
        <v>0</v>
      </c>
      <c r="I177" s="28">
        <f>H177</f>
        <v>0</v>
      </c>
      <c r="J177" s="28">
        <f>I177</f>
        <v>0</v>
      </c>
      <c r="K177" s="28">
        <f>J177</f>
        <v>0</v>
      </c>
      <c r="L177" s="110">
        <f>K177</f>
        <v>0</v>
      </c>
      <c r="M177" s="110">
        <f>L177</f>
        <v>0</v>
      </c>
    </row>
    <row r="178" spans="1:13" x14ac:dyDescent="0.3">
      <c r="A178" s="7" t="s">
        <v>174</v>
      </c>
      <c r="E178" s="31">
        <v>0</v>
      </c>
      <c r="F178" s="31">
        <v>0</v>
      </c>
      <c r="G178" s="12">
        <v>0</v>
      </c>
      <c r="H178" s="31">
        <v>0</v>
      </c>
      <c r="I178" s="28">
        <f t="shared" ref="I178:M182" si="111">H178</f>
        <v>0</v>
      </c>
      <c r="J178" s="28">
        <f t="shared" si="111"/>
        <v>0</v>
      </c>
      <c r="K178" s="28">
        <f t="shared" si="111"/>
        <v>0</v>
      </c>
      <c r="L178" s="110">
        <f t="shared" si="111"/>
        <v>0</v>
      </c>
      <c r="M178" s="110">
        <f t="shared" si="111"/>
        <v>0</v>
      </c>
    </row>
    <row r="179" spans="1:13" x14ac:dyDescent="0.3">
      <c r="A179" s="7" t="s">
        <v>175</v>
      </c>
      <c r="E179" s="31">
        <v>0</v>
      </c>
      <c r="F179" s="31">
        <v>0</v>
      </c>
      <c r="G179" s="12">
        <v>0</v>
      </c>
      <c r="H179" s="31">
        <v>0</v>
      </c>
      <c r="I179" s="28">
        <f t="shared" si="111"/>
        <v>0</v>
      </c>
      <c r="J179" s="28">
        <f t="shared" si="111"/>
        <v>0</v>
      </c>
      <c r="K179" s="28">
        <f t="shared" si="111"/>
        <v>0</v>
      </c>
      <c r="L179" s="110">
        <f t="shared" si="111"/>
        <v>0</v>
      </c>
      <c r="M179" s="110">
        <f t="shared" si="111"/>
        <v>0</v>
      </c>
    </row>
    <row r="180" spans="1:13" x14ac:dyDescent="0.3">
      <c r="A180" s="7" t="s">
        <v>176</v>
      </c>
      <c r="E180" s="31">
        <v>377</v>
      </c>
      <c r="F180" s="31">
        <v>757</v>
      </c>
      <c r="G180" s="12">
        <v>270</v>
      </c>
      <c r="H180" s="31">
        <v>0</v>
      </c>
      <c r="I180" s="28">
        <f t="shared" si="111"/>
        <v>0</v>
      </c>
      <c r="J180" s="28">
        <f t="shared" si="111"/>
        <v>0</v>
      </c>
      <c r="K180" s="28">
        <f t="shared" si="111"/>
        <v>0</v>
      </c>
      <c r="L180" s="110">
        <f t="shared" si="111"/>
        <v>0</v>
      </c>
      <c r="M180" s="110">
        <f t="shared" si="111"/>
        <v>0</v>
      </c>
    </row>
    <row r="181" spans="1:13" x14ac:dyDescent="0.3">
      <c r="A181" s="7" t="s">
        <v>177</v>
      </c>
      <c r="E181" s="31">
        <v>0</v>
      </c>
      <c r="F181" s="31">
        <v>0</v>
      </c>
      <c r="G181" s="12">
        <v>0</v>
      </c>
      <c r="H181" s="28">
        <f t="shared" ref="H181:M181" si="112">IF(H22=Debt_Date,Debt_Amount,0)</f>
        <v>0</v>
      </c>
      <c r="I181" s="28">
        <f t="shared" si="112"/>
        <v>0</v>
      </c>
      <c r="J181" s="28">
        <f t="shared" si="112"/>
        <v>0</v>
      </c>
      <c r="K181" s="28">
        <f t="shared" si="112"/>
        <v>0</v>
      </c>
      <c r="L181" s="110">
        <f t="shared" si="112"/>
        <v>0</v>
      </c>
      <c r="M181" s="110">
        <f t="shared" si="112"/>
        <v>0</v>
      </c>
    </row>
    <row r="182" spans="1:13" x14ac:dyDescent="0.3">
      <c r="A182" s="7" t="s">
        <v>178</v>
      </c>
      <c r="E182" s="31">
        <v>-3</v>
      </c>
      <c r="F182" s="31">
        <v>-124</v>
      </c>
      <c r="G182" s="12">
        <v>-82</v>
      </c>
      <c r="H182" s="31">
        <v>0</v>
      </c>
      <c r="I182" s="28">
        <f t="shared" si="111"/>
        <v>0</v>
      </c>
      <c r="J182" s="28">
        <f t="shared" si="111"/>
        <v>0</v>
      </c>
      <c r="K182" s="28">
        <f t="shared" si="111"/>
        <v>0</v>
      </c>
      <c r="L182" s="110">
        <f t="shared" si="111"/>
        <v>0</v>
      </c>
      <c r="M182" s="110">
        <f t="shared" si="111"/>
        <v>0</v>
      </c>
    </row>
    <row r="183" spans="1:13" x14ac:dyDescent="0.3">
      <c r="A183" s="105" t="s">
        <v>179</v>
      </c>
      <c r="B183" s="38"/>
      <c r="C183" s="38"/>
      <c r="D183" s="36"/>
      <c r="E183" s="36">
        <f t="shared" ref="E183:L183" si="113">SUM(E177:E182)</f>
        <v>739</v>
      </c>
      <c r="F183" s="36">
        <f t="shared" si="113"/>
        <v>1116</v>
      </c>
      <c r="G183" s="106">
        <f t="shared" si="113"/>
        <v>663</v>
      </c>
      <c r="H183" s="36">
        <f t="shared" si="113"/>
        <v>0</v>
      </c>
      <c r="I183" s="36">
        <f t="shared" si="113"/>
        <v>0</v>
      </c>
      <c r="J183" s="36">
        <f t="shared" si="113"/>
        <v>0</v>
      </c>
      <c r="K183" s="36">
        <f t="shared" si="113"/>
        <v>0</v>
      </c>
      <c r="L183" s="106">
        <f t="shared" si="113"/>
        <v>0</v>
      </c>
      <c r="M183" s="106">
        <f t="shared" ref="M183" si="114">SUM(M177:M182)</f>
        <v>0</v>
      </c>
    </row>
    <row r="184" spans="1:13" x14ac:dyDescent="0.3">
      <c r="A184" s="7"/>
      <c r="G184" s="23"/>
      <c r="L184" s="23"/>
      <c r="M184" s="23"/>
    </row>
    <row r="185" spans="1:13" x14ac:dyDescent="0.3">
      <c r="A185" s="9" t="s">
        <v>180</v>
      </c>
      <c r="E185" s="102">
        <f t="shared" ref="E185:L185" si="115">E183+E174+E165</f>
        <v>3282</v>
      </c>
      <c r="F185" s="102">
        <f t="shared" si="115"/>
        <v>2832</v>
      </c>
      <c r="G185" s="103">
        <f t="shared" si="115"/>
        <v>-5221</v>
      </c>
      <c r="H185" s="102">
        <f>H183+H174+H165</f>
        <v>14115.421376858463</v>
      </c>
      <c r="I185" s="102">
        <f t="shared" si="115"/>
        <v>20163.592752828321</v>
      </c>
      <c r="J185" s="102">
        <f t="shared" si="115"/>
        <v>26558.770130735393</v>
      </c>
      <c r="K185" s="102">
        <f t="shared" si="115"/>
        <v>33265.549290648865</v>
      </c>
      <c r="L185" s="103">
        <f t="shared" si="115"/>
        <v>43972.525951848154</v>
      </c>
      <c r="M185" s="103">
        <f t="shared" ref="M185" si="116">M183+M174+M165</f>
        <v>55891.956077965035</v>
      </c>
    </row>
    <row r="186" spans="1:13" x14ac:dyDescent="0.3">
      <c r="A186" s="59" t="s">
        <v>181</v>
      </c>
      <c r="B186" s="60"/>
      <c r="C186" s="60"/>
      <c r="D186" s="60"/>
      <c r="E186" s="158">
        <v>9352</v>
      </c>
      <c r="F186" s="159">
        <f>E186+F185</f>
        <v>12184</v>
      </c>
      <c r="G186" s="160">
        <f t="shared" ref="G186:M186" si="117">F107+G185</f>
        <v>6963</v>
      </c>
      <c r="H186" s="159">
        <v>21271</v>
      </c>
      <c r="I186" s="159">
        <f>H107+I185</f>
        <v>41434.592752828321</v>
      </c>
      <c r="J186" s="159">
        <f t="shared" si="117"/>
        <v>67993.362883563706</v>
      </c>
      <c r="K186" s="159">
        <f t="shared" si="117"/>
        <v>101258.91217421257</v>
      </c>
      <c r="L186" s="160">
        <f t="shared" si="117"/>
        <v>145231.43812606073</v>
      </c>
      <c r="M186" s="160">
        <f t="shared" si="117"/>
        <v>201123.39420402577</v>
      </c>
    </row>
  </sheetData>
  <mergeCells count="29">
    <mergeCell ref="O42:P42"/>
    <mergeCell ref="O24:P24"/>
    <mergeCell ref="O30:P30"/>
    <mergeCell ref="O36:P36"/>
    <mergeCell ref="A1:L1"/>
    <mergeCell ref="O48:P48"/>
    <mergeCell ref="O52:P52"/>
    <mergeCell ref="O53:P53"/>
    <mergeCell ref="O51:P51"/>
    <mergeCell ref="O50:P50"/>
    <mergeCell ref="O49:P49"/>
    <mergeCell ref="O55:P55"/>
    <mergeCell ref="O56:P56"/>
    <mergeCell ref="O57:P57"/>
    <mergeCell ref="O58:P58"/>
    <mergeCell ref="O59:P59"/>
    <mergeCell ref="O60:P60"/>
    <mergeCell ref="O62:P62"/>
    <mergeCell ref="O63:P63"/>
    <mergeCell ref="O64:P64"/>
    <mergeCell ref="O65:P65"/>
    <mergeCell ref="O72:P72"/>
    <mergeCell ref="O73:P73"/>
    <mergeCell ref="O74:P74"/>
    <mergeCell ref="O66:P66"/>
    <mergeCell ref="O67:P67"/>
    <mergeCell ref="O69:P69"/>
    <mergeCell ref="O70:P70"/>
    <mergeCell ref="O71:P71"/>
  </mergeCells>
  <phoneticPr fontId="30" type="noConversion"/>
  <dataValidations count="2">
    <dataValidation type="whole" allowBlank="1" showInputMessage="1" showErrorMessage="1" sqref="K13 P2" xr:uid="{D06014D0-848C-4A83-9F5D-2563E6F24E4F}">
      <formula1>1</formula1>
      <formula2>4</formula2>
    </dataValidation>
    <dataValidation type="list" allowBlank="1" showInputMessage="1" showErrorMessage="1" sqref="K14 P2" xr:uid="{2634C890-1C5B-4CBF-A522-A6D99BCD8BA2}">
      <formula1>"1,2,3,4"</formula1>
    </dataValidation>
  </dataValidations>
  <printOptions horizontalCentered="1" verticalCentered="1"/>
  <pageMargins left="0" right="0" top="0.75" bottom="0.75" header="0.3" footer="0.3"/>
  <pageSetup scale="45" orientation="landscape" r:id="rId1"/>
  <headerFooter>
    <oddHeader>&amp;A</oddHeader>
    <oddFooter>Page &amp;P of &amp;N</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1B781-B1E5-43A5-A608-6DF9A94DA6FE}">
  <sheetPr codeName="Sheet3"/>
  <dimension ref="A1:U459"/>
  <sheetViews>
    <sheetView zoomScale="80" zoomScaleNormal="80" workbookViewId="0"/>
  </sheetViews>
  <sheetFormatPr defaultColWidth="8.796875" defaultRowHeight="15.6" x14ac:dyDescent="0.3"/>
  <cols>
    <col min="1" max="1" width="10.5" bestFit="1" customWidth="1"/>
    <col min="2" max="2" width="10.69921875" bestFit="1" customWidth="1"/>
    <col min="3" max="5" width="9.19921875" bestFit="1" customWidth="1"/>
    <col min="6" max="6" width="16.796875" customWidth="1"/>
    <col min="7" max="7" width="11.296875" customWidth="1"/>
    <col min="8" max="9" width="9.5" bestFit="1" customWidth="1"/>
    <col min="10" max="10" width="9.796875" bestFit="1" customWidth="1"/>
    <col min="11" max="11" width="12.5" bestFit="1" customWidth="1"/>
    <col min="12" max="12" width="14.796875" customWidth="1"/>
    <col min="13" max="13" width="13" customWidth="1"/>
    <col min="14" max="14" width="16.5" customWidth="1"/>
    <col min="15" max="15" width="9.5" customWidth="1"/>
    <col min="16" max="17" width="10.5" bestFit="1" customWidth="1"/>
    <col min="18" max="18" width="17.5" customWidth="1"/>
  </cols>
  <sheetData>
    <row r="1" spans="1:3" x14ac:dyDescent="0.3">
      <c r="B1" t="s">
        <v>53</v>
      </c>
      <c r="C1" t="s">
        <v>54</v>
      </c>
    </row>
    <row r="2" spans="1:3" x14ac:dyDescent="0.3">
      <c r="A2" t="s">
        <v>0</v>
      </c>
      <c r="B2" s="189">
        <v>52806</v>
      </c>
      <c r="C2" s="190">
        <v>0.21</v>
      </c>
    </row>
    <row r="3" spans="1:3" x14ac:dyDescent="0.3">
      <c r="A3" t="s">
        <v>5</v>
      </c>
      <c r="B3" s="189">
        <v>79404</v>
      </c>
      <c r="C3" s="190">
        <v>0.26</v>
      </c>
    </row>
    <row r="4" spans="1:3" x14ac:dyDescent="0.3">
      <c r="A4" t="s">
        <v>6</v>
      </c>
      <c r="B4" s="189">
        <v>104924</v>
      </c>
      <c r="C4" s="190">
        <v>0.28999999999999998</v>
      </c>
    </row>
    <row r="5" spans="1:3" x14ac:dyDescent="0.3">
      <c r="A5" t="s">
        <v>7</v>
      </c>
      <c r="B5" s="189">
        <v>99118</v>
      </c>
      <c r="C5" s="190">
        <v>0.28000000000000003</v>
      </c>
    </row>
    <row r="20" spans="1:7" x14ac:dyDescent="0.3">
      <c r="B20" s="191"/>
      <c r="C20" s="191"/>
      <c r="D20" s="191"/>
      <c r="E20" s="191"/>
      <c r="F20" s="191"/>
      <c r="G20" s="191"/>
    </row>
    <row r="21" spans="1:7" x14ac:dyDescent="0.3">
      <c r="B21" s="191"/>
      <c r="C21" s="191"/>
      <c r="D21" s="191"/>
      <c r="E21" s="191"/>
      <c r="F21" s="191"/>
    </row>
    <row r="22" spans="1:7" x14ac:dyDescent="0.3">
      <c r="A22" s="192" t="s">
        <v>182</v>
      </c>
      <c r="B22" s="191" t="s">
        <v>184</v>
      </c>
      <c r="C22" s="191" t="s">
        <v>183</v>
      </c>
      <c r="D22" s="191" t="s">
        <v>46</v>
      </c>
      <c r="E22" s="191"/>
      <c r="F22" s="191"/>
    </row>
    <row r="23" spans="1:7" x14ac:dyDescent="0.3">
      <c r="A23" s="192" t="s">
        <v>13</v>
      </c>
      <c r="B23" s="193">
        <v>0.1</v>
      </c>
      <c r="C23" s="194">
        <v>0.505</v>
      </c>
      <c r="D23" s="192" t="s">
        <v>0</v>
      </c>
      <c r="E23" s="191"/>
      <c r="F23" s="191"/>
    </row>
    <row r="24" spans="1:7" x14ac:dyDescent="0.3">
      <c r="A24" s="192" t="s">
        <v>14</v>
      </c>
      <c r="B24" s="193">
        <v>0.11</v>
      </c>
      <c r="C24" s="194">
        <v>0.51250000000000007</v>
      </c>
      <c r="D24" s="192" t="s">
        <v>0</v>
      </c>
      <c r="E24" s="191"/>
      <c r="F24" s="191"/>
    </row>
    <row r="25" spans="1:7" x14ac:dyDescent="0.3">
      <c r="A25" s="192" t="s">
        <v>15</v>
      </c>
      <c r="B25" s="193">
        <v>0.12</v>
      </c>
      <c r="C25" s="194">
        <v>0.52</v>
      </c>
      <c r="D25" s="192" t="s">
        <v>0</v>
      </c>
      <c r="E25" s="191"/>
      <c r="F25" s="191"/>
    </row>
    <row r="26" spans="1:7" x14ac:dyDescent="0.3">
      <c r="A26" s="192" t="s">
        <v>16</v>
      </c>
      <c r="B26" s="193">
        <v>0.1</v>
      </c>
      <c r="C26" s="194">
        <v>0.52750000000000008</v>
      </c>
      <c r="D26" s="192" t="s">
        <v>0</v>
      </c>
      <c r="E26" s="191"/>
      <c r="F26" s="191"/>
    </row>
    <row r="27" spans="1:7" x14ac:dyDescent="0.3">
      <c r="A27" s="192" t="s">
        <v>17</v>
      </c>
      <c r="B27" s="193">
        <v>0.13</v>
      </c>
      <c r="C27" s="194">
        <v>0.53500000000000003</v>
      </c>
      <c r="D27" s="192" t="s">
        <v>0</v>
      </c>
      <c r="E27" s="191"/>
      <c r="F27" s="191"/>
    </row>
    <row r="28" spans="1:7" x14ac:dyDescent="0.3">
      <c r="A28" s="192" t="s">
        <v>18</v>
      </c>
      <c r="B28" s="193">
        <v>0.127</v>
      </c>
      <c r="C28" s="194">
        <v>0.54249999999999998</v>
      </c>
      <c r="D28" s="192" t="s">
        <v>0</v>
      </c>
      <c r="E28" s="191"/>
      <c r="F28" s="191"/>
    </row>
    <row r="29" spans="1:7" x14ac:dyDescent="0.3">
      <c r="A29" s="192" t="s">
        <v>13</v>
      </c>
      <c r="B29" s="193">
        <v>0.15</v>
      </c>
      <c r="C29" s="194">
        <v>0.48</v>
      </c>
      <c r="D29" s="192" t="s">
        <v>5</v>
      </c>
      <c r="E29" s="191"/>
      <c r="F29" s="191"/>
    </row>
    <row r="30" spans="1:7" x14ac:dyDescent="0.3">
      <c r="A30" s="192" t="s">
        <v>14</v>
      </c>
      <c r="B30" s="193">
        <v>0.16</v>
      </c>
      <c r="C30" s="194">
        <v>0.48499999999999999</v>
      </c>
      <c r="D30" s="192" t="s">
        <v>5</v>
      </c>
      <c r="E30" s="191"/>
      <c r="F30" s="191"/>
    </row>
    <row r="31" spans="1:7" x14ac:dyDescent="0.3">
      <c r="A31" s="192" t="s">
        <v>15</v>
      </c>
      <c r="B31" s="193">
        <v>0.17</v>
      </c>
      <c r="C31" s="194">
        <v>0.47499999999999998</v>
      </c>
      <c r="D31" s="192" t="s">
        <v>5</v>
      </c>
      <c r="E31" s="191"/>
      <c r="F31" s="191"/>
    </row>
    <row r="32" spans="1:7" x14ac:dyDescent="0.3">
      <c r="A32" s="192" t="s">
        <v>16</v>
      </c>
      <c r="B32" s="193">
        <v>0.15</v>
      </c>
      <c r="C32" s="194">
        <v>0.47</v>
      </c>
      <c r="D32" s="192" t="s">
        <v>5</v>
      </c>
      <c r="E32" s="191"/>
      <c r="F32" s="191"/>
    </row>
    <row r="33" spans="1:6" x14ac:dyDescent="0.3">
      <c r="A33" s="192" t="s">
        <v>17</v>
      </c>
      <c r="B33" s="193">
        <v>0.17</v>
      </c>
      <c r="C33" s="194">
        <v>0.46500000000000002</v>
      </c>
      <c r="D33" s="192" t="s">
        <v>5</v>
      </c>
      <c r="E33" s="191"/>
      <c r="F33" s="191"/>
    </row>
    <row r="34" spans="1:6" x14ac:dyDescent="0.3">
      <c r="A34" s="192" t="s">
        <v>18</v>
      </c>
      <c r="B34" s="193">
        <v>0.16900000000000001</v>
      </c>
      <c r="C34" s="194">
        <v>0.46150000000000002</v>
      </c>
      <c r="D34" s="192" t="s">
        <v>5</v>
      </c>
      <c r="E34" s="191"/>
      <c r="F34" s="191"/>
    </row>
    <row r="35" spans="1:6" x14ac:dyDescent="0.3">
      <c r="A35" s="192" t="s">
        <v>13</v>
      </c>
      <c r="B35" s="193">
        <v>0.2</v>
      </c>
      <c r="C35" s="194">
        <v>0.46</v>
      </c>
      <c r="D35" s="192" t="s">
        <v>6</v>
      </c>
      <c r="E35" s="191"/>
      <c r="F35" s="191"/>
    </row>
    <row r="36" spans="1:6" x14ac:dyDescent="0.3">
      <c r="A36" s="192" t="s">
        <v>14</v>
      </c>
      <c r="B36" s="193">
        <v>0.21</v>
      </c>
      <c r="C36" s="194">
        <v>0.45500000000000002</v>
      </c>
      <c r="D36" s="192" t="s">
        <v>6</v>
      </c>
      <c r="E36" s="191"/>
      <c r="F36" s="191"/>
    </row>
    <row r="37" spans="1:6" x14ac:dyDescent="0.3">
      <c r="A37" s="192" t="s">
        <v>15</v>
      </c>
      <c r="B37" s="193">
        <v>0.22</v>
      </c>
      <c r="C37" s="194">
        <v>0.45200000000000001</v>
      </c>
      <c r="D37" s="192" t="s">
        <v>6</v>
      </c>
      <c r="E37" s="191"/>
      <c r="F37" s="191"/>
    </row>
    <row r="38" spans="1:6" x14ac:dyDescent="0.3">
      <c r="A38" s="192" t="s">
        <v>16</v>
      </c>
      <c r="B38" s="193">
        <v>0.2</v>
      </c>
      <c r="C38" s="194">
        <v>0.45</v>
      </c>
      <c r="D38" s="192" t="s">
        <v>6</v>
      </c>
      <c r="E38" s="191"/>
      <c r="F38" s="191"/>
    </row>
    <row r="39" spans="1:6" x14ac:dyDescent="0.3">
      <c r="A39" s="192" t="s">
        <v>17</v>
      </c>
      <c r="B39" s="193">
        <v>0.22</v>
      </c>
      <c r="C39" s="194">
        <v>0.44500000000000001</v>
      </c>
      <c r="D39" s="192" t="s">
        <v>6</v>
      </c>
      <c r="E39" s="191"/>
      <c r="F39" s="191"/>
    </row>
    <row r="40" spans="1:6" x14ac:dyDescent="0.3">
      <c r="A40" s="192" t="s">
        <v>18</v>
      </c>
      <c r="B40" s="193">
        <v>0.219</v>
      </c>
      <c r="C40" s="194">
        <v>0.44190000000000002</v>
      </c>
      <c r="D40" s="192" t="s">
        <v>6</v>
      </c>
      <c r="E40" s="191"/>
      <c r="F40" s="191"/>
    </row>
    <row r="41" spans="1:6" x14ac:dyDescent="0.3">
      <c r="A41" s="192" t="s">
        <v>13</v>
      </c>
      <c r="B41" s="193">
        <v>0.25</v>
      </c>
      <c r="C41" s="194">
        <v>0.57500000000000007</v>
      </c>
      <c r="D41" s="192" t="s">
        <v>7</v>
      </c>
      <c r="E41" s="191"/>
      <c r="F41" s="191"/>
    </row>
    <row r="42" spans="1:6" x14ac:dyDescent="0.3">
      <c r="A42" s="192" t="s">
        <v>14</v>
      </c>
      <c r="B42" s="193">
        <v>0.26250000000000001</v>
      </c>
      <c r="C42" s="194">
        <v>0.56874999999999998</v>
      </c>
      <c r="D42" s="192" t="s">
        <v>7</v>
      </c>
      <c r="E42" s="191"/>
      <c r="F42" s="191"/>
    </row>
    <row r="43" spans="1:6" x14ac:dyDescent="0.3">
      <c r="A43" s="192" t="s">
        <v>15</v>
      </c>
      <c r="B43" s="193">
        <v>0.27500000000000002</v>
      </c>
      <c r="C43" s="194">
        <v>0.56500000000000006</v>
      </c>
      <c r="D43" s="192" t="s">
        <v>7</v>
      </c>
      <c r="E43" s="191"/>
      <c r="F43" s="191"/>
    </row>
    <row r="44" spans="1:6" x14ac:dyDescent="0.3">
      <c r="A44" s="192" t="s">
        <v>16</v>
      </c>
      <c r="B44" s="193">
        <v>0.25</v>
      </c>
      <c r="C44" s="194">
        <v>0.5625</v>
      </c>
      <c r="D44" s="192" t="s">
        <v>7</v>
      </c>
      <c r="E44" s="191"/>
      <c r="F44" s="191"/>
    </row>
    <row r="45" spans="1:6" x14ac:dyDescent="0.3">
      <c r="A45" s="192" t="s">
        <v>17</v>
      </c>
      <c r="B45" s="193">
        <v>0.27500000000000002</v>
      </c>
      <c r="C45" s="194">
        <v>0.55625000000000002</v>
      </c>
      <c r="D45" s="192" t="s">
        <v>7</v>
      </c>
    </row>
    <row r="46" spans="1:6" x14ac:dyDescent="0.3">
      <c r="A46" s="192" t="s">
        <v>18</v>
      </c>
      <c r="B46" s="193">
        <v>0.27374999999999999</v>
      </c>
      <c r="C46" s="194">
        <v>0.55237500000000006</v>
      </c>
      <c r="D46" s="192" t="s">
        <v>7</v>
      </c>
    </row>
    <row r="48" spans="1:6" x14ac:dyDescent="0.3">
      <c r="A48" s="191"/>
    </row>
    <row r="49" spans="1:6" x14ac:dyDescent="0.3">
      <c r="A49" s="191"/>
      <c r="D49" t="s">
        <v>182</v>
      </c>
      <c r="E49" t="s">
        <v>184</v>
      </c>
      <c r="F49" t="s">
        <v>183</v>
      </c>
    </row>
    <row r="50" spans="1:6" x14ac:dyDescent="0.3">
      <c r="A50" s="191" t="s">
        <v>46</v>
      </c>
      <c r="B50" t="s">
        <v>6</v>
      </c>
      <c r="D50" t="s">
        <v>13</v>
      </c>
      <c r="E50" s="195" cm="1">
        <f t="array" ref="E50">INDEX(Table1[Revenue %],MATCH('Exe Sum &amp; Dashboard'!$AK$8&amp;D50,Table1[Scenario]&amp;Table1[Year],0))</f>
        <v>0.25</v>
      </c>
      <c r="F50" s="195" cm="1">
        <f t="array" ref="F50">INDEX(Table1[COGS %],MATCH('Exe Sum &amp; Dashboard'!$AK$8&amp;D50,Table1[Scenario]&amp;Table1[Year],0))</f>
        <v>0.57500000000000007</v>
      </c>
    </row>
    <row r="51" spans="1:6" x14ac:dyDescent="0.3">
      <c r="A51" s="191"/>
      <c r="D51" t="s">
        <v>14</v>
      </c>
      <c r="E51" s="195" cm="1">
        <f t="array" ref="E51">INDEX(Table1[Revenue %],MATCH('Exe Sum &amp; Dashboard'!$AK$8&amp;D51,Table1[Scenario]&amp;Table1[Year],0))</f>
        <v>0.26250000000000001</v>
      </c>
      <c r="F51" s="195" cm="1">
        <f t="array" ref="F51">INDEX(Table1[COGS %],MATCH('Exe Sum &amp; Dashboard'!$AK$8&amp;D51,Table1[Scenario]&amp;Table1[Year],0))</f>
        <v>0.56874999999999998</v>
      </c>
    </row>
    <row r="52" spans="1:6" x14ac:dyDescent="0.3">
      <c r="A52" s="191"/>
      <c r="D52" t="s">
        <v>15</v>
      </c>
      <c r="E52" s="195" cm="1">
        <f t="array" ref="E52">INDEX(Table1[Revenue %],MATCH('Exe Sum &amp; Dashboard'!$AK$8&amp;D52,Table1[Scenario]&amp;Table1[Year],0))</f>
        <v>0.27500000000000002</v>
      </c>
      <c r="F52" s="195" cm="1">
        <f t="array" ref="F52">INDEX(Table1[COGS %],MATCH('Exe Sum &amp; Dashboard'!$AK$8&amp;D52,Table1[Scenario]&amp;Table1[Year],0))</f>
        <v>0.56500000000000006</v>
      </c>
    </row>
    <row r="53" spans="1:6" x14ac:dyDescent="0.3">
      <c r="A53" s="191"/>
      <c r="D53" t="s">
        <v>16</v>
      </c>
      <c r="E53" s="195" cm="1">
        <f t="array" ref="E53">INDEX(Table1[Revenue %],MATCH('Exe Sum &amp; Dashboard'!$AK$8&amp;D53,Table1[Scenario]&amp;Table1[Year],0))</f>
        <v>0.25</v>
      </c>
      <c r="F53" s="195" cm="1">
        <f t="array" ref="F53">INDEX(Table1[COGS %],MATCH('Exe Sum &amp; Dashboard'!$AK$8&amp;D53,Table1[Scenario]&amp;Table1[Year],0))</f>
        <v>0.5625</v>
      </c>
    </row>
    <row r="54" spans="1:6" x14ac:dyDescent="0.3">
      <c r="A54" s="191"/>
      <c r="D54" t="s">
        <v>17</v>
      </c>
      <c r="E54" s="195" cm="1">
        <f t="array" ref="E54">INDEX(Table1[Revenue %],MATCH('Exe Sum &amp; Dashboard'!$AK$8&amp;D54,Table1[Scenario]&amp;Table1[Year],0))</f>
        <v>0.27500000000000002</v>
      </c>
      <c r="F54" s="195" cm="1">
        <f t="array" ref="F54">INDEX(Table1[COGS %],MATCH('Exe Sum &amp; Dashboard'!$AK$8&amp;D54,Table1[Scenario]&amp;Table1[Year],0))</f>
        <v>0.55625000000000002</v>
      </c>
    </row>
    <row r="55" spans="1:6" x14ac:dyDescent="0.3">
      <c r="A55" s="191"/>
      <c r="D55" t="s">
        <v>18</v>
      </c>
      <c r="E55" s="195" cm="1">
        <f t="array" ref="E55">INDEX(Table1[Revenue %],MATCH('Exe Sum &amp; Dashboard'!$AK$8&amp;D55,Table1[Scenario]&amp;Table1[Year],0))</f>
        <v>0.27374999999999999</v>
      </c>
      <c r="F55" s="195" cm="1">
        <f t="array" ref="F55">INDEX(Table1[COGS %],MATCH('Exe Sum &amp; Dashboard'!$AK$8&amp;D55,Table1[Scenario]&amp;Table1[Year],0))</f>
        <v>0.55237500000000006</v>
      </c>
    </row>
    <row r="56" spans="1:6" x14ac:dyDescent="0.3">
      <c r="A56" s="191"/>
    </row>
    <row r="57" spans="1:6" x14ac:dyDescent="0.3">
      <c r="A57" s="191"/>
    </row>
    <row r="58" spans="1:6" x14ac:dyDescent="0.3">
      <c r="A58" s="191"/>
    </row>
    <row r="59" spans="1:6" x14ac:dyDescent="0.3">
      <c r="A59" s="191"/>
    </row>
    <row r="60" spans="1:6" x14ac:dyDescent="0.3">
      <c r="A60" s="191"/>
    </row>
    <row r="61" spans="1:6" x14ac:dyDescent="0.3">
      <c r="A61" s="191"/>
    </row>
    <row r="62" spans="1:6" x14ac:dyDescent="0.3">
      <c r="A62" s="191"/>
    </row>
    <row r="63" spans="1:6" x14ac:dyDescent="0.3">
      <c r="A63" s="191"/>
    </row>
    <row r="64" spans="1:6" x14ac:dyDescent="0.3">
      <c r="A64" s="191"/>
    </row>
    <row r="65" spans="1:7" x14ac:dyDescent="0.3">
      <c r="A65" s="191"/>
    </row>
    <row r="66" spans="1:7" x14ac:dyDescent="0.3">
      <c r="A66" s="191"/>
    </row>
    <row r="67" spans="1:7" x14ac:dyDescent="0.3">
      <c r="A67" s="191"/>
    </row>
    <row r="68" spans="1:7" x14ac:dyDescent="0.3">
      <c r="A68" s="191"/>
    </row>
    <row r="69" spans="1:7" x14ac:dyDescent="0.3">
      <c r="A69" s="191"/>
    </row>
    <row r="70" spans="1:7" x14ac:dyDescent="0.3">
      <c r="A70" s="191"/>
    </row>
    <row r="71" spans="1:7" x14ac:dyDescent="0.3">
      <c r="A71" s="191"/>
    </row>
    <row r="76" spans="1:7" x14ac:dyDescent="0.3">
      <c r="A76" t="s">
        <v>182</v>
      </c>
      <c r="B76" t="s">
        <v>185</v>
      </c>
      <c r="C76" t="s">
        <v>186</v>
      </c>
      <c r="D76" t="s">
        <v>46</v>
      </c>
    </row>
    <row r="77" spans="1:7" x14ac:dyDescent="0.3">
      <c r="A77" t="s">
        <v>13</v>
      </c>
      <c r="B77" s="195">
        <v>0.02</v>
      </c>
      <c r="C77" s="195">
        <v>0.08</v>
      </c>
      <c r="D77" t="s">
        <v>0</v>
      </c>
    </row>
    <row r="78" spans="1:7" x14ac:dyDescent="0.3">
      <c r="A78" t="s">
        <v>14</v>
      </c>
      <c r="B78" s="195">
        <v>1.9310077519379847E-2</v>
      </c>
      <c r="C78" s="195">
        <v>8.2500000000000004E-2</v>
      </c>
      <c r="D78" t="s">
        <v>0</v>
      </c>
    </row>
    <row r="79" spans="1:7" x14ac:dyDescent="0.3">
      <c r="A79" t="s">
        <v>15</v>
      </c>
      <c r="B79" s="195">
        <v>1.9099999999999999E-2</v>
      </c>
      <c r="C79" s="195">
        <v>8.3000000000000004E-2</v>
      </c>
      <c r="D79" t="s">
        <v>0</v>
      </c>
      <c r="G79" s="195"/>
    </row>
    <row r="80" spans="1:7" x14ac:dyDescent="0.3">
      <c r="A80" t="s">
        <v>16</v>
      </c>
      <c r="B80" s="195">
        <v>1.9E-2</v>
      </c>
      <c r="C80" s="195">
        <v>8.3500000000000005E-2</v>
      </c>
      <c r="D80" t="s">
        <v>0</v>
      </c>
    </row>
    <row r="81" spans="1:7" x14ac:dyDescent="0.3">
      <c r="A81" t="s">
        <v>17</v>
      </c>
      <c r="B81" s="195">
        <v>1.89E-2</v>
      </c>
      <c r="C81" s="195">
        <v>8.4000000000000005E-2</v>
      </c>
      <c r="D81" t="s">
        <v>0</v>
      </c>
    </row>
    <row r="82" spans="1:7" x14ac:dyDescent="0.3">
      <c r="A82" t="s">
        <v>18</v>
      </c>
      <c r="B82" s="195">
        <v>1.8508992248062E-2</v>
      </c>
      <c r="C82" s="195">
        <v>8.5096201550387607E-2</v>
      </c>
      <c r="D82" t="s">
        <v>0</v>
      </c>
    </row>
    <row r="83" spans="1:7" x14ac:dyDescent="0.3">
      <c r="A83" t="s">
        <v>13</v>
      </c>
      <c r="B83" s="195">
        <v>1.7500000000000002E-2</v>
      </c>
      <c r="C83" s="195">
        <v>7.0000000000000007E-2</v>
      </c>
      <c r="D83" t="s">
        <v>5</v>
      </c>
    </row>
    <row r="84" spans="1:7" x14ac:dyDescent="0.3">
      <c r="A84" t="s">
        <v>14</v>
      </c>
      <c r="B84" s="195">
        <v>1.7600000000000001E-2</v>
      </c>
      <c r="C84" s="195">
        <v>7.0999999999999994E-2</v>
      </c>
      <c r="D84" t="s">
        <v>5</v>
      </c>
    </row>
    <row r="85" spans="1:7" x14ac:dyDescent="0.3">
      <c r="A85" t="s">
        <v>15</v>
      </c>
      <c r="B85" s="195">
        <v>1.72E-2</v>
      </c>
      <c r="C85" s="195">
        <v>7.1499999999999994E-2</v>
      </c>
      <c r="D85" t="s">
        <v>5</v>
      </c>
    </row>
    <row r="86" spans="1:7" x14ac:dyDescent="0.3">
      <c r="A86" t="s">
        <v>16</v>
      </c>
      <c r="B86" s="195">
        <v>1.7299999999999999E-2</v>
      </c>
      <c r="C86" s="195">
        <v>7.1999999999999995E-2</v>
      </c>
      <c r="D86" t="s">
        <v>5</v>
      </c>
      <c r="F86" s="195"/>
      <c r="G86" s="195"/>
    </row>
    <row r="87" spans="1:7" x14ac:dyDescent="0.3">
      <c r="A87" t="s">
        <v>17</v>
      </c>
      <c r="B87" s="195">
        <v>1.7100000000000001E-2</v>
      </c>
      <c r="C87" s="195">
        <v>7.2499999999999995E-2</v>
      </c>
      <c r="D87" t="s">
        <v>5</v>
      </c>
      <c r="F87" s="195"/>
      <c r="G87" s="195"/>
    </row>
    <row r="88" spans="1:7" x14ac:dyDescent="0.3">
      <c r="A88" t="s">
        <v>18</v>
      </c>
      <c r="B88" s="195">
        <v>1.7010000000000001E-2</v>
      </c>
      <c r="C88" s="195">
        <v>7.3200000000000001E-2</v>
      </c>
      <c r="D88" t="s">
        <v>5</v>
      </c>
      <c r="F88" s="195"/>
      <c r="G88" s="195"/>
    </row>
    <row r="89" spans="1:7" x14ac:dyDescent="0.3">
      <c r="A89" t="s">
        <v>13</v>
      </c>
      <c r="B89" s="195">
        <v>1.4999999999999999E-2</v>
      </c>
      <c r="C89" s="195">
        <v>0.06</v>
      </c>
      <c r="D89" t="s">
        <v>6</v>
      </c>
    </row>
    <row r="90" spans="1:7" x14ac:dyDescent="0.3">
      <c r="A90" t="s">
        <v>14</v>
      </c>
      <c r="B90" s="195">
        <v>1.4999999999999999E-2</v>
      </c>
      <c r="C90" s="195">
        <v>6.0999999999999999E-2</v>
      </c>
      <c r="D90" t="s">
        <v>6</v>
      </c>
    </row>
    <row r="91" spans="1:7" x14ac:dyDescent="0.3">
      <c r="A91" t="s">
        <v>15</v>
      </c>
      <c r="B91" s="195">
        <v>1.2500000000000001E-2</v>
      </c>
      <c r="C91" s="195">
        <v>6.1499999999999999E-2</v>
      </c>
      <c r="D91" t="s">
        <v>6</v>
      </c>
    </row>
    <row r="92" spans="1:7" x14ac:dyDescent="0.3">
      <c r="A92" t="s">
        <v>16</v>
      </c>
      <c r="B92" s="195">
        <v>1.2500000000000001E-2</v>
      </c>
      <c r="C92" s="195">
        <v>6.2E-2</v>
      </c>
      <c r="D92" t="s">
        <v>6</v>
      </c>
    </row>
    <row r="93" spans="1:7" x14ac:dyDescent="0.3">
      <c r="A93" t="s">
        <v>17</v>
      </c>
      <c r="B93" s="195">
        <v>1.2E-2</v>
      </c>
      <c r="C93" s="195">
        <v>6.25E-2</v>
      </c>
      <c r="D93" t="s">
        <v>6</v>
      </c>
    </row>
    <row r="94" spans="1:7" x14ac:dyDescent="0.3">
      <c r="A94" t="s">
        <v>18</v>
      </c>
      <c r="B94" s="195">
        <v>1.085E-2</v>
      </c>
      <c r="C94" s="195">
        <v>6.3200000000000006E-2</v>
      </c>
      <c r="D94" t="s">
        <v>6</v>
      </c>
    </row>
    <row r="95" spans="1:7" x14ac:dyDescent="0.3">
      <c r="A95" t="s">
        <v>13</v>
      </c>
      <c r="B95" s="195">
        <v>1.2749999999999999E-2</v>
      </c>
      <c r="C95" s="195">
        <v>5.0999999999999997E-2</v>
      </c>
      <c r="D95" t="s">
        <v>7</v>
      </c>
    </row>
    <row r="96" spans="1:7" x14ac:dyDescent="0.3">
      <c r="A96" t="s">
        <v>14</v>
      </c>
      <c r="B96" s="195">
        <v>1.2749999999999999E-2</v>
      </c>
      <c r="C96" s="195">
        <v>5.185E-2</v>
      </c>
      <c r="D96" t="s">
        <v>7</v>
      </c>
    </row>
    <row r="97" spans="1:6" x14ac:dyDescent="0.3">
      <c r="A97" t="s">
        <v>15</v>
      </c>
      <c r="B97" s="195">
        <v>1.0625000000000001E-2</v>
      </c>
      <c r="C97" s="195">
        <v>5.2274999999999995E-2</v>
      </c>
      <c r="D97" t="s">
        <v>7</v>
      </c>
    </row>
    <row r="98" spans="1:6" x14ac:dyDescent="0.3">
      <c r="A98" t="s">
        <v>16</v>
      </c>
      <c r="B98" s="195">
        <v>1.0625000000000001E-2</v>
      </c>
      <c r="C98" s="195">
        <v>5.2699999999999997E-2</v>
      </c>
      <c r="D98" t="s">
        <v>7</v>
      </c>
    </row>
    <row r="99" spans="1:6" x14ac:dyDescent="0.3">
      <c r="A99" t="s">
        <v>17</v>
      </c>
      <c r="B99" s="195">
        <v>1.0200000000000001E-2</v>
      </c>
      <c r="C99" s="195">
        <v>5.3124999999999999E-2</v>
      </c>
      <c r="D99" t="s">
        <v>7</v>
      </c>
    </row>
    <row r="100" spans="1:6" x14ac:dyDescent="0.3">
      <c r="A100" t="s">
        <v>18</v>
      </c>
      <c r="B100" s="195">
        <v>9.2224999999999998E-3</v>
      </c>
      <c r="C100" s="195">
        <v>5.3720000000000004E-2</v>
      </c>
      <c r="D100" t="s">
        <v>7</v>
      </c>
    </row>
    <row r="104" spans="1:6" x14ac:dyDescent="0.3">
      <c r="A104" s="191"/>
      <c r="D104" t="s">
        <v>182</v>
      </c>
      <c r="E104" t="s">
        <v>185</v>
      </c>
      <c r="F104" t="s">
        <v>186</v>
      </c>
    </row>
    <row r="105" spans="1:6" x14ac:dyDescent="0.3">
      <c r="A105" s="191" t="s">
        <v>46</v>
      </c>
      <c r="B105" t="s">
        <v>6</v>
      </c>
      <c r="D105" t="s">
        <v>13</v>
      </c>
      <c r="E105" s="195" cm="1">
        <f t="array" ref="E105">INDEX(Table2[R&amp;D%],MATCH('Exe Sum &amp; Dashboard'!$AR$8&amp;D105,Table2[Scenario]&amp;Table2[Year],0))</f>
        <v>1.7500000000000002E-2</v>
      </c>
      <c r="F105" s="195" cm="1">
        <f t="array" ref="F105">INDEX(Table2[SG&amp;A%],MATCH('Exe Sum &amp; Dashboard'!$AR$8&amp;D105,Table2[Scenario]&amp;Table2[Year],0))</f>
        <v>7.0000000000000007E-2</v>
      </c>
    </row>
    <row r="106" spans="1:6" x14ac:dyDescent="0.3">
      <c r="A106" s="191"/>
      <c r="D106" t="s">
        <v>14</v>
      </c>
      <c r="E106" s="195" cm="1">
        <f t="array" ref="E106">INDEX(Table2[R&amp;D%],MATCH('Exe Sum &amp; Dashboard'!$AR$8&amp;D106,Table2[Scenario]&amp;Table2[Year],0))</f>
        <v>1.7600000000000001E-2</v>
      </c>
      <c r="F106" s="195" cm="1">
        <f t="array" ref="F106">INDEX(Table2[SG&amp;A%],MATCH('Exe Sum &amp; Dashboard'!$AR$8&amp;D106,Table2[Scenario]&amp;Table2[Year],0))</f>
        <v>7.0999999999999994E-2</v>
      </c>
    </row>
    <row r="107" spans="1:6" x14ac:dyDescent="0.3">
      <c r="A107" s="191"/>
      <c r="D107" t="s">
        <v>15</v>
      </c>
      <c r="E107" s="195" cm="1">
        <f t="array" ref="E107">INDEX(Table2[R&amp;D%],MATCH('Exe Sum &amp; Dashboard'!$AR$8&amp;D107,Table2[Scenario]&amp;Table2[Year],0))</f>
        <v>1.72E-2</v>
      </c>
      <c r="F107" s="195" cm="1">
        <f t="array" ref="F107">INDEX(Table2[SG&amp;A%],MATCH('Exe Sum &amp; Dashboard'!$AR$8&amp;D107,Table2[Scenario]&amp;Table2[Year],0))</f>
        <v>7.1499999999999994E-2</v>
      </c>
    </row>
    <row r="108" spans="1:6" x14ac:dyDescent="0.3">
      <c r="A108" s="191"/>
      <c r="D108" t="s">
        <v>16</v>
      </c>
      <c r="E108" s="195" cm="1">
        <f t="array" ref="E108">INDEX(Table2[R&amp;D%],MATCH('Exe Sum &amp; Dashboard'!$AR$8&amp;D108,Table2[Scenario]&amp;Table2[Year],0))</f>
        <v>1.7299999999999999E-2</v>
      </c>
      <c r="F108" s="195" cm="1">
        <f t="array" ref="F108">INDEX(Table2[SG&amp;A%],MATCH('Exe Sum &amp; Dashboard'!$AR$8&amp;D108,Table2[Scenario]&amp;Table2[Year],0))</f>
        <v>7.1999999999999995E-2</v>
      </c>
    </row>
    <row r="109" spans="1:6" x14ac:dyDescent="0.3">
      <c r="A109" s="191"/>
      <c r="D109" t="s">
        <v>17</v>
      </c>
      <c r="E109" s="195" cm="1">
        <f t="array" ref="E109">INDEX(Table2[R&amp;D%],MATCH('Exe Sum &amp; Dashboard'!$AR$8&amp;D109,Table2[Scenario]&amp;Table2[Year],0))</f>
        <v>1.7100000000000001E-2</v>
      </c>
      <c r="F109" s="195" cm="1">
        <f t="array" ref="F109">INDEX(Table2[SG&amp;A%],MATCH('Exe Sum &amp; Dashboard'!$AR$8&amp;D109,Table2[Scenario]&amp;Table2[Year],0))</f>
        <v>7.2499999999999995E-2</v>
      </c>
    </row>
    <row r="110" spans="1:6" x14ac:dyDescent="0.3">
      <c r="A110" s="191"/>
      <c r="D110" t="s">
        <v>18</v>
      </c>
      <c r="E110" s="195" cm="1">
        <f t="array" ref="E110">INDEX(Table2[R&amp;D%],MATCH('Exe Sum &amp; Dashboard'!$AR$8&amp;D110,Table2[Scenario]&amp;Table2[Year],0))</f>
        <v>1.7010000000000001E-2</v>
      </c>
      <c r="F110" s="195" cm="1">
        <f t="array" ref="F110">INDEX(Table2[SG&amp;A%],MATCH('Exe Sum &amp; Dashboard'!$AR$8&amp;D110,Table2[Scenario]&amp;Table2[Year],0))</f>
        <v>7.3200000000000001E-2</v>
      </c>
    </row>
    <row r="114" spans="1:10" x14ac:dyDescent="0.3">
      <c r="A114" s="195"/>
      <c r="B114" s="195"/>
      <c r="C114" s="195"/>
      <c r="D114" s="195"/>
    </row>
    <row r="115" spans="1:10" x14ac:dyDescent="0.3">
      <c r="A115" s="195"/>
      <c r="B115" s="195"/>
      <c r="C115" s="195"/>
      <c r="D115" s="195"/>
    </row>
    <row r="116" spans="1:10" x14ac:dyDescent="0.3">
      <c r="A116" s="195"/>
      <c r="B116" s="195"/>
      <c r="C116" s="195"/>
      <c r="D116" s="195"/>
    </row>
    <row r="128" spans="1:10" x14ac:dyDescent="0.3">
      <c r="A128" t="s">
        <v>182</v>
      </c>
      <c r="B128" t="s">
        <v>187</v>
      </c>
      <c r="C128" t="s">
        <v>46</v>
      </c>
      <c r="E128" s="189"/>
      <c r="F128" s="189"/>
      <c r="G128" s="189"/>
      <c r="H128" s="189"/>
      <c r="I128" s="189"/>
      <c r="J128" s="189"/>
    </row>
    <row r="129" spans="1:3" x14ac:dyDescent="0.3">
      <c r="A129" t="s">
        <v>13</v>
      </c>
      <c r="B129" s="189">
        <v>17055.100000000002</v>
      </c>
      <c r="C129" t="s">
        <v>0</v>
      </c>
    </row>
    <row r="130" spans="1:3" x14ac:dyDescent="0.3">
      <c r="A130" t="s">
        <v>14</v>
      </c>
      <c r="B130" s="189">
        <v>18344.748000000003</v>
      </c>
      <c r="C130" t="s">
        <v>0</v>
      </c>
    </row>
    <row r="131" spans="1:3" x14ac:dyDescent="0.3">
      <c r="A131" t="s">
        <v>15</v>
      </c>
      <c r="B131" s="189">
        <v>19983.877424000009</v>
      </c>
      <c r="C131" t="s">
        <v>0</v>
      </c>
    </row>
    <row r="132" spans="1:3" x14ac:dyDescent="0.3">
      <c r="A132" t="s">
        <v>16</v>
      </c>
      <c r="B132" s="189">
        <v>21359.696576000006</v>
      </c>
      <c r="C132" t="s">
        <v>0</v>
      </c>
    </row>
    <row r="133" spans="1:3" x14ac:dyDescent="0.3">
      <c r="A133" t="s">
        <v>17</v>
      </c>
      <c r="B133" s="189">
        <v>23417.530623728006</v>
      </c>
      <c r="C133" t="s">
        <v>0</v>
      </c>
    </row>
    <row r="134" spans="1:3" x14ac:dyDescent="0.3">
      <c r="A134" t="s">
        <v>18</v>
      </c>
      <c r="B134" s="189">
        <v>25552.170768392858</v>
      </c>
      <c r="C134" t="s">
        <v>0</v>
      </c>
    </row>
    <row r="135" spans="1:3" x14ac:dyDescent="0.3">
      <c r="A135" t="s">
        <v>13</v>
      </c>
      <c r="B135" s="189">
        <v>19616.374999999996</v>
      </c>
      <c r="C135" t="s">
        <v>5</v>
      </c>
    </row>
    <row r="136" spans="1:3" x14ac:dyDescent="0.3">
      <c r="A136" t="s">
        <v>14</v>
      </c>
      <c r="B136" s="189">
        <v>22299.762799999997</v>
      </c>
      <c r="C136" t="s">
        <v>5</v>
      </c>
    </row>
    <row r="137" spans="1:3" x14ac:dyDescent="0.3">
      <c r="A137" t="s">
        <v>15</v>
      </c>
      <c r="B137" s="189">
        <v>26636.209441999992</v>
      </c>
      <c r="C137" t="s">
        <v>5</v>
      </c>
    </row>
    <row r="138" spans="1:3" x14ac:dyDescent="0.3">
      <c r="A138" t="s">
        <v>16</v>
      </c>
      <c r="B138" s="189">
        <v>30836.074228699988</v>
      </c>
      <c r="C138" t="s">
        <v>5</v>
      </c>
    </row>
    <row r="139" spans="1:3" x14ac:dyDescent="0.3">
      <c r="A139" t="s">
        <v>17</v>
      </c>
      <c r="B139" s="189">
        <v>36327.230271367982</v>
      </c>
      <c r="C139" t="s">
        <v>5</v>
      </c>
    </row>
    <row r="140" spans="1:3" x14ac:dyDescent="0.3">
      <c r="A140" t="s">
        <v>18</v>
      </c>
      <c r="B140" s="189">
        <v>42562.17252954188</v>
      </c>
      <c r="C140" t="s">
        <v>5</v>
      </c>
    </row>
    <row r="141" spans="1:3" x14ac:dyDescent="0.3">
      <c r="A141" t="s">
        <v>13</v>
      </c>
      <c r="B141" s="189">
        <v>22096.399999999998</v>
      </c>
      <c r="C141" t="s">
        <v>6</v>
      </c>
    </row>
    <row r="142" spans="1:3" x14ac:dyDescent="0.3">
      <c r="A142" t="s">
        <v>14</v>
      </c>
      <c r="B142" s="189">
        <v>26872.915999999997</v>
      </c>
      <c r="C142" t="s">
        <v>6</v>
      </c>
    </row>
    <row r="143" spans="1:3" x14ac:dyDescent="0.3">
      <c r="A143" t="s">
        <v>15</v>
      </c>
      <c r="B143" s="189">
        <v>33030.61327999999</v>
      </c>
      <c r="C143" t="s">
        <v>6</v>
      </c>
    </row>
    <row r="144" spans="1:3" x14ac:dyDescent="0.3">
      <c r="A144" t="s">
        <v>16</v>
      </c>
      <c r="B144" s="189">
        <v>39611.632783999994</v>
      </c>
      <c r="C144" t="s">
        <v>6</v>
      </c>
    </row>
    <row r="145" spans="1:3" x14ac:dyDescent="0.3">
      <c r="A145" t="s">
        <v>17</v>
      </c>
      <c r="B145" s="189">
        <v>48666.599069119984</v>
      </c>
      <c r="C145" t="s">
        <v>6</v>
      </c>
    </row>
    <row r="146" spans="1:3" x14ac:dyDescent="0.3">
      <c r="A146" t="s">
        <v>18</v>
      </c>
      <c r="B146" s="189">
        <v>59537.477587390495</v>
      </c>
      <c r="C146" t="s">
        <v>6</v>
      </c>
    </row>
    <row r="147" spans="1:3" x14ac:dyDescent="0.3">
      <c r="A147" t="s">
        <v>13</v>
      </c>
      <c r="B147" s="189">
        <v>17442.187499999996</v>
      </c>
      <c r="C147" t="s">
        <v>7</v>
      </c>
    </row>
    <row r="148" spans="1:3" x14ac:dyDescent="0.3">
      <c r="A148" t="s">
        <v>14</v>
      </c>
      <c r="B148" s="189">
        <v>22264.983593749999</v>
      </c>
      <c r="C148" t="s">
        <v>7</v>
      </c>
    </row>
    <row r="149" spans="1:3" x14ac:dyDescent="0.3">
      <c r="A149" t="s">
        <v>15</v>
      </c>
      <c r="B149" s="189">
        <v>28705.525507812494</v>
      </c>
      <c r="C149" t="s">
        <v>7</v>
      </c>
    </row>
    <row r="150" spans="1:3" x14ac:dyDescent="0.3">
      <c r="A150" t="s">
        <v>16</v>
      </c>
      <c r="B150" s="189">
        <v>35912.018200683597</v>
      </c>
      <c r="C150" t="s">
        <v>7</v>
      </c>
    </row>
    <row r="151" spans="1:3" x14ac:dyDescent="0.3">
      <c r="A151" t="s">
        <v>17</v>
      </c>
      <c r="B151" s="189">
        <v>46380.440780944817</v>
      </c>
      <c r="C151" t="s">
        <v>7</v>
      </c>
    </row>
    <row r="152" spans="1:3" x14ac:dyDescent="0.3">
      <c r="A152" t="s">
        <v>18</v>
      </c>
      <c r="B152" s="189">
        <v>59476.332163663508</v>
      </c>
      <c r="C152" t="s">
        <v>7</v>
      </c>
    </row>
    <row r="171" spans="1:10" x14ac:dyDescent="0.3">
      <c r="A171" t="s">
        <v>182</v>
      </c>
      <c r="B171" t="s">
        <v>188</v>
      </c>
      <c r="C171" t="s">
        <v>46</v>
      </c>
    </row>
    <row r="172" spans="1:10" x14ac:dyDescent="0.3">
      <c r="A172" t="s">
        <v>13</v>
      </c>
      <c r="B172" s="189">
        <v>13983.48291018565</v>
      </c>
      <c r="C172" t="s">
        <v>0</v>
      </c>
      <c r="E172" s="189"/>
      <c r="F172" s="189"/>
      <c r="G172" s="189"/>
      <c r="H172" s="189"/>
      <c r="I172" s="189"/>
      <c r="J172" s="189"/>
    </row>
    <row r="173" spans="1:10" x14ac:dyDescent="0.3">
      <c r="A173" t="s">
        <v>14</v>
      </c>
      <c r="B173" s="189">
        <v>15111.005491220611</v>
      </c>
      <c r="C173" t="s">
        <v>0</v>
      </c>
    </row>
    <row r="174" spans="1:10" x14ac:dyDescent="0.3">
      <c r="A174" t="s">
        <v>15</v>
      </c>
      <c r="B174" s="189">
        <v>17098.696824363367</v>
      </c>
      <c r="C174" t="s">
        <v>0</v>
      </c>
    </row>
    <row r="175" spans="1:10" x14ac:dyDescent="0.3">
      <c r="A175" t="s">
        <v>16</v>
      </c>
      <c r="B175" s="189">
        <v>18442.108506732897</v>
      </c>
      <c r="C175" t="s">
        <v>0</v>
      </c>
    </row>
    <row r="176" spans="1:10" x14ac:dyDescent="0.3">
      <c r="A176" t="s">
        <v>17</v>
      </c>
      <c r="B176" s="189">
        <v>21205.784609329006</v>
      </c>
      <c r="C176" t="s">
        <v>0</v>
      </c>
    </row>
    <row r="177" spans="1:3" x14ac:dyDescent="0.3">
      <c r="A177" t="s">
        <v>18</v>
      </c>
      <c r="B177" s="189">
        <v>22876.183091411272</v>
      </c>
      <c r="C177" t="s">
        <v>0</v>
      </c>
    </row>
    <row r="178" spans="1:3" x14ac:dyDescent="0.3">
      <c r="A178" t="s">
        <v>13</v>
      </c>
      <c r="B178" s="189">
        <v>15631.690337431006</v>
      </c>
      <c r="C178" t="s">
        <v>5</v>
      </c>
    </row>
    <row r="179" spans="1:3" x14ac:dyDescent="0.3">
      <c r="A179" t="s">
        <v>14</v>
      </c>
      <c r="B179" s="189">
        <v>17813.714073206072</v>
      </c>
      <c r="C179" t="s">
        <v>5</v>
      </c>
    </row>
    <row r="180" spans="1:3" x14ac:dyDescent="0.3">
      <c r="A180" t="s">
        <v>15</v>
      </c>
      <c r="B180" s="189">
        <v>21845.672366839452</v>
      </c>
      <c r="C180" t="s">
        <v>5</v>
      </c>
    </row>
    <row r="181" spans="1:3" x14ac:dyDescent="0.3">
      <c r="A181" t="s">
        <v>16</v>
      </c>
      <c r="B181" s="189">
        <v>25342.465774581338</v>
      </c>
      <c r="C181" t="s">
        <v>5</v>
      </c>
    </row>
    <row r="182" spans="1:3" x14ac:dyDescent="0.3">
      <c r="A182" t="s">
        <v>17</v>
      </c>
      <c r="B182" s="189">
        <v>30690.902877371773</v>
      </c>
      <c r="C182" t="s">
        <v>5</v>
      </c>
    </row>
    <row r="183" spans="1:3" x14ac:dyDescent="0.3">
      <c r="A183" t="s">
        <v>18</v>
      </c>
      <c r="B183" s="189">
        <v>35483.432994882613</v>
      </c>
      <c r="C183" t="s">
        <v>5</v>
      </c>
    </row>
    <row r="184" spans="1:3" x14ac:dyDescent="0.3">
      <c r="A184" t="s">
        <v>13</v>
      </c>
      <c r="B184" s="189">
        <v>17115.696764676366</v>
      </c>
      <c r="C184" t="s">
        <v>6</v>
      </c>
    </row>
    <row r="185" spans="1:3" x14ac:dyDescent="0.3">
      <c r="A185" t="s">
        <v>14</v>
      </c>
      <c r="B185" s="189">
        <v>20827.38910879154</v>
      </c>
      <c r="C185" t="s">
        <v>6</v>
      </c>
    </row>
    <row r="186" spans="1:3" x14ac:dyDescent="0.3">
      <c r="A186" t="s">
        <v>15</v>
      </c>
      <c r="B186" s="189">
        <v>26131.045068155545</v>
      </c>
      <c r="C186" t="s">
        <v>6</v>
      </c>
    </row>
    <row r="187" spans="1:3" x14ac:dyDescent="0.3">
      <c r="A187" t="s">
        <v>16</v>
      </c>
      <c r="B187" s="189">
        <v>31333.247879589995</v>
      </c>
      <c r="C187" t="s">
        <v>6</v>
      </c>
    </row>
    <row r="188" spans="1:3" x14ac:dyDescent="0.3">
      <c r="A188" t="s">
        <v>17</v>
      </c>
      <c r="B188" s="189">
        <v>39228.463036993635</v>
      </c>
      <c r="C188" t="s">
        <v>6</v>
      </c>
    </row>
    <row r="189" spans="1:3" x14ac:dyDescent="0.3">
      <c r="A189" t="s">
        <v>18</v>
      </c>
      <c r="B189" s="189">
        <v>47384.086816916184</v>
      </c>
      <c r="C189" t="s">
        <v>6</v>
      </c>
    </row>
    <row r="190" spans="1:3" x14ac:dyDescent="0.3">
      <c r="A190" t="s">
        <v>13</v>
      </c>
      <c r="B190" s="189">
        <v>13399.830853299043</v>
      </c>
      <c r="C190" t="s">
        <v>7</v>
      </c>
    </row>
    <row r="191" spans="1:3" x14ac:dyDescent="0.3">
      <c r="A191" t="s">
        <v>14</v>
      </c>
      <c r="B191" s="189">
        <v>17101.642082903025</v>
      </c>
      <c r="C191" t="s">
        <v>7</v>
      </c>
    </row>
    <row r="192" spans="1:3" x14ac:dyDescent="0.3">
      <c r="A192" t="s">
        <v>15</v>
      </c>
      <c r="B192" s="189">
        <v>22551.142672235346</v>
      </c>
      <c r="C192" t="s">
        <v>7</v>
      </c>
    </row>
    <row r="193" spans="1:10" x14ac:dyDescent="0.3">
      <c r="A193" t="s">
        <v>16</v>
      </c>
      <c r="B193" s="189">
        <v>28155.722339622924</v>
      </c>
      <c r="C193" t="s">
        <v>7</v>
      </c>
    </row>
    <row r="194" spans="1:10" x14ac:dyDescent="0.3">
      <c r="A194" t="s">
        <v>17</v>
      </c>
      <c r="B194" s="189">
        <v>37004.093940298117</v>
      </c>
      <c r="C194" t="s">
        <v>7</v>
      </c>
    </row>
    <row r="195" spans="1:10" x14ac:dyDescent="0.3">
      <c r="A195" t="s">
        <v>18</v>
      </c>
      <c r="B195" s="189">
        <v>46710.929677340027</v>
      </c>
      <c r="C195" t="s">
        <v>7</v>
      </c>
    </row>
    <row r="202" spans="1:10" x14ac:dyDescent="0.3">
      <c r="A202" t="s">
        <v>182</v>
      </c>
      <c r="B202" t="s">
        <v>191</v>
      </c>
      <c r="C202" t="s">
        <v>46</v>
      </c>
    </row>
    <row r="203" spans="1:10" x14ac:dyDescent="0.3">
      <c r="A203" t="s">
        <v>13</v>
      </c>
      <c r="B203" s="196">
        <v>15.417205980326074</v>
      </c>
      <c r="C203" t="s">
        <v>0</v>
      </c>
      <c r="E203" s="196"/>
      <c r="F203" s="196"/>
      <c r="G203" s="196"/>
      <c r="H203" s="196"/>
      <c r="I203" s="196"/>
      <c r="J203" s="196"/>
    </row>
    <row r="204" spans="1:10" x14ac:dyDescent="0.3">
      <c r="A204" t="s">
        <v>14</v>
      </c>
      <c r="B204" s="196">
        <v>16.660333174812276</v>
      </c>
      <c r="C204" t="s">
        <v>0</v>
      </c>
    </row>
    <row r="205" spans="1:10" x14ac:dyDescent="0.3">
      <c r="A205" t="s">
        <v>15</v>
      </c>
      <c r="B205" s="196">
        <v>18.851822012407169</v>
      </c>
      <c r="C205" t="s">
        <v>0</v>
      </c>
    </row>
    <row r="206" spans="1:10" x14ac:dyDescent="0.3">
      <c r="A206" t="s">
        <v>16</v>
      </c>
      <c r="B206" s="196">
        <v>20.332973364791702</v>
      </c>
      <c r="C206" t="s">
        <v>0</v>
      </c>
    </row>
    <row r="207" spans="1:10" x14ac:dyDescent="0.3">
      <c r="A207" t="s">
        <v>17</v>
      </c>
      <c r="B207" s="196">
        <v>23.380008499764617</v>
      </c>
      <c r="C207" t="s">
        <v>0</v>
      </c>
    </row>
    <row r="208" spans="1:10" x14ac:dyDescent="0.3">
      <c r="A208" t="s">
        <v>18</v>
      </c>
      <c r="B208" s="196">
        <v>25.221672528168284</v>
      </c>
      <c r="C208" t="s">
        <v>0</v>
      </c>
    </row>
    <row r="209" spans="1:3" x14ac:dyDescent="0.3">
      <c r="A209" t="s">
        <v>13</v>
      </c>
      <c r="B209" s="196">
        <v>17.234403710487822</v>
      </c>
      <c r="C209" t="s">
        <v>5</v>
      </c>
    </row>
    <row r="210" spans="1:3" x14ac:dyDescent="0.3">
      <c r="A210" t="s">
        <v>14</v>
      </c>
      <c r="B210" s="196">
        <v>19.640149804252534</v>
      </c>
      <c r="C210" t="s">
        <v>5</v>
      </c>
    </row>
    <row r="211" spans="1:3" x14ac:dyDescent="0.3">
      <c r="A211" t="s">
        <v>15</v>
      </c>
      <c r="B211" s="196">
        <v>24.08550379197408</v>
      </c>
      <c r="C211" t="s">
        <v>5</v>
      </c>
    </row>
    <row r="212" spans="1:3" x14ac:dyDescent="0.3">
      <c r="A212" t="s">
        <v>16</v>
      </c>
      <c r="B212" s="196">
        <v>27.94082256942502</v>
      </c>
      <c r="C212" t="s">
        <v>5</v>
      </c>
    </row>
    <row r="213" spans="1:3" x14ac:dyDescent="0.3">
      <c r="A213" t="s">
        <v>17</v>
      </c>
      <c r="B213" s="196">
        <v>33.837633615439579</v>
      </c>
      <c r="C213" t="s">
        <v>5</v>
      </c>
    </row>
    <row r="214" spans="1:3" x14ac:dyDescent="0.3">
      <c r="A214" t="s">
        <v>18</v>
      </c>
      <c r="B214" s="196">
        <v>39.121540669436897</v>
      </c>
      <c r="C214" t="s">
        <v>5</v>
      </c>
    </row>
    <row r="215" spans="1:3" x14ac:dyDescent="0.3">
      <c r="A215" t="s">
        <v>13</v>
      </c>
      <c r="B215" s="196">
        <v>18.870564952427348</v>
      </c>
      <c r="C215" t="s">
        <v>6</v>
      </c>
    </row>
    <row r="216" spans="1:3" x14ac:dyDescent="0.3">
      <c r="A216" t="s">
        <v>14</v>
      </c>
      <c r="B216" s="196">
        <v>22.962816201444912</v>
      </c>
      <c r="C216" t="s">
        <v>6</v>
      </c>
    </row>
    <row r="217" spans="1:3" x14ac:dyDescent="0.3">
      <c r="A217" t="s">
        <v>15</v>
      </c>
      <c r="B217" s="196">
        <v>28.810254704390324</v>
      </c>
      <c r="C217" t="s">
        <v>6</v>
      </c>
    </row>
    <row r="218" spans="1:3" x14ac:dyDescent="0.3">
      <c r="A218" t="s">
        <v>16</v>
      </c>
      <c r="B218" s="196">
        <v>34.545838093053504</v>
      </c>
      <c r="C218" t="s">
        <v>6</v>
      </c>
    </row>
    <row r="219" spans="1:3" x14ac:dyDescent="0.3">
      <c r="A219" t="s">
        <v>17</v>
      </c>
      <c r="B219" s="196">
        <v>43.250547722442143</v>
      </c>
      <c r="C219" t="s">
        <v>6</v>
      </c>
    </row>
    <row r="220" spans="1:3" x14ac:dyDescent="0.3">
      <c r="A220" t="s">
        <v>18</v>
      </c>
      <c r="B220" s="196">
        <v>52.242365606491894</v>
      </c>
      <c r="C220" t="s">
        <v>6</v>
      </c>
    </row>
    <row r="221" spans="1:3" x14ac:dyDescent="0.3">
      <c r="A221" t="s">
        <v>13</v>
      </c>
      <c r="B221" s="196">
        <v>14.773712221320769</v>
      </c>
      <c r="C221" t="s">
        <v>7</v>
      </c>
    </row>
    <row r="222" spans="1:3" x14ac:dyDescent="0.3">
      <c r="A222" t="s">
        <v>14</v>
      </c>
      <c r="B222" s="196">
        <v>18.855069247581902</v>
      </c>
      <c r="C222" t="s">
        <v>7</v>
      </c>
    </row>
    <row r="223" spans="1:3" x14ac:dyDescent="0.3">
      <c r="A223" t="s">
        <v>15</v>
      </c>
      <c r="B223" s="196">
        <v>24.863305794604603</v>
      </c>
      <c r="C223" t="s">
        <v>7</v>
      </c>
    </row>
    <row r="224" spans="1:3" x14ac:dyDescent="0.3">
      <c r="A224" t="s">
        <v>16</v>
      </c>
      <c r="B224" s="196">
        <v>31.042521639487017</v>
      </c>
      <c r="C224" t="s">
        <v>7</v>
      </c>
    </row>
    <row r="225" spans="1:10" x14ac:dyDescent="0.3">
      <c r="A225" t="s">
        <v>17</v>
      </c>
      <c r="B225" s="196">
        <v>40.798114608296665</v>
      </c>
      <c r="C225" t="s">
        <v>7</v>
      </c>
    </row>
    <row r="226" spans="1:10" x14ac:dyDescent="0.3">
      <c r="A226" t="s">
        <v>18</v>
      </c>
      <c r="B226" s="196">
        <v>51.500189830640437</v>
      </c>
      <c r="C226" t="s">
        <v>7</v>
      </c>
    </row>
    <row r="233" spans="1:10" x14ac:dyDescent="0.3">
      <c r="A233" t="s">
        <v>182</v>
      </c>
      <c r="B233" t="s">
        <v>193</v>
      </c>
      <c r="C233" t="s">
        <v>46</v>
      </c>
    </row>
    <row r="234" spans="1:10" x14ac:dyDescent="0.3">
      <c r="A234" t="s">
        <v>13</v>
      </c>
      <c r="B234" s="189">
        <v>14307.8491803712</v>
      </c>
      <c r="C234" t="s">
        <v>0</v>
      </c>
      <c r="E234" s="189"/>
      <c r="F234" s="189"/>
      <c r="G234" s="189"/>
      <c r="H234" s="189"/>
      <c r="I234" s="189"/>
      <c r="J234" s="189"/>
    </row>
    <row r="235" spans="1:10" x14ac:dyDescent="0.3">
      <c r="A235" t="s">
        <v>14</v>
      </c>
      <c r="B235" s="189">
        <v>16717.299299234015</v>
      </c>
      <c r="C235" t="s">
        <v>0</v>
      </c>
    </row>
    <row r="236" spans="1:10" x14ac:dyDescent="0.3">
      <c r="A236" t="s">
        <v>15</v>
      </c>
      <c r="B236" s="189">
        <v>19028.16316570287</v>
      </c>
      <c r="C236" t="s">
        <v>0</v>
      </c>
    </row>
    <row r="237" spans="1:10" x14ac:dyDescent="0.3">
      <c r="A237" t="s">
        <v>16</v>
      </c>
      <c r="B237" s="189">
        <v>20500.875389377339</v>
      </c>
      <c r="C237" t="s">
        <v>0</v>
      </c>
    </row>
    <row r="238" spans="1:10" x14ac:dyDescent="0.3">
      <c r="A238" t="s">
        <v>17</v>
      </c>
      <c r="B238" s="189">
        <v>24014.989110193157</v>
      </c>
      <c r="C238" t="s">
        <v>0</v>
      </c>
    </row>
    <row r="239" spans="1:10" x14ac:dyDescent="0.3">
      <c r="A239" t="s">
        <v>18</v>
      </c>
      <c r="B239" s="189">
        <v>26208.890330441081</v>
      </c>
      <c r="C239" t="s">
        <v>0</v>
      </c>
    </row>
    <row r="240" spans="1:10" x14ac:dyDescent="0.3">
      <c r="A240" t="s">
        <v>13</v>
      </c>
      <c r="B240" s="189">
        <v>15634.689262102349</v>
      </c>
      <c r="C240" t="s">
        <v>5</v>
      </c>
    </row>
    <row r="241" spans="1:3" x14ac:dyDescent="0.3">
      <c r="A241" t="s">
        <v>14</v>
      </c>
      <c r="B241" s="189">
        <v>19855.110260272013</v>
      </c>
      <c r="C241" t="s">
        <v>5</v>
      </c>
    </row>
    <row r="242" spans="1:3" x14ac:dyDescent="0.3">
      <c r="A242" t="s">
        <v>15</v>
      </c>
      <c r="B242" s="189">
        <v>24189.891812400547</v>
      </c>
      <c r="C242" t="s">
        <v>5</v>
      </c>
    </row>
    <row r="243" spans="1:3" x14ac:dyDescent="0.3">
      <c r="A243" t="s">
        <v>16</v>
      </c>
      <c r="B243" s="189">
        <v>28076.15231034976</v>
      </c>
      <c r="C243" t="s">
        <v>5</v>
      </c>
    </row>
    <row r="244" spans="1:3" x14ac:dyDescent="0.3">
      <c r="A244" t="s">
        <v>17</v>
      </c>
      <c r="B244" s="189">
        <v>34254.205993369826</v>
      </c>
      <c r="C244" t="s">
        <v>5</v>
      </c>
    </row>
    <row r="245" spans="1:3" x14ac:dyDescent="0.3">
      <c r="A245" t="s">
        <v>18</v>
      </c>
      <c r="B245" s="189">
        <v>39895.127805993077</v>
      </c>
      <c r="C245" t="s">
        <v>5</v>
      </c>
    </row>
    <row r="246" spans="1:3" x14ac:dyDescent="0.3">
      <c r="A246" t="s">
        <v>13</v>
      </c>
      <c r="B246" s="189">
        <v>16765.319154093733</v>
      </c>
      <c r="C246" t="s">
        <v>6</v>
      </c>
    </row>
    <row r="247" spans="1:3" x14ac:dyDescent="0.3">
      <c r="A247" t="s">
        <v>14</v>
      </c>
      <c r="B247" s="189">
        <v>23177.376978119653</v>
      </c>
      <c r="C247" t="s">
        <v>6</v>
      </c>
    </row>
    <row r="248" spans="1:3" x14ac:dyDescent="0.3">
      <c r="A248" t="s">
        <v>15</v>
      </c>
      <c r="B248" s="189">
        <v>29038.740679435963</v>
      </c>
      <c r="C248" t="s">
        <v>6</v>
      </c>
    </row>
    <row r="249" spans="1:3" x14ac:dyDescent="0.3">
      <c r="A249" t="s">
        <v>16</v>
      </c>
      <c r="B249" s="189">
        <v>34982.108257018437</v>
      </c>
      <c r="C249" t="s">
        <v>6</v>
      </c>
    </row>
    <row r="250" spans="1:3" x14ac:dyDescent="0.3">
      <c r="A250" t="s">
        <v>17</v>
      </c>
      <c r="B250" s="189">
        <v>44003.622408522395</v>
      </c>
      <c r="C250" t="s">
        <v>6</v>
      </c>
    </row>
    <row r="251" spans="1:3" x14ac:dyDescent="0.3">
      <c r="A251" t="s">
        <v>18</v>
      </c>
      <c r="B251" s="189">
        <v>53435.410817931363</v>
      </c>
      <c r="C251" t="s">
        <v>6</v>
      </c>
    </row>
    <row r="252" spans="1:3" x14ac:dyDescent="0.3">
      <c r="A252" t="s">
        <v>13</v>
      </c>
      <c r="B252" s="189">
        <v>14115.421376858463</v>
      </c>
      <c r="C252" t="s">
        <v>7</v>
      </c>
    </row>
    <row r="253" spans="1:3" x14ac:dyDescent="0.3">
      <c r="A253" t="s">
        <v>14</v>
      </c>
      <c r="B253" s="189">
        <v>20163.592752828321</v>
      </c>
      <c r="C253" t="s">
        <v>7</v>
      </c>
    </row>
    <row r="254" spans="1:3" x14ac:dyDescent="0.3">
      <c r="A254" t="s">
        <v>15</v>
      </c>
      <c r="B254" s="189">
        <v>26558.770130735393</v>
      </c>
      <c r="C254" t="s">
        <v>7</v>
      </c>
    </row>
    <row r="255" spans="1:3" x14ac:dyDescent="0.3">
      <c r="A255" t="s">
        <v>16</v>
      </c>
      <c r="B255" s="189">
        <v>33265.549290648865</v>
      </c>
      <c r="C255" t="s">
        <v>7</v>
      </c>
    </row>
    <row r="256" spans="1:3" x14ac:dyDescent="0.3">
      <c r="A256" t="s">
        <v>17</v>
      </c>
      <c r="B256" s="189">
        <v>43972.525951848154</v>
      </c>
      <c r="C256" t="s">
        <v>7</v>
      </c>
    </row>
    <row r="257" spans="1:5" x14ac:dyDescent="0.3">
      <c r="A257" t="s">
        <v>18</v>
      </c>
      <c r="B257" s="189">
        <v>55891.956077965035</v>
      </c>
      <c r="C257" t="s">
        <v>7</v>
      </c>
    </row>
    <row r="262" spans="1:5" x14ac:dyDescent="0.3">
      <c r="A262" s="197" t="s">
        <v>189</v>
      </c>
      <c r="B262" s="197" t="s">
        <v>46</v>
      </c>
    </row>
    <row r="263" spans="1:5" x14ac:dyDescent="0.3">
      <c r="A263" s="197" t="s">
        <v>182</v>
      </c>
      <c r="B263" t="s">
        <v>0</v>
      </c>
      <c r="C263" t="s">
        <v>5</v>
      </c>
      <c r="D263" t="s">
        <v>6</v>
      </c>
      <c r="E263" t="s">
        <v>7</v>
      </c>
    </row>
    <row r="264" spans="1:5" x14ac:dyDescent="0.3">
      <c r="A264" t="s">
        <v>13</v>
      </c>
      <c r="B264" s="189">
        <v>13983.48291018565</v>
      </c>
      <c r="C264" s="189">
        <v>15631.690337431006</v>
      </c>
      <c r="D264" s="189">
        <v>17115.696764676366</v>
      </c>
      <c r="E264" s="189">
        <v>13399.830853299043</v>
      </c>
    </row>
    <row r="265" spans="1:5" x14ac:dyDescent="0.3">
      <c r="A265" t="s">
        <v>14</v>
      </c>
      <c r="B265" s="189">
        <v>15111.005491220611</v>
      </c>
      <c r="C265" s="189">
        <v>17813.714073206072</v>
      </c>
      <c r="D265" s="189">
        <v>20827.38910879154</v>
      </c>
      <c r="E265" s="189">
        <v>17101.642082903025</v>
      </c>
    </row>
    <row r="266" spans="1:5" x14ac:dyDescent="0.3">
      <c r="A266" t="s">
        <v>15</v>
      </c>
      <c r="B266" s="189">
        <v>17098.696824363367</v>
      </c>
      <c r="C266" s="189">
        <v>21845.672366839452</v>
      </c>
      <c r="D266" s="189">
        <v>26131.045068155545</v>
      </c>
      <c r="E266" s="189">
        <v>22551.142672235346</v>
      </c>
    </row>
    <row r="267" spans="1:5" x14ac:dyDescent="0.3">
      <c r="A267" t="s">
        <v>16</v>
      </c>
      <c r="B267" s="189">
        <v>18442.108506732897</v>
      </c>
      <c r="C267" s="189">
        <v>25342.465774581338</v>
      </c>
      <c r="D267" s="189">
        <v>31333.247879589995</v>
      </c>
      <c r="E267" s="189">
        <v>28155.722339622924</v>
      </c>
    </row>
    <row r="268" spans="1:5" x14ac:dyDescent="0.3">
      <c r="A268" t="s">
        <v>17</v>
      </c>
      <c r="B268" s="189">
        <v>21205.784609329006</v>
      </c>
      <c r="C268" s="189">
        <v>30690.902877371773</v>
      </c>
      <c r="D268" s="189">
        <v>39228.463036993635</v>
      </c>
      <c r="E268" s="189">
        <v>37004.093940298117</v>
      </c>
    </row>
    <row r="269" spans="1:5" x14ac:dyDescent="0.3">
      <c r="A269" t="s">
        <v>18</v>
      </c>
      <c r="B269" s="189">
        <v>22876.183091411272</v>
      </c>
      <c r="C269" s="189">
        <v>35483.432994882613</v>
      </c>
      <c r="D269" s="189">
        <v>47384.086816916184</v>
      </c>
      <c r="E269" s="189">
        <v>46710.929677340027</v>
      </c>
    </row>
    <row r="286" spans="1:5" x14ac:dyDescent="0.3">
      <c r="A286" s="197" t="s">
        <v>190</v>
      </c>
      <c r="B286" s="197" t="s">
        <v>46</v>
      </c>
    </row>
    <row r="287" spans="1:5" x14ac:dyDescent="0.3">
      <c r="A287" s="197" t="s">
        <v>182</v>
      </c>
      <c r="B287" t="s">
        <v>0</v>
      </c>
      <c r="C287" t="s">
        <v>5</v>
      </c>
      <c r="D287" t="s">
        <v>6</v>
      </c>
      <c r="E287" t="s">
        <v>7</v>
      </c>
    </row>
    <row r="288" spans="1:5" x14ac:dyDescent="0.3">
      <c r="A288" t="s">
        <v>13</v>
      </c>
      <c r="B288" s="189">
        <v>17055.100000000002</v>
      </c>
      <c r="C288" s="189">
        <v>19616.374999999996</v>
      </c>
      <c r="D288" s="189">
        <v>22096.399999999998</v>
      </c>
      <c r="E288" s="189">
        <v>17442.187499999996</v>
      </c>
    </row>
    <row r="289" spans="1:5" x14ac:dyDescent="0.3">
      <c r="A289" t="s">
        <v>14</v>
      </c>
      <c r="B289" s="189">
        <v>18344.748000000003</v>
      </c>
      <c r="C289" s="189">
        <v>22299.762799999997</v>
      </c>
      <c r="D289" s="189">
        <v>26872.915999999997</v>
      </c>
      <c r="E289" s="189">
        <v>22264.983593749999</v>
      </c>
    </row>
    <row r="290" spans="1:5" x14ac:dyDescent="0.3">
      <c r="A290" t="s">
        <v>15</v>
      </c>
      <c r="B290" s="189">
        <v>19983.877424000009</v>
      </c>
      <c r="C290" s="189">
        <v>26636.209441999992</v>
      </c>
      <c r="D290" s="189">
        <v>33030.61327999999</v>
      </c>
      <c r="E290" s="189">
        <v>28705.525507812494</v>
      </c>
    </row>
    <row r="291" spans="1:5" x14ac:dyDescent="0.3">
      <c r="A291" t="s">
        <v>16</v>
      </c>
      <c r="B291" s="189">
        <v>21359.696576000006</v>
      </c>
      <c r="C291" s="189">
        <v>30836.074228699988</v>
      </c>
      <c r="D291" s="189">
        <v>39611.632783999994</v>
      </c>
      <c r="E291" s="189">
        <v>35912.018200683597</v>
      </c>
    </row>
    <row r="292" spans="1:5" x14ac:dyDescent="0.3">
      <c r="A292" t="s">
        <v>17</v>
      </c>
      <c r="B292" s="189">
        <v>23417.530623728006</v>
      </c>
      <c r="C292" s="189">
        <v>36327.230271367982</v>
      </c>
      <c r="D292" s="189">
        <v>48666.599069119984</v>
      </c>
      <c r="E292" s="189">
        <v>46380.440780944817</v>
      </c>
    </row>
    <row r="293" spans="1:5" x14ac:dyDescent="0.3">
      <c r="A293" t="s">
        <v>18</v>
      </c>
      <c r="B293" s="189">
        <v>25552.170768392858</v>
      </c>
      <c r="C293" s="189">
        <v>42562.17252954188</v>
      </c>
      <c r="D293" s="189">
        <v>59537.477587390495</v>
      </c>
      <c r="E293" s="189">
        <v>59476.332163663508</v>
      </c>
    </row>
    <row r="315" spans="1:2" x14ac:dyDescent="0.3">
      <c r="A315" s="197" t="s">
        <v>192</v>
      </c>
      <c r="B315" s="197" t="s">
        <v>46</v>
      </c>
    </row>
    <row r="316" spans="1:2" x14ac:dyDescent="0.3">
      <c r="A316" s="197" t="s">
        <v>182</v>
      </c>
      <c r="B316" t="s">
        <v>0</v>
      </c>
    </row>
    <row r="317" spans="1:2" x14ac:dyDescent="0.3">
      <c r="A317" t="s">
        <v>13</v>
      </c>
      <c r="B317" s="196">
        <v>15.417205980326074</v>
      </c>
    </row>
    <row r="318" spans="1:2" x14ac:dyDescent="0.3">
      <c r="A318" t="s">
        <v>14</v>
      </c>
      <c r="B318" s="196">
        <v>16.660333174812276</v>
      </c>
    </row>
    <row r="319" spans="1:2" x14ac:dyDescent="0.3">
      <c r="A319" t="s">
        <v>15</v>
      </c>
      <c r="B319" s="196">
        <v>18.851822012407169</v>
      </c>
    </row>
    <row r="320" spans="1:2" x14ac:dyDescent="0.3">
      <c r="A320" t="s">
        <v>16</v>
      </c>
      <c r="B320" s="196">
        <v>20.332973364791702</v>
      </c>
    </row>
    <row r="321" spans="1:2" x14ac:dyDescent="0.3">
      <c r="A321" t="s">
        <v>17</v>
      </c>
      <c r="B321" s="196">
        <v>23.380008499764617</v>
      </c>
    </row>
    <row r="322" spans="1:2" x14ac:dyDescent="0.3">
      <c r="A322" t="s">
        <v>18</v>
      </c>
      <c r="B322" s="196">
        <v>25.221672528168284</v>
      </c>
    </row>
    <row r="343" spans="1:2" x14ac:dyDescent="0.3">
      <c r="A343" s="197" t="s">
        <v>194</v>
      </c>
      <c r="B343" s="197" t="s">
        <v>46</v>
      </c>
    </row>
    <row r="344" spans="1:2" x14ac:dyDescent="0.3">
      <c r="A344" s="197" t="s">
        <v>182</v>
      </c>
      <c r="B344" t="s">
        <v>7</v>
      </c>
    </row>
    <row r="345" spans="1:2" x14ac:dyDescent="0.3">
      <c r="A345" t="s">
        <v>13</v>
      </c>
      <c r="B345" s="189">
        <v>14115.421376858463</v>
      </c>
    </row>
    <row r="346" spans="1:2" x14ac:dyDescent="0.3">
      <c r="A346" t="s">
        <v>14</v>
      </c>
      <c r="B346" s="189">
        <v>20163.592752828321</v>
      </c>
    </row>
    <row r="347" spans="1:2" x14ac:dyDescent="0.3">
      <c r="A347" t="s">
        <v>15</v>
      </c>
      <c r="B347" s="189">
        <v>26558.770130735393</v>
      </c>
    </row>
    <row r="348" spans="1:2" x14ac:dyDescent="0.3">
      <c r="A348" t="s">
        <v>16</v>
      </c>
      <c r="B348" s="189">
        <v>33265.549290648865</v>
      </c>
    </row>
    <row r="349" spans="1:2" x14ac:dyDescent="0.3">
      <c r="A349" t="s">
        <v>17</v>
      </c>
      <c r="B349" s="189">
        <v>43972.525951848154</v>
      </c>
    </row>
    <row r="350" spans="1:2" x14ac:dyDescent="0.3">
      <c r="A350" t="s">
        <v>18</v>
      </c>
      <c r="B350" s="189">
        <v>55891.956077965035</v>
      </c>
    </row>
    <row r="370" spans="1:21" x14ac:dyDescent="0.3">
      <c r="A370" t="s">
        <v>204</v>
      </c>
    </row>
    <row r="372" spans="1:21" x14ac:dyDescent="0.3">
      <c r="A372" t="s">
        <v>182</v>
      </c>
      <c r="B372" t="s">
        <v>199</v>
      </c>
      <c r="C372" t="s">
        <v>200</v>
      </c>
      <c r="D372" t="s">
        <v>201</v>
      </c>
      <c r="E372" t="s">
        <v>202</v>
      </c>
      <c r="F372" t="s">
        <v>196</v>
      </c>
      <c r="G372" t="s">
        <v>197</v>
      </c>
      <c r="H372" t="s">
        <v>198</v>
      </c>
      <c r="I372" t="s">
        <v>46</v>
      </c>
    </row>
    <row r="373" spans="1:21" x14ac:dyDescent="0.3">
      <c r="A373" t="s">
        <v>13</v>
      </c>
      <c r="B373" s="210">
        <v>21271</v>
      </c>
      <c r="C373" s="189">
        <v>26282</v>
      </c>
      <c r="D373" s="189">
        <v>3697.1000000000004</v>
      </c>
      <c r="E373" s="189">
        <v>429.166578916194</v>
      </c>
      <c r="F373" s="189">
        <v>2554</v>
      </c>
      <c r="G373" s="189">
        <v>3570.25</v>
      </c>
      <c r="H373" s="189">
        <v>314</v>
      </c>
      <c r="I373" t="s">
        <v>0</v>
      </c>
      <c r="S373" s="189"/>
      <c r="T373" s="189"/>
      <c r="U373" s="189"/>
    </row>
    <row r="374" spans="1:21" x14ac:dyDescent="0.3">
      <c r="A374" t="s">
        <v>14</v>
      </c>
      <c r="B374" s="210">
        <v>37988.299299234015</v>
      </c>
      <c r="C374" s="189">
        <v>26282</v>
      </c>
      <c r="D374" s="189">
        <v>4103.7810000000009</v>
      </c>
      <c r="E374" s="189">
        <v>483.44977738801958</v>
      </c>
      <c r="F374" s="189">
        <v>2554</v>
      </c>
      <c r="G374" s="189">
        <v>4425.59375</v>
      </c>
      <c r="H374" s="189">
        <v>277</v>
      </c>
      <c r="I374" t="s">
        <v>0</v>
      </c>
      <c r="S374" s="189"/>
      <c r="T374" s="189"/>
      <c r="U374" s="189"/>
    </row>
    <row r="375" spans="1:21" x14ac:dyDescent="0.3">
      <c r="A375" t="s">
        <v>15</v>
      </c>
      <c r="B375" s="189">
        <v>57016.462464936885</v>
      </c>
      <c r="C375" s="189">
        <v>26282</v>
      </c>
      <c r="D375" s="189">
        <v>4596.2347200000013</v>
      </c>
      <c r="E375" s="189">
        <v>549.3876104405515</v>
      </c>
      <c r="F375" s="189">
        <v>2554</v>
      </c>
      <c r="G375" s="189">
        <v>5429.6363281249996</v>
      </c>
      <c r="H375" s="189">
        <v>249</v>
      </c>
      <c r="I375" t="s">
        <v>0</v>
      </c>
      <c r="S375" s="189"/>
      <c r="T375" s="189"/>
      <c r="U375" s="189"/>
    </row>
    <row r="376" spans="1:21" x14ac:dyDescent="0.3">
      <c r="A376" t="s">
        <v>16</v>
      </c>
      <c r="B376" s="189">
        <v>77517.337854314217</v>
      </c>
      <c r="C376" s="189">
        <v>26282</v>
      </c>
      <c r="D376" s="189">
        <v>5055.8581920000024</v>
      </c>
      <c r="E376" s="189">
        <v>613.04261722717331</v>
      </c>
      <c r="F376" s="189">
        <v>2554</v>
      </c>
      <c r="G376" s="189">
        <v>6576.5386718749996</v>
      </c>
      <c r="H376" s="189">
        <v>236</v>
      </c>
      <c r="I376" t="s">
        <v>0</v>
      </c>
      <c r="S376" s="189"/>
      <c r="T376" s="189"/>
      <c r="U376" s="189"/>
    </row>
    <row r="377" spans="1:21" x14ac:dyDescent="0.3">
      <c r="A377" t="s">
        <v>17</v>
      </c>
      <c r="B377" s="189">
        <v>101532.32696450737</v>
      </c>
      <c r="C377" s="189">
        <v>26282</v>
      </c>
      <c r="D377" s="189">
        <v>5713.1197569600026</v>
      </c>
      <c r="E377" s="189">
        <v>702.5875151558057</v>
      </c>
      <c r="F377" s="189">
        <v>2554</v>
      </c>
      <c r="G377" s="189">
        <v>7900.9467895507796</v>
      </c>
      <c r="H377" s="189">
        <v>226</v>
      </c>
      <c r="I377" t="s">
        <v>0</v>
      </c>
      <c r="S377" s="189"/>
      <c r="T377" s="189"/>
      <c r="U377" s="189"/>
    </row>
    <row r="378" spans="1:21" x14ac:dyDescent="0.3">
      <c r="A378" t="s">
        <v>18</v>
      </c>
      <c r="B378" s="189">
        <v>127741.21729494845</v>
      </c>
      <c r="C378" s="189">
        <v>26282</v>
      </c>
      <c r="D378" s="189">
        <v>6438.6859660939226</v>
      </c>
      <c r="E378" s="189">
        <v>802.91635569620871</v>
      </c>
      <c r="F378" s="189">
        <v>2554</v>
      </c>
      <c r="G378" s="189">
        <v>9412.2712223815888</v>
      </c>
      <c r="H378" s="189">
        <v>216</v>
      </c>
      <c r="I378" t="s">
        <v>0</v>
      </c>
      <c r="S378" s="189"/>
      <c r="T378" s="189"/>
      <c r="U378" s="189"/>
    </row>
    <row r="379" spans="1:21" x14ac:dyDescent="0.3">
      <c r="A379" t="s">
        <v>13</v>
      </c>
      <c r="B379" s="189">
        <v>21271</v>
      </c>
      <c r="C379" s="189">
        <v>26282</v>
      </c>
      <c r="D379" s="189">
        <v>3865.1499999999992</v>
      </c>
      <c r="E379" s="189">
        <v>426.46255906703692</v>
      </c>
      <c r="F379" s="189">
        <v>2554</v>
      </c>
      <c r="G379" s="189">
        <v>3412.8500000000004</v>
      </c>
      <c r="H379" s="189">
        <v>314</v>
      </c>
      <c r="I379" t="s">
        <v>5</v>
      </c>
    </row>
    <row r="380" spans="1:21" x14ac:dyDescent="0.3">
      <c r="A380" t="s">
        <v>14</v>
      </c>
      <c r="B380" s="189">
        <v>41126.110260272013</v>
      </c>
      <c r="C380" s="189">
        <v>26282</v>
      </c>
      <c r="D380" s="189">
        <v>4483.5739999999987</v>
      </c>
      <c r="E380" s="189">
        <v>499.84965777315614</v>
      </c>
      <c r="F380" s="189">
        <v>2554</v>
      </c>
      <c r="G380" s="189">
        <v>4021.154</v>
      </c>
      <c r="H380" s="189">
        <v>277</v>
      </c>
      <c r="I380" t="s">
        <v>5</v>
      </c>
    </row>
    <row r="381" spans="1:21" x14ac:dyDescent="0.3">
      <c r="A381" t="s">
        <v>15</v>
      </c>
      <c r="B381" s="189">
        <v>65316.002072672563</v>
      </c>
      <c r="C381" s="189">
        <v>26282</v>
      </c>
      <c r="D381" s="189">
        <v>5245.781579999998</v>
      </c>
      <c r="E381" s="189">
        <v>572.76587073697215</v>
      </c>
      <c r="F381" s="189">
        <v>2554</v>
      </c>
      <c r="G381" s="189">
        <v>4665.7561399999995</v>
      </c>
      <c r="H381" s="189">
        <v>249</v>
      </c>
      <c r="I381" t="s">
        <v>5</v>
      </c>
    </row>
    <row r="382" spans="1:21" x14ac:dyDescent="0.3">
      <c r="A382" t="s">
        <v>16</v>
      </c>
      <c r="B382" s="189">
        <v>93392.154383022324</v>
      </c>
      <c r="C382" s="189">
        <v>26282</v>
      </c>
      <c r="D382" s="189">
        <v>6032.6488169999975</v>
      </c>
      <c r="E382" s="189">
        <v>651.74726975438614</v>
      </c>
      <c r="F382" s="189">
        <v>2554</v>
      </c>
      <c r="G382" s="189">
        <v>5329.8680299999996</v>
      </c>
      <c r="H382" s="189">
        <v>236</v>
      </c>
      <c r="I382" t="s">
        <v>5</v>
      </c>
    </row>
    <row r="383" spans="1:21" x14ac:dyDescent="0.3">
      <c r="A383" t="s">
        <v>17</v>
      </c>
      <c r="B383" s="189">
        <v>127646.36037639214</v>
      </c>
      <c r="C383" s="189">
        <v>26282</v>
      </c>
      <c r="D383" s="189">
        <v>7058.1991158899964</v>
      </c>
      <c r="E383" s="189">
        <v>754.43213214866762</v>
      </c>
      <c r="F383" s="189">
        <v>2554</v>
      </c>
      <c r="G383" s="189">
        <v>6016.5776732299983</v>
      </c>
      <c r="H383" s="189">
        <v>226</v>
      </c>
      <c r="I383" t="s">
        <v>5</v>
      </c>
    </row>
    <row r="384" spans="1:21" x14ac:dyDescent="0.3">
      <c r="A384" t="s">
        <v>18</v>
      </c>
      <c r="B384" s="189">
        <v>167541.48818238522</v>
      </c>
      <c r="C384" s="189">
        <v>26282</v>
      </c>
      <c r="D384" s="189">
        <v>8251.0347664754063</v>
      </c>
      <c r="E384" s="189">
        <v>875.29297093623063</v>
      </c>
      <c r="F384" s="189">
        <v>2554</v>
      </c>
      <c r="G384" s="189">
        <v>6713.7790637920371</v>
      </c>
      <c r="H384" s="189">
        <v>216</v>
      </c>
      <c r="I384" t="s">
        <v>5</v>
      </c>
    </row>
    <row r="385" spans="1:9" x14ac:dyDescent="0.3">
      <c r="A385" t="s">
        <v>13</v>
      </c>
      <c r="B385" s="189">
        <v>21271</v>
      </c>
      <c r="C385" s="189">
        <v>26282</v>
      </c>
      <c r="D385" s="189">
        <v>4033.2</v>
      </c>
      <c r="E385" s="189">
        <v>426.46255906703698</v>
      </c>
      <c r="F385" s="189">
        <v>2554</v>
      </c>
      <c r="G385" s="189">
        <v>3489.4</v>
      </c>
      <c r="H385" s="189">
        <v>314</v>
      </c>
      <c r="I385" t="s">
        <v>6</v>
      </c>
    </row>
    <row r="386" spans="1:9" x14ac:dyDescent="0.3">
      <c r="A386" t="s">
        <v>14</v>
      </c>
      <c r="B386" s="189">
        <v>44448.376978119653</v>
      </c>
      <c r="C386" s="189">
        <v>26282</v>
      </c>
      <c r="D386" s="189">
        <v>4880.1719999999996</v>
      </c>
      <c r="E386" s="189">
        <v>510.41078672686353</v>
      </c>
      <c r="F386" s="189">
        <v>2554</v>
      </c>
      <c r="G386" s="189">
        <v>4213.9480000000003</v>
      </c>
      <c r="H386" s="189">
        <v>277</v>
      </c>
      <c r="I386" t="s">
        <v>6</v>
      </c>
    </row>
    <row r="387" spans="1:9" x14ac:dyDescent="0.3">
      <c r="A387" t="s">
        <v>15</v>
      </c>
      <c r="B387" s="189">
        <v>73487.117657555616</v>
      </c>
      <c r="C387" s="189">
        <v>26282</v>
      </c>
      <c r="D387" s="189">
        <v>5953.8098399999999</v>
      </c>
      <c r="E387" s="189">
        <v>618.59543787398161</v>
      </c>
      <c r="F387" s="189">
        <v>2554</v>
      </c>
      <c r="G387" s="189">
        <v>5021.7246400000004</v>
      </c>
      <c r="H387" s="189">
        <v>249</v>
      </c>
      <c r="I387" t="s">
        <v>6</v>
      </c>
    </row>
    <row r="388" spans="1:9" x14ac:dyDescent="0.3">
      <c r="A388" t="s">
        <v>16</v>
      </c>
      <c r="B388" s="189">
        <v>108469.22591457405</v>
      </c>
      <c r="C388" s="189">
        <v>26282</v>
      </c>
      <c r="D388" s="189">
        <v>7144.5718079999988</v>
      </c>
      <c r="E388" s="189">
        <v>739.02994790254422</v>
      </c>
      <c r="F388" s="189">
        <v>2554</v>
      </c>
      <c r="G388" s="189">
        <v>5899.6503040000007</v>
      </c>
      <c r="H388" s="189">
        <v>236</v>
      </c>
      <c r="I388" t="s">
        <v>6</v>
      </c>
    </row>
    <row r="389" spans="1:9" x14ac:dyDescent="0.3">
      <c r="A389" t="s">
        <v>17</v>
      </c>
      <c r="B389" s="189">
        <v>152472.84832309646</v>
      </c>
      <c r="C389" s="189">
        <v>26282</v>
      </c>
      <c r="D389" s="189">
        <v>8716.3776057599971</v>
      </c>
      <c r="E389" s="189">
        <v>891.59857492509161</v>
      </c>
      <c r="F389" s="189">
        <v>2554</v>
      </c>
      <c r="G389" s="189">
        <v>6859.2039232000006</v>
      </c>
      <c r="H389" s="189">
        <v>226</v>
      </c>
      <c r="I389" t="s">
        <v>6</v>
      </c>
    </row>
    <row r="390" spans="1:9" x14ac:dyDescent="0.3">
      <c r="A390" t="s">
        <v>18</v>
      </c>
      <c r="B390" s="189">
        <v>205908.25914102781</v>
      </c>
      <c r="C390" s="189">
        <v>26282</v>
      </c>
      <c r="D390" s="189">
        <v>10625.264301421439</v>
      </c>
      <c r="E390" s="189">
        <v>1079.2872878791152</v>
      </c>
      <c r="F390" s="189">
        <v>2554</v>
      </c>
      <c r="G390" s="189">
        <v>7892.9621578220813</v>
      </c>
      <c r="H390" s="189">
        <v>216</v>
      </c>
      <c r="I390" t="s">
        <v>6</v>
      </c>
    </row>
    <row r="391" spans="1:9" x14ac:dyDescent="0.3">
      <c r="A391" t="s">
        <v>13</v>
      </c>
      <c r="B391" s="189">
        <v>21271</v>
      </c>
      <c r="C391" s="189">
        <v>26282</v>
      </c>
      <c r="D391" s="189">
        <v>4201.25</v>
      </c>
      <c r="E391" s="189">
        <v>555.28979045187111</v>
      </c>
      <c r="F391" s="189">
        <v>2554</v>
      </c>
      <c r="G391" s="189">
        <v>3570.25</v>
      </c>
      <c r="H391" s="189">
        <v>314</v>
      </c>
      <c r="I391" t="s">
        <v>7</v>
      </c>
    </row>
    <row r="392" spans="1:9" x14ac:dyDescent="0.3">
      <c r="A392" t="s">
        <v>14</v>
      </c>
      <c r="B392" s="189">
        <v>41434.592752828321</v>
      </c>
      <c r="C392" s="189">
        <v>26282</v>
      </c>
      <c r="D392" s="189">
        <v>5304.078125</v>
      </c>
      <c r="E392" s="189">
        <v>693.43321522325368</v>
      </c>
      <c r="F392" s="189">
        <v>2554</v>
      </c>
      <c r="G392" s="189">
        <v>4425.59375</v>
      </c>
      <c r="H392" s="189">
        <v>277</v>
      </c>
      <c r="I392" t="s">
        <v>7</v>
      </c>
    </row>
    <row r="393" spans="1:9" x14ac:dyDescent="0.3">
      <c r="A393" t="s">
        <v>15</v>
      </c>
      <c r="B393" s="189">
        <v>67993.362883563706</v>
      </c>
      <c r="C393" s="189">
        <v>26282</v>
      </c>
      <c r="D393" s="189">
        <v>6762.6996093749995</v>
      </c>
      <c r="E393" s="189">
        <v>878.29793831463985</v>
      </c>
      <c r="F393" s="189">
        <v>2554</v>
      </c>
      <c r="G393" s="189">
        <v>5429.6363281249996</v>
      </c>
      <c r="H393" s="189">
        <v>249</v>
      </c>
      <c r="I393" t="s">
        <v>7</v>
      </c>
    </row>
    <row r="394" spans="1:9" x14ac:dyDescent="0.3">
      <c r="A394" t="s">
        <v>16</v>
      </c>
      <c r="B394" s="189">
        <v>101258.91217421257</v>
      </c>
      <c r="C394" s="189">
        <v>26282</v>
      </c>
      <c r="D394" s="189">
        <v>8453.37451171875</v>
      </c>
      <c r="E394" s="189">
        <v>1093.0145803141259</v>
      </c>
      <c r="F394" s="189">
        <v>2554</v>
      </c>
      <c r="G394" s="189">
        <v>6576.5386718749996</v>
      </c>
      <c r="H394" s="189">
        <v>236</v>
      </c>
      <c r="I394" t="s">
        <v>7</v>
      </c>
    </row>
    <row r="395" spans="1:9" x14ac:dyDescent="0.3">
      <c r="A395" t="s">
        <v>17</v>
      </c>
      <c r="B395" s="189">
        <v>145231.43812606073</v>
      </c>
      <c r="C395" s="189">
        <v>26282</v>
      </c>
      <c r="D395" s="189">
        <v>10778.052502441406</v>
      </c>
      <c r="E395" s="189">
        <v>1378.1092166793935</v>
      </c>
      <c r="F395" s="189">
        <v>2554</v>
      </c>
      <c r="G395" s="189">
        <v>7900.9467895507796</v>
      </c>
      <c r="H395" s="189">
        <v>226</v>
      </c>
      <c r="I395" t="s">
        <v>7</v>
      </c>
    </row>
    <row r="396" spans="1:9" x14ac:dyDescent="0.3">
      <c r="A396" t="s">
        <v>18</v>
      </c>
      <c r="B396" s="189">
        <v>201123.39420402577</v>
      </c>
      <c r="C396" s="189">
        <v>26282</v>
      </c>
      <c r="D396" s="189">
        <v>13728.54437498474</v>
      </c>
      <c r="E396" s="189">
        <v>1743.1382181033314</v>
      </c>
      <c r="F396" s="189">
        <v>2554</v>
      </c>
      <c r="G396" s="189">
        <v>9412.2712223815888</v>
      </c>
      <c r="H396" s="189">
        <v>216</v>
      </c>
      <c r="I396" t="s">
        <v>7</v>
      </c>
    </row>
    <row r="399" spans="1:9" x14ac:dyDescent="0.3">
      <c r="A399" t="s">
        <v>182</v>
      </c>
      <c r="B399" t="s">
        <v>16</v>
      </c>
    </row>
    <row r="400" spans="1:9" x14ac:dyDescent="0.3">
      <c r="A400" t="s">
        <v>46</v>
      </c>
      <c r="B400" t="s">
        <v>6</v>
      </c>
    </row>
    <row r="401" spans="1:7" x14ac:dyDescent="0.3">
      <c r="E401" s="189"/>
      <c r="F401" s="189"/>
      <c r="G401" s="189"/>
    </row>
    <row r="402" spans="1:7" x14ac:dyDescent="0.3">
      <c r="A402" s="211" t="s">
        <v>199</v>
      </c>
      <c r="B402" s="211" t="s">
        <v>200</v>
      </c>
      <c r="C402" s="211" t="s">
        <v>201</v>
      </c>
      <c r="D402" s="211" t="s">
        <v>202</v>
      </c>
      <c r="E402" s="211" t="s">
        <v>196</v>
      </c>
      <c r="F402" s="211" t="s">
        <v>197</v>
      </c>
      <c r="G402" s="211" t="s">
        <v>198</v>
      </c>
    </row>
    <row r="403" spans="1:7" x14ac:dyDescent="0.3">
      <c r="A403" s="210" cm="1">
        <f t="array" ref="A403">INDEX(B373:B396,MATCH('Exe Sum &amp; Dashboard'!$AC$53&amp;'Exe Sum &amp; Dashboard'!$AC$54,$A$373:$A$396&amp;$I$373:$I$396,0))</f>
        <v>41126.110260272013</v>
      </c>
      <c r="B403" s="210" cm="1">
        <f t="array" ref="B403">INDEX(C373:C396,MATCH('Exe Sum &amp; Dashboard'!$AC$53&amp;'Exe Sum &amp; Dashboard'!$AC$54,$A$373:$A$396&amp;$I$373:$I$396,0))</f>
        <v>26282</v>
      </c>
      <c r="C403" s="210" cm="1">
        <f t="array" ref="C403">INDEX(D373:D396,MATCH('Exe Sum &amp; Dashboard'!$AC$53&amp;'Exe Sum &amp; Dashboard'!$AC$54,$A$373:$A$396&amp;$I$373:$I$396,0))</f>
        <v>4483.5739999999987</v>
      </c>
      <c r="D403" s="210" cm="1">
        <f t="array" ref="D403">INDEX(E373:E396,MATCH('Exe Sum &amp; Dashboard'!$AC$53&amp;'Exe Sum &amp; Dashboard'!$AC$54,$A$373:$A$396&amp;$I$373:$I$396,0))</f>
        <v>499.84965777315614</v>
      </c>
      <c r="E403" s="210" cm="1">
        <f t="array" ref="E403">INDEX(F373:F396,MATCH('Exe Sum &amp; Dashboard'!$AC$53&amp;'Exe Sum &amp; Dashboard'!$AC$54,$A$373:$A$396&amp;$I$373:$I$396,0))</f>
        <v>2554</v>
      </c>
      <c r="F403" s="210" cm="1">
        <f t="array" ref="F403">INDEX(G373:G396,MATCH('Exe Sum &amp; Dashboard'!$AC$53&amp;'Exe Sum &amp; Dashboard'!$AC$54,$A$373:$A$396&amp;$I$373:$I$396,0))</f>
        <v>4021.154</v>
      </c>
      <c r="G403" s="210" cm="1">
        <f t="array" ref="G403">INDEX(H373:H396,MATCH('Exe Sum &amp; Dashboard'!$AC$53&amp;'Exe Sum &amp; Dashboard'!$AC$54,$A$373:$A$396&amp;$I$373:$I$396,0))</f>
        <v>277</v>
      </c>
    </row>
    <row r="404" spans="1:7" x14ac:dyDescent="0.3">
      <c r="A404" s="210"/>
      <c r="B404" s="210"/>
      <c r="C404" s="189"/>
      <c r="D404" s="189"/>
      <c r="E404" s="189"/>
      <c r="F404" s="189"/>
      <c r="G404" s="189"/>
    </row>
    <row r="405" spans="1:7" x14ac:dyDescent="0.3">
      <c r="A405" s="210"/>
      <c r="B405" s="210"/>
      <c r="C405" s="189"/>
      <c r="D405" s="189"/>
      <c r="E405" s="189"/>
      <c r="F405" s="189"/>
      <c r="G405" s="189"/>
    </row>
    <row r="406" spans="1:7" x14ac:dyDescent="0.3">
      <c r="A406" s="210"/>
      <c r="B406" s="210"/>
      <c r="F406" s="189"/>
      <c r="G406" s="189"/>
    </row>
    <row r="407" spans="1:7" x14ac:dyDescent="0.3">
      <c r="A407" s="210"/>
      <c r="B407" s="210"/>
      <c r="F407" s="189"/>
    </row>
    <row r="408" spans="1:7" x14ac:dyDescent="0.3">
      <c r="A408" s="210"/>
      <c r="B408" s="210"/>
      <c r="C408" s="189"/>
      <c r="D408" s="189"/>
      <c r="E408" s="189"/>
      <c r="F408" s="189"/>
    </row>
    <row r="409" spans="1:7" x14ac:dyDescent="0.3">
      <c r="A409" s="189"/>
      <c r="B409" s="189"/>
      <c r="C409" s="189"/>
      <c r="D409" s="189"/>
      <c r="E409" s="189"/>
      <c r="F409" s="189"/>
    </row>
    <row r="410" spans="1:7" x14ac:dyDescent="0.3">
      <c r="A410" s="189"/>
      <c r="B410" s="189"/>
      <c r="C410" s="189"/>
      <c r="D410" s="189"/>
      <c r="E410" s="189"/>
      <c r="F410" s="189"/>
    </row>
    <row r="411" spans="1:7" x14ac:dyDescent="0.3">
      <c r="A411" s="189"/>
      <c r="B411" s="189"/>
      <c r="C411" s="189"/>
      <c r="D411" s="189"/>
      <c r="E411" s="189"/>
      <c r="F411" s="189"/>
    </row>
    <row r="412" spans="1:7" x14ac:dyDescent="0.3">
      <c r="A412" s="189"/>
      <c r="B412" s="189"/>
      <c r="C412" s="189"/>
      <c r="D412" s="189"/>
      <c r="E412" s="189"/>
      <c r="F412" s="189"/>
    </row>
    <row r="425" spans="1:7" x14ac:dyDescent="0.3">
      <c r="A425" t="s">
        <v>205</v>
      </c>
    </row>
    <row r="427" spans="1:7" x14ac:dyDescent="0.3">
      <c r="A427" s="211" t="s">
        <v>182</v>
      </c>
      <c r="B427" s="211" t="s">
        <v>206</v>
      </c>
      <c r="C427" s="211" t="s">
        <v>207</v>
      </c>
      <c r="D427" s="211" t="s">
        <v>208</v>
      </c>
      <c r="E427" s="211" t="s">
        <v>208</v>
      </c>
      <c r="F427" s="211" t="s">
        <v>209</v>
      </c>
      <c r="G427" s="211" t="s">
        <v>46</v>
      </c>
    </row>
    <row r="428" spans="1:7" x14ac:dyDescent="0.3">
      <c r="A428" t="s">
        <v>13</v>
      </c>
      <c r="B428" s="189">
        <v>5282.9934252958292</v>
      </c>
      <c r="C428" s="189">
        <v>4144.0394238059143</v>
      </c>
      <c r="D428" s="189">
        <v>2258.3000000000002</v>
      </c>
      <c r="E428" s="189">
        <v>938.30000000000018</v>
      </c>
      <c r="F428" s="189">
        <v>3502</v>
      </c>
      <c r="G428" t="s">
        <v>0</v>
      </c>
    </row>
    <row r="429" spans="1:7" x14ac:dyDescent="0.3">
      <c r="A429" t="s">
        <v>14</v>
      </c>
      <c r="B429" s="189">
        <v>5951.2136332973578</v>
      </c>
      <c r="C429" s="189">
        <v>4683.145222289615</v>
      </c>
      <c r="D429" s="189">
        <v>2506.7130000000006</v>
      </c>
      <c r="E429" s="189">
        <v>1041.5130000000004</v>
      </c>
      <c r="F429" s="189">
        <v>3502</v>
      </c>
      <c r="G429" t="s">
        <v>0</v>
      </c>
    </row>
    <row r="430" spans="1:7" x14ac:dyDescent="0.3">
      <c r="A430" t="s">
        <v>15</v>
      </c>
      <c r="B430" s="189">
        <v>6762.9011122583051</v>
      </c>
      <c r="C430" s="189">
        <v>5260.0590777206999</v>
      </c>
      <c r="D430" s="189">
        <v>2807.5185600000013</v>
      </c>
      <c r="E430" s="189">
        <v>1166.4945600000005</v>
      </c>
      <c r="F430" s="189">
        <v>3502</v>
      </c>
      <c r="G430" t="s">
        <v>0</v>
      </c>
    </row>
    <row r="431" spans="1:7" x14ac:dyDescent="0.3">
      <c r="A431" t="s">
        <v>16</v>
      </c>
      <c r="B431" s="189">
        <v>7546.4872507459286</v>
      </c>
      <c r="C431" s="189">
        <v>5808.7332126641422</v>
      </c>
      <c r="D431" s="189">
        <v>3088.2704160000017</v>
      </c>
      <c r="E431" s="189">
        <v>1283.1440160000006</v>
      </c>
      <c r="F431" s="189">
        <v>3502</v>
      </c>
      <c r="G431" t="s">
        <v>0</v>
      </c>
    </row>
    <row r="432" spans="1:7" x14ac:dyDescent="0.3">
      <c r="A432" t="s">
        <v>17</v>
      </c>
      <c r="B432" s="189">
        <v>8648.7751041487209</v>
      </c>
      <c r="C432" s="189">
        <v>6589.4836270141313</v>
      </c>
      <c r="D432" s="189">
        <v>3489.7455700800015</v>
      </c>
      <c r="E432" s="189">
        <v>1449.9527380800007</v>
      </c>
      <c r="F432" s="189">
        <v>3502</v>
      </c>
      <c r="G432" t="s">
        <v>0</v>
      </c>
    </row>
    <row r="433" spans="1:7" x14ac:dyDescent="0.3">
      <c r="A433" t="s">
        <v>18</v>
      </c>
      <c r="B433" s="189">
        <v>9883.8121060537687</v>
      </c>
      <c r="C433" s="189">
        <v>7477.2422613312956</v>
      </c>
      <c r="D433" s="189">
        <v>3932.9432574801617</v>
      </c>
      <c r="E433" s="189">
        <v>1634.0967358161608</v>
      </c>
      <c r="F433" s="189">
        <v>3502</v>
      </c>
      <c r="G433" t="s">
        <v>0</v>
      </c>
    </row>
    <row r="434" spans="1:7" x14ac:dyDescent="0.3">
      <c r="A434" t="s">
        <v>13</v>
      </c>
      <c r="B434" s="189">
        <v>5249.7072380977443</v>
      </c>
      <c r="C434" s="189">
        <v>3790.8542456406367</v>
      </c>
      <c r="D434" s="189">
        <v>2360.9499999999998</v>
      </c>
      <c r="E434" s="189">
        <v>980.94999999999993</v>
      </c>
      <c r="F434" s="189">
        <v>3502</v>
      </c>
      <c r="G434" t="s">
        <v>5</v>
      </c>
    </row>
    <row r="435" spans="1:7" x14ac:dyDescent="0.3">
      <c r="A435" t="s">
        <v>14</v>
      </c>
      <c r="B435" s="189">
        <v>6153.0943586537305</v>
      </c>
      <c r="C435" s="189">
        <v>4452.6724108567078</v>
      </c>
      <c r="D435" s="189">
        <v>2738.7019999999993</v>
      </c>
      <c r="E435" s="189">
        <v>1137.9019999999998</v>
      </c>
      <c r="F435" s="189">
        <v>3502</v>
      </c>
      <c r="G435" t="s">
        <v>5</v>
      </c>
    </row>
    <row r="436" spans="1:7" x14ac:dyDescent="0.3">
      <c r="A436" t="s">
        <v>15</v>
      </c>
      <c r="B436" s="189">
        <v>7050.6849274676497</v>
      </c>
      <c r="C436" s="189">
        <v>5215.5066605677011</v>
      </c>
      <c r="D436" s="189">
        <v>3204.2813399999991</v>
      </c>
      <c r="E436" s="189">
        <v>1331.3453399999996</v>
      </c>
      <c r="F436" s="189">
        <v>3502</v>
      </c>
      <c r="G436" t="s">
        <v>5</v>
      </c>
    </row>
    <row r="437" spans="1:7" x14ac:dyDescent="0.3">
      <c r="A437" t="s">
        <v>16</v>
      </c>
      <c r="B437" s="189">
        <v>8022.9372700973991</v>
      </c>
      <c r="C437" s="189">
        <v>6038.4042447237871</v>
      </c>
      <c r="D437" s="189">
        <v>3684.9235409999983</v>
      </c>
      <c r="E437" s="189">
        <v>1531.0471409999996</v>
      </c>
      <c r="F437" s="189">
        <v>3502</v>
      </c>
      <c r="G437" t="s">
        <v>5</v>
      </c>
    </row>
    <row r="438" spans="1:7" x14ac:dyDescent="0.3">
      <c r="A438" t="s">
        <v>17</v>
      </c>
      <c r="B438" s="189">
        <v>9286.976642120193</v>
      </c>
      <c r="C438" s="189">
        <v>7088.6673435933271</v>
      </c>
      <c r="D438" s="189">
        <v>4311.3605429699983</v>
      </c>
      <c r="E438" s="189">
        <v>1791.3251549699994</v>
      </c>
      <c r="F438" s="189">
        <v>3502</v>
      </c>
      <c r="G438" t="s">
        <v>5</v>
      </c>
    </row>
    <row r="439" spans="1:7" x14ac:dyDescent="0.3">
      <c r="A439" t="s">
        <v>18</v>
      </c>
      <c r="B439" s="189">
        <v>10774.760286184237</v>
      </c>
      <c r="C439" s="189">
        <v>8343.067948277152</v>
      </c>
      <c r="D439" s="189">
        <v>5039.9804747319276</v>
      </c>
      <c r="E439" s="189">
        <v>2094.0591061599293</v>
      </c>
      <c r="F439" s="189">
        <v>3502</v>
      </c>
      <c r="G439" t="s">
        <v>5</v>
      </c>
    </row>
    <row r="440" spans="1:7" x14ac:dyDescent="0.3">
      <c r="A440" t="s">
        <v>13</v>
      </c>
      <c r="B440" s="189">
        <v>5249.7072380977452</v>
      </c>
      <c r="C440" s="189">
        <v>3390.5777103866562</v>
      </c>
      <c r="D440" s="189">
        <v>2463.6</v>
      </c>
      <c r="E440" s="189">
        <v>1023.6</v>
      </c>
      <c r="F440" s="189">
        <v>3502</v>
      </c>
      <c r="G440" t="s">
        <v>6</v>
      </c>
    </row>
    <row r="441" spans="1:7" x14ac:dyDescent="0.3">
      <c r="A441" t="s">
        <v>14</v>
      </c>
      <c r="B441" s="189">
        <v>6283.1006955102475</v>
      </c>
      <c r="C441" s="189">
        <v>4157.3003499620927</v>
      </c>
      <c r="D441" s="189">
        <v>2980.9560000000001</v>
      </c>
      <c r="E441" s="189">
        <v>1238.556</v>
      </c>
      <c r="F441" s="189">
        <v>3502</v>
      </c>
      <c r="G441" t="s">
        <v>6</v>
      </c>
    </row>
    <row r="442" spans="1:7" x14ac:dyDescent="0.3">
      <c r="A442" t="s">
        <v>15</v>
      </c>
      <c r="B442" s="189">
        <v>7614.8418627080682</v>
      </c>
      <c r="C442" s="189">
        <v>4938.4352051918122</v>
      </c>
      <c r="D442" s="189">
        <v>3636.7663200000002</v>
      </c>
      <c r="E442" s="189">
        <v>1511.0383200000001</v>
      </c>
      <c r="F442" s="189">
        <v>3502</v>
      </c>
      <c r="G442" t="s">
        <v>6</v>
      </c>
    </row>
    <row r="443" spans="1:7" x14ac:dyDescent="0.3">
      <c r="A443" t="s">
        <v>16</v>
      </c>
      <c r="B443" s="189">
        <v>9097.3774465981332</v>
      </c>
      <c r="C443" s="189">
        <v>5966.1636127587562</v>
      </c>
      <c r="D443" s="189">
        <v>4364.1195839999991</v>
      </c>
      <c r="E443" s="189">
        <v>1813.2459839999999</v>
      </c>
      <c r="F443" s="189">
        <v>3502</v>
      </c>
      <c r="G443" t="s">
        <v>6</v>
      </c>
    </row>
    <row r="444" spans="1:7" x14ac:dyDescent="0.3">
      <c r="A444" t="s">
        <v>17</v>
      </c>
      <c r="B444" s="189">
        <v>10975.480479462502</v>
      </c>
      <c r="C444" s="189">
        <v>7278.7196075656811</v>
      </c>
      <c r="D444" s="189">
        <v>5324.2258924799989</v>
      </c>
      <c r="E444" s="189">
        <v>2212.1601004799995</v>
      </c>
      <c r="F444" s="189">
        <v>3502</v>
      </c>
      <c r="G444" t="s">
        <v>6</v>
      </c>
    </row>
    <row r="445" spans="1:7" x14ac:dyDescent="0.3">
      <c r="A445" t="s">
        <v>18</v>
      </c>
      <c r="B445" s="189">
        <v>13285.907910793239</v>
      </c>
      <c r="C445" s="189">
        <v>8819.1653540959869</v>
      </c>
      <c r="D445" s="189">
        <v>6490.2313629331202</v>
      </c>
      <c r="E445" s="189">
        <v>2696.6231624851202</v>
      </c>
      <c r="F445" s="189">
        <v>3502</v>
      </c>
      <c r="G445" t="s">
        <v>6</v>
      </c>
    </row>
    <row r="446" spans="1:7" x14ac:dyDescent="0.3">
      <c r="A446" t="s">
        <v>13</v>
      </c>
      <c r="B446" s="189">
        <v>6835.55629960644</v>
      </c>
      <c r="C446" s="189">
        <v>3002.0740144048518</v>
      </c>
      <c r="D446" s="189">
        <v>2566.25</v>
      </c>
      <c r="E446" s="189">
        <v>1066.25</v>
      </c>
      <c r="F446" s="189">
        <v>3502</v>
      </c>
      <c r="G446" t="s">
        <v>7</v>
      </c>
    </row>
    <row r="447" spans="1:7" x14ac:dyDescent="0.3">
      <c r="A447" t="s">
        <v>14</v>
      </c>
      <c r="B447" s="189">
        <v>8536.0866779460302</v>
      </c>
      <c r="C447" s="189">
        <v>3840.6533557619405</v>
      </c>
      <c r="D447" s="189">
        <v>3239.890625</v>
      </c>
      <c r="E447" s="189">
        <v>1346.140625</v>
      </c>
      <c r="F447" s="189">
        <v>3502</v>
      </c>
      <c r="G447" t="s">
        <v>7</v>
      </c>
    </row>
    <row r="448" spans="1:7" x14ac:dyDescent="0.3">
      <c r="A448" t="s">
        <v>15</v>
      </c>
      <c r="B448" s="189">
        <v>10811.751104396259</v>
      </c>
      <c r="C448" s="189">
        <v>4767.9690015281458</v>
      </c>
      <c r="D448" s="189">
        <v>4130.8605468750002</v>
      </c>
      <c r="E448" s="189">
        <v>1716.3292968750002</v>
      </c>
      <c r="F448" s="189">
        <v>3502</v>
      </c>
      <c r="G448" t="s">
        <v>7</v>
      </c>
    </row>
    <row r="449" spans="1:8" x14ac:dyDescent="0.3">
      <c r="A449" t="s">
        <v>16</v>
      </c>
      <c r="B449" s="189">
        <v>13454.889372174546</v>
      </c>
      <c r="C449" s="189">
        <v>6000.2312603690352</v>
      </c>
      <c r="D449" s="189">
        <v>5163.57568359375</v>
      </c>
      <c r="E449" s="189">
        <v>2145.41162109375</v>
      </c>
      <c r="F449" s="189">
        <v>3502</v>
      </c>
      <c r="G449" t="s">
        <v>7</v>
      </c>
    </row>
    <row r="450" spans="1:8" x14ac:dyDescent="0.3">
      <c r="A450" t="s">
        <v>17</v>
      </c>
      <c r="B450" s="189">
        <v>16964.373016750073</v>
      </c>
      <c r="C450" s="189">
        <v>7650.2948569705195</v>
      </c>
      <c r="D450" s="189">
        <v>6583.5589965820318</v>
      </c>
      <c r="E450" s="189">
        <v>2735.3998168945313</v>
      </c>
      <c r="F450" s="189">
        <v>3502</v>
      </c>
      <c r="G450" t="s">
        <v>7</v>
      </c>
    </row>
    <row r="451" spans="1:8" x14ac:dyDescent="0.3">
      <c r="A451" t="s">
        <v>18</v>
      </c>
      <c r="B451" s="189">
        <v>21457.839911201667</v>
      </c>
      <c r="C451" s="189">
        <v>9685.7032971087519</v>
      </c>
      <c r="D451" s="189">
        <v>8385.8082718963633</v>
      </c>
      <c r="E451" s="189">
        <v>3484.2155167694095</v>
      </c>
      <c r="F451" s="189">
        <v>3502</v>
      </c>
      <c r="G451" t="s">
        <v>7</v>
      </c>
    </row>
    <row r="455" spans="1:8" x14ac:dyDescent="0.3">
      <c r="D455" t="s">
        <v>182</v>
      </c>
      <c r="E455" t="s">
        <v>16</v>
      </c>
    </row>
    <row r="456" spans="1:8" x14ac:dyDescent="0.3">
      <c r="B456" s="189"/>
      <c r="C456" s="189"/>
      <c r="D456" t="s">
        <v>46</v>
      </c>
      <c r="E456" t="s">
        <v>6</v>
      </c>
      <c r="F456" s="189"/>
      <c r="G456" s="189"/>
    </row>
    <row r="457" spans="1:8" x14ac:dyDescent="0.3">
      <c r="B457" s="189"/>
      <c r="C457" s="189"/>
      <c r="D457" s="189"/>
      <c r="E457" s="189"/>
      <c r="F457" s="189"/>
      <c r="G457" s="189"/>
    </row>
    <row r="458" spans="1:8" x14ac:dyDescent="0.3">
      <c r="D458" s="211" t="s">
        <v>206</v>
      </c>
      <c r="E458" s="211" t="s">
        <v>207</v>
      </c>
      <c r="F458" s="211" t="s">
        <v>208</v>
      </c>
      <c r="G458" s="211" t="s">
        <v>208</v>
      </c>
      <c r="H458" s="211" t="s">
        <v>209</v>
      </c>
    </row>
    <row r="459" spans="1:8" x14ac:dyDescent="0.3">
      <c r="D459" s="189" cm="1">
        <f t="array" ref="D459">INDEX(B428:B451,MATCH('Exe Sum &amp; Dashboard'!$AK$53&amp;'Exe Sum &amp; Dashboard'!$AK$54,$A$428:$A$451&amp;$G$428:$G$451,0))</f>
        <v>8536.0866779460302</v>
      </c>
      <c r="E459" s="189" cm="1">
        <f t="array" ref="E459">INDEX(C428:C451,MATCH('Exe Sum &amp; Dashboard'!$AK$53&amp;'Exe Sum &amp; Dashboard'!$AK$54,$A$428:$A$451&amp;$G$428:$G$451,0))</f>
        <v>3840.6533557619405</v>
      </c>
      <c r="F459" s="189" cm="1">
        <f t="array" ref="F459">INDEX(D428:D451,MATCH('Exe Sum &amp; Dashboard'!$AK$53&amp;'Exe Sum &amp; Dashboard'!$AK$54,$A$428:$A$451&amp;$G$428:$G$451,0))</f>
        <v>3239.890625</v>
      </c>
      <c r="G459" s="189" cm="1">
        <f t="array" ref="G459">INDEX(E428:E451,MATCH('Exe Sum &amp; Dashboard'!$AK$53&amp;'Exe Sum &amp; Dashboard'!$AK$54,$A$428:$A$451&amp;$G$428:$G$451,0))</f>
        <v>1346.140625</v>
      </c>
      <c r="H459" s="189" cm="1">
        <f t="array" ref="H459">INDEX(F428:F451,MATCH('Exe Sum &amp; Dashboard'!$AK$53&amp;'Exe Sum &amp; Dashboard'!$AK$54,$A$428:$A$451&amp;$G$428:$G$451,0))</f>
        <v>3502</v>
      </c>
    </row>
  </sheetData>
  <phoneticPr fontId="30" type="noConversion"/>
  <dataValidations count="2">
    <dataValidation type="list" allowBlank="1" showInputMessage="1" showErrorMessage="1" sqref="B50 B105 B400 E456" xr:uid="{7D3C5E84-E9BD-46B3-97F8-3B491F8424C6}">
      <formula1>$A$2:$A$5</formula1>
    </dataValidation>
    <dataValidation type="list" allowBlank="1" showInputMessage="1" showErrorMessage="1" sqref="B399 E455" xr:uid="{08D0786F-2743-4CA5-B6EF-583DF0090FEA}">
      <formula1>$A$373:$A$378</formula1>
    </dataValidation>
  </dataValidations>
  <pageMargins left="0.7" right="0.7" top="0.75" bottom="0.75" header="0.3" footer="0.3"/>
  <pageSetup scale="75" orientation="landscape" r:id="rId5"/>
  <headerFooter>
    <oddHeader>&amp;A</oddHeader>
    <oddFooter>Page &amp;P of &amp;N</oddFooter>
  </headerFooter>
  <drawing r:id="rId6"/>
  <tableParts count="6">
    <tablePart r:id="rId7"/>
    <tablePart r:id="rId8"/>
    <tablePart r:id="rId9"/>
    <tablePart r:id="rId10"/>
    <tablePart r:id="rId11"/>
    <tablePart r:id="rId12"/>
  </tableParts>
  <extLst>
    <ext xmlns:x14="http://schemas.microsoft.com/office/spreadsheetml/2009/9/main" uri="{A8765BA9-456A-4dab-B4F3-ACF838C121DE}">
      <x14:slicerList>
        <x14:slicer r:id="rId13"/>
      </x14:slicerList>
    </ext>
    <ext xmlns:x15="http://schemas.microsoft.com/office/spreadsheetml/2010/11/main" uri="{3A4CF648-6AED-40f4-86FF-DC5316D8AED3}">
      <x14:slicerList xmlns:x14="http://schemas.microsoft.com/office/spreadsheetml/2009/9/main">
        <x14:slicer r:id="rId1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fa5b2fc-28c0-436c-a84d-28e84950e55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B8E493646432479F58832E858B6BEA" ma:contentTypeVersion="6" ma:contentTypeDescription="Create a new document." ma:contentTypeScope="" ma:versionID="f230f2c2a5ecdc9398839b1cd604373c">
  <xsd:schema xmlns:xsd="http://www.w3.org/2001/XMLSchema" xmlns:xs="http://www.w3.org/2001/XMLSchema" xmlns:p="http://schemas.microsoft.com/office/2006/metadata/properties" xmlns:ns3="dfa5b2fc-28c0-436c-a84d-28e84950e55d" xmlns:ns4="22268bce-1dd1-469b-b015-a579d2933a75" targetNamespace="http://schemas.microsoft.com/office/2006/metadata/properties" ma:root="true" ma:fieldsID="ae5c5d8eb86e70c2231ccec283ac195c" ns3:_="" ns4:_="">
    <xsd:import namespace="dfa5b2fc-28c0-436c-a84d-28e84950e55d"/>
    <xsd:import namespace="22268bce-1dd1-469b-b015-a579d2933a7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a5b2fc-28c0-436c-a84d-28e84950e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268bce-1dd1-469b-b015-a579d2933a7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D4706C3C-E5E9-4910-98DD-D2FC799C5856}">
  <ds:schemaRefs>
    <ds:schemaRef ds:uri="http://purl.org/dc/dcmitype/"/>
    <ds:schemaRef ds:uri="http://purl.org/dc/terms/"/>
    <ds:schemaRef ds:uri="http://schemas.microsoft.com/office/2006/metadata/properties"/>
    <ds:schemaRef ds:uri="dfa5b2fc-28c0-436c-a84d-28e84950e55d"/>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22268bce-1dd1-469b-b015-a579d2933a75"/>
    <ds:schemaRef ds:uri="http://www.w3.org/XML/1998/namespace"/>
  </ds:schemaRefs>
</ds:datastoreItem>
</file>

<file path=customXml/itemProps2.xml><?xml version="1.0" encoding="utf-8"?>
<ds:datastoreItem xmlns:ds="http://schemas.openxmlformats.org/officeDocument/2006/customXml" ds:itemID="{390879BB-F6E7-4579-8133-11DF8A210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a5b2fc-28c0-436c-a84d-28e84950e55d"/>
    <ds:schemaRef ds:uri="22268bce-1dd1-469b-b015-a579d2933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6B22CB-3037-44E4-AE23-6DC15EA50C64}">
  <ds:schemaRefs>
    <ds:schemaRef ds:uri="http://schemas.microsoft.com/sharepoint/v3/contenttype/forms"/>
  </ds:schemaRefs>
</ds:datastoreItem>
</file>

<file path=customXml/itemProps4.xml><?xml version="1.0" encoding="utf-8"?>
<ds:datastoreItem xmlns:ds="http://schemas.openxmlformats.org/officeDocument/2006/customXml" ds:itemID="{C2FE5CA4-BB7C-4A81-AAC3-988DE80205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Exe Sum &amp; Dashboard</vt:lpstr>
      <vt:lpstr>FMSA</vt:lpstr>
      <vt:lpstr>Charts</vt:lpstr>
      <vt:lpstr>FMSA!Company_Name</vt:lpstr>
      <vt:lpstr>FMSA!Days_In_Year</vt:lpstr>
      <vt:lpstr>FMSA!Debt_Amount</vt:lpstr>
      <vt:lpstr>FMSA!Debt_Date</vt:lpstr>
      <vt:lpstr>FMSA!Enterprise_Value</vt:lpstr>
      <vt:lpstr>FMSA!Equity_Value</vt:lpstr>
      <vt:lpstr>FMSA!Hist_Year</vt:lpstr>
      <vt:lpstr>Charts!Print_Area</vt:lpstr>
      <vt:lpstr>'Exe Sum &amp; Dashboard'!Print_Area</vt:lpstr>
      <vt:lpstr>FMSA!Print_Area</vt:lpstr>
      <vt:lpstr>FMSA!Share_Price</vt:lpstr>
      <vt:lpstr>FMSA!Tax_Rate</vt:lpstr>
      <vt:lpstr>FMSA!Units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Nugent</dc:creator>
  <cp:keywords/>
  <dc:description/>
  <cp:lastModifiedBy>Marvin Dan</cp:lastModifiedBy>
  <cp:revision/>
  <cp:lastPrinted>2023-04-01T19:17:45Z</cp:lastPrinted>
  <dcterms:created xsi:type="dcterms:W3CDTF">2019-10-12T15:38:14Z</dcterms:created>
  <dcterms:modified xsi:type="dcterms:W3CDTF">2024-09-19T02:04:55Z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0x010100C1B8E493646432479F58832E858B6BEA</vt:lpwstr>
  </property>
</Properties>
</file>