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Shared\"/>
    </mc:Choice>
  </mc:AlternateContent>
  <bookViews>
    <workbookView xWindow="0" yWindow="0" windowWidth="19200" windowHeight="7755" firstSheet="2" activeTab="2"/>
  </bookViews>
  <sheets>
    <sheet name="Hoja1" sheetId="10" r:id="rId1"/>
    <sheet name="Tesoreria" sheetId="2" r:id="rId2"/>
    <sheet name="Info. Inversiones" sheetId="3" r:id="rId3"/>
    <sheet name="AFISA" sheetId="5" r:id="rId4"/>
    <sheet name="Pasivos Hipotecarios" sheetId="6" r:id="rId5"/>
    <sheet name="Tabla de amortizacion" sheetId="7" r:id="rId6"/>
    <sheet name="CAPs (Coberturas)" sheetId="9" r:id="rId7"/>
    <sheet name="Analisis SOFICAM" sheetId="8" r:id="rId8"/>
  </sheets>
  <definedNames>
    <definedName name="_xlnm.Print_Area" localSheetId="7">'Analisis SOFICAM'!$A$1:$I$39,'Analisis SOFICAM'!$K$1:$S$39</definedName>
    <definedName name="Z_DA992D42_88A1_40DD_B0D5_EBD30D5AEF2B_.wvu.PrintArea" localSheetId="7" hidden="1">'Analisis SOFICAM'!$A$1:$I$39,'Analisis SOFICAM'!$K$1:$S$39</definedName>
  </definedNames>
  <calcPr calcId="162913"/>
  <customWorkbookViews>
    <customWorkbookView name="INVERSIONES Y DISPONIBILIDADES" guid="{DA992D42-88A1-40DD-B0D5-EBD30D5AEF2B}" maximized="1" xWindow="1358" yWindow="-8" windowWidth="1936" windowHeight="1056" activeSheetId="2"/>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2" l="1"/>
  <c r="D25" i="2" l="1"/>
  <c r="H16" i="9" l="1"/>
  <c r="H17" i="9"/>
  <c r="H18" i="9"/>
  <c r="H19" i="9"/>
  <c r="H20" i="9"/>
  <c r="H21" i="9"/>
  <c r="H24" i="9"/>
  <c r="H25" i="9"/>
  <c r="H26" i="9"/>
  <c r="H27" i="9"/>
  <c r="H28" i="9"/>
  <c r="H29" i="9"/>
  <c r="H15" i="9"/>
  <c r="G32" i="3" l="1"/>
  <c r="B37" i="2"/>
  <c r="B46" i="2" l="1"/>
  <c r="D27" i="2" l="1"/>
  <c r="D11" i="2"/>
  <c r="D19" i="2" s="1"/>
  <c r="B38" i="2" s="1"/>
  <c r="B47" i="2" s="1"/>
  <c r="D20" i="2" l="1"/>
  <c r="E30" i="9"/>
  <c r="L7" i="6" l="1"/>
  <c r="E10" i="6"/>
  <c r="D12" i="7"/>
  <c r="Q35" i="7"/>
  <c r="L11" i="7"/>
  <c r="K10" i="7"/>
  <c r="W66" i="7"/>
  <c r="J68" i="7"/>
  <c r="F6" i="2" l="1"/>
  <c r="G22" i="9" l="1"/>
  <c r="G11" i="9"/>
  <c r="E11" i="9"/>
  <c r="J67" i="7"/>
  <c r="J66" i="7"/>
  <c r="J65" i="7"/>
  <c r="G23" i="9" l="1"/>
  <c r="H23" i="9" s="1"/>
  <c r="H22" i="9"/>
  <c r="J7" i="5"/>
  <c r="G8" i="5"/>
  <c r="J8" i="5" s="1"/>
  <c r="H8" i="5"/>
  <c r="W25" i="6" l="1"/>
  <c r="W22" i="6"/>
  <c r="W23" i="6" s="1"/>
  <c r="W19" i="6"/>
  <c r="W18" i="6"/>
  <c r="W12" i="6"/>
  <c r="W13" i="6" s="1"/>
  <c r="V12" i="6"/>
  <c r="N30" i="8" l="1"/>
  <c r="N29" i="8"/>
  <c r="N28" i="8"/>
  <c r="N27" i="8"/>
  <c r="R30" i="8"/>
  <c r="R33" i="8" s="1"/>
  <c r="H30" i="8"/>
  <c r="H33" i="8" s="1"/>
  <c r="H35" i="8" l="1"/>
  <c r="H38" i="8"/>
  <c r="R38" i="8"/>
  <c r="R35" i="8"/>
  <c r="V62" i="7"/>
  <c r="L9" i="6" l="1"/>
  <c r="V66" i="7"/>
  <c r="H10" i="3"/>
  <c r="F15" i="3"/>
  <c r="F14" i="3"/>
  <c r="F13" i="3"/>
  <c r="F10" i="3"/>
  <c r="D10" i="3"/>
  <c r="D13" i="3"/>
  <c r="D14" i="3"/>
  <c r="D15" i="3"/>
  <c r="E16" i="3"/>
  <c r="E15" i="3"/>
  <c r="E14" i="3"/>
  <c r="E13" i="3"/>
  <c r="E12" i="3"/>
  <c r="E11" i="3"/>
  <c r="E10" i="3"/>
  <c r="K127" i="7"/>
  <c r="K129" i="7" s="1"/>
  <c r="K126" i="7"/>
  <c r="K125" i="7"/>
  <c r="K124" i="7"/>
  <c r="K123" i="7"/>
  <c r="K122" i="7"/>
  <c r="K121" i="7"/>
  <c r="K120" i="7"/>
  <c r="K119" i="7"/>
  <c r="K118" i="7"/>
  <c r="K117" i="7"/>
  <c r="K116" i="7"/>
  <c r="K114" i="7"/>
  <c r="Q113" i="7"/>
  <c r="K113" i="7"/>
  <c r="K112" i="7"/>
  <c r="K111" i="7"/>
  <c r="K110" i="7"/>
  <c r="K109" i="7"/>
  <c r="K108" i="7"/>
  <c r="K107" i="7"/>
  <c r="K106" i="7"/>
  <c r="K105" i="7"/>
  <c r="K104" i="7"/>
  <c r="K103" i="7"/>
  <c r="K101" i="7"/>
  <c r="Q100" i="7"/>
  <c r="K100" i="7"/>
  <c r="K99" i="7"/>
  <c r="K98" i="7"/>
  <c r="K97" i="7"/>
  <c r="K96" i="7"/>
  <c r="K95" i="7"/>
  <c r="K94" i="7"/>
  <c r="K93" i="7"/>
  <c r="K92" i="7"/>
  <c r="K91" i="7"/>
  <c r="K90" i="7"/>
  <c r="K88" i="7"/>
  <c r="Q87" i="7"/>
  <c r="K87" i="7"/>
  <c r="K86" i="7"/>
  <c r="K85" i="7"/>
  <c r="K84" i="7"/>
  <c r="K83" i="7"/>
  <c r="K82" i="7"/>
  <c r="K81" i="7"/>
  <c r="K80" i="7"/>
  <c r="K79" i="7"/>
  <c r="K78" i="7"/>
  <c r="K77" i="7"/>
  <c r="K75" i="7"/>
  <c r="Q74" i="7"/>
  <c r="K74" i="7"/>
  <c r="K73" i="7"/>
  <c r="K72" i="7"/>
  <c r="K71" i="7"/>
  <c r="K70" i="7"/>
  <c r="K69" i="7"/>
  <c r="K68" i="7"/>
  <c r="K67" i="7"/>
  <c r="K66" i="7"/>
  <c r="K65" i="7"/>
  <c r="K64" i="7"/>
  <c r="J64" i="7"/>
  <c r="L8" i="6" s="1"/>
  <c r="Q61" i="7"/>
  <c r="K61" i="7"/>
  <c r="J61" i="7"/>
  <c r="W60" i="7"/>
  <c r="P29" i="8" s="1"/>
  <c r="P30" i="8" s="1"/>
  <c r="V60" i="7"/>
  <c r="O29" i="8" s="1"/>
  <c r="K60" i="7"/>
  <c r="J60" i="7"/>
  <c r="E60" i="7"/>
  <c r="D60" i="7"/>
  <c r="K59" i="7"/>
  <c r="J59" i="7"/>
  <c r="K58" i="7"/>
  <c r="J58" i="7"/>
  <c r="K57" i="7"/>
  <c r="J57" i="7"/>
  <c r="K56" i="7"/>
  <c r="J56" i="7"/>
  <c r="K55" i="7"/>
  <c r="J55" i="7"/>
  <c r="K54" i="7"/>
  <c r="J54" i="7"/>
  <c r="K53" i="7"/>
  <c r="J53" i="7"/>
  <c r="K52" i="7"/>
  <c r="J52" i="7"/>
  <c r="K51" i="7"/>
  <c r="J51" i="7"/>
  <c r="K50" i="7"/>
  <c r="J50" i="7"/>
  <c r="Q48" i="7"/>
  <c r="K48" i="7"/>
  <c r="J48" i="7"/>
  <c r="E48" i="7"/>
  <c r="D48" i="7"/>
  <c r="W47" i="7"/>
  <c r="P28" i="8" s="1"/>
  <c r="V47" i="7"/>
  <c r="O28" i="8" s="1"/>
  <c r="K47" i="7"/>
  <c r="J47" i="7"/>
  <c r="K46" i="7"/>
  <c r="J46" i="7"/>
  <c r="K45" i="7"/>
  <c r="J45" i="7"/>
  <c r="K44" i="7"/>
  <c r="J44" i="7"/>
  <c r="K43" i="7"/>
  <c r="J43" i="7"/>
  <c r="K42" i="7"/>
  <c r="J42" i="7"/>
  <c r="K41" i="7"/>
  <c r="J41" i="7"/>
  <c r="K40" i="7"/>
  <c r="J40" i="7"/>
  <c r="K39" i="7"/>
  <c r="J39" i="7"/>
  <c r="K38" i="7"/>
  <c r="J38" i="7"/>
  <c r="K37" i="7"/>
  <c r="J37" i="7"/>
  <c r="K35" i="7"/>
  <c r="J35" i="7"/>
  <c r="E35" i="7"/>
  <c r="D35" i="7"/>
  <c r="W34" i="7"/>
  <c r="P27" i="8" s="1"/>
  <c r="V34" i="7"/>
  <c r="O27" i="8" s="1"/>
  <c r="K34" i="7"/>
  <c r="J34" i="7"/>
  <c r="K33" i="7"/>
  <c r="J33" i="7"/>
  <c r="K32" i="7"/>
  <c r="J32" i="7"/>
  <c r="K31" i="7"/>
  <c r="J31" i="7"/>
  <c r="K30" i="7"/>
  <c r="J30" i="7"/>
  <c r="K29" i="7"/>
  <c r="J29" i="7"/>
  <c r="K28" i="7"/>
  <c r="J28" i="7"/>
  <c r="J27" i="7"/>
  <c r="J26" i="7"/>
  <c r="J25" i="7"/>
  <c r="J24" i="7"/>
  <c r="K23" i="7"/>
  <c r="Q22" i="7"/>
  <c r="J22" i="7"/>
  <c r="E22" i="7"/>
  <c r="D22" i="7"/>
  <c r="W21" i="7"/>
  <c r="W67" i="7" s="1"/>
  <c r="V21" i="7"/>
  <c r="P21" i="7"/>
  <c r="P22" i="7" s="1"/>
  <c r="J21" i="7"/>
  <c r="X20" i="7"/>
  <c r="U22" i="7" s="1"/>
  <c r="X22" i="7" s="1"/>
  <c r="U23" i="7" s="1"/>
  <c r="X23" i="7" s="1"/>
  <c r="U24" i="7" s="1"/>
  <c r="X24" i="7" s="1"/>
  <c r="U25" i="7" s="1"/>
  <c r="X25" i="7" s="1"/>
  <c r="U26" i="7" s="1"/>
  <c r="X26" i="7" s="1"/>
  <c r="U27" i="7" s="1"/>
  <c r="X27" i="7" s="1"/>
  <c r="U28" i="7" s="1"/>
  <c r="X28" i="7" s="1"/>
  <c r="U29" i="7" s="1"/>
  <c r="X29" i="7" s="1"/>
  <c r="U30" i="7" s="1"/>
  <c r="X30" i="7" s="1"/>
  <c r="U31" i="7" s="1"/>
  <c r="X31" i="7" s="1"/>
  <c r="U32" i="7" s="1"/>
  <c r="X32" i="7" s="1"/>
  <c r="U33" i="7" s="1"/>
  <c r="X33" i="7" s="1"/>
  <c r="O20" i="7"/>
  <c r="R20" i="7" s="1"/>
  <c r="O23" i="7" s="1"/>
  <c r="R23" i="7" s="1"/>
  <c r="O24" i="7" s="1"/>
  <c r="L20" i="7"/>
  <c r="I21" i="7" s="1"/>
  <c r="L21" i="7" s="1"/>
  <c r="I22" i="7" s="1"/>
  <c r="L22" i="7" s="1"/>
  <c r="I24" i="7" s="1"/>
  <c r="L24" i="7" s="1"/>
  <c r="I25" i="7" s="1"/>
  <c r="L25" i="7" s="1"/>
  <c r="I26" i="7" s="1"/>
  <c r="L26" i="7" s="1"/>
  <c r="I27" i="7" s="1"/>
  <c r="L27" i="7" s="1"/>
  <c r="I28" i="7" s="1"/>
  <c r="C20" i="7"/>
  <c r="F20" i="7" s="1"/>
  <c r="C21" i="7" s="1"/>
  <c r="F21" i="7" s="1"/>
  <c r="C23" i="7" s="1"/>
  <c r="F23" i="7" s="1"/>
  <c r="C24" i="7" s="1"/>
  <c r="F24" i="7" s="1"/>
  <c r="C25" i="7" s="1"/>
  <c r="F25" i="7" s="1"/>
  <c r="C26" i="7" s="1"/>
  <c r="F26" i="7" s="1"/>
  <c r="C27" i="7" s="1"/>
  <c r="F27" i="7" s="1"/>
  <c r="C28" i="7" s="1"/>
  <c r="F28" i="7" s="1"/>
  <c r="C29" i="7" s="1"/>
  <c r="F29" i="7" s="1"/>
  <c r="C30" i="7" s="1"/>
  <c r="F30" i="7" s="1"/>
  <c r="C31" i="7" s="1"/>
  <c r="F31" i="7" s="1"/>
  <c r="C32" i="7" s="1"/>
  <c r="F32" i="7" s="1"/>
  <c r="C33" i="7" s="1"/>
  <c r="F33" i="7" s="1"/>
  <c r="C34" i="7" s="1"/>
  <c r="F34" i="7" s="1"/>
  <c r="C36" i="7" s="1"/>
  <c r="F36" i="7" s="1"/>
  <c r="C37" i="7" s="1"/>
  <c r="F37" i="7" s="1"/>
  <c r="C38" i="7" s="1"/>
  <c r="F38" i="7" s="1"/>
  <c r="C39" i="7" s="1"/>
  <c r="F39" i="7" s="1"/>
  <c r="C40" i="7" s="1"/>
  <c r="F40" i="7" s="1"/>
  <c r="C41" i="7" s="1"/>
  <c r="F41" i="7" s="1"/>
  <c r="C42" i="7" s="1"/>
  <c r="F42" i="7" s="1"/>
  <c r="C43" i="7" s="1"/>
  <c r="F43" i="7" s="1"/>
  <c r="C44" i="7" s="1"/>
  <c r="F44" i="7" s="1"/>
  <c r="C45" i="7" s="1"/>
  <c r="F45" i="7" s="1"/>
  <c r="C46" i="7" s="1"/>
  <c r="F46" i="7" s="1"/>
  <c r="C47" i="7" s="1"/>
  <c r="F47" i="7" s="1"/>
  <c r="C49" i="7" s="1"/>
  <c r="F49" i="7" s="1"/>
  <c r="C50" i="7" s="1"/>
  <c r="F50" i="7" s="1"/>
  <c r="C51" i="7" s="1"/>
  <c r="F51" i="7" s="1"/>
  <c r="C52" i="7" s="1"/>
  <c r="F52" i="7" s="1"/>
  <c r="C53" i="7" s="1"/>
  <c r="F53" i="7" s="1"/>
  <c r="C54" i="7" s="1"/>
  <c r="F54" i="7" s="1"/>
  <c r="C55" i="7" s="1"/>
  <c r="F55" i="7" s="1"/>
  <c r="C56" i="7" s="1"/>
  <c r="F56" i="7" s="1"/>
  <c r="C57" i="7" s="1"/>
  <c r="F57" i="7" s="1"/>
  <c r="C58" i="7" s="1"/>
  <c r="F58" i="7" s="1"/>
  <c r="C59" i="7" s="1"/>
  <c r="F59" i="7" s="1"/>
  <c r="D17" i="7"/>
  <c r="F11" i="7"/>
  <c r="G10" i="7"/>
  <c r="O18" i="7" s="1"/>
  <c r="G9" i="7"/>
  <c r="I18" i="7" s="1"/>
  <c r="C18" i="7"/>
  <c r="O26" i="8" l="1"/>
  <c r="K11" i="7"/>
  <c r="V67" i="7"/>
  <c r="X67" i="7" s="1"/>
  <c r="J49" i="7"/>
  <c r="K76" i="7"/>
  <c r="L10" i="6"/>
  <c r="Q115" i="7"/>
  <c r="K115" i="7"/>
  <c r="J62" i="7"/>
  <c r="U35" i="7"/>
  <c r="X35" i="7" s="1"/>
  <c r="U36" i="7" s="1"/>
  <c r="X36" i="7" s="1"/>
  <c r="U37" i="7" s="1"/>
  <c r="X37" i="7" s="1"/>
  <c r="U38" i="7" s="1"/>
  <c r="X38" i="7" s="1"/>
  <c r="U39" i="7" s="1"/>
  <c r="X39" i="7" s="1"/>
  <c r="U40" i="7" s="1"/>
  <c r="X40" i="7" s="1"/>
  <c r="U41" i="7" s="1"/>
  <c r="X41" i="7" s="1"/>
  <c r="U42" i="7" s="1"/>
  <c r="X42" i="7" s="1"/>
  <c r="U43" i="7" s="1"/>
  <c r="X43" i="7" s="1"/>
  <c r="U44" i="7" s="1"/>
  <c r="X44" i="7" s="1"/>
  <c r="U45" i="7" s="1"/>
  <c r="X45" i="7" s="1"/>
  <c r="U46" i="7" s="1"/>
  <c r="X46" i="7" s="1"/>
  <c r="U48" i="7" s="1"/>
  <c r="X48" i="7" s="1"/>
  <c r="U49" i="7" s="1"/>
  <c r="X49" i="7" s="1"/>
  <c r="U50" i="7" s="1"/>
  <c r="X50" i="7" s="1"/>
  <c r="U51" i="7" s="1"/>
  <c r="X51" i="7" s="1"/>
  <c r="U52" i="7" s="1"/>
  <c r="X52" i="7" s="1"/>
  <c r="U53" i="7" s="1"/>
  <c r="X53" i="7" s="1"/>
  <c r="U54" i="7" s="1"/>
  <c r="X54" i="7" s="1"/>
  <c r="U55" i="7" s="1"/>
  <c r="X55" i="7" s="1"/>
  <c r="U56" i="7" s="1"/>
  <c r="X56" i="7" s="1"/>
  <c r="U57" i="7" s="1"/>
  <c r="X57" i="7" s="1"/>
  <c r="U58" i="7" s="1"/>
  <c r="X58" i="7" s="1"/>
  <c r="U59" i="7" s="1"/>
  <c r="X59" i="7" s="1"/>
  <c r="U61" i="7" s="1"/>
  <c r="X61" i="7" s="1"/>
  <c r="U62" i="7" s="1"/>
  <c r="X62" i="7" s="1"/>
  <c r="U63" i="7" s="1"/>
  <c r="L28" i="7"/>
  <c r="I29" i="7" s="1"/>
  <c r="L29" i="7" s="1"/>
  <c r="I30" i="7" s="1"/>
  <c r="L30" i="7" s="1"/>
  <c r="I31" i="7" s="1"/>
  <c r="L31" i="7" s="1"/>
  <c r="I32" i="7" s="1"/>
  <c r="L32" i="7" s="1"/>
  <c r="I33" i="7" s="1"/>
  <c r="L33" i="7" s="1"/>
  <c r="I34" i="7" s="1"/>
  <c r="L34" i="7" s="1"/>
  <c r="I35" i="7" s="1"/>
  <c r="L35" i="7" s="1"/>
  <c r="I37" i="7" s="1"/>
  <c r="L37" i="7" s="1"/>
  <c r="I38" i="7" s="1"/>
  <c r="L38" i="7" s="1"/>
  <c r="I39" i="7" s="1"/>
  <c r="L39" i="7" s="1"/>
  <c r="I40" i="7" s="1"/>
  <c r="L40" i="7" s="1"/>
  <c r="I41" i="7" s="1"/>
  <c r="L41" i="7" s="1"/>
  <c r="I42" i="7" s="1"/>
  <c r="L42" i="7" s="1"/>
  <c r="I43" i="7" s="1"/>
  <c r="L43" i="7" s="1"/>
  <c r="I44" i="7" s="1"/>
  <c r="L44" i="7" s="1"/>
  <c r="I45" i="7" s="1"/>
  <c r="L45" i="7" s="1"/>
  <c r="I46" i="7" s="1"/>
  <c r="L46" i="7" s="1"/>
  <c r="I47" i="7" s="1"/>
  <c r="L47" i="7" s="1"/>
  <c r="I48" i="7" s="1"/>
  <c r="L48" i="7" s="1"/>
  <c r="I50" i="7" s="1"/>
  <c r="L50" i="7" s="1"/>
  <c r="I51" i="7" s="1"/>
  <c r="L51" i="7" s="1"/>
  <c r="I52" i="7" s="1"/>
  <c r="L52" i="7" s="1"/>
  <c r="I53" i="7" s="1"/>
  <c r="L53" i="7" s="1"/>
  <c r="I54" i="7" s="1"/>
  <c r="L54" i="7" s="1"/>
  <c r="I55" i="7" s="1"/>
  <c r="L55" i="7" s="1"/>
  <c r="I56" i="7" s="1"/>
  <c r="L56" i="7" s="1"/>
  <c r="I57" i="7" s="1"/>
  <c r="L57" i="7" s="1"/>
  <c r="I58" i="7" s="1"/>
  <c r="L58" i="7" s="1"/>
  <c r="I59" i="7" s="1"/>
  <c r="L59" i="7" s="1"/>
  <c r="I60" i="7" s="1"/>
  <c r="L60" i="7" s="1"/>
  <c r="I61" i="7" s="1"/>
  <c r="L61" i="7" s="1"/>
  <c r="I64" i="7" s="1"/>
  <c r="L64" i="7" s="1"/>
  <c r="I65" i="7" s="1"/>
  <c r="L65" i="7" s="1"/>
  <c r="I66" i="7" s="1"/>
  <c r="K62" i="7"/>
  <c r="G11" i="7"/>
  <c r="U18" i="7" s="1"/>
  <c r="J23" i="7"/>
  <c r="J36" i="7"/>
  <c r="K128" i="7"/>
  <c r="R24" i="7"/>
  <c r="O25" i="7" s="1"/>
  <c r="K49" i="7"/>
  <c r="K36" i="7"/>
  <c r="D61" i="7"/>
  <c r="E61" i="7"/>
  <c r="K89" i="7"/>
  <c r="K130" i="7"/>
  <c r="K132" i="7" s="1"/>
  <c r="K134" i="7" s="1"/>
  <c r="K136" i="7" s="1"/>
  <c r="K138" i="7" s="1"/>
  <c r="K140" i="7" s="1"/>
  <c r="K142" i="7" s="1"/>
  <c r="K131" i="7"/>
  <c r="K133" i="7" s="1"/>
  <c r="K135" i="7" s="1"/>
  <c r="K137" i="7" s="1"/>
  <c r="K139" i="7" s="1"/>
  <c r="K102" i="7"/>
  <c r="G9" i="6"/>
  <c r="H9" i="6" s="1"/>
  <c r="H27" i="3"/>
  <c r="H28" i="3"/>
  <c r="H29" i="3"/>
  <c r="H30" i="3"/>
  <c r="K27" i="3"/>
  <c r="J16" i="3"/>
  <c r="K16" i="3" s="1"/>
  <c r="J9" i="3"/>
  <c r="K9" i="3" s="1"/>
  <c r="J8" i="3"/>
  <c r="K8" i="3" s="1"/>
  <c r="J13" i="3"/>
  <c r="K13" i="3" s="1"/>
  <c r="K8" i="7" l="1"/>
  <c r="N8" i="7" s="1"/>
  <c r="H32" i="3"/>
  <c r="N11" i="7"/>
  <c r="J63" i="7"/>
  <c r="K9" i="7" s="1"/>
  <c r="F61" i="7"/>
  <c r="K63" i="7"/>
  <c r="X63" i="7"/>
  <c r="U64" i="7" s="1"/>
  <c r="K141" i="7"/>
  <c r="K143" i="7"/>
  <c r="K145" i="7" s="1"/>
  <c r="K147" i="7" s="1"/>
  <c r="K149" i="7" s="1"/>
  <c r="K144" i="7"/>
  <c r="K146" i="7" s="1"/>
  <c r="K148" i="7" s="1"/>
  <c r="K150" i="7" s="1"/>
  <c r="R25" i="7"/>
  <c r="O26" i="7" s="1"/>
  <c r="L66" i="7"/>
  <c r="I67" i="7" s="1"/>
  <c r="L67" i="7" s="1"/>
  <c r="K12" i="7" l="1"/>
  <c r="R26" i="7"/>
  <c r="I68" i="7"/>
  <c r="K152" i="7"/>
  <c r="K154" i="7" s="1"/>
  <c r="X64" i="7"/>
  <c r="O27" i="7" l="1"/>
  <c r="U65" i="7"/>
  <c r="X65" i="7" s="1"/>
  <c r="V17" i="7" s="1"/>
  <c r="J11" i="7" s="1"/>
  <c r="L68" i="7"/>
  <c r="R27" i="7"/>
  <c r="I69" i="7" l="1"/>
  <c r="J17" i="7"/>
  <c r="J9" i="7" s="1"/>
  <c r="K8" i="6" s="1"/>
  <c r="M68" i="7"/>
  <c r="J12" i="7"/>
  <c r="O28" i="7"/>
  <c r="P17" i="7"/>
  <c r="J10" i="7" s="1"/>
  <c r="K7" i="6" s="1"/>
  <c r="K9" i="6"/>
  <c r="K10" i="6" s="1"/>
  <c r="P28" i="7"/>
  <c r="R28" i="7"/>
  <c r="O29" i="7" s="1"/>
  <c r="J69" i="7"/>
  <c r="L69" i="7"/>
  <c r="I70" i="7" s="1"/>
  <c r="L70" i="7" l="1"/>
  <c r="I71" i="7" s="1"/>
  <c r="J70" i="7"/>
  <c r="R29" i="7"/>
  <c r="O30" i="7" s="1"/>
  <c r="P29" i="7"/>
  <c r="P30" i="7" l="1"/>
  <c r="R30" i="7"/>
  <c r="O31" i="7" s="1"/>
  <c r="J71" i="7"/>
  <c r="L71" i="7"/>
  <c r="I72" i="7" s="1"/>
  <c r="L72" i="7" l="1"/>
  <c r="I73" i="7" s="1"/>
  <c r="J72" i="7"/>
  <c r="P31" i="7"/>
  <c r="R31" i="7"/>
  <c r="O32" i="7" s="1"/>
  <c r="J73" i="7" l="1"/>
  <c r="L73" i="7"/>
  <c r="I74" i="7" s="1"/>
  <c r="R32" i="7"/>
  <c r="O33" i="7" s="1"/>
  <c r="P32" i="7"/>
  <c r="P33" i="7" l="1"/>
  <c r="R33" i="7"/>
  <c r="O34" i="7" s="1"/>
  <c r="L74" i="7"/>
  <c r="I75" i="7" s="1"/>
  <c r="J74" i="7"/>
  <c r="V9" i="6" l="1"/>
  <c r="L75" i="7"/>
  <c r="J75" i="7"/>
  <c r="J76" i="7" s="1"/>
  <c r="R34" i="7"/>
  <c r="P34" i="7"/>
  <c r="P35" i="7" s="1"/>
  <c r="I77" i="7" l="1"/>
  <c r="V8" i="6"/>
  <c r="O36" i="7"/>
  <c r="P36" i="7" s="1"/>
  <c r="V7" i="6"/>
  <c r="V10" i="6" s="1"/>
  <c r="O30" i="8"/>
  <c r="R36" i="7"/>
  <c r="O37" i="7" s="1"/>
  <c r="L77" i="7"/>
  <c r="I78" i="7" s="1"/>
  <c r="J77" i="7"/>
  <c r="R37" i="7" l="1"/>
  <c r="O38" i="7" s="1"/>
  <c r="P37" i="7"/>
  <c r="J78" i="7"/>
  <c r="L78" i="7"/>
  <c r="I79" i="7" s="1"/>
  <c r="L79" i="7" l="1"/>
  <c r="I80" i="7" s="1"/>
  <c r="J79" i="7"/>
  <c r="P38" i="7"/>
  <c r="R38" i="7"/>
  <c r="O39" i="7" s="1"/>
  <c r="J80" i="7" l="1"/>
  <c r="L80" i="7"/>
  <c r="I81" i="7" s="1"/>
  <c r="R39" i="7"/>
  <c r="O40" i="7" s="1"/>
  <c r="P39" i="7"/>
  <c r="P40" i="7" l="1"/>
  <c r="R40" i="7"/>
  <c r="O41" i="7" s="1"/>
  <c r="L81" i="7"/>
  <c r="I82" i="7" s="1"/>
  <c r="J81" i="7"/>
  <c r="R41" i="7" l="1"/>
  <c r="O42" i="7" s="1"/>
  <c r="P41" i="7"/>
  <c r="L82" i="7"/>
  <c r="I83" i="7" s="1"/>
  <c r="J82" i="7"/>
  <c r="P42" i="7" l="1"/>
  <c r="R42" i="7"/>
  <c r="O43" i="7" s="1"/>
  <c r="J83" i="7"/>
  <c r="L83" i="7"/>
  <c r="I84" i="7" s="1"/>
  <c r="L84" i="7" l="1"/>
  <c r="I85" i="7" s="1"/>
  <c r="J84" i="7"/>
  <c r="R43" i="7"/>
  <c r="O44" i="7" s="1"/>
  <c r="P43" i="7"/>
  <c r="P44" i="7" l="1"/>
  <c r="R44" i="7"/>
  <c r="O45" i="7" s="1"/>
  <c r="J85" i="7"/>
  <c r="L85" i="7"/>
  <c r="I86" i="7" s="1"/>
  <c r="R45" i="7" l="1"/>
  <c r="O46" i="7" s="1"/>
  <c r="P45" i="7"/>
  <c r="L86" i="7"/>
  <c r="I87" i="7" s="1"/>
  <c r="J86" i="7"/>
  <c r="P46" i="7" l="1"/>
  <c r="R46" i="7"/>
  <c r="O47" i="7" s="1"/>
  <c r="J87" i="7"/>
  <c r="L87" i="7"/>
  <c r="I88" i="7" s="1"/>
  <c r="J88" i="7" l="1"/>
  <c r="J89" i="7" s="1"/>
  <c r="L88" i="7"/>
  <c r="I90" i="7" s="1"/>
  <c r="R47" i="7"/>
  <c r="O49" i="7" s="1"/>
  <c r="P47" i="7"/>
  <c r="P48" i="7" s="1"/>
  <c r="R49" i="7" l="1"/>
  <c r="O50" i="7" s="1"/>
  <c r="P49" i="7"/>
  <c r="L90" i="7"/>
  <c r="I91" i="7" s="1"/>
  <c r="J90" i="7"/>
  <c r="J91" i="7" l="1"/>
  <c r="L91" i="7"/>
  <c r="I92" i="7" s="1"/>
  <c r="R50" i="7"/>
  <c r="O51" i="7" s="1"/>
  <c r="P50" i="7"/>
  <c r="P51" i="7" l="1"/>
  <c r="R51" i="7"/>
  <c r="O52" i="7" s="1"/>
  <c r="L92" i="7"/>
  <c r="I93" i="7" s="1"/>
  <c r="J92" i="7"/>
  <c r="R52" i="7" l="1"/>
  <c r="O53" i="7" s="1"/>
  <c r="P52" i="7"/>
  <c r="J93" i="7"/>
  <c r="L93" i="7"/>
  <c r="I94" i="7" s="1"/>
  <c r="L94" i="7" l="1"/>
  <c r="I95" i="7" s="1"/>
  <c r="J94" i="7"/>
  <c r="R53" i="7"/>
  <c r="O54" i="7" s="1"/>
  <c r="P53" i="7"/>
  <c r="R54" i="7" l="1"/>
  <c r="O55" i="7" s="1"/>
  <c r="P54" i="7"/>
  <c r="J95" i="7"/>
  <c r="L95" i="7"/>
  <c r="I96" i="7" s="1"/>
  <c r="L96" i="7" l="1"/>
  <c r="I97" i="7" s="1"/>
  <c r="J96" i="7"/>
  <c r="P55" i="7"/>
  <c r="R55" i="7"/>
  <c r="O56" i="7" s="1"/>
  <c r="J97" i="7" l="1"/>
  <c r="L97" i="7"/>
  <c r="I98" i="7" s="1"/>
  <c r="R56" i="7"/>
  <c r="O57" i="7" s="1"/>
  <c r="P56" i="7"/>
  <c r="R57" i="7" l="1"/>
  <c r="O58" i="7" s="1"/>
  <c r="P57" i="7"/>
  <c r="L98" i="7"/>
  <c r="I99" i="7" s="1"/>
  <c r="J98" i="7"/>
  <c r="J99" i="7" l="1"/>
  <c r="L99" i="7"/>
  <c r="I100" i="7" s="1"/>
  <c r="R58" i="7"/>
  <c r="O59" i="7" s="1"/>
  <c r="P58" i="7"/>
  <c r="L100" i="7" l="1"/>
  <c r="I101" i="7" s="1"/>
  <c r="J100" i="7"/>
  <c r="P59" i="7"/>
  <c r="R59" i="7"/>
  <c r="O60" i="7" s="1"/>
  <c r="L101" i="7" l="1"/>
  <c r="I103" i="7" s="1"/>
  <c r="J101" i="7"/>
  <c r="J102" i="7" s="1"/>
  <c r="R60" i="7"/>
  <c r="O62" i="7" s="1"/>
  <c r="P60" i="7"/>
  <c r="P61" i="7" s="1"/>
  <c r="R62" i="7" l="1"/>
  <c r="O63" i="7" s="1"/>
  <c r="P62" i="7"/>
  <c r="L103" i="7"/>
  <c r="I104" i="7" s="1"/>
  <c r="J103" i="7"/>
  <c r="J104" i="7" l="1"/>
  <c r="L104" i="7"/>
  <c r="I105" i="7" s="1"/>
  <c r="P63" i="7"/>
  <c r="R63" i="7"/>
  <c r="O64" i="7" s="1"/>
  <c r="L105" i="7" l="1"/>
  <c r="I106" i="7" s="1"/>
  <c r="J105" i="7"/>
  <c r="R64" i="7"/>
  <c r="O65" i="7" s="1"/>
  <c r="P64" i="7"/>
  <c r="P65" i="7" l="1"/>
  <c r="R65" i="7"/>
  <c r="O66" i="7" s="1"/>
  <c r="J106" i="7"/>
  <c r="L106" i="7"/>
  <c r="I107" i="7" s="1"/>
  <c r="R66" i="7" l="1"/>
  <c r="O67" i="7" s="1"/>
  <c r="P66" i="7"/>
  <c r="L107" i="7"/>
  <c r="I108" i="7" s="1"/>
  <c r="J107" i="7"/>
  <c r="P67" i="7" l="1"/>
  <c r="R67" i="7"/>
  <c r="O68" i="7" s="1"/>
  <c r="J108" i="7"/>
  <c r="L108" i="7"/>
  <c r="I109" i="7" s="1"/>
  <c r="L109" i="7" l="1"/>
  <c r="I110" i="7" s="1"/>
  <c r="J109" i="7"/>
  <c r="R68" i="7"/>
  <c r="O69" i="7" s="1"/>
  <c r="P68" i="7"/>
  <c r="P69" i="7" l="1"/>
  <c r="R69" i="7"/>
  <c r="O70" i="7" s="1"/>
  <c r="J110" i="7"/>
  <c r="L110" i="7"/>
  <c r="I111" i="7" s="1"/>
  <c r="R70" i="7" l="1"/>
  <c r="O71" i="7" s="1"/>
  <c r="P70" i="7"/>
  <c r="L111" i="7"/>
  <c r="I112" i="7" s="1"/>
  <c r="J111" i="7"/>
  <c r="J112" i="7" l="1"/>
  <c r="L112" i="7"/>
  <c r="I113" i="7" s="1"/>
  <c r="P71" i="7"/>
  <c r="R71" i="7"/>
  <c r="O72" i="7" s="1"/>
  <c r="L113" i="7" l="1"/>
  <c r="I114" i="7" s="1"/>
  <c r="J113" i="7"/>
  <c r="R72" i="7"/>
  <c r="O73" i="7" s="1"/>
  <c r="P72" i="7"/>
  <c r="L114" i="7" l="1"/>
  <c r="I116" i="7" s="1"/>
  <c r="J114" i="7"/>
  <c r="J115" i="7" s="1"/>
  <c r="P73" i="7"/>
  <c r="P74" i="7" s="1"/>
  <c r="R73" i="7"/>
  <c r="O75" i="7" s="1"/>
  <c r="R75" i="7" l="1"/>
  <c r="O76" i="7" s="1"/>
  <c r="P75" i="7"/>
  <c r="J116" i="7"/>
  <c r="L116" i="7"/>
  <c r="I117" i="7" s="1"/>
  <c r="J117" i="7" l="1"/>
  <c r="L117" i="7"/>
  <c r="I118" i="7" s="1"/>
  <c r="R76" i="7"/>
  <c r="O77" i="7" s="1"/>
  <c r="P76" i="7"/>
  <c r="R77" i="7" l="1"/>
  <c r="O78" i="7" s="1"/>
  <c r="P77" i="7"/>
  <c r="L118" i="7"/>
  <c r="I119" i="7" s="1"/>
  <c r="J118" i="7"/>
  <c r="P78" i="7" l="1"/>
  <c r="R78" i="7"/>
  <c r="O79" i="7" s="1"/>
  <c r="L119" i="7"/>
  <c r="I120" i="7" s="1"/>
  <c r="J119" i="7"/>
  <c r="R79" i="7" l="1"/>
  <c r="O80" i="7" s="1"/>
  <c r="P79" i="7"/>
  <c r="J120" i="7"/>
  <c r="L120" i="7"/>
  <c r="I121" i="7" s="1"/>
  <c r="J121" i="7" l="1"/>
  <c r="L121" i="7"/>
  <c r="I122" i="7" s="1"/>
  <c r="P80" i="7"/>
  <c r="R80" i="7"/>
  <c r="O81" i="7" s="1"/>
  <c r="L122" i="7" l="1"/>
  <c r="I123" i="7" s="1"/>
  <c r="J122" i="7"/>
  <c r="R81" i="7"/>
  <c r="O82" i="7" s="1"/>
  <c r="P81" i="7"/>
  <c r="R82" i="7" l="1"/>
  <c r="O83" i="7" s="1"/>
  <c r="P82" i="7"/>
  <c r="L123" i="7"/>
  <c r="I124" i="7" s="1"/>
  <c r="J123" i="7"/>
  <c r="J124" i="7" l="1"/>
  <c r="L124" i="7"/>
  <c r="I125" i="7" s="1"/>
  <c r="P83" i="7"/>
  <c r="R83" i="7"/>
  <c r="O84" i="7" s="1"/>
  <c r="R84" i="7" l="1"/>
  <c r="O85" i="7" s="1"/>
  <c r="P84" i="7"/>
  <c r="J125" i="7"/>
  <c r="L125" i="7"/>
  <c r="I126" i="7" s="1"/>
  <c r="P85" i="7" l="1"/>
  <c r="R85" i="7"/>
  <c r="O86" i="7" s="1"/>
  <c r="L126" i="7"/>
  <c r="I127" i="7" s="1"/>
  <c r="J126" i="7"/>
  <c r="J127" i="7" l="1"/>
  <c r="J128" i="7" s="1"/>
  <c r="L127" i="7"/>
  <c r="I129" i="7" s="1"/>
  <c r="R86" i="7"/>
  <c r="O88" i="7" s="1"/>
  <c r="P86" i="7"/>
  <c r="P87" i="7" s="1"/>
  <c r="J129" i="7" l="1"/>
  <c r="L129" i="7"/>
  <c r="I130" i="7" s="1"/>
  <c r="P88" i="7"/>
  <c r="R88" i="7"/>
  <c r="O89" i="7" s="1"/>
  <c r="J130" i="7" l="1"/>
  <c r="L130" i="7"/>
  <c r="I131" i="7" s="1"/>
  <c r="P89" i="7"/>
  <c r="R89" i="7"/>
  <c r="O90" i="7" s="1"/>
  <c r="L131" i="7" l="1"/>
  <c r="I132" i="7" s="1"/>
  <c r="J131" i="7"/>
  <c r="R90" i="7"/>
  <c r="O91" i="7" s="1"/>
  <c r="P90" i="7"/>
  <c r="P91" i="7" l="1"/>
  <c r="R91" i="7"/>
  <c r="O92" i="7" s="1"/>
  <c r="L132" i="7"/>
  <c r="I133" i="7" s="1"/>
  <c r="J132" i="7"/>
  <c r="J133" i="7" l="1"/>
  <c r="L133" i="7"/>
  <c r="I134" i="7" s="1"/>
  <c r="R92" i="7"/>
  <c r="O93" i="7" s="1"/>
  <c r="P92" i="7"/>
  <c r="P93" i="7" l="1"/>
  <c r="R93" i="7"/>
  <c r="O94" i="7" s="1"/>
  <c r="J134" i="7"/>
  <c r="L134" i="7"/>
  <c r="I135" i="7" s="1"/>
  <c r="L135" i="7" l="1"/>
  <c r="I136" i="7" s="1"/>
  <c r="J135" i="7"/>
  <c r="R94" i="7"/>
  <c r="O95" i="7" s="1"/>
  <c r="P94" i="7"/>
  <c r="P95" i="7" l="1"/>
  <c r="R95" i="7"/>
  <c r="O96" i="7" s="1"/>
  <c r="L136" i="7"/>
  <c r="I137" i="7" s="1"/>
  <c r="J136" i="7"/>
  <c r="R96" i="7" l="1"/>
  <c r="O97" i="7" s="1"/>
  <c r="P96" i="7"/>
  <c r="J137" i="7"/>
  <c r="L137" i="7"/>
  <c r="I138" i="7" s="1"/>
  <c r="P97" i="7" l="1"/>
  <c r="R97" i="7"/>
  <c r="O98" i="7" s="1"/>
  <c r="J138" i="7"/>
  <c r="L138" i="7"/>
  <c r="I139" i="7" s="1"/>
  <c r="L139" i="7" l="1"/>
  <c r="I140" i="7" s="1"/>
  <c r="J139" i="7"/>
  <c r="R98" i="7"/>
  <c r="O99" i="7" s="1"/>
  <c r="P98" i="7"/>
  <c r="P99" i="7" l="1"/>
  <c r="P100" i="7" s="1"/>
  <c r="R99" i="7"/>
  <c r="O101" i="7" s="1"/>
  <c r="J140" i="7"/>
  <c r="J141" i="7" s="1"/>
  <c r="L140" i="7"/>
  <c r="I142" i="7" s="1"/>
  <c r="R101" i="7" l="1"/>
  <c r="O102" i="7" s="1"/>
  <c r="P101" i="7"/>
  <c r="J142" i="7"/>
  <c r="L142" i="7"/>
  <c r="I143" i="7" s="1"/>
  <c r="J143" i="7" l="1"/>
  <c r="L143" i="7"/>
  <c r="I144" i="7" s="1"/>
  <c r="R102" i="7"/>
  <c r="O103" i="7" s="1"/>
  <c r="P102" i="7"/>
  <c r="R103" i="7" l="1"/>
  <c r="O104" i="7" s="1"/>
  <c r="P103" i="7"/>
  <c r="L144" i="7"/>
  <c r="I145" i="7" s="1"/>
  <c r="J144" i="7"/>
  <c r="R104" i="7" l="1"/>
  <c r="O105" i="7" s="1"/>
  <c r="P104" i="7"/>
  <c r="L145" i="7"/>
  <c r="I146" i="7" s="1"/>
  <c r="J145" i="7"/>
  <c r="J146" i="7" l="1"/>
  <c r="L146" i="7"/>
  <c r="I147" i="7" s="1"/>
  <c r="R105" i="7"/>
  <c r="O106" i="7" s="1"/>
  <c r="P105" i="7"/>
  <c r="R106" i="7" l="1"/>
  <c r="O107" i="7" s="1"/>
  <c r="P106" i="7"/>
  <c r="J147" i="7"/>
  <c r="L147" i="7"/>
  <c r="I148" i="7" s="1"/>
  <c r="L148" i="7" l="1"/>
  <c r="I149" i="7" s="1"/>
  <c r="J148" i="7"/>
  <c r="R107" i="7"/>
  <c r="O108" i="7" s="1"/>
  <c r="P107" i="7"/>
  <c r="R108" i="7" l="1"/>
  <c r="O109" i="7" s="1"/>
  <c r="P108" i="7"/>
  <c r="L149" i="7"/>
  <c r="I150" i="7" s="1"/>
  <c r="J149" i="7"/>
  <c r="R109" i="7" l="1"/>
  <c r="O110" i="7" s="1"/>
  <c r="P109" i="7"/>
  <c r="J150" i="7"/>
  <c r="L150" i="7"/>
  <c r="I151" i="7" s="1"/>
  <c r="L151" i="7" l="1"/>
  <c r="J151" i="7"/>
  <c r="J152" i="7" s="1"/>
  <c r="J154" i="7" s="1"/>
  <c r="L9" i="7" s="1"/>
  <c r="N9" i="7" s="1"/>
  <c r="R110" i="7"/>
  <c r="O111" i="7" s="1"/>
  <c r="P110" i="7"/>
  <c r="R111" i="7" l="1"/>
  <c r="P111" i="7"/>
  <c r="P113" i="7" s="1"/>
  <c r="P115" i="7" s="1"/>
  <c r="L10" i="7" s="1"/>
  <c r="N10" i="7" s="1"/>
  <c r="N12" i="7" l="1"/>
  <c r="L12" i="7" l="1"/>
  <c r="Q21" i="7"/>
</calcChain>
</file>

<file path=xl/comments1.xml><?xml version="1.0" encoding="utf-8"?>
<comments xmlns="http://schemas.openxmlformats.org/spreadsheetml/2006/main">
  <authors>
    <author>argo</author>
  </authors>
  <commentList>
    <comment ref="C8" authorId="0" shapeId="0">
      <text>
        <r>
          <rPr>
            <b/>
            <sz val="9"/>
            <color indexed="81"/>
            <rFont val="Tahoma"/>
            <family val="2"/>
          </rPr>
          <t>argo:</t>
        </r>
        <r>
          <rPr>
            <sz val="9"/>
            <color indexed="81"/>
            <rFont val="Tahoma"/>
            <family val="2"/>
          </rPr>
          <t xml:space="preserve">
BIENES HIPOTECADOS
Bralemex y Atoyaquillo </t>
        </r>
      </text>
    </comment>
    <comment ref="C9" authorId="0" shapeId="0">
      <text>
        <r>
          <rPr>
            <b/>
            <sz val="9"/>
            <color indexed="81"/>
            <rFont val="Tahoma"/>
            <family val="2"/>
          </rPr>
          <t>argo:</t>
        </r>
        <r>
          <rPr>
            <sz val="9"/>
            <color indexed="81"/>
            <rFont val="Tahoma"/>
            <family val="2"/>
          </rPr>
          <t xml:space="preserve">
BIENES HIPOTECADOS
Santa Rita 4-z-1-p
Fraccion 4z 1p 1/1
Predio 11z 1p 1/1</t>
        </r>
      </text>
    </comment>
  </commentList>
</comments>
</file>

<file path=xl/sharedStrings.xml><?xml version="1.0" encoding="utf-8"?>
<sst xmlns="http://schemas.openxmlformats.org/spreadsheetml/2006/main" count="603" uniqueCount="202">
  <si>
    <t>SCOTIABANK</t>
  </si>
  <si>
    <t>INV RESERVA CONTINGENCIA</t>
  </si>
  <si>
    <t>INV DE EXCEDENTES DE TESORERIA</t>
  </si>
  <si>
    <t>BBVA BANCOMER</t>
  </si>
  <si>
    <t>TOTAL DISPONIBILIDADES</t>
  </si>
  <si>
    <t>(SIN RESERVA DE CONTINGENCIA)</t>
  </si>
  <si>
    <t>SCOTIABANK SCOTIAG</t>
  </si>
  <si>
    <t>99 SCOTIAB 15-15</t>
  </si>
  <si>
    <t>99 SCOTIAB 17-15</t>
  </si>
  <si>
    <t>99 SCOTIAB 21-15</t>
  </si>
  <si>
    <t>J BACOMER S6060</t>
  </si>
  <si>
    <t>SCOTI10 M1</t>
  </si>
  <si>
    <t>SCOT-TR M1</t>
  </si>
  <si>
    <t>SCOTILP M1</t>
  </si>
  <si>
    <t>TOTAL INVERSIONES</t>
  </si>
  <si>
    <t>CON RESERVA DE CONTINGENCIA</t>
  </si>
  <si>
    <t>INVERSIONES</t>
  </si>
  <si>
    <t>AFISA</t>
  </si>
  <si>
    <t>Ahorro en cuenta</t>
  </si>
  <si>
    <t>AFISA AHORRADOR</t>
  </si>
  <si>
    <t>EMISORA</t>
  </si>
  <si>
    <t>TASA</t>
  </si>
  <si>
    <t>DISPONIBILIDAD</t>
  </si>
  <si>
    <t>INFLACION + PREMIO</t>
  </si>
  <si>
    <t>DEUDA DE EMPRESA</t>
  </si>
  <si>
    <t>CALIF CARTERA</t>
  </si>
  <si>
    <t>AA</t>
  </si>
  <si>
    <t>AAA</t>
  </si>
  <si>
    <t>DEUDA GUBERNAMENTAL CP</t>
  </si>
  <si>
    <t>51 SCOTIA1 M5</t>
  </si>
  <si>
    <t>DIARIA</t>
  </si>
  <si>
    <t>DEUDA GUBERNAMENTAL 50% / TASA REAL 25% / PAGARES BANCARIOS 25%</t>
  </si>
  <si>
    <t>MERCADO DE DINERO</t>
  </si>
  <si>
    <t>INVERSION INICIAL</t>
  </si>
  <si>
    <t>COSTO UNITARIO</t>
  </si>
  <si>
    <t>CALIFICADORA</t>
  </si>
  <si>
    <t>FECHA DE PAGO</t>
  </si>
  <si>
    <t>SIN DISPONIBILIDAD</t>
  </si>
  <si>
    <t>RENDIMIENTO NETO</t>
  </si>
  <si>
    <t>SEMANAL</t>
  </si>
  <si>
    <t>ULTIMO JUEVES DEL MES</t>
  </si>
  <si>
    <t>VENCIMIENTO</t>
  </si>
  <si>
    <t>STANDARD &amp; POORS SA DE CV</t>
  </si>
  <si>
    <t>TITULOS</t>
  </si>
  <si>
    <t>FINAL DEL PLAZO</t>
  </si>
  <si>
    <t>CADA 28 DIAS</t>
  </si>
  <si>
    <t>Garantia 100%</t>
  </si>
  <si>
    <t>FECHA INICIAL</t>
  </si>
  <si>
    <t>FITCH MEXICO, SA DE CV</t>
  </si>
  <si>
    <t>SALDO EN PASIVOS HIPOTECARIOS</t>
  </si>
  <si>
    <t>FECHA DE ADQUISICIÓN</t>
  </si>
  <si>
    <t>INICIAL</t>
  </si>
  <si>
    <t>PLAZO</t>
  </si>
  <si>
    <t>10 AÑOS</t>
  </si>
  <si>
    <t>SOFICAM FRESCONGELADOS</t>
  </si>
  <si>
    <t>TOTAL</t>
  </si>
  <si>
    <t>SALDO EN AUTOFINANCIAMIENTO</t>
  </si>
  <si>
    <t>FACTOR ACT</t>
  </si>
  <si>
    <t>VALOR PRESENTE</t>
  </si>
  <si>
    <t>EXPEDICION DE BOLETAS SEMESTRALES</t>
  </si>
  <si>
    <t>INPC +.25</t>
  </si>
  <si>
    <t>GRAN TOTAL</t>
  </si>
  <si>
    <t>CUOTA INSCRIPCION (ÚNICA)</t>
  </si>
  <si>
    <t>AHORRADORES (NO PASIVO)</t>
  </si>
  <si>
    <t>ADJUDICADOS (PASIVO)</t>
  </si>
  <si>
    <t>INV DE EXCEDENTES DE TESORERIA (BMERGOB)</t>
  </si>
  <si>
    <t>BANCO VE POR MAS</t>
  </si>
  <si>
    <t>INV DE EXCEDENTE DE TESORERIA</t>
  </si>
  <si>
    <t>BIENES HIPOTECADOS</t>
  </si>
  <si>
    <t>PRIMA %</t>
  </si>
  <si>
    <t>SCOTIABANK (SUSTITUCION BBVA)</t>
  </si>
  <si>
    <t>CALLE 21, BRALEMEX Y ATOYAQUILLO</t>
  </si>
  <si>
    <t>TIIE28</t>
  </si>
  <si>
    <t>5 AÑOS (OPCION A +2)</t>
  </si>
  <si>
    <t xml:space="preserve">SCOTIABANK </t>
  </si>
  <si>
    <t>SANTA RITA</t>
  </si>
  <si>
    <t>-</t>
  </si>
  <si>
    <t>TASA OBJETIVO</t>
  </si>
  <si>
    <t>TASA TIIE A 28 SEMANAS</t>
  </si>
  <si>
    <t>FECHA INICIO</t>
  </si>
  <si>
    <t>FECHA FIN</t>
  </si>
  <si>
    <t>STRIKE</t>
  </si>
  <si>
    <t>CAPs SCOTIABANK</t>
  </si>
  <si>
    <t>CTA DOLARES</t>
  </si>
  <si>
    <t>COMPRA $1,000,000  (1001668703)</t>
  </si>
  <si>
    <t>Pagos pendientes de aplicar</t>
  </si>
  <si>
    <t>Reserva constituida</t>
  </si>
  <si>
    <t>Fecha de pago</t>
  </si>
  <si>
    <t>COMPRA $609,240  (1001669146)</t>
  </si>
  <si>
    <t>INSTITUCION BANCARIA</t>
  </si>
  <si>
    <t xml:space="preserve"> </t>
  </si>
  <si>
    <t xml:space="preserve">INTERESES POR PAGAR </t>
  </si>
  <si>
    <t>TOTAL INTERESES</t>
  </si>
  <si>
    <t>BANCOMER TABLAHONDA</t>
  </si>
  <si>
    <t>SCOTIABANK ATOYAQUILLO</t>
  </si>
  <si>
    <t>SCOTIABANK (Sustitución Bancomer)</t>
  </si>
  <si>
    <t>GTOS FINANCIEROS BANCOMER</t>
  </si>
  <si>
    <t xml:space="preserve">GTOS FINANCIEROS SCOTIABANK </t>
  </si>
  <si>
    <t>GTOS FINANCIEROS SOFICAM</t>
  </si>
  <si>
    <t>SALDO 31012017</t>
  </si>
  <si>
    <t>MES</t>
  </si>
  <si>
    <t>SALDO INICIAL</t>
  </si>
  <si>
    <t>INTERESES</t>
  </si>
  <si>
    <t>PAGO A CAPITAL</t>
  </si>
  <si>
    <t>SALDO FINAL</t>
  </si>
  <si>
    <t>NOVIEMBRE</t>
  </si>
  <si>
    <t>OCTUBRE</t>
  </si>
  <si>
    <t>DICIEMBRE</t>
  </si>
  <si>
    <t>TOTAL 2016</t>
  </si>
  <si>
    <t>TOTAL 2013</t>
  </si>
  <si>
    <t>TOTAL PAGADO</t>
  </si>
  <si>
    <t>ENERO</t>
  </si>
  <si>
    <t>FEBRERO</t>
  </si>
  <si>
    <t>MARZO</t>
  </si>
  <si>
    <t>ABRIL</t>
  </si>
  <si>
    <t>MAYO</t>
  </si>
  <si>
    <t>JUNIO</t>
  </si>
  <si>
    <t>JULIO</t>
  </si>
  <si>
    <t>AGOSTO</t>
  </si>
  <si>
    <t>SEPTIEMBRE</t>
  </si>
  <si>
    <t>TOTAL 2014</t>
  </si>
  <si>
    <t>TOTAL 2017</t>
  </si>
  <si>
    <t>TOTAL 2015</t>
  </si>
  <si>
    <t>TOTAL 2018</t>
  </si>
  <si>
    <t>TOTAL 2019</t>
  </si>
  <si>
    <t>TOTAL 2020</t>
  </si>
  <si>
    <t>TOTAL 2021</t>
  </si>
  <si>
    <t>TOTAL 2022</t>
  </si>
  <si>
    <t>TOTAL 2023</t>
  </si>
  <si>
    <t>SCOTIAG M6 (RESEVA CONTINGENCIA)</t>
  </si>
  <si>
    <t>CUENTA VERDE EMPRESA</t>
  </si>
  <si>
    <t>BONO BANCARIO ESTRUCTURADO</t>
  </si>
  <si>
    <t>BONO ESTRUCTURADO CALL SPREAD S&amp;P 500</t>
  </si>
  <si>
    <t>A vencimiento 80.50% de la subida del S&amp;P 500. Protege a vencimiento 100% del capital</t>
  </si>
  <si>
    <t>Paga intereses en cada fecha de Pago de Intereses por encima de la Tasa Mínima Garantizada si la TIIE 28D en la fecha de observación correspondiente está dentro del Rango establecido para cada periodo (Protección 100% Capital)</t>
  </si>
  <si>
    <t>---</t>
  </si>
  <si>
    <t>----</t>
  </si>
  <si>
    <t>BANCOMER</t>
  </si>
  <si>
    <t>BMERGOB</t>
  </si>
  <si>
    <t xml:space="preserve">TRAYECTORIA DE LA TASA DE INTERES </t>
  </si>
  <si>
    <t>AÑO</t>
  </si>
  <si>
    <t>Tasa Objetivo de Banxico al 31 de Diciembre de 2013</t>
  </si>
  <si>
    <t>Tasa Ojetivo de Banxico esperada al 31 de Marzo de 2017</t>
  </si>
  <si>
    <t>Diferencia entre tasas en el periodo 2013-2017</t>
  </si>
  <si>
    <t>Tasa de rendimiento de inversión en Banco Ve por Más</t>
  </si>
  <si>
    <t xml:space="preserve">Diferencia entre tasa objetivo Banxico y Tasa de Rendimiento </t>
  </si>
  <si>
    <t>CONTRATO</t>
  </si>
  <si>
    <t>FECHA DE LIQUIDACION</t>
  </si>
  <si>
    <t>MONTO LIQUIDAR</t>
  </si>
  <si>
    <t>SALDO CREDITO</t>
  </si>
  <si>
    <t>LIQUIDACION DE COBERTURAS</t>
  </si>
  <si>
    <t>SALDO AL 31-12-2017</t>
  </si>
  <si>
    <t>APORTACIONES PAGADAS AL 05 DE ABRIL 2017</t>
  </si>
  <si>
    <t>APORT X PAGAR (NO INCLUYE GTOS ADMON)</t>
  </si>
  <si>
    <t>ACTUALIZACIONES</t>
  </si>
  <si>
    <t>GASTOS ADMINISTRACIÓN (POR APORTACION MENSUAL) BIENES INMUBLES</t>
  </si>
  <si>
    <t>NUM CONTRATOS</t>
  </si>
  <si>
    <t>GASTOS ADMINISTRACIÓN (POR APORTACION MENSUAL) BIENES MUBLES</t>
  </si>
  <si>
    <t>MONTO CONTRATADO</t>
  </si>
  <si>
    <t xml:space="preserve">MONTO ADJUDICADO </t>
  </si>
  <si>
    <t>INVERSIONES Y DISPONIBILIDADES</t>
  </si>
  <si>
    <t xml:space="preserve">INVERSIONES A MEDIANO PLAZO </t>
  </si>
  <si>
    <t>PAGOS PENDIENTES POR APLICAR</t>
  </si>
  <si>
    <t xml:space="preserve">Disponibilidad final </t>
  </si>
  <si>
    <t>INGRESOS PENDIENTES POR APLICAR</t>
  </si>
  <si>
    <t>Ingresos pendientes de aplicar</t>
  </si>
  <si>
    <t>ADJUDICACION AFISA</t>
  </si>
  <si>
    <t>** Los saldos de las inversiones incluyen los rendimientos diarios por lo que este reporte difiere al reporte de bancos</t>
  </si>
  <si>
    <t>FONDOS DE INVERSION</t>
  </si>
  <si>
    <t>88% DE LA TIIE A 28 DIAS</t>
  </si>
  <si>
    <t>FONDOS DE INVERSION Y MERCADO DE DINERO</t>
  </si>
  <si>
    <t>PLANES DE AUTOFINACIAMIENTO</t>
  </si>
  <si>
    <t>PASIVOS HIPOTECARIOS</t>
  </si>
  <si>
    <t xml:space="preserve">ULTIMA TASA DE PAGO </t>
  </si>
  <si>
    <t>TIIE BASE 6.87%</t>
  </si>
  <si>
    <t>SALDO 30042017</t>
  </si>
  <si>
    <t>TABLA DE AMORTIZACION DE PASIVOS HIPOTECARIOS</t>
  </si>
  <si>
    <t>TASA DE INTERESES A 28 DIAS</t>
  </si>
  <si>
    <t>TASA BANCARIA</t>
  </si>
  <si>
    <t>GTOS FINANCIEROS SCOTIABANK (SUSTITICION BBVA)</t>
  </si>
  <si>
    <t>COBERTURAS SOBRE TASA DE INTERES</t>
  </si>
  <si>
    <t>MONTO DEL CREDITO MXN</t>
  </si>
  <si>
    <t>PRIMA PAGADA MXN</t>
  </si>
  <si>
    <t>PRECIO SPOT</t>
  </si>
  <si>
    <t>INFORMACION FINANCIERA</t>
  </si>
  <si>
    <t xml:space="preserve">Tesorería </t>
  </si>
  <si>
    <t>Inversiones</t>
  </si>
  <si>
    <t xml:space="preserve">Pasivos </t>
  </si>
  <si>
    <t>CAPs (Coberturas)</t>
  </si>
  <si>
    <t>COMPRA $1,888,799.31 (1001674895)</t>
  </si>
  <si>
    <r>
      <t xml:space="preserve">SOFICAM </t>
    </r>
    <r>
      <rPr>
        <sz val="8"/>
        <color rgb="FFFF0000"/>
        <rFont val="Calibri"/>
        <family val="2"/>
        <charset val="1"/>
        <scheme val="minor"/>
      </rPr>
      <t>FRESCONGELADOS</t>
    </r>
  </si>
  <si>
    <t>ULTIMA TASA PAGADA</t>
  </si>
  <si>
    <t>SALDO AL 31-05-2017</t>
  </si>
  <si>
    <t>INTERESES PAGADOS AL 31-05-2017</t>
  </si>
  <si>
    <t>SALDOS AL 09 DE JUNIO DE 2017</t>
  </si>
  <si>
    <t>INTERESES PAGADOS AL 31-05-17</t>
  </si>
  <si>
    <t>PAGO POR AMORTIZACION DE LAS ACCIONES A FAVOR DE CIF ALMACENAJES Y SERVICIOS</t>
  </si>
  <si>
    <t>Fecha de pago aproximada</t>
  </si>
  <si>
    <t>PRECIO AL 31-05-2017</t>
  </si>
  <si>
    <t>** Los dividendos pagados por CIF ya se encuentra en la cuenta de inversión de Banco Ve por Más</t>
  </si>
  <si>
    <t>DIFERENCIAL TASAS</t>
  </si>
  <si>
    <t>INSTRUMENTO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</si>
</sst>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8" formatCode="&quot;$&quot;#,##0.00;[Red]\-&quot;$&quot;#,##0.00"/>
    <numFmt numFmtId="44" formatCode="_-&quot;$&quot;* #,##0.00_-;\-&quot;$&quot;* #,##0.00_-;_-&quot;$&quot;* &quot;-&quot;??_-;_-@_-"/>
    <numFmt numFmtId="43" formatCode="_-* #,##0.00_-;\-* #,##0.00_-;_-* &quot;-&quot;??_-;_-@_-"/>
    <numFmt numFmtId="164" formatCode="_(* #,##0_);_(* \(#,##0\);_(* &quot;-&quot;??_);_(@_)"/>
    <numFmt numFmtId="165" formatCode="_-* #,##0_-;\-* #,##0_-;_-* &quot;-&quot;??_-;_-@_-"/>
    <numFmt numFmtId="166" formatCode="_(* #,##0.00_);_(* \(#,##0.00\);_(* &quot;-&quot;??_);_(@_)"/>
    <numFmt numFmtId="167" formatCode="0.0%"/>
    <numFmt numFmtId="168" formatCode="dd\-mm\-yy;@"/>
    <numFmt numFmtId="169" formatCode="0.000000%"/>
    <numFmt numFmtId="170" formatCode="0.0000%"/>
    <numFmt numFmtId="171" formatCode="0.000%"/>
    <numFmt numFmtId="172" formatCode="0.00000%"/>
    <numFmt numFmtId="173" formatCode="#,##0.0"/>
  </numFmts>
  <fonts count="36">
    <font>
      <sz val="11"/>
      <color theme="1"/>
      <name val="Calibri"/>
      <family val="2"/>
      <charset val="1"/>
      <scheme val="minor"/>
    </font>
    <font>
      <sz val="11"/>
      <color theme="1"/>
      <name val="Calibri"/>
      <family val="2"/>
      <scheme val="minor"/>
    </font>
    <font>
      <sz val="11"/>
      <color theme="1"/>
      <name val="Calibri"/>
      <family val="2"/>
      <charset val="1"/>
      <scheme val="minor"/>
    </font>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charset val="1"/>
      <scheme val="minor"/>
    </font>
    <font>
      <sz val="11"/>
      <color theme="0"/>
      <name val="Calibri"/>
      <family val="2"/>
      <charset val="1"/>
      <scheme val="minor"/>
    </font>
    <font>
      <b/>
      <sz val="11"/>
      <name val="Calibri"/>
      <family val="2"/>
      <scheme val="minor"/>
    </font>
    <font>
      <b/>
      <sz val="10"/>
      <name val="Arial"/>
      <family val="2"/>
    </font>
    <font>
      <sz val="8"/>
      <color theme="1"/>
      <name val="Calibri"/>
      <family val="2"/>
      <charset val="1"/>
      <scheme val="minor"/>
    </font>
    <font>
      <sz val="9"/>
      <color theme="1"/>
      <name val="Calibri"/>
      <family val="2"/>
      <charset val="1"/>
      <scheme val="minor"/>
    </font>
    <font>
      <sz val="10"/>
      <color theme="1"/>
      <name val="Calibri"/>
      <family val="2"/>
      <charset val="1"/>
      <scheme val="minor"/>
    </font>
    <font>
      <b/>
      <sz val="9"/>
      <color indexed="81"/>
      <name val="Tahoma"/>
      <family val="2"/>
    </font>
    <font>
      <sz val="9"/>
      <color indexed="81"/>
      <name val="Tahoma"/>
      <family val="2"/>
    </font>
    <font>
      <sz val="8"/>
      <color rgb="FFFF0000"/>
      <name val="Calibri"/>
      <family val="2"/>
      <charset val="1"/>
      <scheme val="minor"/>
    </font>
    <font>
      <b/>
      <sz val="11"/>
      <color theme="0"/>
      <name val="Calibri"/>
      <family val="2"/>
      <scheme val="minor"/>
    </font>
    <font>
      <b/>
      <sz val="11"/>
      <color theme="0"/>
      <name val="Calibri"/>
      <family val="2"/>
      <charset val="1"/>
      <scheme val="minor"/>
    </font>
    <font>
      <b/>
      <i/>
      <sz val="11"/>
      <color theme="0"/>
      <name val="Calibri"/>
      <family val="2"/>
      <charset val="1"/>
      <scheme val="minor"/>
    </font>
    <font>
      <b/>
      <sz val="11"/>
      <color theme="1"/>
      <name val="Calibri"/>
      <family val="2"/>
      <charset val="1"/>
      <scheme val="minor"/>
    </font>
    <font>
      <i/>
      <sz val="11"/>
      <color theme="1"/>
      <name val="Calibri"/>
      <family val="2"/>
      <charset val="1"/>
      <scheme val="minor"/>
    </font>
    <font>
      <b/>
      <i/>
      <sz val="11"/>
      <color theme="1"/>
      <name val="Calibri"/>
      <family val="2"/>
      <charset val="1"/>
      <scheme val="minor"/>
    </font>
    <font>
      <b/>
      <sz val="18"/>
      <color theme="4" tint="-0.499984740745262"/>
      <name val="Aharoni"/>
    </font>
    <font>
      <i/>
      <sz val="10"/>
      <color theme="1"/>
      <name val="Calibri"/>
      <family val="2"/>
      <charset val="1"/>
      <scheme val="minor"/>
    </font>
    <font>
      <b/>
      <i/>
      <sz val="14"/>
      <color theme="0"/>
      <name val="Calibri"/>
      <family val="2"/>
      <charset val="1"/>
      <scheme val="minor"/>
    </font>
    <font>
      <b/>
      <sz val="14"/>
      <color theme="0"/>
      <name val="Calibri"/>
      <family val="2"/>
      <charset val="1"/>
      <scheme val="minor"/>
    </font>
    <font>
      <b/>
      <i/>
      <sz val="8"/>
      <name val="Calibri"/>
      <family val="2"/>
      <scheme val="minor"/>
    </font>
    <font>
      <b/>
      <sz val="14"/>
      <color theme="0"/>
      <name val="Calibri"/>
      <family val="2"/>
      <scheme val="minor"/>
    </font>
    <font>
      <b/>
      <sz val="16"/>
      <color theme="0"/>
      <name val="Calibri"/>
      <family val="2"/>
      <scheme val="minor"/>
    </font>
    <font>
      <b/>
      <sz val="10"/>
      <color theme="0"/>
      <name val="Arial"/>
      <family val="2"/>
    </font>
    <font>
      <b/>
      <sz val="14"/>
      <color theme="0"/>
      <name val="Arial"/>
      <family val="2"/>
    </font>
    <font>
      <b/>
      <sz val="11"/>
      <color rgb="FFFF0000"/>
      <name val="Calibri"/>
      <family val="2"/>
      <charset val="1"/>
      <scheme val="minor"/>
    </font>
    <font>
      <sz val="14"/>
      <color theme="0"/>
      <name val="Calibri"/>
      <family val="2"/>
      <scheme val="minor"/>
    </font>
    <font>
      <sz val="14"/>
      <color theme="0"/>
      <name val="Calibri"/>
      <family val="2"/>
      <charset val="1"/>
      <scheme val="minor"/>
    </font>
    <font>
      <sz val="10"/>
      <name val="Arial"/>
      <family val="2"/>
    </font>
    <font>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theme="8" tint="-0.499984740745262"/>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5" tint="0.59999389629810485"/>
        <bgColor indexed="64"/>
      </patternFill>
    </fill>
  </fills>
  <borders count="7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top/>
      <bottom style="medium">
        <color theme="4" tint="0.39997558519241921"/>
      </bottom>
      <diagonal/>
    </border>
    <border>
      <left style="medium">
        <color theme="8" tint="0.59999389629810485"/>
      </left>
      <right/>
      <top style="medium">
        <color theme="8" tint="0.59999389629810485"/>
      </top>
      <bottom/>
      <diagonal/>
    </border>
    <border>
      <left/>
      <right/>
      <top style="medium">
        <color theme="8" tint="0.59999389629810485"/>
      </top>
      <bottom/>
      <diagonal/>
    </border>
    <border>
      <left/>
      <right style="medium">
        <color theme="8" tint="0.59999389629810485"/>
      </right>
      <top style="medium">
        <color theme="8" tint="0.59999389629810485"/>
      </top>
      <bottom/>
      <diagonal/>
    </border>
    <border>
      <left style="medium">
        <color theme="8" tint="0.59999389629810485"/>
      </left>
      <right/>
      <top/>
      <bottom style="medium">
        <color theme="8" tint="0.59999389629810485"/>
      </bottom>
      <diagonal/>
    </border>
    <border>
      <left/>
      <right/>
      <top/>
      <bottom style="medium">
        <color theme="8" tint="0.59999389629810485"/>
      </bottom>
      <diagonal/>
    </border>
    <border>
      <left/>
      <right style="medium">
        <color theme="8" tint="0.59999389629810485"/>
      </right>
      <top/>
      <bottom style="medium">
        <color theme="8" tint="0.59999389629810485"/>
      </bottom>
      <diagonal/>
    </border>
    <border>
      <left style="thin">
        <color indexed="64"/>
      </left>
      <right/>
      <top style="medium">
        <color indexed="64"/>
      </top>
      <bottom style="thin">
        <color indexed="64"/>
      </bottom>
      <diagonal/>
    </border>
    <border>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theme="4" tint="0.39997558519241921"/>
      </left>
      <right style="thin">
        <color theme="4" tint="-0.249977111117893"/>
      </right>
      <top style="medium">
        <color theme="4" tint="0.39997558519241921"/>
      </top>
      <bottom style="thin">
        <color theme="4" tint="-0.249977111117893"/>
      </bottom>
      <diagonal/>
    </border>
    <border>
      <left style="thin">
        <color theme="4" tint="-0.249977111117893"/>
      </left>
      <right style="thin">
        <color theme="4" tint="-0.249977111117893"/>
      </right>
      <top style="medium">
        <color theme="4" tint="0.39997558519241921"/>
      </top>
      <bottom style="thin">
        <color theme="4" tint="-0.249977111117893"/>
      </bottom>
      <diagonal/>
    </border>
    <border>
      <left style="thin">
        <color theme="4" tint="-0.249977111117893"/>
      </left>
      <right style="medium">
        <color theme="4" tint="0.39997558519241921"/>
      </right>
      <top style="medium">
        <color theme="4" tint="0.39997558519241921"/>
      </top>
      <bottom style="thin">
        <color theme="4" tint="-0.249977111117893"/>
      </bottom>
      <diagonal/>
    </border>
    <border>
      <left style="medium">
        <color theme="4" tint="0.39997558519241921"/>
      </left>
      <right style="thin">
        <color theme="4" tint="-0.249977111117893"/>
      </right>
      <top style="thin">
        <color theme="4" tint="-0.249977111117893"/>
      </top>
      <bottom style="medium">
        <color theme="4" tint="0.39997558519241921"/>
      </bottom>
      <diagonal/>
    </border>
    <border>
      <left style="thin">
        <color theme="4" tint="-0.249977111117893"/>
      </left>
      <right style="thin">
        <color theme="4" tint="-0.249977111117893"/>
      </right>
      <top style="thin">
        <color theme="4" tint="-0.249977111117893"/>
      </top>
      <bottom style="medium">
        <color theme="4" tint="0.39997558519241921"/>
      </bottom>
      <diagonal/>
    </border>
    <border>
      <left style="thin">
        <color theme="4" tint="-0.249977111117893"/>
      </left>
      <right style="medium">
        <color theme="4" tint="0.39997558519241921"/>
      </right>
      <top style="thin">
        <color theme="4" tint="-0.249977111117893"/>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style="medium">
        <color theme="4" tint="0.39997558519241921"/>
      </left>
      <right/>
      <top/>
      <bottom style="medium">
        <color theme="4" tint="0.39997558519241921"/>
      </bottom>
      <diagonal/>
    </border>
    <border>
      <left/>
      <right style="medium">
        <color theme="4" tint="0.39997558519241921"/>
      </right>
      <top style="medium">
        <color theme="4" tint="0.39997558519241921"/>
      </top>
      <bottom/>
      <diagonal/>
    </border>
    <border>
      <left/>
      <right style="medium">
        <color theme="4" tint="0.39997558519241921"/>
      </right>
      <top/>
      <bottom style="medium">
        <color theme="4" tint="0.39997558519241921"/>
      </bottom>
      <diagonal/>
    </border>
    <border>
      <left style="medium">
        <color theme="4" tint="0.39997558519241921"/>
      </left>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s>
  <cellStyleXfs count="5">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34" fillId="0" borderId="0"/>
  </cellStyleXfs>
  <cellXfs count="365">
    <xf numFmtId="0" fontId="0" fillId="0" borderId="0" xfId="0"/>
    <xf numFmtId="0" fontId="4" fillId="2" borderId="25" xfId="0" applyFont="1" applyFill="1" applyBorder="1" applyAlignment="1">
      <alignment horizontal="center"/>
    </xf>
    <xf numFmtId="0" fontId="4" fillId="2" borderId="8" xfId="0" applyFont="1" applyFill="1" applyBorder="1" applyAlignment="1">
      <alignment horizontal="center"/>
    </xf>
    <xf numFmtId="168" fontId="0" fillId="2" borderId="23" xfId="0" applyNumberFormat="1" applyFill="1" applyBorder="1" applyAlignment="1">
      <alignment horizontal="center"/>
    </xf>
    <xf numFmtId="168" fontId="0" fillId="2" borderId="0" xfId="0" applyNumberFormat="1" applyFill="1" applyBorder="1" applyAlignment="1">
      <alignment horizontal="center"/>
    </xf>
    <xf numFmtId="10" fontId="0" fillId="2" borderId="0" xfId="0" applyNumberFormat="1" applyFill="1" applyBorder="1" applyAlignment="1">
      <alignment horizontal="center"/>
    </xf>
    <xf numFmtId="10" fontId="0" fillId="2" borderId="24" xfId="0" applyNumberFormat="1" applyFill="1" applyBorder="1" applyAlignment="1">
      <alignment horizontal="center"/>
    </xf>
    <xf numFmtId="0" fontId="0" fillId="2" borderId="9" xfId="0" applyFill="1" applyBorder="1"/>
    <xf numFmtId="10" fontId="4" fillId="2" borderId="0" xfId="0" applyNumberFormat="1" applyFont="1" applyFill="1" applyBorder="1" applyAlignment="1">
      <alignment horizontal="center"/>
    </xf>
    <xf numFmtId="0" fontId="0" fillId="2" borderId="0" xfId="0" applyFill="1" applyBorder="1"/>
    <xf numFmtId="0" fontId="4" fillId="2" borderId="23" xfId="0" applyFont="1" applyFill="1" applyBorder="1" applyAlignment="1">
      <alignment wrapText="1"/>
    </xf>
    <xf numFmtId="0" fontId="4" fillId="2" borderId="5" xfId="0" applyFont="1" applyFill="1" applyBorder="1" applyAlignment="1">
      <alignment wrapText="1"/>
    </xf>
    <xf numFmtId="0" fontId="4" fillId="2" borderId="9" xfId="0" applyFont="1" applyFill="1" applyBorder="1" applyAlignment="1">
      <alignment wrapText="1"/>
    </xf>
    <xf numFmtId="44" fontId="4" fillId="2" borderId="9" xfId="1" applyFont="1" applyFill="1" applyBorder="1"/>
    <xf numFmtId="10" fontId="0" fillId="2" borderId="9" xfId="2" applyNumberFormat="1" applyFont="1" applyFill="1" applyBorder="1"/>
    <xf numFmtId="44" fontId="4" fillId="2" borderId="2" xfId="1" applyFont="1" applyFill="1" applyBorder="1"/>
    <xf numFmtId="167" fontId="0" fillId="2" borderId="0" xfId="0" applyNumberFormat="1" applyFill="1" applyBorder="1" applyAlignment="1">
      <alignment horizontal="center" vertical="center"/>
    </xf>
    <xf numFmtId="9" fontId="0" fillId="2" borderId="0" xfId="0" applyNumberFormat="1" applyFill="1" applyBorder="1" applyAlignment="1">
      <alignment horizontal="center" vertical="center"/>
    </xf>
    <xf numFmtId="10" fontId="0" fillId="2" borderId="0" xfId="2" applyNumberFormat="1" applyFont="1" applyFill="1" applyBorder="1" applyAlignment="1">
      <alignment horizontal="center" vertical="center"/>
    </xf>
    <xf numFmtId="14" fontId="0" fillId="2" borderId="0" xfId="0" applyNumberFormat="1" applyFill="1" applyBorder="1" applyAlignment="1">
      <alignment horizontal="center" vertical="center"/>
    </xf>
    <xf numFmtId="0" fontId="4" fillId="2" borderId="7" xfId="0" applyFont="1" applyFill="1" applyBorder="1" applyAlignment="1">
      <alignment horizontal="center"/>
    </xf>
    <xf numFmtId="164" fontId="3" fillId="2" borderId="0" xfId="3" applyNumberFormat="1" applyFont="1" applyFill="1" applyBorder="1" applyAlignment="1">
      <alignment horizontal="left" vertical="center"/>
    </xf>
    <xf numFmtId="165" fontId="0" fillId="2" borderId="24" xfId="0" applyNumberFormat="1" applyFill="1" applyBorder="1" applyAlignment="1">
      <alignment horizontal="center" vertical="center"/>
    </xf>
    <xf numFmtId="0" fontId="9" fillId="0" borderId="7" xfId="0" applyFont="1" applyBorder="1" applyAlignment="1">
      <alignment horizontal="center"/>
    </xf>
    <xf numFmtId="169" fontId="9" fillId="0" borderId="7" xfId="2" applyNumberFormat="1" applyFont="1" applyBorder="1" applyAlignment="1">
      <alignment horizontal="center" wrapText="1"/>
    </xf>
    <xf numFmtId="0" fontId="9" fillId="0" borderId="7" xfId="0" applyFont="1" applyBorder="1" applyAlignment="1">
      <alignment horizontal="center" wrapText="1"/>
    </xf>
    <xf numFmtId="165" fontId="9" fillId="0" borderId="7" xfId="0" applyNumberFormat="1" applyFont="1" applyBorder="1" applyAlignment="1">
      <alignment horizontal="center" wrapText="1"/>
    </xf>
    <xf numFmtId="0" fontId="0" fillId="2" borderId="0" xfId="0" applyFill="1"/>
    <xf numFmtId="0" fontId="0" fillId="2" borderId="0" xfId="0" applyFill="1" applyAlignment="1">
      <alignment horizontal="center"/>
    </xf>
    <xf numFmtId="3" fontId="0" fillId="2" borderId="0" xfId="0" applyNumberFormat="1" applyFill="1"/>
    <xf numFmtId="0" fontId="9" fillId="2" borderId="0" xfId="0" applyFont="1" applyFill="1"/>
    <xf numFmtId="165" fontId="9" fillId="2" borderId="0" xfId="3" applyNumberFormat="1" applyFont="1" applyFill="1"/>
    <xf numFmtId="0" fontId="0" fillId="6" borderId="0" xfId="0" applyFill="1" applyAlignment="1">
      <alignment horizontal="center"/>
    </xf>
    <xf numFmtId="0" fontId="0" fillId="6" borderId="0" xfId="0" applyFill="1"/>
    <xf numFmtId="3" fontId="0" fillId="6" borderId="0" xfId="0" applyNumberFormat="1" applyFill="1"/>
    <xf numFmtId="2" fontId="0" fillId="2" borderId="0" xfId="0" applyNumberFormat="1" applyFill="1"/>
    <xf numFmtId="2" fontId="0" fillId="6" borderId="0" xfId="0" applyNumberFormat="1" applyFill="1"/>
    <xf numFmtId="165" fontId="0" fillId="2" borderId="0" xfId="0" applyNumberFormat="1" applyFill="1"/>
    <xf numFmtId="43" fontId="0" fillId="2" borderId="0" xfId="0" applyNumberFormat="1" applyFill="1"/>
    <xf numFmtId="0" fontId="0" fillId="2" borderId="0" xfId="0" applyFill="1" applyAlignment="1">
      <alignment horizontal="center" wrapText="1"/>
    </xf>
    <xf numFmtId="10" fontId="0" fillId="2" borderId="0" xfId="2" applyNumberFormat="1" applyFont="1" applyFill="1"/>
    <xf numFmtId="165" fontId="0" fillId="2" borderId="0" xfId="3" applyNumberFormat="1" applyFont="1" applyFill="1"/>
    <xf numFmtId="43" fontId="0" fillId="2" borderId="0" xfId="3" applyFont="1" applyFill="1"/>
    <xf numFmtId="9" fontId="0" fillId="2" borderId="0" xfId="2" applyFont="1" applyFill="1"/>
    <xf numFmtId="0" fontId="0" fillId="2" borderId="30" xfId="0" applyFill="1" applyBorder="1"/>
    <xf numFmtId="2" fontId="4" fillId="2" borderId="0" xfId="0" applyNumberFormat="1" applyFont="1" applyFill="1"/>
    <xf numFmtId="14" fontId="0" fillId="2" borderId="0" xfId="0" applyNumberFormat="1" applyFill="1" applyBorder="1"/>
    <xf numFmtId="4" fontId="0" fillId="2" borderId="0" xfId="0" applyNumberFormat="1" applyFill="1" applyBorder="1"/>
    <xf numFmtId="0" fontId="0" fillId="2" borderId="23" xfId="0" applyFill="1" applyBorder="1"/>
    <xf numFmtId="0" fontId="0" fillId="2" borderId="0" xfId="0" applyFill="1" applyBorder="1" applyAlignment="1"/>
    <xf numFmtId="0" fontId="7" fillId="2" borderId="0" xfId="0" applyFont="1" applyFill="1"/>
    <xf numFmtId="0" fontId="3" fillId="2" borderId="0" xfId="0" applyFont="1" applyFill="1" applyBorder="1" applyAlignment="1">
      <alignment horizontal="center" vertical="center" wrapText="1"/>
    </xf>
    <xf numFmtId="0" fontId="0" fillId="2" borderId="0" xfId="0" applyFont="1" applyFill="1"/>
    <xf numFmtId="0" fontId="0" fillId="2" borderId="0" xfId="0" applyFont="1" applyFill="1" applyAlignment="1"/>
    <xf numFmtId="0" fontId="19" fillId="2" borderId="0" xfId="0" applyFont="1" applyFill="1" applyAlignment="1">
      <alignment horizontal="center"/>
    </xf>
    <xf numFmtId="14" fontId="0" fillId="2" borderId="0" xfId="0" applyNumberFormat="1" applyFont="1" applyFill="1"/>
    <xf numFmtId="0" fontId="0" fillId="2" borderId="1" xfId="0" applyFont="1" applyFill="1" applyBorder="1" applyAlignment="1">
      <alignment vertical="center" wrapText="1"/>
    </xf>
    <xf numFmtId="0" fontId="0" fillId="2" borderId="2" xfId="0" applyFont="1" applyFill="1" applyBorder="1" applyAlignment="1">
      <alignment vertical="center" wrapText="1"/>
    </xf>
    <xf numFmtId="8" fontId="0" fillId="2" borderId="2" xfId="0" applyNumberFormat="1" applyFont="1" applyFill="1" applyBorder="1" applyAlignment="1">
      <alignment horizontal="center" vertical="center" wrapText="1"/>
    </xf>
    <xf numFmtId="8" fontId="19" fillId="2" borderId="0" xfId="0" applyNumberFormat="1" applyFont="1" applyFill="1"/>
    <xf numFmtId="8" fontId="0" fillId="2" borderId="0" xfId="0" applyNumberFormat="1" applyFont="1" applyFill="1"/>
    <xf numFmtId="0" fontId="0" fillId="2" borderId="3" xfId="0" applyFont="1" applyFill="1" applyBorder="1" applyAlignment="1">
      <alignment vertical="center" wrapText="1"/>
    </xf>
    <xf numFmtId="0" fontId="0" fillId="2" borderId="4" xfId="0" applyFont="1" applyFill="1" applyBorder="1" applyAlignment="1">
      <alignment vertical="center" wrapText="1"/>
    </xf>
    <xf numFmtId="8" fontId="0" fillId="2" borderId="4" xfId="0" applyNumberFormat="1" applyFont="1" applyFill="1" applyBorder="1" applyAlignment="1">
      <alignment horizontal="center" vertical="center" wrapText="1"/>
    </xf>
    <xf numFmtId="8" fontId="19" fillId="2" borderId="4" xfId="0" applyNumberFormat="1" applyFont="1" applyFill="1" applyBorder="1" applyAlignment="1">
      <alignment horizontal="center" vertical="center" wrapText="1"/>
    </xf>
    <xf numFmtId="8" fontId="20" fillId="2" borderId="4" xfId="0" applyNumberFormat="1" applyFont="1" applyFill="1" applyBorder="1" applyAlignment="1">
      <alignment horizontal="center" vertical="center" wrapText="1"/>
    </xf>
    <xf numFmtId="9" fontId="0" fillId="2" borderId="0" xfId="0" applyNumberFormat="1" applyFont="1" applyFill="1"/>
    <xf numFmtId="0" fontId="19" fillId="2" borderId="0" xfId="0" applyFont="1" applyFill="1" applyBorder="1"/>
    <xf numFmtId="0" fontId="21" fillId="2" borderId="0" xfId="0" applyFont="1" applyFill="1" applyBorder="1" applyAlignment="1">
      <alignment vertical="center" wrapText="1"/>
    </xf>
    <xf numFmtId="8" fontId="19" fillId="2" borderId="0" xfId="0" applyNumberFormat="1" applyFont="1" applyFill="1" applyBorder="1"/>
    <xf numFmtId="8" fontId="19" fillId="2" borderId="2" xfId="0" applyNumberFormat="1" applyFont="1" applyFill="1" applyBorder="1" applyAlignment="1">
      <alignment horizontal="center" vertical="center" wrapText="1"/>
    </xf>
    <xf numFmtId="44" fontId="0" fillId="2" borderId="21" xfId="1" applyFont="1" applyFill="1" applyBorder="1"/>
    <xf numFmtId="0" fontId="0" fillId="2" borderId="13" xfId="0" applyFont="1" applyFill="1" applyBorder="1"/>
    <xf numFmtId="0" fontId="0" fillId="2" borderId="7" xfId="0" applyFont="1" applyFill="1" applyBorder="1"/>
    <xf numFmtId="8" fontId="19" fillId="2" borderId="7" xfId="0" applyNumberFormat="1" applyFont="1" applyFill="1" applyBorder="1" applyAlignment="1">
      <alignment horizontal="center" vertical="center" wrapText="1"/>
    </xf>
    <xf numFmtId="0" fontId="23" fillId="2" borderId="4" xfId="0" applyFont="1" applyFill="1" applyBorder="1" applyAlignment="1">
      <alignment vertical="center" wrapText="1"/>
    </xf>
    <xf numFmtId="0" fontId="7" fillId="7" borderId="8" xfId="0" applyFont="1" applyFill="1" applyBorder="1" applyAlignment="1">
      <alignment vertical="center" wrapText="1"/>
    </xf>
    <xf numFmtId="8" fontId="17" fillId="7" borderId="8" xfId="0" applyNumberFormat="1" applyFont="1" applyFill="1" applyBorder="1" applyAlignment="1">
      <alignment horizontal="center" vertical="center" wrapText="1"/>
    </xf>
    <xf numFmtId="0" fontId="17" fillId="8" borderId="7" xfId="0" applyFont="1" applyFill="1" applyBorder="1"/>
    <xf numFmtId="0" fontId="18" fillId="8" borderId="7" xfId="0" applyFont="1" applyFill="1" applyBorder="1" applyAlignment="1">
      <alignment vertical="center" wrapText="1"/>
    </xf>
    <xf numFmtId="8" fontId="17" fillId="8" borderId="7" xfId="0" applyNumberFormat="1" applyFont="1" applyFill="1" applyBorder="1" applyAlignment="1">
      <alignment horizontal="center"/>
    </xf>
    <xf numFmtId="8" fontId="25" fillId="8" borderId="7" xfId="0" applyNumberFormat="1" applyFont="1" applyFill="1" applyBorder="1" applyAlignment="1"/>
    <xf numFmtId="0" fontId="0" fillId="2" borderId="23" xfId="0" applyFont="1" applyFill="1" applyBorder="1" applyAlignment="1"/>
    <xf numFmtId="0" fontId="0" fillId="2" borderId="32" xfId="0" applyFont="1" applyFill="1" applyBorder="1" applyAlignment="1"/>
    <xf numFmtId="0" fontId="0" fillId="2" borderId="3" xfId="0" applyFont="1" applyFill="1" applyBorder="1" applyAlignment="1"/>
    <xf numFmtId="0" fontId="0" fillId="2" borderId="0" xfId="0" applyFont="1" applyFill="1" applyBorder="1" applyAlignment="1"/>
    <xf numFmtId="44" fontId="19" fillId="5" borderId="14" xfId="0" applyNumberFormat="1" applyFont="1" applyFill="1" applyBorder="1"/>
    <xf numFmtId="0" fontId="4" fillId="5" borderId="17" xfId="0" applyFont="1" applyFill="1" applyBorder="1"/>
    <xf numFmtId="44" fontId="19" fillId="5" borderId="18" xfId="0" applyNumberFormat="1" applyFont="1" applyFill="1" applyBorder="1"/>
    <xf numFmtId="0" fontId="4" fillId="5" borderId="20" xfId="0" applyFont="1" applyFill="1" applyBorder="1"/>
    <xf numFmtId="0" fontId="0" fillId="2" borderId="14" xfId="0" applyFill="1" applyBorder="1" applyAlignment="1">
      <alignment horizontal="center"/>
    </xf>
    <xf numFmtId="0" fontId="0" fillId="2" borderId="7" xfId="0" applyFill="1" applyBorder="1"/>
    <xf numFmtId="10" fontId="0" fillId="2" borderId="7" xfId="0" applyNumberFormat="1" applyFill="1" applyBorder="1" applyAlignment="1">
      <alignment horizontal="center"/>
    </xf>
    <xf numFmtId="44" fontId="7" fillId="2" borderId="0" xfId="1" applyFont="1" applyFill="1"/>
    <xf numFmtId="0" fontId="0" fillId="2" borderId="7" xfId="0" applyFill="1" applyBorder="1" applyAlignment="1">
      <alignment horizontal="center"/>
    </xf>
    <xf numFmtId="0" fontId="0" fillId="2" borderId="14" xfId="0" applyFill="1" applyBorder="1" applyAlignment="1">
      <alignment horizontal="center" vertical="center"/>
    </xf>
    <xf numFmtId="0" fontId="0" fillId="2" borderId="7" xfId="0" applyFill="1" applyBorder="1" applyAlignment="1">
      <alignment vertical="center"/>
    </xf>
    <xf numFmtId="0" fontId="0" fillId="2" borderId="7" xfId="0" applyFill="1" applyBorder="1" applyAlignment="1">
      <alignment vertical="center" wrapText="1"/>
    </xf>
    <xf numFmtId="0" fontId="0" fillId="2" borderId="7" xfId="0" applyFill="1" applyBorder="1" applyAlignment="1">
      <alignment wrapText="1"/>
    </xf>
    <xf numFmtId="0" fontId="0" fillId="2" borderId="14" xfId="0" quotePrefix="1" applyFill="1" applyBorder="1" applyAlignment="1">
      <alignment horizontal="center"/>
    </xf>
    <xf numFmtId="0" fontId="0" fillId="2" borderId="7" xfId="0" quotePrefix="1" applyFill="1" applyBorder="1" applyAlignment="1">
      <alignment horizontal="center"/>
    </xf>
    <xf numFmtId="0" fontId="0" fillId="2" borderId="18" xfId="0" quotePrefix="1" applyFill="1" applyBorder="1" applyAlignment="1">
      <alignment horizontal="center"/>
    </xf>
    <xf numFmtId="0" fontId="0" fillId="2" borderId="19" xfId="0" applyFill="1" applyBorder="1"/>
    <xf numFmtId="0" fontId="0" fillId="2" borderId="19" xfId="0" quotePrefix="1" applyFill="1" applyBorder="1" applyAlignment="1">
      <alignment horizontal="center"/>
    </xf>
    <xf numFmtId="0" fontId="4" fillId="2" borderId="0" xfId="0" applyFont="1" applyFill="1"/>
    <xf numFmtId="0" fontId="4" fillId="2" borderId="7" xfId="0" applyFont="1" applyFill="1" applyBorder="1"/>
    <xf numFmtId="0" fontId="4" fillId="2" borderId="7" xfId="0" applyFont="1" applyFill="1" applyBorder="1" applyAlignment="1">
      <alignment horizontal="center" vertical="center"/>
    </xf>
    <xf numFmtId="14" fontId="0" fillId="2" borderId="7" xfId="0" applyNumberFormat="1" applyFill="1" applyBorder="1"/>
    <xf numFmtId="0" fontId="3" fillId="2" borderId="7" xfId="0" applyFont="1" applyFill="1" applyBorder="1" applyAlignment="1">
      <alignment vertical="center" wrapText="1"/>
    </xf>
    <xf numFmtId="3" fontId="0" fillId="2" borderId="7" xfId="0" applyNumberFormat="1" applyFill="1" applyBorder="1" applyAlignment="1">
      <alignment horizontal="center"/>
    </xf>
    <xf numFmtId="4" fontId="0" fillId="2" borderId="7" xfId="0" applyNumberFormat="1" applyFill="1" applyBorder="1"/>
    <xf numFmtId="9" fontId="0" fillId="2" borderId="7" xfId="0" applyNumberFormat="1" applyFill="1" applyBorder="1" applyAlignment="1">
      <alignment horizontal="center"/>
    </xf>
    <xf numFmtId="4" fontId="4" fillId="2" borderId="0" xfId="0" applyNumberFormat="1" applyFont="1" applyFill="1"/>
    <xf numFmtId="0" fontId="5" fillId="2" borderId="0" xfId="0" applyFont="1" applyFill="1" applyBorder="1" applyAlignment="1">
      <alignment vertical="center" wrapText="1"/>
    </xf>
    <xf numFmtId="8" fontId="3" fillId="2" borderId="0" xfId="0" applyNumberFormat="1" applyFont="1" applyFill="1" applyBorder="1" applyAlignment="1">
      <alignment horizontal="right" vertical="center" wrapText="1"/>
    </xf>
    <xf numFmtId="0" fontId="3" fillId="2" borderId="0" xfId="0" applyFont="1" applyFill="1" applyBorder="1" applyAlignment="1">
      <alignment vertical="center" wrapText="1"/>
    </xf>
    <xf numFmtId="0" fontId="22" fillId="2" borderId="0" xfId="0" applyFont="1" applyFill="1" applyBorder="1" applyAlignment="1">
      <alignment horizontal="center" vertical="center"/>
    </xf>
    <xf numFmtId="0" fontId="4" fillId="3" borderId="25" xfId="0" applyFont="1" applyFill="1" applyBorder="1" applyAlignment="1">
      <alignment horizontal="center" vertical="center" wrapText="1"/>
    </xf>
    <xf numFmtId="0" fontId="4" fillId="3" borderId="8" xfId="0" applyFont="1" applyFill="1" applyBorder="1" applyAlignment="1">
      <alignment horizontal="center" vertical="center"/>
    </xf>
    <xf numFmtId="0" fontId="0" fillId="2" borderId="0" xfId="0" quotePrefix="1" applyFill="1" applyBorder="1" applyAlignment="1">
      <alignment horizontal="center"/>
    </xf>
    <xf numFmtId="10" fontId="0" fillId="2" borderId="0" xfId="0" applyNumberFormat="1" applyFill="1" applyBorder="1" applyAlignment="1">
      <alignment horizontal="center" wrapText="1"/>
    </xf>
    <xf numFmtId="3" fontId="4" fillId="2" borderId="0" xfId="0" applyNumberFormat="1" applyFont="1" applyFill="1" applyAlignment="1">
      <alignment horizontal="center"/>
    </xf>
    <xf numFmtId="0" fontId="0" fillId="2" borderId="0" xfId="0" applyFill="1" applyBorder="1" applyAlignment="1">
      <alignment horizontal="center"/>
    </xf>
    <xf numFmtId="0" fontId="9" fillId="2" borderId="0" xfId="0" applyFont="1" applyFill="1" applyBorder="1" applyAlignment="1">
      <alignment horizontal="center"/>
    </xf>
    <xf numFmtId="0" fontId="4" fillId="2" borderId="21" xfId="0" applyFont="1" applyFill="1" applyBorder="1"/>
    <xf numFmtId="0" fontId="4" fillId="2" borderId="33" xfId="0" applyFont="1" applyFill="1" applyBorder="1"/>
    <xf numFmtId="0" fontId="0" fillId="2" borderId="10" xfId="0" applyFill="1" applyBorder="1"/>
    <xf numFmtId="0" fontId="10" fillId="2" borderId="10"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0" fillId="2" borderId="10" xfId="0" applyFont="1" applyFill="1" applyBorder="1" applyAlignment="1">
      <alignment horizontal="center" wrapText="1"/>
    </xf>
    <xf numFmtId="9" fontId="15" fillId="2" borderId="10" xfId="2" applyFont="1" applyFill="1" applyBorder="1" applyAlignment="1">
      <alignment horizontal="center" vertical="center" wrapText="1"/>
    </xf>
    <xf numFmtId="0" fontId="10" fillId="2" borderId="0" xfId="0" applyFont="1" applyFill="1" applyBorder="1" applyAlignment="1">
      <alignment horizontal="center" wrapText="1"/>
    </xf>
    <xf numFmtId="0" fontId="3" fillId="2" borderId="14" xfId="0" applyFont="1" applyFill="1" applyBorder="1"/>
    <xf numFmtId="0" fontId="3" fillId="2" borderId="16" xfId="0" applyFont="1" applyFill="1" applyBorder="1" applyAlignment="1">
      <alignment horizontal="center"/>
    </xf>
    <xf numFmtId="3" fontId="0" fillId="2" borderId="7" xfId="0" applyNumberFormat="1" applyFill="1" applyBorder="1"/>
    <xf numFmtId="10" fontId="0" fillId="2" borderId="7" xfId="0" applyNumberFormat="1" applyFill="1" applyBorder="1"/>
    <xf numFmtId="9" fontId="6" fillId="2" borderId="7" xfId="2" applyFont="1" applyFill="1" applyBorder="1" applyAlignment="1">
      <alignment horizontal="center"/>
    </xf>
    <xf numFmtId="0" fontId="3" fillId="2" borderId="18" xfId="0" applyFont="1" applyFill="1" applyBorder="1"/>
    <xf numFmtId="0" fontId="3" fillId="2" borderId="29" xfId="0" applyFont="1" applyFill="1" applyBorder="1" applyAlignment="1">
      <alignment horizontal="center"/>
    </xf>
    <xf numFmtId="3" fontId="0" fillId="2" borderId="19" xfId="0" applyNumberFormat="1" applyFill="1" applyBorder="1"/>
    <xf numFmtId="10" fontId="0" fillId="2" borderId="19" xfId="0" applyNumberFormat="1" applyFill="1" applyBorder="1"/>
    <xf numFmtId="9" fontId="0" fillId="2" borderId="19" xfId="0" applyNumberFormat="1" applyFill="1" applyBorder="1" applyAlignment="1">
      <alignment horizontal="center"/>
    </xf>
    <xf numFmtId="9" fontId="6" fillId="2" borderId="19" xfId="2" applyFont="1" applyFill="1" applyBorder="1" applyAlignment="1">
      <alignment horizontal="center"/>
    </xf>
    <xf numFmtId="0" fontId="4" fillId="2" borderId="0" xfId="0" applyFont="1" applyFill="1" applyBorder="1"/>
    <xf numFmtId="3" fontId="0" fillId="2" borderId="0" xfId="0" applyNumberFormat="1" applyFill="1" applyBorder="1"/>
    <xf numFmtId="9" fontId="0" fillId="2" borderId="0" xfId="2" applyFont="1" applyFill="1" applyBorder="1"/>
    <xf numFmtId="167" fontId="0" fillId="2" borderId="0" xfId="2" applyNumberFormat="1" applyFont="1" applyFill="1" applyBorder="1" applyAlignment="1">
      <alignment horizontal="center"/>
    </xf>
    <xf numFmtId="0" fontId="0" fillId="2" borderId="0" xfId="0" applyFill="1" applyBorder="1" applyAlignment="1">
      <alignment horizontal="right"/>
    </xf>
    <xf numFmtId="0" fontId="0" fillId="2" borderId="0" xfId="0" applyFill="1" applyBorder="1" applyAlignment="1">
      <alignment horizontal="center" wrapText="1"/>
    </xf>
    <xf numFmtId="44" fontId="0" fillId="2" borderId="0" xfId="1" applyFont="1" applyFill="1"/>
    <xf numFmtId="0" fontId="25" fillId="7" borderId="2" xfId="0" applyFont="1" applyFill="1" applyBorder="1" applyAlignment="1">
      <alignment horizontal="center" wrapText="1"/>
    </xf>
    <xf numFmtId="0" fontId="4" fillId="4" borderId="5" xfId="0" applyFont="1" applyFill="1" applyBorder="1" applyAlignment="1">
      <alignment wrapText="1"/>
    </xf>
    <xf numFmtId="166" fontId="4" fillId="2" borderId="0" xfId="3" applyNumberFormat="1" applyFont="1" applyFill="1" applyBorder="1"/>
    <xf numFmtId="0" fontId="22" fillId="2" borderId="0" xfId="0" applyFont="1" applyFill="1" applyBorder="1" applyAlignment="1">
      <alignment vertical="center"/>
    </xf>
    <xf numFmtId="10" fontId="0" fillId="2" borderId="0" xfId="0" applyNumberFormat="1" applyFill="1" applyBorder="1" applyAlignment="1">
      <alignment horizontal="center" vertical="center"/>
    </xf>
    <xf numFmtId="10" fontId="4" fillId="2" borderId="0" xfId="0" applyNumberFormat="1" applyFont="1" applyFill="1" applyBorder="1" applyAlignment="1">
      <alignment horizontal="center" vertical="center"/>
    </xf>
    <xf numFmtId="3" fontId="4" fillId="2" borderId="0" xfId="0" applyNumberFormat="1" applyFont="1" applyFill="1" applyBorder="1" applyAlignment="1">
      <alignment horizontal="center" vertical="center"/>
    </xf>
    <xf numFmtId="10" fontId="4" fillId="2" borderId="0" xfId="2" applyNumberFormat="1" applyFont="1" applyFill="1" applyBorder="1" applyAlignment="1">
      <alignment horizontal="center" vertical="center"/>
    </xf>
    <xf numFmtId="0" fontId="30" fillId="2" borderId="0" xfId="0" applyFont="1" applyFill="1" applyBorder="1" applyAlignment="1"/>
    <xf numFmtId="0" fontId="4" fillId="3" borderId="8" xfId="0" applyFont="1" applyFill="1" applyBorder="1" applyAlignment="1">
      <alignment horizontal="center" vertical="center" wrapText="1"/>
    </xf>
    <xf numFmtId="0" fontId="4" fillId="3" borderId="8" xfId="0" applyFont="1" applyFill="1" applyBorder="1" applyAlignment="1">
      <alignment vertical="center" wrapText="1"/>
    </xf>
    <xf numFmtId="14" fontId="4" fillId="3" borderId="26" xfId="0" applyNumberFormat="1" applyFont="1" applyFill="1" applyBorder="1" applyAlignment="1">
      <alignment horizontal="center" vertical="center" wrapText="1"/>
    </xf>
    <xf numFmtId="0" fontId="22" fillId="2" borderId="58" xfId="0" applyFont="1" applyFill="1" applyBorder="1" applyAlignment="1">
      <alignment vertical="center"/>
    </xf>
    <xf numFmtId="14" fontId="4" fillId="2" borderId="0" xfId="0" applyNumberFormat="1" applyFont="1" applyFill="1" applyBorder="1" applyAlignment="1">
      <alignment horizontal="center" wrapText="1"/>
    </xf>
    <xf numFmtId="165" fontId="0" fillId="2" borderId="0" xfId="0" applyNumberFormat="1" applyFill="1" applyBorder="1"/>
    <xf numFmtId="0" fontId="0" fillId="2" borderId="0" xfId="0" applyFill="1" applyBorder="1" applyAlignment="1">
      <alignment vertical="center" wrapText="1"/>
    </xf>
    <xf numFmtId="0" fontId="0" fillId="2" borderId="0" xfId="0" applyFill="1" applyBorder="1" applyAlignment="1">
      <alignment vertical="center"/>
    </xf>
    <xf numFmtId="165" fontId="0" fillId="2" borderId="42" xfId="0" applyNumberFormat="1" applyFill="1" applyBorder="1" applyAlignment="1">
      <alignment horizontal="center" vertical="center"/>
    </xf>
    <xf numFmtId="165" fontId="0" fillId="2" borderId="0" xfId="0" applyNumberFormat="1" applyFill="1" applyBorder="1" applyAlignment="1">
      <alignment horizontal="center" vertical="center"/>
    </xf>
    <xf numFmtId="165" fontId="0" fillId="2" borderId="22" xfId="0" applyNumberFormat="1" applyFill="1" applyBorder="1" applyAlignment="1">
      <alignment horizontal="center" vertical="center"/>
    </xf>
    <xf numFmtId="44" fontId="0" fillId="2" borderId="0" xfId="0" applyNumberFormat="1" applyFill="1"/>
    <xf numFmtId="10" fontId="0" fillId="2" borderId="0" xfId="0" applyNumberFormat="1" applyFill="1"/>
    <xf numFmtId="9" fontId="0" fillId="2" borderId="0" xfId="0" applyNumberFormat="1" applyFill="1"/>
    <xf numFmtId="164" fontId="0" fillId="2" borderId="0" xfId="3" applyNumberFormat="1" applyFont="1" applyFill="1"/>
    <xf numFmtId="170" fontId="0" fillId="2" borderId="0" xfId="0" applyNumberFormat="1" applyFill="1"/>
    <xf numFmtId="0" fontId="9" fillId="2" borderId="0" xfId="0" applyFont="1" applyFill="1" applyBorder="1"/>
    <xf numFmtId="164" fontId="9" fillId="2" borderId="0" xfId="0" applyNumberFormat="1" applyFont="1" applyFill="1" applyBorder="1"/>
    <xf numFmtId="165" fontId="0" fillId="2" borderId="0" xfId="3" applyNumberFormat="1" applyFont="1" applyFill="1" applyBorder="1"/>
    <xf numFmtId="166" fontId="9" fillId="2" borderId="0" xfId="0" applyNumberFormat="1" applyFont="1" applyFill="1" applyBorder="1"/>
    <xf numFmtId="164" fontId="0" fillId="2" borderId="0" xfId="0" applyNumberFormat="1" applyFill="1" applyBorder="1"/>
    <xf numFmtId="0" fontId="4" fillId="2" borderId="17" xfId="0" applyFont="1" applyFill="1" applyBorder="1" applyAlignment="1">
      <alignment horizontal="center"/>
    </xf>
    <xf numFmtId="166" fontId="0" fillId="2" borderId="0" xfId="0" applyNumberFormat="1" applyFill="1" applyBorder="1"/>
    <xf numFmtId="0" fontId="6" fillId="2" borderId="11" xfId="0" applyFont="1" applyFill="1" applyBorder="1" applyAlignment="1">
      <alignment wrapText="1"/>
    </xf>
    <xf numFmtId="0" fontId="0" fillId="2" borderId="23" xfId="0" applyFill="1" applyBorder="1" applyAlignment="1">
      <alignment wrapText="1"/>
    </xf>
    <xf numFmtId="164" fontId="4" fillId="4" borderId="9" xfId="0" applyNumberFormat="1" applyFont="1" applyFill="1" applyBorder="1"/>
    <xf numFmtId="0" fontId="4" fillId="4" borderId="9" xfId="0" applyFont="1" applyFill="1" applyBorder="1"/>
    <xf numFmtId="165" fontId="4" fillId="4" borderId="9" xfId="0" applyNumberFormat="1" applyFont="1" applyFill="1" applyBorder="1"/>
    <xf numFmtId="43" fontId="4" fillId="4" borderId="2" xfId="0" applyNumberFormat="1" applyFont="1" applyFill="1" applyBorder="1"/>
    <xf numFmtId="164" fontId="6" fillId="2" borderId="12" xfId="3" applyNumberFormat="1" applyFont="1" applyFill="1" applyBorder="1" applyAlignment="1">
      <alignment vertical="center"/>
    </xf>
    <xf numFmtId="10" fontId="6" fillId="2" borderId="12" xfId="2" applyNumberFormat="1" applyFont="1" applyFill="1" applyBorder="1" applyAlignment="1">
      <alignment horizontal="center" vertical="center"/>
    </xf>
    <xf numFmtId="10" fontId="6" fillId="2" borderId="12" xfId="0" applyNumberFormat="1" applyFont="1" applyFill="1" applyBorder="1" applyAlignment="1">
      <alignment horizontal="center" vertical="center"/>
    </xf>
    <xf numFmtId="10" fontId="31" fillId="2" borderId="12" xfId="0" applyNumberFormat="1" applyFont="1" applyFill="1" applyBorder="1" applyAlignment="1">
      <alignment horizontal="center" vertical="center"/>
    </xf>
    <xf numFmtId="14" fontId="6" fillId="2" borderId="12" xfId="0" applyNumberFormat="1" applyFont="1" applyFill="1" applyBorder="1" applyAlignment="1">
      <alignment vertical="center"/>
    </xf>
    <xf numFmtId="165" fontId="6" fillId="2" borderId="12" xfId="0" applyNumberFormat="1" applyFont="1" applyFill="1" applyBorder="1" applyAlignment="1">
      <alignment vertical="center"/>
    </xf>
    <xf numFmtId="166" fontId="6" fillId="2" borderId="12" xfId="0" applyNumberFormat="1" applyFont="1" applyFill="1" applyBorder="1" applyAlignment="1">
      <alignment vertical="center"/>
    </xf>
    <xf numFmtId="43" fontId="31" fillId="2" borderId="27" xfId="0" applyNumberFormat="1" applyFont="1" applyFill="1" applyBorder="1" applyAlignment="1">
      <alignment vertical="center"/>
    </xf>
    <xf numFmtId="164" fontId="0" fillId="2" borderId="0" xfId="3" applyNumberFormat="1" applyFont="1" applyFill="1" applyBorder="1" applyAlignment="1">
      <alignment vertical="center"/>
    </xf>
    <xf numFmtId="14" fontId="0" fillId="2" borderId="0" xfId="0" applyNumberFormat="1" applyFill="1" applyBorder="1" applyAlignment="1">
      <alignment vertical="center"/>
    </xf>
    <xf numFmtId="165" fontId="0" fillId="2" borderId="0" xfId="0" applyNumberFormat="1" applyFill="1" applyBorder="1" applyAlignment="1">
      <alignment vertical="center"/>
    </xf>
    <xf numFmtId="166" fontId="0" fillId="2" borderId="0" xfId="0" applyNumberFormat="1" applyFill="1" applyBorder="1" applyAlignment="1">
      <alignment vertical="center"/>
    </xf>
    <xf numFmtId="43" fontId="4" fillId="2" borderId="24" xfId="0" applyNumberFormat="1" applyFont="1" applyFill="1" applyBorder="1" applyAlignment="1">
      <alignment vertical="center"/>
    </xf>
    <xf numFmtId="0" fontId="6" fillId="2" borderId="12" xfId="0" applyFont="1"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alignment horizontal="center" vertical="center" wrapText="1"/>
    </xf>
    <xf numFmtId="0" fontId="9" fillId="5" borderId="5" xfId="0" applyFont="1" applyFill="1" applyBorder="1"/>
    <xf numFmtId="0" fontId="9" fillId="5" borderId="9" xfId="0" applyFont="1" applyFill="1" applyBorder="1"/>
    <xf numFmtId="166" fontId="9" fillId="5" borderId="9" xfId="0" applyNumberFormat="1" applyFont="1" applyFill="1" applyBorder="1"/>
    <xf numFmtId="164" fontId="9" fillId="5" borderId="9" xfId="0" applyNumberFormat="1" applyFont="1" applyFill="1" applyBorder="1"/>
    <xf numFmtId="0" fontId="9" fillId="5" borderId="2" xfId="0" applyFont="1" applyFill="1" applyBorder="1"/>
    <xf numFmtId="0" fontId="29" fillId="7" borderId="5" xfId="0" applyFont="1" applyFill="1" applyBorder="1"/>
    <xf numFmtId="0" fontId="29" fillId="7" borderId="9" xfId="0" applyFont="1" applyFill="1" applyBorder="1"/>
    <xf numFmtId="166" fontId="29" fillId="7" borderId="9" xfId="0" applyNumberFormat="1" applyFont="1" applyFill="1" applyBorder="1"/>
    <xf numFmtId="43" fontId="29" fillId="7" borderId="2" xfId="0" applyNumberFormat="1" applyFont="1" applyFill="1" applyBorder="1"/>
    <xf numFmtId="0" fontId="0" fillId="2" borderId="5" xfId="0" applyFill="1" applyBorder="1"/>
    <xf numFmtId="165" fontId="0" fillId="2" borderId="9" xfId="3" applyNumberFormat="1" applyFont="1" applyFill="1" applyBorder="1"/>
    <xf numFmtId="165" fontId="0" fillId="2" borderId="2" xfId="3" applyNumberFormat="1" applyFont="1" applyFill="1" applyBorder="1"/>
    <xf numFmtId="0" fontId="29" fillId="7" borderId="7" xfId="0" applyFont="1" applyFill="1" applyBorder="1" applyAlignment="1">
      <alignment horizontal="center"/>
    </xf>
    <xf numFmtId="169" fontId="29" fillId="7" borderId="7" xfId="2" applyNumberFormat="1" applyFont="1" applyFill="1" applyBorder="1" applyAlignment="1">
      <alignment horizontal="center" wrapText="1"/>
    </xf>
    <xf numFmtId="0" fontId="29" fillId="7" borderId="7" xfId="0" applyFont="1" applyFill="1" applyBorder="1" applyAlignment="1">
      <alignment horizontal="center" wrapText="1"/>
    </xf>
    <xf numFmtId="165" fontId="29" fillId="7" borderId="7" xfId="0" applyNumberFormat="1" applyFont="1" applyFill="1" applyBorder="1" applyAlignment="1">
      <alignment horizontal="center" wrapText="1"/>
    </xf>
    <xf numFmtId="0" fontId="12" fillId="2" borderId="0" xfId="0" applyFont="1" applyFill="1" applyBorder="1" applyAlignment="1">
      <alignment horizontal="center" vertical="center" wrapText="1"/>
    </xf>
    <xf numFmtId="0" fontId="11" fillId="2" borderId="0" xfId="0" applyFont="1" applyFill="1" applyBorder="1" applyAlignment="1">
      <alignment horizontal="center" wrapText="1"/>
    </xf>
    <xf numFmtId="43" fontId="8" fillId="2" borderId="0" xfId="0" applyNumberFormat="1" applyFont="1" applyFill="1" applyBorder="1"/>
    <xf numFmtId="0" fontId="27" fillId="2" borderId="0" xfId="0" applyFont="1" applyFill="1" applyBorder="1" applyAlignment="1"/>
    <xf numFmtId="0" fontId="27" fillId="9" borderId="5" xfId="0" applyFont="1" applyFill="1" applyBorder="1"/>
    <xf numFmtId="0" fontId="32" fillId="9" borderId="9" xfId="0" applyFont="1" applyFill="1" applyBorder="1"/>
    <xf numFmtId="3" fontId="27" fillId="9" borderId="2" xfId="0" applyNumberFormat="1" applyFont="1" applyFill="1" applyBorder="1" applyAlignment="1">
      <alignment horizontal="center"/>
    </xf>
    <xf numFmtId="3" fontId="0" fillId="2" borderId="0" xfId="0" applyNumberFormat="1" applyFill="1" applyBorder="1" applyAlignment="1">
      <alignment horizontal="right"/>
    </xf>
    <xf numFmtId="3" fontId="27" fillId="9" borderId="9" xfId="0" applyNumberFormat="1" applyFont="1" applyFill="1" applyBorder="1" applyAlignment="1">
      <alignment horizontal="right"/>
    </xf>
    <xf numFmtId="0" fontId="4" fillId="4" borderId="25"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8" xfId="0" applyFont="1" applyFill="1" applyBorder="1" applyAlignment="1">
      <alignment horizontal="center" vertical="center" wrapText="1"/>
    </xf>
    <xf numFmtId="0" fontId="4" fillId="4" borderId="26" xfId="0" applyFont="1" applyFill="1" applyBorder="1" applyAlignment="1">
      <alignment horizontal="center" vertical="center"/>
    </xf>
    <xf numFmtId="0" fontId="4" fillId="2" borderId="0" xfId="0" applyFont="1" applyFill="1" applyBorder="1" applyAlignment="1">
      <alignment horizontal="center" vertical="center" wrapText="1"/>
    </xf>
    <xf numFmtId="4" fontId="0" fillId="2" borderId="0" xfId="0" applyNumberFormat="1" applyFill="1"/>
    <xf numFmtId="3" fontId="0" fillId="2" borderId="24" xfId="0" applyNumberFormat="1" applyFill="1" applyBorder="1" applyAlignment="1">
      <alignment horizontal="right"/>
    </xf>
    <xf numFmtId="0" fontId="0" fillId="2" borderId="42" xfId="0" applyFill="1" applyBorder="1"/>
    <xf numFmtId="0" fontId="25" fillId="9" borderId="22" xfId="0" applyFont="1" applyFill="1" applyBorder="1" applyAlignment="1">
      <alignment horizontal="right"/>
    </xf>
    <xf numFmtId="4" fontId="25" fillId="9" borderId="22" xfId="0" applyNumberFormat="1" applyFont="1" applyFill="1" applyBorder="1"/>
    <xf numFmtId="4" fontId="33" fillId="9" borderId="22" xfId="0" applyNumberFormat="1" applyFont="1" applyFill="1" applyBorder="1"/>
    <xf numFmtId="3" fontId="33" fillId="9" borderId="22" xfId="0" applyNumberFormat="1" applyFont="1" applyFill="1" applyBorder="1" applyAlignment="1">
      <alignment horizontal="right"/>
    </xf>
    <xf numFmtId="0" fontId="33" fillId="9" borderId="4" xfId="0" applyFont="1" applyFill="1" applyBorder="1"/>
    <xf numFmtId="171" fontId="0" fillId="2" borderId="0" xfId="0" applyNumberFormat="1" applyFill="1" applyBorder="1" applyAlignment="1">
      <alignment horizontal="center" vertical="center"/>
    </xf>
    <xf numFmtId="0" fontId="0" fillId="2" borderId="68" xfId="0" applyFill="1" applyBorder="1"/>
    <xf numFmtId="0" fontId="0" fillId="2" borderId="69" xfId="0" applyFill="1" applyBorder="1"/>
    <xf numFmtId="0" fontId="0" fillId="2" borderId="65" xfId="0" applyFill="1" applyBorder="1"/>
    <xf numFmtId="0" fontId="0" fillId="2" borderId="66" xfId="0" applyFill="1" applyBorder="1"/>
    <xf numFmtId="0" fontId="0" fillId="2" borderId="70" xfId="0" applyFill="1" applyBorder="1"/>
    <xf numFmtId="0" fontId="0" fillId="2" borderId="71" xfId="0" applyFill="1" applyBorder="1"/>
    <xf numFmtId="0" fontId="4" fillId="2" borderId="65" xfId="0" applyFont="1" applyFill="1" applyBorder="1"/>
    <xf numFmtId="0" fontId="0" fillId="2" borderId="11" xfId="0" applyFill="1" applyBorder="1"/>
    <xf numFmtId="3" fontId="0" fillId="2" borderId="12" xfId="0" applyNumberFormat="1" applyFill="1" applyBorder="1"/>
    <xf numFmtId="165" fontId="0" fillId="2" borderId="12" xfId="3" applyNumberFormat="1" applyFont="1" applyFill="1" applyBorder="1"/>
    <xf numFmtId="3" fontId="0" fillId="2" borderId="27" xfId="0" applyNumberFormat="1" applyFill="1" applyBorder="1"/>
    <xf numFmtId="43" fontId="0" fillId="2" borderId="0" xfId="0" applyNumberFormat="1" applyFill="1" applyBorder="1"/>
    <xf numFmtId="0" fontId="6" fillId="2" borderId="23" xfId="0" applyFont="1" applyFill="1" applyBorder="1" applyAlignment="1">
      <alignment wrapText="1"/>
    </xf>
    <xf numFmtId="164" fontId="6" fillId="2" borderId="0" xfId="3" applyNumberFormat="1" applyFont="1" applyFill="1" applyBorder="1" applyAlignment="1">
      <alignment vertical="center"/>
    </xf>
    <xf numFmtId="10" fontId="6" fillId="2" borderId="0" xfId="2" applyNumberFormat="1" applyFont="1" applyFill="1" applyBorder="1" applyAlignment="1">
      <alignment horizontal="center" vertical="center"/>
    </xf>
    <xf numFmtId="10" fontId="31" fillId="2" borderId="0" xfId="0" applyNumberFormat="1" applyFont="1" applyFill="1" applyBorder="1" applyAlignment="1">
      <alignment horizontal="center" vertical="center"/>
    </xf>
    <xf numFmtId="14" fontId="6" fillId="2" borderId="0" xfId="0" applyNumberFormat="1" applyFont="1" applyFill="1" applyBorder="1" applyAlignment="1">
      <alignment horizontal="right" vertical="center"/>
    </xf>
    <xf numFmtId="0" fontId="6" fillId="2" borderId="0" xfId="0" applyFont="1" applyFill="1" applyBorder="1" applyAlignment="1">
      <alignment horizontal="center" vertical="center"/>
    </xf>
    <xf numFmtId="165" fontId="6" fillId="2" borderId="0" xfId="0" applyNumberFormat="1" applyFont="1" applyFill="1" applyBorder="1" applyAlignment="1">
      <alignment vertical="center"/>
    </xf>
    <xf numFmtId="166" fontId="6" fillId="2" borderId="0" xfId="0" applyNumberFormat="1" applyFont="1" applyFill="1" applyBorder="1" applyAlignment="1">
      <alignment vertical="center"/>
    </xf>
    <xf numFmtId="43" fontId="31" fillId="2" borderId="24" xfId="0" applyNumberFormat="1" applyFont="1" applyFill="1" applyBorder="1" applyAlignment="1">
      <alignment vertical="center"/>
    </xf>
    <xf numFmtId="172" fontId="0" fillId="2" borderId="0" xfId="0" applyNumberFormat="1" applyFill="1"/>
    <xf numFmtId="0" fontId="9" fillId="2" borderId="0" xfId="0" applyFont="1" applyFill="1" applyBorder="1" applyAlignment="1"/>
    <xf numFmtId="173" fontId="0" fillId="2" borderId="0" xfId="0" applyNumberFormat="1" applyFill="1" applyBorder="1"/>
    <xf numFmtId="0" fontId="25" fillId="9" borderId="72" xfId="0" applyFont="1" applyFill="1" applyBorder="1" applyAlignment="1">
      <alignment horizontal="right"/>
    </xf>
    <xf numFmtId="0" fontId="0" fillId="10" borderId="23" xfId="0" applyFill="1" applyBorder="1"/>
    <xf numFmtId="14" fontId="0" fillId="10" borderId="0" xfId="0" applyNumberFormat="1" applyFill="1" applyBorder="1"/>
    <xf numFmtId="4" fontId="0" fillId="10" borderId="0" xfId="0" applyNumberFormat="1" applyFill="1" applyBorder="1"/>
    <xf numFmtId="173" fontId="0" fillId="10" borderId="0" xfId="0" applyNumberFormat="1" applyFill="1" applyBorder="1"/>
    <xf numFmtId="0" fontId="0" fillId="10" borderId="0" xfId="0" applyFill="1" applyBorder="1"/>
    <xf numFmtId="3" fontId="0" fillId="10" borderId="24" xfId="0" applyNumberFormat="1" applyFill="1" applyBorder="1" applyAlignment="1">
      <alignment horizontal="right"/>
    </xf>
    <xf numFmtId="0" fontId="19" fillId="2" borderId="0" xfId="0" applyFont="1" applyFill="1" applyBorder="1" applyAlignment="1">
      <alignment horizontal="center"/>
    </xf>
    <xf numFmtId="44" fontId="0" fillId="2" borderId="73" xfId="1" applyFont="1" applyFill="1" applyBorder="1" applyAlignment="1">
      <alignment vertical="center"/>
    </xf>
    <xf numFmtId="0" fontId="0" fillId="2" borderId="24" xfId="0" applyFont="1" applyFill="1" applyBorder="1" applyAlignment="1"/>
    <xf numFmtId="0" fontId="0" fillId="2" borderId="4" xfId="0" applyFont="1" applyFill="1" applyBorder="1" applyAlignment="1"/>
    <xf numFmtId="8" fontId="0" fillId="2" borderId="17" xfId="0" applyNumberFormat="1" applyFont="1" applyFill="1" applyBorder="1" applyAlignment="1">
      <alignment wrapText="1"/>
    </xf>
    <xf numFmtId="17" fontId="0" fillId="2" borderId="44" xfId="0" applyNumberFormat="1" applyFont="1" applyFill="1" applyBorder="1" applyAlignment="1">
      <alignment horizontal="center" vertical="center"/>
    </xf>
    <xf numFmtId="0" fontId="19" fillId="2" borderId="0" xfId="0" applyFont="1" applyFill="1" applyBorder="1" applyAlignment="1"/>
    <xf numFmtId="0" fontId="35" fillId="2" borderId="0" xfId="0" applyFont="1" applyFill="1"/>
    <xf numFmtId="14" fontId="0" fillId="2" borderId="31" xfId="0" applyNumberFormat="1" applyFont="1" applyFill="1" applyBorder="1" applyAlignment="1">
      <alignment horizontal="center"/>
    </xf>
    <xf numFmtId="0" fontId="4" fillId="4" borderId="70" xfId="0" applyFont="1" applyFill="1" applyBorder="1" applyAlignment="1">
      <alignment horizontal="center" vertical="center" wrapText="1"/>
    </xf>
    <xf numFmtId="0" fontId="4" fillId="2" borderId="15" xfId="0" applyFont="1" applyFill="1" applyBorder="1" applyAlignment="1">
      <alignment horizontal="center"/>
    </xf>
    <xf numFmtId="0" fontId="22" fillId="2" borderId="35" xfId="0" applyFont="1" applyFill="1" applyBorder="1" applyAlignment="1">
      <alignment horizontal="center" vertical="center"/>
    </xf>
    <xf numFmtId="0" fontId="22" fillId="2" borderId="36" xfId="0" applyFont="1" applyFill="1" applyBorder="1" applyAlignment="1">
      <alignment horizontal="center" vertical="center"/>
    </xf>
    <xf numFmtId="0" fontId="22" fillId="2" borderId="37" xfId="0" applyFont="1" applyFill="1" applyBorder="1" applyAlignment="1">
      <alignment horizontal="center" vertical="center"/>
    </xf>
    <xf numFmtId="0" fontId="22" fillId="2" borderId="38" xfId="0" applyFont="1" applyFill="1" applyBorder="1" applyAlignment="1">
      <alignment horizontal="center" vertical="center"/>
    </xf>
    <xf numFmtId="0" fontId="22" fillId="2" borderId="39" xfId="0" applyFont="1" applyFill="1" applyBorder="1" applyAlignment="1">
      <alignment horizontal="center" vertical="center"/>
    </xf>
    <xf numFmtId="0" fontId="22" fillId="2" borderId="40" xfId="0" applyFont="1" applyFill="1" applyBorder="1" applyAlignment="1">
      <alignment horizontal="center" vertical="center"/>
    </xf>
    <xf numFmtId="0" fontId="19" fillId="2" borderId="0" xfId="0" applyFont="1" applyFill="1" applyAlignment="1">
      <alignment horizontal="center"/>
    </xf>
    <xf numFmtId="0" fontId="24" fillId="8" borderId="41" xfId="0" applyFont="1" applyFill="1" applyBorder="1" applyAlignment="1">
      <alignment horizontal="right" wrapText="1"/>
    </xf>
    <xf numFmtId="0" fontId="24" fillId="8" borderId="33" xfId="0" applyFont="1" applyFill="1" applyBorder="1" applyAlignment="1">
      <alignment horizontal="right" wrapText="1"/>
    </xf>
    <xf numFmtId="0" fontId="26" fillId="2" borderId="42" xfId="0" applyFont="1" applyFill="1" applyBorder="1" applyAlignment="1">
      <alignment horizontal="center" vertical="center" wrapText="1"/>
    </xf>
    <xf numFmtId="0" fontId="26" fillId="2" borderId="0" xfId="0" applyFont="1" applyFill="1" applyBorder="1" applyAlignment="1">
      <alignment horizontal="center" vertical="center" wrapText="1"/>
    </xf>
    <xf numFmtId="0" fontId="25" fillId="7" borderId="5" xfId="0" applyFont="1" applyFill="1" applyBorder="1" applyAlignment="1">
      <alignment horizontal="center" vertical="center"/>
    </xf>
    <xf numFmtId="0" fontId="25" fillId="7" borderId="6" xfId="0" applyFont="1" applyFill="1" applyBorder="1" applyAlignment="1">
      <alignment horizontal="center" vertical="center"/>
    </xf>
    <xf numFmtId="10" fontId="0" fillId="2" borderId="15" xfId="0" applyNumberFormat="1" applyFill="1" applyBorder="1" applyAlignment="1">
      <alignment horizontal="justify" vertical="center" wrapText="1"/>
    </xf>
    <xf numFmtId="10" fontId="0" fillId="2" borderId="44" xfId="0" applyNumberFormat="1" applyFill="1" applyBorder="1" applyAlignment="1">
      <alignment horizontal="justify" vertical="center" wrapText="1"/>
    </xf>
    <xf numFmtId="10" fontId="0" fillId="2" borderId="28" xfId="0" applyNumberFormat="1" applyFill="1" applyBorder="1" applyAlignment="1">
      <alignment horizontal="center" vertical="center"/>
    </xf>
    <xf numFmtId="10" fontId="0" fillId="2" borderId="45" xfId="0" applyNumberFormat="1" applyFill="1" applyBorder="1" applyAlignment="1">
      <alignment horizontal="center" vertical="center"/>
    </xf>
    <xf numFmtId="10" fontId="0" fillId="2" borderId="46" xfId="0" applyNumberFormat="1" applyFill="1" applyBorder="1" applyAlignment="1">
      <alignment horizontal="center" wrapText="1"/>
    </xf>
    <xf numFmtId="10" fontId="0" fillId="2" borderId="2" xfId="0" applyNumberFormat="1" applyFill="1" applyBorder="1" applyAlignment="1">
      <alignment horizontal="center" wrapText="1"/>
    </xf>
    <xf numFmtId="0" fontId="27" fillId="7" borderId="5" xfId="0" applyFont="1" applyFill="1" applyBorder="1" applyAlignment="1">
      <alignment horizontal="center"/>
    </xf>
    <xf numFmtId="0" fontId="27" fillId="7" borderId="9" xfId="0" applyFont="1" applyFill="1" applyBorder="1" applyAlignment="1">
      <alignment horizontal="center"/>
    </xf>
    <xf numFmtId="0" fontId="27" fillId="7" borderId="2" xfId="0" applyFont="1" applyFill="1" applyBorder="1" applyAlignment="1">
      <alignment horizontal="center"/>
    </xf>
    <xf numFmtId="0" fontId="28" fillId="9" borderId="5" xfId="0" applyFont="1" applyFill="1" applyBorder="1" applyAlignment="1">
      <alignment horizontal="center"/>
    </xf>
    <xf numFmtId="0" fontId="28" fillId="9" borderId="9" xfId="0" applyFont="1" applyFill="1" applyBorder="1" applyAlignment="1">
      <alignment horizontal="center"/>
    </xf>
    <xf numFmtId="0" fontId="28" fillId="9" borderId="2" xfId="0" applyFont="1" applyFill="1" applyBorder="1" applyAlignment="1">
      <alignment horizontal="center"/>
    </xf>
    <xf numFmtId="0" fontId="4" fillId="3" borderId="41" xfId="0" applyFont="1" applyFill="1" applyBorder="1" applyAlignment="1">
      <alignment horizontal="center" vertical="center"/>
    </xf>
    <xf numFmtId="0" fontId="4" fillId="3" borderId="43" xfId="0" applyFont="1" applyFill="1" applyBorder="1" applyAlignment="1">
      <alignment horizontal="center" vertical="center"/>
    </xf>
    <xf numFmtId="10" fontId="0" fillId="2" borderId="15" xfId="0" applyNumberFormat="1" applyFill="1" applyBorder="1" applyAlignment="1">
      <alignment horizontal="center" vertical="center"/>
    </xf>
    <xf numFmtId="10" fontId="0" fillId="2" borderId="44" xfId="0" applyNumberFormat="1" applyFill="1" applyBorder="1" applyAlignment="1">
      <alignment horizontal="center" vertical="center"/>
    </xf>
    <xf numFmtId="0" fontId="0" fillId="2" borderId="15" xfId="0" applyFill="1" applyBorder="1" applyAlignment="1">
      <alignment horizontal="center" vertical="center"/>
    </xf>
    <xf numFmtId="0" fontId="0" fillId="2" borderId="44" xfId="0" applyFill="1" applyBorder="1" applyAlignment="1">
      <alignment horizontal="center" vertical="center"/>
    </xf>
    <xf numFmtId="10" fontId="0" fillId="2" borderId="0" xfId="0" applyNumberFormat="1" applyFill="1" applyBorder="1" applyAlignment="1">
      <alignment horizontal="center" wrapText="1"/>
    </xf>
    <xf numFmtId="0" fontId="0" fillId="2" borderId="0" xfId="0" applyFill="1" applyBorder="1" applyAlignment="1">
      <alignment horizontal="center" wrapText="1"/>
    </xf>
    <xf numFmtId="0" fontId="30" fillId="7" borderId="0" xfId="0" applyFont="1" applyFill="1" applyBorder="1" applyAlignment="1">
      <alignment horizontal="center"/>
    </xf>
    <xf numFmtId="0" fontId="22" fillId="2" borderId="47" xfId="0" applyFont="1" applyFill="1" applyBorder="1" applyAlignment="1">
      <alignment horizontal="center" vertical="center"/>
    </xf>
    <xf numFmtId="0" fontId="22" fillId="2" borderId="48" xfId="0" applyFont="1" applyFill="1" applyBorder="1" applyAlignment="1">
      <alignment horizontal="center" vertical="center"/>
    </xf>
    <xf numFmtId="0" fontId="22" fillId="2" borderId="49" xfId="0" applyFont="1" applyFill="1" applyBorder="1" applyAlignment="1">
      <alignment horizontal="center" vertical="center"/>
    </xf>
    <xf numFmtId="0" fontId="22" fillId="2" borderId="50" xfId="0" applyFont="1" applyFill="1" applyBorder="1" applyAlignment="1">
      <alignment horizontal="center" vertical="center"/>
    </xf>
    <xf numFmtId="0" fontId="22" fillId="2" borderId="51" xfId="0" applyFont="1" applyFill="1" applyBorder="1" applyAlignment="1">
      <alignment horizontal="center" vertical="center"/>
    </xf>
    <xf numFmtId="0" fontId="22" fillId="2" borderId="52" xfId="0" applyFont="1" applyFill="1" applyBorder="1" applyAlignment="1">
      <alignment horizontal="center" vertical="center"/>
    </xf>
    <xf numFmtId="0" fontId="30" fillId="7" borderId="23" xfId="0" applyFont="1" applyFill="1" applyBorder="1" applyAlignment="1">
      <alignment horizontal="center"/>
    </xf>
    <xf numFmtId="0" fontId="22" fillId="2" borderId="53" xfId="0" applyFont="1" applyFill="1" applyBorder="1" applyAlignment="1">
      <alignment horizontal="center" vertical="center"/>
    </xf>
    <xf numFmtId="0" fontId="22" fillId="2" borderId="54" xfId="0" applyFont="1" applyFill="1" applyBorder="1" applyAlignment="1">
      <alignment horizontal="center" vertical="center"/>
    </xf>
    <xf numFmtId="0" fontId="22" fillId="2" borderId="56" xfId="0" applyFont="1" applyFill="1" applyBorder="1" applyAlignment="1">
      <alignment horizontal="center" vertical="center"/>
    </xf>
    <xf numFmtId="0" fontId="22" fillId="2" borderId="55" xfId="0" applyFont="1" applyFill="1" applyBorder="1" applyAlignment="1">
      <alignment horizontal="center" vertical="center"/>
    </xf>
    <xf numFmtId="0" fontId="22" fillId="2" borderId="34" xfId="0" applyFont="1" applyFill="1" applyBorder="1" applyAlignment="1">
      <alignment horizontal="center" vertical="center"/>
    </xf>
    <xf numFmtId="0" fontId="22" fillId="2" borderId="57" xfId="0" applyFont="1" applyFill="1" applyBorder="1" applyAlignment="1">
      <alignment horizontal="center" vertical="center"/>
    </xf>
    <xf numFmtId="0" fontId="3" fillId="2" borderId="0" xfId="0" applyFont="1" applyFill="1" applyBorder="1" applyAlignment="1">
      <alignment horizontal="center" vertical="center" wrapText="1"/>
    </xf>
    <xf numFmtId="0" fontId="30" fillId="7" borderId="22" xfId="0" applyFont="1" applyFill="1" applyBorder="1" applyAlignment="1">
      <alignment horizontal="center"/>
    </xf>
    <xf numFmtId="0" fontId="16" fillId="9" borderId="7" xfId="0" applyFont="1" applyFill="1" applyBorder="1" applyAlignment="1">
      <alignment horizontal="center" vertical="center" wrapText="1"/>
    </xf>
    <xf numFmtId="0" fontId="16" fillId="9" borderId="63" xfId="0" applyFont="1" applyFill="1" applyBorder="1" applyAlignment="1">
      <alignment horizontal="center" vertical="center" wrapText="1"/>
    </xf>
    <xf numFmtId="0" fontId="16" fillId="9" borderId="7" xfId="0" applyFont="1" applyFill="1" applyBorder="1" applyAlignment="1">
      <alignment horizontal="center" vertical="center"/>
    </xf>
    <xf numFmtId="0" fontId="16" fillId="9" borderId="63" xfId="0" applyFont="1" applyFill="1" applyBorder="1" applyAlignment="1">
      <alignment horizontal="center" vertical="center"/>
    </xf>
    <xf numFmtId="0" fontId="16" fillId="9" borderId="60" xfId="0" applyFont="1" applyFill="1" applyBorder="1" applyAlignment="1">
      <alignment horizontal="center" vertical="center"/>
    </xf>
    <xf numFmtId="0" fontId="16" fillId="9" borderId="64" xfId="0" applyFont="1" applyFill="1" applyBorder="1" applyAlignment="1">
      <alignment horizontal="center" vertical="center"/>
    </xf>
    <xf numFmtId="0" fontId="16" fillId="9" borderId="60" xfId="0" applyFont="1" applyFill="1" applyBorder="1" applyAlignment="1">
      <alignment horizontal="center" vertical="center" wrapText="1"/>
    </xf>
    <xf numFmtId="0" fontId="16" fillId="9" borderId="64" xfId="0" applyFont="1" applyFill="1" applyBorder="1" applyAlignment="1">
      <alignment horizontal="center" vertical="center" wrapText="1"/>
    </xf>
    <xf numFmtId="0" fontId="16" fillId="9" borderId="60" xfId="0" applyFont="1" applyFill="1" applyBorder="1" applyAlignment="1">
      <alignment horizontal="center" wrapText="1"/>
    </xf>
    <xf numFmtId="0" fontId="16" fillId="9" borderId="64" xfId="0" applyFont="1" applyFill="1" applyBorder="1" applyAlignment="1">
      <alignment horizontal="center" wrapText="1"/>
    </xf>
    <xf numFmtId="0" fontId="16" fillId="9" borderId="61" xfId="0" applyFont="1" applyFill="1" applyBorder="1" applyAlignment="1">
      <alignment horizontal="center" vertical="center"/>
    </xf>
    <xf numFmtId="0" fontId="16" fillId="9" borderId="59" xfId="0" applyFont="1" applyFill="1" applyBorder="1" applyAlignment="1">
      <alignment horizontal="center" vertical="center"/>
    </xf>
    <xf numFmtId="0" fontId="16" fillId="9" borderId="65" xfId="0" applyFont="1" applyFill="1" applyBorder="1" applyAlignment="1">
      <alignment horizontal="center" vertical="center"/>
    </xf>
    <xf numFmtId="0" fontId="16" fillId="9" borderId="66" xfId="0" applyFont="1" applyFill="1" applyBorder="1" applyAlignment="1">
      <alignment horizontal="center" vertical="center"/>
    </xf>
    <xf numFmtId="0" fontId="16" fillId="9" borderId="62" xfId="0" applyFont="1" applyFill="1" applyBorder="1" applyAlignment="1">
      <alignment horizontal="center" vertical="center" wrapText="1"/>
    </xf>
    <xf numFmtId="0" fontId="16" fillId="9" borderId="67" xfId="0" applyFont="1" applyFill="1" applyBorder="1" applyAlignment="1">
      <alignment horizontal="center" vertical="center" wrapText="1"/>
    </xf>
    <xf numFmtId="0" fontId="4" fillId="2" borderId="0" xfId="0" applyFont="1" applyFill="1" applyBorder="1" applyAlignment="1">
      <alignment horizontal="right"/>
    </xf>
    <xf numFmtId="0" fontId="4" fillId="2" borderId="0" xfId="0" applyFont="1" applyFill="1" applyBorder="1" applyAlignment="1">
      <alignment horizontal="center"/>
    </xf>
    <xf numFmtId="165" fontId="0" fillId="2" borderId="0" xfId="0" applyNumberFormat="1" applyFill="1" applyBorder="1" applyAlignment="1">
      <alignment vertical="center"/>
    </xf>
    <xf numFmtId="0" fontId="29" fillId="7" borderId="0" xfId="0" applyFont="1" applyFill="1" applyAlignment="1">
      <alignment horizontal="center"/>
    </xf>
    <xf numFmtId="164" fontId="6" fillId="2" borderId="12" xfId="0" applyNumberFormat="1" applyFont="1" applyFill="1" applyBorder="1" applyAlignment="1">
      <alignment vertical="center"/>
    </xf>
    <xf numFmtId="0" fontId="6" fillId="2" borderId="12" xfId="0" applyFont="1" applyFill="1" applyBorder="1" applyAlignment="1">
      <alignment vertical="center"/>
    </xf>
    <xf numFmtId="165" fontId="6" fillId="2" borderId="0" xfId="0" applyNumberFormat="1" applyFont="1" applyFill="1" applyBorder="1" applyAlignment="1">
      <alignment vertical="center"/>
    </xf>
    <xf numFmtId="43" fontId="4" fillId="4" borderId="9" xfId="0" applyNumberFormat="1" applyFont="1" applyFill="1" applyBorder="1"/>
    <xf numFmtId="0" fontId="4" fillId="4" borderId="9" xfId="0" applyFont="1" applyFill="1" applyBorder="1"/>
    <xf numFmtId="0" fontId="27" fillId="7" borderId="11" xfId="0" applyFont="1" applyFill="1" applyBorder="1" applyAlignment="1">
      <alignment horizontal="center"/>
    </xf>
    <xf numFmtId="0" fontId="27" fillId="7" borderId="12" xfId="0" applyFont="1" applyFill="1" applyBorder="1" applyAlignment="1">
      <alignment horizontal="center"/>
    </xf>
    <xf numFmtId="0" fontId="27" fillId="7" borderId="27" xfId="0" applyFont="1" applyFill="1" applyBorder="1" applyAlignment="1">
      <alignment horizontal="center"/>
    </xf>
    <xf numFmtId="0" fontId="1" fillId="2" borderId="0" xfId="0" applyFont="1" applyFill="1"/>
    <xf numFmtId="0" fontId="4" fillId="2" borderId="0" xfId="0" applyFont="1" applyFill="1" applyAlignment="1">
      <alignment horizontal="center"/>
    </xf>
    <xf numFmtId="0" fontId="0" fillId="2" borderId="0" xfId="0" applyFill="1" applyAlignment="1">
      <alignment horizontal="right"/>
    </xf>
  </cellXfs>
  <cellStyles count="5">
    <cellStyle name="Millares" xfId="3" builtinId="3"/>
    <cellStyle name="Moneda" xfId="1" builtinId="4"/>
    <cellStyle name="Normal" xfId="0" builtinId="0"/>
    <cellStyle name="Normal 2" xfId="4"/>
    <cellStyle name="Porcentaje"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7</xdr:col>
      <xdr:colOff>466725</xdr:colOff>
      <xdr:row>22</xdr:row>
      <xdr:rowOff>133350</xdr:rowOff>
    </xdr:to>
    <xdr:pic>
      <xdr:nvPicPr>
        <xdr:cNvPr id="2" name="Imagen 1" descr="http://eleconomista.com.mx/files/imagecache/eco2014_650x433/files/val_650_banxico_170317.png">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200025"/>
          <a:ext cx="6191250" cy="412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9525</xdr:colOff>
      <xdr:row>1</xdr:row>
      <xdr:rowOff>9525</xdr:rowOff>
    </xdr:from>
    <xdr:ext cx="6191250" cy="4124325"/>
    <xdr:pic>
      <xdr:nvPicPr>
        <xdr:cNvPr id="3" name="Imagen 2" descr="http://eleconomista.com.mx/files/imagecache/eco2014_650x433/files/val_650_banxico_170317.png">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200025"/>
          <a:ext cx="6191250" cy="4124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1"/>
  <sheetViews>
    <sheetView workbookViewId="0">
      <selection activeCell="C8" sqref="C8"/>
    </sheetView>
  </sheetViews>
  <sheetFormatPr baseColWidth="10" defaultColWidth="11.5703125" defaultRowHeight="15"/>
  <cols>
    <col min="1" max="1" width="3.5703125" style="27" customWidth="1"/>
    <col min="2" max="16384" width="11.5703125" style="27"/>
  </cols>
  <sheetData>
    <row r="2" spans="2:8">
      <c r="B2" s="243"/>
      <c r="C2" s="236"/>
      <c r="D2" s="236"/>
      <c r="E2" s="236"/>
      <c r="F2" s="236"/>
      <c r="G2" s="236"/>
      <c r="H2" s="244"/>
    </row>
    <row r="3" spans="2:8">
      <c r="B3" s="249" t="s">
        <v>184</v>
      </c>
      <c r="C3" s="9"/>
      <c r="D3" s="9"/>
      <c r="E3" s="9"/>
      <c r="F3" s="9"/>
      <c r="G3" s="9"/>
      <c r="H3" s="246"/>
    </row>
    <row r="4" spans="2:8">
      <c r="B4" s="245"/>
      <c r="C4" s="9" t="s">
        <v>185</v>
      </c>
      <c r="D4" s="9"/>
      <c r="E4" s="9"/>
      <c r="F4" s="9"/>
      <c r="G4" s="9"/>
      <c r="H4" s="246"/>
    </row>
    <row r="5" spans="2:8">
      <c r="B5" s="245"/>
      <c r="C5" s="9" t="s">
        <v>186</v>
      </c>
      <c r="D5" s="9"/>
      <c r="E5" s="9"/>
      <c r="F5" s="9"/>
      <c r="G5" s="9"/>
      <c r="H5" s="246"/>
    </row>
    <row r="6" spans="2:8">
      <c r="B6" s="245"/>
      <c r="C6" s="9" t="s">
        <v>187</v>
      </c>
      <c r="D6" s="9"/>
      <c r="E6" s="9"/>
      <c r="F6" s="9"/>
      <c r="G6" s="9"/>
      <c r="H6" s="246"/>
    </row>
    <row r="7" spans="2:8">
      <c r="B7" s="245"/>
      <c r="C7" s="9" t="s">
        <v>188</v>
      </c>
      <c r="D7" s="9"/>
      <c r="E7" s="9"/>
      <c r="F7" s="9"/>
      <c r="G7" s="9"/>
      <c r="H7" s="246"/>
    </row>
    <row r="8" spans="2:8">
      <c r="B8" s="245"/>
      <c r="C8" s="9"/>
      <c r="D8" s="9"/>
      <c r="E8" s="9"/>
      <c r="F8" s="9"/>
      <c r="G8" s="9"/>
      <c r="H8" s="246"/>
    </row>
    <row r="9" spans="2:8">
      <c r="B9" s="245"/>
      <c r="C9" s="9"/>
      <c r="D9" s="9"/>
      <c r="E9" s="9"/>
      <c r="F9" s="9"/>
      <c r="G9" s="9"/>
      <c r="H9" s="246"/>
    </row>
    <row r="10" spans="2:8">
      <c r="B10" s="245"/>
      <c r="C10" s="9"/>
      <c r="D10" s="9"/>
      <c r="E10" s="9"/>
      <c r="F10" s="9"/>
      <c r="G10" s="9"/>
      <c r="H10" s="246"/>
    </row>
    <row r="11" spans="2:8">
      <c r="B11" s="245"/>
      <c r="C11" s="9"/>
      <c r="D11" s="9"/>
      <c r="E11" s="9"/>
      <c r="F11" s="9"/>
      <c r="G11" s="9"/>
      <c r="H11" s="246"/>
    </row>
    <row r="12" spans="2:8">
      <c r="B12" s="245"/>
      <c r="C12" s="9"/>
      <c r="D12" s="9"/>
      <c r="E12" s="9"/>
      <c r="F12" s="9"/>
      <c r="G12" s="9"/>
      <c r="H12" s="246"/>
    </row>
    <row r="13" spans="2:8">
      <c r="B13" s="245"/>
      <c r="C13" s="9"/>
      <c r="D13" s="9"/>
      <c r="E13" s="9"/>
      <c r="F13" s="9"/>
      <c r="G13" s="9"/>
      <c r="H13" s="246"/>
    </row>
    <row r="14" spans="2:8">
      <c r="B14" s="245"/>
      <c r="C14" s="9"/>
      <c r="D14" s="9"/>
      <c r="E14" s="9"/>
      <c r="F14" s="9"/>
      <c r="G14" s="9"/>
      <c r="H14" s="246"/>
    </row>
    <row r="15" spans="2:8">
      <c r="B15" s="245"/>
      <c r="C15" s="9"/>
      <c r="D15" s="9"/>
      <c r="E15" s="9"/>
      <c r="F15" s="9"/>
      <c r="G15" s="9"/>
      <c r="H15" s="246"/>
    </row>
    <row r="16" spans="2:8">
      <c r="B16" s="245"/>
      <c r="C16" s="9"/>
      <c r="D16" s="9"/>
      <c r="E16" s="9"/>
      <c r="F16" s="9"/>
      <c r="G16" s="9"/>
      <c r="H16" s="246"/>
    </row>
    <row r="17" spans="2:8">
      <c r="B17" s="245"/>
      <c r="C17" s="9"/>
      <c r="D17" s="9"/>
      <c r="E17" s="9"/>
      <c r="F17" s="9"/>
      <c r="G17" s="9"/>
      <c r="H17" s="246"/>
    </row>
    <row r="18" spans="2:8">
      <c r="B18" s="245"/>
      <c r="C18" s="9"/>
      <c r="D18" s="9"/>
      <c r="E18" s="9"/>
      <c r="F18" s="9"/>
      <c r="G18" s="9"/>
      <c r="H18" s="246"/>
    </row>
    <row r="19" spans="2:8">
      <c r="B19" s="245"/>
      <c r="C19" s="9"/>
      <c r="D19" s="9"/>
      <c r="E19" s="9"/>
      <c r="F19" s="9"/>
      <c r="G19" s="9"/>
      <c r="H19" s="246"/>
    </row>
    <row r="20" spans="2:8">
      <c r="B20" s="245"/>
      <c r="C20" s="9"/>
      <c r="D20" s="9"/>
      <c r="E20" s="9"/>
      <c r="F20" s="9"/>
      <c r="G20" s="9"/>
      <c r="H20" s="246"/>
    </row>
    <row r="21" spans="2:8">
      <c r="B21" s="247"/>
      <c r="C21" s="44"/>
      <c r="D21" s="44"/>
      <c r="E21" s="44"/>
      <c r="F21" s="44"/>
      <c r="G21" s="44"/>
      <c r="H21" s="24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B1:L49"/>
  <sheetViews>
    <sheetView topLeftCell="A15" zoomScale="120" zoomScaleNormal="120" workbookViewId="0">
      <selection activeCell="D25" sqref="D25"/>
    </sheetView>
  </sheetViews>
  <sheetFormatPr baseColWidth="10" defaultColWidth="11.42578125" defaultRowHeight="15"/>
  <cols>
    <col min="1" max="1" width="11.42578125" style="52"/>
    <col min="2" max="2" width="21.140625" style="52" customWidth="1"/>
    <col min="3" max="3" width="33.28515625" style="52" customWidth="1"/>
    <col min="4" max="4" width="46.7109375" style="52" customWidth="1"/>
    <col min="5" max="5" width="18.42578125" style="52" bestFit="1" customWidth="1"/>
    <col min="6" max="6" width="14.7109375" style="52" bestFit="1" customWidth="1"/>
    <col min="7" max="7" width="15.85546875" style="52" bestFit="1" customWidth="1"/>
    <col min="8" max="8" width="18.42578125" style="52" bestFit="1" customWidth="1"/>
    <col min="9" max="16384" width="11.42578125" style="52"/>
  </cols>
  <sheetData>
    <row r="1" spans="2:8" ht="11.25" customHeight="1" thickBot="1"/>
    <row r="2" spans="2:8">
      <c r="B2" s="285" t="s">
        <v>160</v>
      </c>
      <c r="C2" s="286"/>
      <c r="D2" s="287"/>
    </row>
    <row r="3" spans="2:8" ht="15.75" thickBot="1">
      <c r="B3" s="288"/>
      <c r="C3" s="289"/>
      <c r="D3" s="290"/>
    </row>
    <row r="4" spans="2:8" ht="15.75" thickBot="1">
      <c r="C4" s="53"/>
      <c r="D4" s="53"/>
      <c r="H4" s="54"/>
    </row>
    <row r="5" spans="2:8" ht="22.5" customHeight="1" thickBot="1">
      <c r="B5" s="296" t="s">
        <v>16</v>
      </c>
      <c r="C5" s="297"/>
      <c r="D5" s="150" t="s">
        <v>194</v>
      </c>
      <c r="E5" s="54" t="s">
        <v>86</v>
      </c>
      <c r="H5" s="55"/>
    </row>
    <row r="6" spans="2:8" ht="15.75" thickBot="1">
      <c r="B6" s="56" t="s">
        <v>6</v>
      </c>
      <c r="C6" s="57" t="s">
        <v>1</v>
      </c>
      <c r="D6" s="58">
        <v>38222817.700000003</v>
      </c>
      <c r="E6" s="58">
        <v>36188531</v>
      </c>
      <c r="F6" s="59">
        <f>+D6-E6</f>
        <v>2034286.700000003</v>
      </c>
      <c r="G6" s="60"/>
      <c r="H6" s="60"/>
    </row>
    <row r="7" spans="2:8" ht="15.75" thickBot="1">
      <c r="B7" s="61" t="s">
        <v>0</v>
      </c>
      <c r="C7" s="62" t="s">
        <v>2</v>
      </c>
      <c r="D7" s="63">
        <v>603924.13</v>
      </c>
      <c r="E7" s="60"/>
      <c r="G7" s="60"/>
      <c r="H7" s="60"/>
    </row>
    <row r="8" spans="2:8" ht="32.25" customHeight="1" thickBot="1">
      <c r="B8" s="61" t="s">
        <v>3</v>
      </c>
      <c r="C8" s="62" t="s">
        <v>65</v>
      </c>
      <c r="D8" s="63">
        <v>52128.27</v>
      </c>
      <c r="H8" s="60"/>
    </row>
    <row r="9" spans="2:8" ht="32.25" customHeight="1" thickBot="1">
      <c r="B9" s="61" t="s">
        <v>66</v>
      </c>
      <c r="C9" s="62" t="s">
        <v>67</v>
      </c>
      <c r="D9" s="63">
        <v>273715.17</v>
      </c>
      <c r="E9" s="60"/>
      <c r="H9" s="60"/>
    </row>
    <row r="10" spans="2:8" ht="32.25" customHeight="1" thickBot="1">
      <c r="B10" s="61" t="s">
        <v>66</v>
      </c>
      <c r="C10" s="62" t="s">
        <v>67</v>
      </c>
      <c r="D10" s="63">
        <v>15272686.51</v>
      </c>
      <c r="E10" s="60"/>
      <c r="H10" s="60"/>
    </row>
    <row r="11" spans="2:8" ht="15.75" thickBot="1">
      <c r="B11" s="61" t="s">
        <v>0</v>
      </c>
      <c r="C11" s="62" t="s">
        <v>161</v>
      </c>
      <c r="D11" s="64">
        <f>SUM(D12:D18)</f>
        <v>5695634.2999999998</v>
      </c>
      <c r="E11" s="60"/>
    </row>
    <row r="12" spans="2:8" ht="15.75" thickBot="1">
      <c r="B12" s="61"/>
      <c r="C12" s="75" t="s">
        <v>7</v>
      </c>
      <c r="D12" s="65">
        <v>315119.77</v>
      </c>
      <c r="G12" s="60"/>
      <c r="H12" s="60"/>
    </row>
    <row r="13" spans="2:8" ht="15.75" thickBot="1">
      <c r="B13" s="61"/>
      <c r="C13" s="75" t="s">
        <v>8</v>
      </c>
      <c r="D13" s="65">
        <v>484770.32</v>
      </c>
      <c r="G13" s="60"/>
      <c r="H13" s="60"/>
    </row>
    <row r="14" spans="2:8" ht="15.75" thickBot="1">
      <c r="B14" s="61"/>
      <c r="C14" s="75" t="s">
        <v>9</v>
      </c>
      <c r="D14" s="65">
        <v>449830.96</v>
      </c>
      <c r="G14" s="60"/>
      <c r="H14" s="60"/>
    </row>
    <row r="15" spans="2:8" ht="15.75" thickBot="1">
      <c r="B15" s="61"/>
      <c r="C15" s="75" t="s">
        <v>10</v>
      </c>
      <c r="D15" s="65">
        <v>1994688.84</v>
      </c>
      <c r="F15" s="60"/>
      <c r="G15" s="60"/>
      <c r="H15" s="60"/>
    </row>
    <row r="16" spans="2:8" ht="15.75" thickBot="1">
      <c r="B16" s="61"/>
      <c r="C16" s="75" t="s">
        <v>11</v>
      </c>
      <c r="D16" s="65">
        <v>530997.21</v>
      </c>
      <c r="F16" s="60"/>
      <c r="H16" s="60"/>
    </row>
    <row r="17" spans="2:12" ht="15.75" thickBot="1">
      <c r="B17" s="61"/>
      <c r="C17" s="75" t="s">
        <v>12</v>
      </c>
      <c r="D17" s="65">
        <v>1897377.56</v>
      </c>
      <c r="H17" s="60"/>
    </row>
    <row r="18" spans="2:12" ht="15.75" thickBot="1">
      <c r="B18" s="61"/>
      <c r="C18" s="75" t="s">
        <v>13</v>
      </c>
      <c r="D18" s="65">
        <v>22849.64</v>
      </c>
      <c r="F18" s="60"/>
      <c r="H18" s="60"/>
      <c r="L18" s="66"/>
    </row>
    <row r="19" spans="2:12" ht="30">
      <c r="B19" s="76" t="s">
        <v>4</v>
      </c>
      <c r="C19" s="76" t="s">
        <v>5</v>
      </c>
      <c r="D19" s="77">
        <f>+D7+D8+D9+D11+D10</f>
        <v>21898088.379999999</v>
      </c>
      <c r="G19" s="60"/>
    </row>
    <row r="20" spans="2:12">
      <c r="B20" s="78" t="s">
        <v>14</v>
      </c>
      <c r="C20" s="79" t="s">
        <v>15</v>
      </c>
      <c r="D20" s="80">
        <f>+D19+D6</f>
        <v>60120906.079999998</v>
      </c>
      <c r="H20" s="59"/>
    </row>
    <row r="21" spans="2:12">
      <c r="B21" s="294" t="s">
        <v>167</v>
      </c>
      <c r="C21" s="294"/>
      <c r="D21" s="294"/>
      <c r="H21" s="59"/>
    </row>
    <row r="22" spans="2:12">
      <c r="B22" s="295"/>
      <c r="C22" s="295"/>
      <c r="D22" s="295"/>
      <c r="H22" s="59"/>
    </row>
    <row r="23" spans="2:12" ht="15.75" thickBot="1">
      <c r="B23" s="67"/>
      <c r="C23" s="68"/>
      <c r="D23" s="69"/>
    </row>
    <row r="24" spans="2:12" ht="15.75" thickBot="1">
      <c r="B24" s="56" t="s">
        <v>19</v>
      </c>
      <c r="C24" s="57" t="s">
        <v>18</v>
      </c>
      <c r="D24" s="70">
        <f>AFISA!H7</f>
        <v>3761415.5</v>
      </c>
      <c r="E24" s="60"/>
    </row>
    <row r="25" spans="2:12" ht="21.75" customHeight="1">
      <c r="B25" s="292" t="s">
        <v>61</v>
      </c>
      <c r="C25" s="293"/>
      <c r="D25" s="81">
        <f>+D20+D24</f>
        <v>63882321.579999998</v>
      </c>
    </row>
    <row r="27" spans="2:12">
      <c r="B27" s="73" t="s">
        <v>3</v>
      </c>
      <c r="C27" s="73" t="s">
        <v>83</v>
      </c>
      <c r="D27" s="74">
        <f>30198.04+103230</f>
        <v>133428.04</v>
      </c>
    </row>
    <row r="28" spans="2:12">
      <c r="B28" s="55">
        <v>42774</v>
      </c>
      <c r="C28" s="52" t="s">
        <v>84</v>
      </c>
      <c r="D28" s="52">
        <v>20.547000000000001</v>
      </c>
    </row>
    <row r="29" spans="2:12">
      <c r="B29" s="55">
        <v>42781</v>
      </c>
      <c r="C29" s="52" t="s">
        <v>88</v>
      </c>
      <c r="D29" s="52">
        <v>20.308</v>
      </c>
    </row>
    <row r="30" spans="2:12">
      <c r="B30" s="55">
        <v>42893</v>
      </c>
      <c r="C30" s="52" t="s">
        <v>189</v>
      </c>
      <c r="D30" s="52">
        <v>18.297000000000001</v>
      </c>
    </row>
    <row r="31" spans="2:12" ht="16.5" customHeight="1" thickBot="1">
      <c r="D31" s="149"/>
    </row>
    <row r="32" spans="2:12">
      <c r="B32" s="285" t="s">
        <v>162</v>
      </c>
      <c r="C32" s="286"/>
      <c r="D32" s="287"/>
    </row>
    <row r="33" spans="2:7" ht="15.75" thickBot="1">
      <c r="B33" s="288"/>
      <c r="C33" s="289"/>
      <c r="D33" s="290"/>
    </row>
    <row r="34" spans="2:7" ht="9" customHeight="1"/>
    <row r="35" spans="2:7">
      <c r="B35" s="291" t="s">
        <v>85</v>
      </c>
      <c r="C35" s="291"/>
      <c r="D35" s="274" t="s">
        <v>197</v>
      </c>
      <c r="E35" s="280"/>
      <c r="G35" s="66"/>
    </row>
    <row r="36" spans="2:7" ht="45">
      <c r="B36" s="275">
        <v>4087669</v>
      </c>
      <c r="C36" s="278" t="s">
        <v>196</v>
      </c>
      <c r="D36" s="279">
        <v>42887</v>
      </c>
      <c r="E36" s="85"/>
    </row>
    <row r="37" spans="2:7" ht="14.45" customHeight="1">
      <c r="B37" s="86">
        <f>+B36</f>
        <v>4087669</v>
      </c>
      <c r="C37" s="87" t="s">
        <v>55</v>
      </c>
      <c r="D37" s="276"/>
      <c r="E37" s="85"/>
    </row>
    <row r="38" spans="2:7" ht="15.75" thickBot="1">
      <c r="B38" s="88">
        <f>+D19-B36</f>
        <v>17810419.379999999</v>
      </c>
      <c r="C38" s="89" t="s">
        <v>163</v>
      </c>
      <c r="D38" s="277"/>
      <c r="E38" s="85"/>
    </row>
    <row r="40" spans="2:7" ht="15.75" thickBot="1"/>
    <row r="41" spans="2:7">
      <c r="B41" s="285" t="s">
        <v>164</v>
      </c>
      <c r="C41" s="286"/>
      <c r="D41" s="287"/>
    </row>
    <row r="42" spans="2:7" ht="15.75" thickBot="1">
      <c r="B42" s="288"/>
      <c r="C42" s="289"/>
      <c r="D42" s="290"/>
    </row>
    <row r="44" spans="2:7" ht="15.75" thickBot="1">
      <c r="B44" s="291" t="s">
        <v>165</v>
      </c>
      <c r="C44" s="291"/>
      <c r="D44" s="274" t="s">
        <v>87</v>
      </c>
      <c r="E44" s="280"/>
    </row>
    <row r="45" spans="2:7">
      <c r="B45" s="71">
        <v>870000</v>
      </c>
      <c r="C45" s="72" t="s">
        <v>166</v>
      </c>
      <c r="D45" s="282">
        <v>42916</v>
      </c>
      <c r="E45" s="82"/>
    </row>
    <row r="46" spans="2:7">
      <c r="B46" s="86">
        <f>+B45</f>
        <v>870000</v>
      </c>
      <c r="C46" s="87" t="s">
        <v>55</v>
      </c>
      <c r="D46" s="83"/>
      <c r="E46" s="85"/>
    </row>
    <row r="47" spans="2:7" ht="15.75" thickBot="1">
      <c r="B47" s="88">
        <f>+B38+B46</f>
        <v>18680419.379999999</v>
      </c>
      <c r="C47" s="89" t="s">
        <v>163</v>
      </c>
      <c r="D47" s="84"/>
      <c r="E47" s="85"/>
    </row>
    <row r="49" spans="2:2">
      <c r="B49" s="281" t="s">
        <v>199</v>
      </c>
    </row>
  </sheetData>
  <customSheetViews>
    <customSheetView guid="{DA992D42-88A1-40DD-B0D5-EBD30D5AEF2B}" scale="120">
      <selection sqref="A1:F51"/>
      <pageMargins left="0.7" right="0.7" top="0.75" bottom="0.75" header="0.3" footer="0.3"/>
      <pageSetup orientation="landscape" r:id="rId1"/>
    </customSheetView>
  </customSheetViews>
  <mergeCells count="8">
    <mergeCell ref="B41:D42"/>
    <mergeCell ref="B44:C44"/>
    <mergeCell ref="B2:D3"/>
    <mergeCell ref="B25:C25"/>
    <mergeCell ref="B32:D33"/>
    <mergeCell ref="B21:D22"/>
    <mergeCell ref="B5:C5"/>
    <mergeCell ref="B35:C35"/>
  </mergeCells>
  <pageMargins left="0.7" right="0.7" top="0.75" bottom="0.75" header="0.3" footer="0.3"/>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L42"/>
  <sheetViews>
    <sheetView tabSelected="1" topLeftCell="B4" zoomScale="90" zoomScaleNormal="90" workbookViewId="0">
      <selection activeCell="H26" sqref="H26"/>
    </sheetView>
  </sheetViews>
  <sheetFormatPr baseColWidth="10" defaultColWidth="11.42578125" defaultRowHeight="15"/>
  <cols>
    <col min="1" max="1" width="13.42578125" style="27" bestFit="1" customWidth="1"/>
    <col min="2" max="2" width="13.42578125" style="27" customWidth="1"/>
    <col min="3" max="3" width="16.28515625" style="27" bestFit="1" customWidth="1"/>
    <col min="4" max="4" width="14.28515625" style="27" bestFit="1" customWidth="1"/>
    <col min="5" max="5" width="35.140625" style="27" bestFit="1" customWidth="1"/>
    <col min="6" max="6" width="26.140625" style="27" customWidth="1"/>
    <col min="7" max="7" width="34.5703125" style="27" customWidth="1"/>
    <col min="8" max="8" width="49" style="27" customWidth="1"/>
    <col min="9" max="9" width="24.5703125" style="27" bestFit="1" customWidth="1"/>
    <col min="10" max="10" width="21.42578125" style="27" customWidth="1"/>
    <col min="11" max="12" width="22.140625" style="27" bestFit="1" customWidth="1"/>
    <col min="13" max="16384" width="11.42578125" style="27"/>
  </cols>
  <sheetData>
    <row r="1" spans="4:11" ht="15.75" thickBot="1"/>
    <row r="2" spans="4:11" ht="15" customHeight="1">
      <c r="D2" s="285" t="s">
        <v>170</v>
      </c>
      <c r="E2" s="286"/>
      <c r="F2" s="286"/>
      <c r="G2" s="286"/>
      <c r="H2" s="286"/>
      <c r="I2" s="287"/>
    </row>
    <row r="3" spans="4:11" ht="15.75" customHeight="1" thickBot="1">
      <c r="D3" s="288"/>
      <c r="E3" s="289"/>
      <c r="F3" s="289"/>
      <c r="G3" s="289"/>
      <c r="H3" s="289"/>
      <c r="I3" s="290"/>
    </row>
    <row r="4" spans="4:11" ht="15.75" thickBot="1"/>
    <row r="5" spans="4:11" ht="19.5" thickBot="1">
      <c r="D5" s="304" t="s">
        <v>168</v>
      </c>
      <c r="E5" s="305"/>
      <c r="F5" s="305"/>
      <c r="G5" s="305"/>
      <c r="H5" s="305"/>
      <c r="I5" s="306"/>
    </row>
    <row r="6" spans="4:11" ht="21.75" thickBot="1">
      <c r="D6" s="307" t="s">
        <v>74</v>
      </c>
      <c r="E6" s="308"/>
      <c r="F6" s="308"/>
      <c r="G6" s="308"/>
      <c r="H6" s="308"/>
      <c r="I6" s="309"/>
    </row>
    <row r="7" spans="4:11">
      <c r="D7" s="117" t="s">
        <v>25</v>
      </c>
      <c r="E7" s="118" t="s">
        <v>20</v>
      </c>
      <c r="F7" s="118" t="s">
        <v>22</v>
      </c>
      <c r="G7" s="118" t="s">
        <v>201</v>
      </c>
      <c r="H7" s="310" t="s">
        <v>38</v>
      </c>
      <c r="I7" s="311"/>
    </row>
    <row r="8" spans="4:11">
      <c r="D8" s="90" t="s">
        <v>27</v>
      </c>
      <c r="E8" s="91" t="s">
        <v>129</v>
      </c>
      <c r="F8" s="91" t="s">
        <v>37</v>
      </c>
      <c r="G8" s="91" t="s">
        <v>28</v>
      </c>
      <c r="H8" s="312">
        <v>4.8000000000000001E-2</v>
      </c>
      <c r="I8" s="313"/>
      <c r="J8" s="93">
        <f>+I8*(H8/360)</f>
        <v>0</v>
      </c>
      <c r="K8" s="93">
        <f>+J8*30</f>
        <v>0</v>
      </c>
    </row>
    <row r="9" spans="4:11">
      <c r="D9" s="90" t="s">
        <v>27</v>
      </c>
      <c r="E9" s="91" t="s">
        <v>29</v>
      </c>
      <c r="F9" s="91" t="s">
        <v>30</v>
      </c>
      <c r="G9" s="91" t="s">
        <v>24</v>
      </c>
      <c r="H9" s="312">
        <v>5.3100000000000001E-2</v>
      </c>
      <c r="I9" s="313"/>
      <c r="J9" s="93">
        <f>+I9*(H9/360)</f>
        <v>0</v>
      </c>
      <c r="K9" s="93">
        <f>+J9*30</f>
        <v>0</v>
      </c>
    </row>
    <row r="10" spans="4:11">
      <c r="D10" s="90" t="str">
        <f>+D30</f>
        <v>AAA</v>
      </c>
      <c r="E10" s="91" t="str">
        <f>+Tesoreria!C15</f>
        <v>J BACOMER S6060</v>
      </c>
      <c r="F10" s="91" t="str">
        <f>+L30</f>
        <v>CADA 28 DIAS</v>
      </c>
      <c r="G10" s="91" t="s">
        <v>131</v>
      </c>
      <c r="H10" s="312">
        <f>+K30</f>
        <v>5.2200000000000003E-2</v>
      </c>
      <c r="I10" s="313"/>
      <c r="J10" s="50"/>
      <c r="K10" s="50"/>
    </row>
    <row r="11" spans="4:11">
      <c r="D11" s="90" t="s">
        <v>27</v>
      </c>
      <c r="E11" s="91" t="str">
        <f>+Tesoreria!C17</f>
        <v>SCOT-TR M1</v>
      </c>
      <c r="F11" s="91" t="s">
        <v>39</v>
      </c>
      <c r="G11" s="91" t="s">
        <v>24</v>
      </c>
      <c r="H11" s="314" t="s">
        <v>23</v>
      </c>
      <c r="I11" s="315"/>
      <c r="J11" s="93"/>
      <c r="K11" s="50"/>
    </row>
    <row r="12" spans="4:11">
      <c r="D12" s="90" t="s">
        <v>26</v>
      </c>
      <c r="E12" s="91" t="str">
        <f>+Tesoreria!C16</f>
        <v>SCOTI10 M1</v>
      </c>
      <c r="F12" s="91" t="s">
        <v>40</v>
      </c>
      <c r="G12" s="91" t="s">
        <v>24</v>
      </c>
      <c r="H12" s="312">
        <v>4.7100000000000003E-2</v>
      </c>
      <c r="I12" s="313"/>
      <c r="J12" s="93"/>
      <c r="K12" s="50"/>
    </row>
    <row r="13" spans="4:11" ht="75" customHeight="1">
      <c r="D13" s="95" t="str">
        <f>+D28</f>
        <v>AAA</v>
      </c>
      <c r="E13" s="96" t="str">
        <f>+Tesoreria!C13</f>
        <v>99 SCOTIAB 17-15</v>
      </c>
      <c r="F13" s="96" t="str">
        <f>+L28</f>
        <v>CADA 28 DIAS</v>
      </c>
      <c r="G13" s="96" t="s">
        <v>131</v>
      </c>
      <c r="H13" s="298" t="s">
        <v>134</v>
      </c>
      <c r="I13" s="299"/>
      <c r="J13" s="93">
        <f>+I12*(H12/360)</f>
        <v>0</v>
      </c>
      <c r="K13" s="93">
        <f>+J13*30</f>
        <v>0</v>
      </c>
    </row>
    <row r="14" spans="4:11" ht="75" customHeight="1">
      <c r="D14" s="95" t="str">
        <f>+D29</f>
        <v>AAA</v>
      </c>
      <c r="E14" s="96" t="str">
        <f>+Tesoreria!C14</f>
        <v>99 SCOTIAB 21-15</v>
      </c>
      <c r="F14" s="96" t="str">
        <f>+L29</f>
        <v>CADA 28 DIAS</v>
      </c>
      <c r="G14" s="96" t="s">
        <v>131</v>
      </c>
      <c r="H14" s="298" t="s">
        <v>134</v>
      </c>
      <c r="I14" s="299"/>
    </row>
    <row r="15" spans="4:11" ht="30">
      <c r="D15" s="95" t="str">
        <f>+D27</f>
        <v>AAA</v>
      </c>
      <c r="E15" s="96" t="str">
        <f>+Tesoreria!C12</f>
        <v>99 SCOTIAB 15-15</v>
      </c>
      <c r="F15" s="96" t="str">
        <f>+L27</f>
        <v>FINAL DEL PLAZO</v>
      </c>
      <c r="G15" s="97" t="s">
        <v>132</v>
      </c>
      <c r="H15" s="298" t="s">
        <v>133</v>
      </c>
      <c r="I15" s="299"/>
    </row>
    <row r="16" spans="4:11" ht="30.75" thickBot="1">
      <c r="D16" s="90" t="s">
        <v>27</v>
      </c>
      <c r="E16" s="91" t="str">
        <f>+Tesoreria!C18</f>
        <v>SCOTILP M1</v>
      </c>
      <c r="F16" s="91" t="s">
        <v>40</v>
      </c>
      <c r="G16" s="98" t="s">
        <v>31</v>
      </c>
      <c r="H16" s="300">
        <v>3.0300000000000001E-2</v>
      </c>
      <c r="I16" s="301"/>
      <c r="J16" s="93">
        <f>+I16*(H16/360)</f>
        <v>0</v>
      </c>
      <c r="K16" s="93">
        <f>+J16*30</f>
        <v>0</v>
      </c>
    </row>
    <row r="17" spans="1:12" ht="21.75" thickBot="1">
      <c r="D17" s="307" t="s">
        <v>66</v>
      </c>
      <c r="E17" s="308"/>
      <c r="F17" s="308"/>
      <c r="G17" s="308"/>
      <c r="H17" s="308"/>
      <c r="I17" s="309"/>
      <c r="J17" s="93"/>
      <c r="K17" s="93"/>
    </row>
    <row r="18" spans="1:12" ht="15.75" thickBot="1">
      <c r="D18" s="99" t="s">
        <v>135</v>
      </c>
      <c r="E18" s="91" t="s">
        <v>130</v>
      </c>
      <c r="F18" s="91" t="s">
        <v>30</v>
      </c>
      <c r="G18" s="100" t="s">
        <v>136</v>
      </c>
      <c r="H18" s="302" t="s">
        <v>169</v>
      </c>
      <c r="I18" s="303"/>
      <c r="J18" s="93"/>
      <c r="K18" s="93"/>
    </row>
    <row r="19" spans="1:12" ht="21.75" thickBot="1">
      <c r="D19" s="307" t="s">
        <v>137</v>
      </c>
      <c r="E19" s="308"/>
      <c r="F19" s="308"/>
      <c r="G19" s="308"/>
      <c r="H19" s="308"/>
      <c r="I19" s="309"/>
      <c r="J19" s="93"/>
      <c r="K19" s="93"/>
    </row>
    <row r="20" spans="1:12" ht="15.75" thickBot="1">
      <c r="D20" s="101" t="s">
        <v>27</v>
      </c>
      <c r="E20" s="102" t="s">
        <v>138</v>
      </c>
      <c r="F20" s="102" t="s">
        <v>30</v>
      </c>
      <c r="G20" s="103" t="s">
        <v>28</v>
      </c>
      <c r="H20" s="302">
        <v>4.4999999999999998E-2</v>
      </c>
      <c r="I20" s="303"/>
    </row>
    <row r="21" spans="1:12">
      <c r="D21" s="119"/>
      <c r="E21" s="9"/>
      <c r="F21" s="9"/>
      <c r="G21" s="119"/>
      <c r="H21" s="120"/>
      <c r="I21" s="120"/>
    </row>
    <row r="22" spans="1:12">
      <c r="D22" s="119"/>
      <c r="E22" s="9"/>
      <c r="F22" s="9"/>
      <c r="G22" s="119"/>
      <c r="H22" s="120"/>
      <c r="I22" s="120"/>
    </row>
    <row r="23" spans="1:12" ht="15.75" thickBot="1"/>
    <row r="24" spans="1:12" ht="19.5" thickBot="1">
      <c r="B24" s="304" t="s">
        <v>32</v>
      </c>
      <c r="C24" s="305"/>
      <c r="D24" s="305"/>
      <c r="E24" s="305"/>
      <c r="F24" s="305"/>
      <c r="G24" s="305"/>
      <c r="H24" s="305"/>
      <c r="I24" s="305"/>
      <c r="J24" s="305"/>
      <c r="K24" s="305"/>
      <c r="L24" s="306"/>
    </row>
    <row r="26" spans="1:12" s="104" customFormat="1">
      <c r="B26" s="105" t="s">
        <v>47</v>
      </c>
      <c r="C26" s="105" t="s">
        <v>41</v>
      </c>
      <c r="D26" s="106" t="s">
        <v>25</v>
      </c>
      <c r="E26" s="106" t="s">
        <v>20</v>
      </c>
      <c r="F26" s="105" t="s">
        <v>35</v>
      </c>
      <c r="G26" s="20" t="s">
        <v>43</v>
      </c>
      <c r="H26" s="20" t="s">
        <v>33</v>
      </c>
      <c r="I26" s="20" t="s">
        <v>34</v>
      </c>
      <c r="J26" s="105" t="s">
        <v>198</v>
      </c>
      <c r="K26" s="20" t="s">
        <v>21</v>
      </c>
      <c r="L26" s="105" t="s">
        <v>36</v>
      </c>
    </row>
    <row r="27" spans="1:12">
      <c r="A27" s="27" t="s">
        <v>46</v>
      </c>
      <c r="B27" s="107">
        <v>42296</v>
      </c>
      <c r="C27" s="107">
        <v>43397</v>
      </c>
      <c r="D27" s="94" t="s">
        <v>27</v>
      </c>
      <c r="E27" s="108" t="s">
        <v>7</v>
      </c>
      <c r="F27" s="91" t="s">
        <v>42</v>
      </c>
      <c r="G27" s="109">
        <v>3000</v>
      </c>
      <c r="H27" s="110">
        <f>+G27*I27</f>
        <v>300000</v>
      </c>
      <c r="I27" s="94">
        <v>100</v>
      </c>
      <c r="J27" s="91">
        <v>104.214963</v>
      </c>
      <c r="K27" s="92">
        <f>25%/3</f>
        <v>8.3333333333333329E-2</v>
      </c>
      <c r="L27" s="91" t="s">
        <v>44</v>
      </c>
    </row>
    <row r="28" spans="1:12">
      <c r="A28" s="27" t="s">
        <v>46</v>
      </c>
      <c r="B28" s="107">
        <v>42321</v>
      </c>
      <c r="C28" s="107">
        <v>43019</v>
      </c>
      <c r="D28" s="94" t="s">
        <v>27</v>
      </c>
      <c r="E28" s="108" t="s">
        <v>8</v>
      </c>
      <c r="F28" s="91" t="s">
        <v>48</v>
      </c>
      <c r="G28" s="109">
        <v>5000</v>
      </c>
      <c r="H28" s="110">
        <f>+G28*I28</f>
        <v>500000</v>
      </c>
      <c r="I28" s="94">
        <v>100</v>
      </c>
      <c r="J28" s="91">
        <v>96.755453000000003</v>
      </c>
      <c r="K28" s="92">
        <v>4.2000000000000003E-2</v>
      </c>
      <c r="L28" s="91" t="s">
        <v>45</v>
      </c>
    </row>
    <row r="29" spans="1:12">
      <c r="A29" s="27" t="s">
        <v>46</v>
      </c>
      <c r="B29" s="107">
        <v>42352</v>
      </c>
      <c r="C29" s="107">
        <v>43385</v>
      </c>
      <c r="D29" s="94" t="s">
        <v>27</v>
      </c>
      <c r="E29" s="108" t="s">
        <v>9</v>
      </c>
      <c r="F29" s="91" t="s">
        <v>48</v>
      </c>
      <c r="G29" s="109">
        <v>5000</v>
      </c>
      <c r="H29" s="110">
        <f>+G29*I29</f>
        <v>500000</v>
      </c>
      <c r="I29" s="94">
        <v>100</v>
      </c>
      <c r="J29" s="91">
        <v>89.603870000000001</v>
      </c>
      <c r="K29" s="92">
        <v>5.04E-2</v>
      </c>
      <c r="L29" s="91" t="s">
        <v>45</v>
      </c>
    </row>
    <row r="30" spans="1:12">
      <c r="A30" s="27" t="s">
        <v>46</v>
      </c>
      <c r="B30" s="107">
        <v>42521</v>
      </c>
      <c r="C30" s="107">
        <v>43417</v>
      </c>
      <c r="D30" s="94" t="s">
        <v>27</v>
      </c>
      <c r="E30" s="108" t="s">
        <v>10</v>
      </c>
      <c r="F30" s="91" t="s">
        <v>48</v>
      </c>
      <c r="G30" s="109">
        <v>20000</v>
      </c>
      <c r="H30" s="110">
        <f>+G30*I30</f>
        <v>2000000</v>
      </c>
      <c r="I30" s="94">
        <v>100</v>
      </c>
      <c r="J30" s="91">
        <v>99.580691999999999</v>
      </c>
      <c r="K30" s="92">
        <v>5.2200000000000003E-2</v>
      </c>
      <c r="L30" s="91" t="s">
        <v>45</v>
      </c>
    </row>
    <row r="32" spans="1:12">
      <c r="G32" s="121">
        <f>SUM(G27:G31)</f>
        <v>33000</v>
      </c>
      <c r="H32" s="112">
        <f>SUM(H27:H31)</f>
        <v>3300000</v>
      </c>
    </row>
    <row r="34" spans="5:9">
      <c r="F34" s="113"/>
    </row>
    <row r="35" spans="5:9">
      <c r="F35" s="113"/>
      <c r="I35" s="114"/>
    </row>
    <row r="36" spans="5:9">
      <c r="F36" s="113"/>
    </row>
    <row r="37" spans="5:9">
      <c r="F37" s="113"/>
    </row>
    <row r="38" spans="5:9">
      <c r="F38" s="113"/>
    </row>
    <row r="39" spans="5:9">
      <c r="F39" s="113"/>
    </row>
    <row r="40" spans="5:9">
      <c r="E40" s="115"/>
      <c r="F40" s="113"/>
      <c r="I40" s="114"/>
    </row>
    <row r="41" spans="5:9">
      <c r="E41" s="115"/>
      <c r="F41" s="113"/>
      <c r="I41" s="114"/>
    </row>
    <row r="42" spans="5:9">
      <c r="E42" s="115"/>
      <c r="F42" s="113"/>
      <c r="I42" s="114"/>
    </row>
  </sheetData>
  <customSheetViews>
    <customSheetView guid="{DA992D42-88A1-40DD-B0D5-EBD30D5AEF2B}" scale="90">
      <selection activeCell="J7" sqref="J7:J8"/>
      <pageMargins left="0.7" right="0.7" top="0.75" bottom="0.75" header="0.3" footer="0.3"/>
    </customSheetView>
  </customSheetViews>
  <mergeCells count="18">
    <mergeCell ref="H14:I14"/>
    <mergeCell ref="H9:I9"/>
    <mergeCell ref="H10:I10"/>
    <mergeCell ref="H11:I11"/>
    <mergeCell ref="H12:I12"/>
    <mergeCell ref="H13:I13"/>
    <mergeCell ref="D2:I3"/>
    <mergeCell ref="H7:I7"/>
    <mergeCell ref="H8:I8"/>
    <mergeCell ref="D5:I5"/>
    <mergeCell ref="D6:I6"/>
    <mergeCell ref="H15:I15"/>
    <mergeCell ref="H16:I16"/>
    <mergeCell ref="H18:I18"/>
    <mergeCell ref="H20:I20"/>
    <mergeCell ref="B24:L24"/>
    <mergeCell ref="D17:I17"/>
    <mergeCell ref="D19:I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O20"/>
  <sheetViews>
    <sheetView zoomScaleNormal="100" workbookViewId="0">
      <selection activeCell="G10" sqref="G10"/>
    </sheetView>
  </sheetViews>
  <sheetFormatPr baseColWidth="10" defaultColWidth="11.42578125" defaultRowHeight="15"/>
  <cols>
    <col min="1" max="1" width="2.42578125" style="27" customWidth="1"/>
    <col min="2" max="2" width="26.7109375" style="27" bestFit="1" customWidth="1"/>
    <col min="3" max="3" width="17.140625" style="27" bestFit="1" customWidth="1"/>
    <col min="4" max="5" width="14.140625" style="27" bestFit="1" customWidth="1"/>
    <col min="6" max="6" width="14.140625" style="27" customWidth="1"/>
    <col min="7" max="7" width="12.42578125" style="27" customWidth="1"/>
    <col min="8" max="8" width="14.140625" style="27" customWidth="1"/>
    <col min="9" max="9" width="12.5703125" style="27" bestFit="1" customWidth="1"/>
    <col min="10" max="10" width="14.85546875" style="27" hidden="1" customWidth="1"/>
    <col min="11" max="11" width="13.7109375" style="27" customWidth="1"/>
    <col min="12" max="13" width="19.5703125" style="27" bestFit="1" customWidth="1"/>
    <col min="14" max="14" width="10.7109375" style="27" customWidth="1"/>
    <col min="15" max="15" width="9.7109375" style="27" customWidth="1"/>
    <col min="16" max="16384" width="11.42578125" style="27"/>
  </cols>
  <sheetData>
    <row r="1" spans="2:15" ht="15.75" thickBot="1"/>
    <row r="2" spans="2:15" ht="15" customHeight="1">
      <c r="B2" s="319" t="s">
        <v>171</v>
      </c>
      <c r="C2" s="320"/>
      <c r="D2" s="320"/>
      <c r="E2" s="320"/>
      <c r="F2" s="320"/>
      <c r="G2" s="320"/>
      <c r="H2" s="320"/>
      <c r="I2" s="320"/>
      <c r="J2" s="320"/>
      <c r="K2" s="320"/>
      <c r="L2" s="320"/>
      <c r="M2" s="320"/>
      <c r="N2" s="321"/>
    </row>
    <row r="3" spans="2:15" ht="15.75" customHeight="1" thickBot="1">
      <c r="B3" s="322"/>
      <c r="C3" s="323"/>
      <c r="D3" s="323"/>
      <c r="E3" s="323"/>
      <c r="F3" s="323"/>
      <c r="G3" s="323"/>
      <c r="H3" s="323"/>
      <c r="I3" s="323"/>
      <c r="J3" s="323"/>
      <c r="K3" s="323"/>
      <c r="L3" s="323"/>
      <c r="M3" s="323"/>
      <c r="N3" s="324"/>
      <c r="O3" s="122"/>
    </row>
    <row r="4" spans="2:15" ht="15.75" customHeight="1">
      <c r="B4" s="116"/>
      <c r="C4" s="116"/>
      <c r="D4" s="116"/>
      <c r="E4" s="116"/>
      <c r="F4" s="116"/>
      <c r="G4" s="116"/>
      <c r="H4" s="116"/>
      <c r="I4" s="116"/>
      <c r="J4" s="116"/>
      <c r="K4" s="116"/>
      <c r="L4" s="116"/>
      <c r="M4" s="116"/>
      <c r="N4" s="116"/>
      <c r="O4" s="122"/>
    </row>
    <row r="5" spans="2:15" ht="18.75" thickBot="1">
      <c r="B5" s="318" t="s">
        <v>56</v>
      </c>
      <c r="C5" s="318"/>
      <c r="D5" s="318"/>
      <c r="E5" s="318"/>
      <c r="F5" s="318"/>
      <c r="G5" s="318"/>
      <c r="H5" s="318"/>
      <c r="I5" s="318"/>
      <c r="J5" s="318"/>
      <c r="K5" s="318"/>
      <c r="L5" s="318"/>
      <c r="M5" s="318"/>
      <c r="N5" s="318"/>
      <c r="O5" s="123"/>
    </row>
    <row r="6" spans="2:15" ht="39.75" customHeight="1">
      <c r="B6" s="124" t="s">
        <v>17</v>
      </c>
      <c r="C6" s="125" t="s">
        <v>156</v>
      </c>
      <c r="D6" s="126" t="s">
        <v>57</v>
      </c>
      <c r="E6" s="127" t="s">
        <v>158</v>
      </c>
      <c r="F6" s="127" t="s">
        <v>159</v>
      </c>
      <c r="G6" s="127" t="s">
        <v>58</v>
      </c>
      <c r="H6" s="127" t="s">
        <v>152</v>
      </c>
      <c r="I6" s="128" t="s">
        <v>153</v>
      </c>
      <c r="J6" s="128" t="s">
        <v>154</v>
      </c>
      <c r="K6" s="127" t="s">
        <v>62</v>
      </c>
      <c r="L6" s="129" t="s">
        <v>157</v>
      </c>
      <c r="M6" s="129" t="s">
        <v>155</v>
      </c>
      <c r="N6" s="130" t="s">
        <v>59</v>
      </c>
      <c r="O6" s="131"/>
    </row>
    <row r="7" spans="2:15">
      <c r="B7" s="132" t="s">
        <v>63</v>
      </c>
      <c r="C7" s="133">
        <v>29</v>
      </c>
      <c r="D7" s="91" t="s">
        <v>60</v>
      </c>
      <c r="E7" s="134">
        <v>17400000</v>
      </c>
      <c r="F7" s="134">
        <v>0</v>
      </c>
      <c r="G7" s="134">
        <v>18960000</v>
      </c>
      <c r="H7" s="134">
        <v>3761415.5</v>
      </c>
      <c r="I7" s="134">
        <v>15027914.439999999</v>
      </c>
      <c r="J7" s="134">
        <f>G7-(I7+H7)</f>
        <v>170670.06000000238</v>
      </c>
      <c r="K7" s="135">
        <v>1.4999999999999999E-2</v>
      </c>
      <c r="L7" s="111">
        <v>0.06</v>
      </c>
      <c r="M7" s="111">
        <v>0.15</v>
      </c>
      <c r="N7" s="136">
        <v>0.05</v>
      </c>
      <c r="O7" s="316"/>
    </row>
    <row r="8" spans="2:15" ht="15.75" thickBot="1">
      <c r="B8" s="137" t="s">
        <v>64</v>
      </c>
      <c r="C8" s="138">
        <v>58</v>
      </c>
      <c r="D8" s="102" t="s">
        <v>60</v>
      </c>
      <c r="E8" s="139">
        <v>29750000</v>
      </c>
      <c r="F8" s="139">
        <v>33874000</v>
      </c>
      <c r="G8" s="139">
        <f>333000+333000+333000+762000+333000+781000+331000+331000+743000+929000+312000+317000+792000+781000+801000+776000+776000+929000+312000+586000+781000+312000+776000+761000+746000+646000+776000+761000+731000+731000+746000+801000+801000+801000+801000+746000+717000+781000+731000+717000+646000+646000+746000+731000+659000+717000+703000+762000+646000+717000+406000+731000+406000+703000+870000+870000+845000+717000</f>
        <v>38775000</v>
      </c>
      <c r="H8" s="139">
        <f>309666.7+304333.36+299166.69+589813.18+295249.98+597913.45+284566.72+279350.05+562739.85+632500+241899.98+245566.56+609593.43+556373.41+565286.62+581226.76+569226.76+584199.94+184166.59+451993.46+530093.28+179033.26+546666.45+534060.11+525453.48+449919.89+537813.26+525399.79+499133.32+494506.82+503573.14+484093.35+484093.35+484093.35+484093.35+489586.49+473840+462580+478753.49+470320+432505+432905+479933.17+473853.48+411686.69+458106.84+445586.66+424666.66+388186.69+418040+232355.62+352993.32+230205.62+337793.41+460033.52+441466.89+422316.43+245120</f>
        <v>25469694.670000006</v>
      </c>
      <c r="I8" s="139">
        <v>9457177.2200000007</v>
      </c>
      <c r="J8" s="139">
        <f>+G8-F8</f>
        <v>4901000</v>
      </c>
      <c r="K8" s="140">
        <v>1.4999999999999999E-2</v>
      </c>
      <c r="L8" s="141">
        <v>7.0000000000000007E-2</v>
      </c>
      <c r="M8" s="141">
        <v>0.18</v>
      </c>
      <c r="N8" s="142">
        <v>0.05</v>
      </c>
      <c r="O8" s="317"/>
    </row>
    <row r="9" spans="2:15">
      <c r="B9" s="143"/>
      <c r="C9" s="143"/>
      <c r="D9" s="9"/>
      <c r="E9" s="9"/>
      <c r="F9" s="9"/>
      <c r="H9" s="144"/>
      <c r="I9" s="9"/>
      <c r="J9" s="9"/>
      <c r="K9" s="9"/>
      <c r="L9" s="9"/>
      <c r="M9" s="9"/>
      <c r="N9" s="145"/>
      <c r="O9" s="146"/>
    </row>
    <row r="10" spans="2:15">
      <c r="B10" s="143"/>
      <c r="C10" s="143"/>
      <c r="D10" s="9"/>
      <c r="E10" s="29"/>
      <c r="F10" s="29"/>
      <c r="G10" s="144"/>
      <c r="H10" s="144"/>
      <c r="I10" s="9"/>
      <c r="J10" s="9"/>
      <c r="K10" s="9"/>
      <c r="L10" s="9"/>
      <c r="M10" s="9"/>
      <c r="N10" s="145"/>
      <c r="O10" s="122"/>
    </row>
    <row r="11" spans="2:15">
      <c r="B11" s="143"/>
      <c r="C11" s="143"/>
      <c r="D11" s="9"/>
      <c r="E11" s="9"/>
      <c r="F11" s="9"/>
      <c r="G11" s="29"/>
      <c r="H11" s="144"/>
      <c r="I11" s="9"/>
      <c r="J11" s="9"/>
      <c r="K11" s="9"/>
      <c r="L11" s="9"/>
      <c r="M11" s="9"/>
      <c r="N11" s="145"/>
      <c r="O11" s="122"/>
    </row>
    <row r="12" spans="2:15">
      <c r="B12" s="143"/>
      <c r="C12" s="143"/>
      <c r="D12" s="9"/>
      <c r="E12" s="9"/>
      <c r="F12" s="9"/>
      <c r="H12" s="9"/>
      <c r="I12" s="9"/>
      <c r="J12" s="9"/>
      <c r="K12" s="9"/>
      <c r="L12" s="9"/>
      <c r="M12" s="9"/>
      <c r="N12" s="145"/>
      <c r="O12" s="122"/>
    </row>
    <row r="13" spans="2:15">
      <c r="B13" s="143"/>
      <c r="C13" s="143"/>
      <c r="D13" s="9"/>
      <c r="E13" s="9"/>
      <c r="F13" s="9"/>
      <c r="H13" s="9"/>
      <c r="I13" s="9"/>
      <c r="J13" s="9"/>
      <c r="K13" s="9"/>
      <c r="L13" s="9"/>
      <c r="M13" s="9"/>
      <c r="N13" s="145"/>
      <c r="O13" s="122"/>
    </row>
    <row r="14" spans="2:15">
      <c r="O14" s="122"/>
    </row>
    <row r="16" spans="2:15">
      <c r="M16" s="49"/>
      <c r="N16" s="49"/>
      <c r="O16" s="147"/>
    </row>
    <row r="17" spans="13:15">
      <c r="M17" s="49"/>
      <c r="N17" s="49"/>
      <c r="O17" s="147"/>
    </row>
    <row r="18" spans="13:15">
      <c r="M18" s="49"/>
      <c r="N18" s="49"/>
      <c r="O18" s="147"/>
    </row>
    <row r="19" spans="13:15">
      <c r="M19" s="9"/>
      <c r="N19" s="9"/>
    </row>
    <row r="20" spans="13:15">
      <c r="M20" s="49"/>
      <c r="N20" s="49"/>
      <c r="O20" s="147"/>
    </row>
  </sheetData>
  <customSheetViews>
    <customSheetView guid="{DA992D42-88A1-40DD-B0D5-EBD30D5AEF2B}" showPageBreaks="1">
      <selection activeCell="H27" sqref="H27"/>
      <pageMargins left="0.7" right="0.7" top="0.75" bottom="0.75" header="0.3" footer="0.3"/>
      <pageSetup paperSize="9" orientation="portrait" r:id="rId1"/>
    </customSheetView>
  </customSheetViews>
  <mergeCells count="3">
    <mergeCell ref="O7:O8"/>
    <mergeCell ref="B5:N5"/>
    <mergeCell ref="B2:N3"/>
  </mergeCell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C1:W25"/>
  <sheetViews>
    <sheetView topLeftCell="B1" zoomScaleNormal="100" workbookViewId="0">
      <selection activeCell="L6" sqref="L6"/>
    </sheetView>
  </sheetViews>
  <sheetFormatPr baseColWidth="10" defaultColWidth="11.42578125" defaultRowHeight="15"/>
  <cols>
    <col min="1" max="2" width="11.42578125" style="27"/>
    <col min="3" max="3" width="22.5703125" style="27" customWidth="1"/>
    <col min="4" max="4" width="22.7109375" style="27" bestFit="1" customWidth="1"/>
    <col min="5" max="5" width="18.140625" style="27" bestFit="1" customWidth="1"/>
    <col min="6" max="6" width="15.85546875" style="27" bestFit="1" customWidth="1"/>
    <col min="7" max="7" width="12.140625" style="27" bestFit="1" customWidth="1"/>
    <col min="8" max="8" width="14.42578125" style="27" customWidth="1"/>
    <col min="9" max="9" width="15.42578125" style="27" customWidth="1"/>
    <col min="10" max="10" width="21.7109375" style="27" customWidth="1"/>
    <col min="11" max="11" width="16" style="27" customWidth="1"/>
    <col min="12" max="12" width="14.140625" style="27" customWidth="1"/>
    <col min="13" max="13" width="14.5703125" style="27" customWidth="1"/>
    <col min="14" max="14" width="16" style="27" bestFit="1" customWidth="1"/>
    <col min="15" max="15" width="11.42578125" style="27"/>
    <col min="16" max="16" width="12.28515625" style="27" bestFit="1" customWidth="1"/>
    <col min="17" max="18" width="15" style="27" bestFit="1" customWidth="1"/>
    <col min="19" max="16384" width="11.42578125" style="27"/>
  </cols>
  <sheetData>
    <row r="1" spans="3:23" ht="15.75" thickBot="1">
      <c r="M1" s="9"/>
      <c r="N1" s="9"/>
      <c r="O1" s="9"/>
    </row>
    <row r="2" spans="3:23" ht="15" customHeight="1">
      <c r="C2" s="326" t="s">
        <v>172</v>
      </c>
      <c r="D2" s="327"/>
      <c r="E2" s="327"/>
      <c r="F2" s="327"/>
      <c r="G2" s="327"/>
      <c r="H2" s="327"/>
      <c r="I2" s="327"/>
      <c r="J2" s="327"/>
      <c r="K2" s="327"/>
      <c r="L2" s="328"/>
      <c r="M2" s="153"/>
      <c r="N2" s="153"/>
      <c r="O2" s="153"/>
      <c r="P2" s="153"/>
      <c r="Q2" s="9"/>
    </row>
    <row r="3" spans="3:23" ht="15.75" customHeight="1" thickBot="1">
      <c r="C3" s="329"/>
      <c r="D3" s="330"/>
      <c r="E3" s="330"/>
      <c r="F3" s="330"/>
      <c r="G3" s="330"/>
      <c r="H3" s="330"/>
      <c r="I3" s="330"/>
      <c r="J3" s="330"/>
      <c r="K3" s="330"/>
      <c r="L3" s="331"/>
      <c r="M3" s="153"/>
      <c r="N3" s="153"/>
      <c r="O3" s="153"/>
      <c r="P3" s="153"/>
      <c r="Q3" s="9"/>
    </row>
    <row r="4" spans="3:23">
      <c r="C4" s="265"/>
      <c r="D4" s="265"/>
      <c r="E4" s="265"/>
      <c r="F4" s="265"/>
      <c r="G4" s="265"/>
      <c r="H4" s="265"/>
      <c r="I4" s="265"/>
      <c r="J4" s="265"/>
      <c r="K4" s="265"/>
      <c r="L4" s="265"/>
      <c r="M4" s="265"/>
      <c r="N4" s="265"/>
      <c r="O4" s="9"/>
      <c r="P4" s="9"/>
    </row>
    <row r="5" spans="3:23" ht="18">
      <c r="C5" s="325" t="s">
        <v>49</v>
      </c>
      <c r="D5" s="318"/>
      <c r="E5" s="318"/>
      <c r="F5" s="318"/>
      <c r="G5" s="318"/>
      <c r="H5" s="318"/>
      <c r="I5" s="318"/>
      <c r="J5" s="318"/>
      <c r="K5" s="318"/>
      <c r="L5" s="318"/>
      <c r="M5" s="158"/>
      <c r="N5" s="158"/>
      <c r="O5" s="9"/>
    </row>
    <row r="6" spans="3:23" ht="45">
      <c r="C6" s="117" t="s">
        <v>89</v>
      </c>
      <c r="D6" s="118" t="s">
        <v>68</v>
      </c>
      <c r="E6" s="118" t="s">
        <v>51</v>
      </c>
      <c r="F6" s="159" t="s">
        <v>174</v>
      </c>
      <c r="G6" s="118" t="s">
        <v>21</v>
      </c>
      <c r="H6" s="159" t="s">
        <v>173</v>
      </c>
      <c r="I6" s="160" t="s">
        <v>50</v>
      </c>
      <c r="J6" s="118" t="s">
        <v>52</v>
      </c>
      <c r="K6" s="161" t="s">
        <v>192</v>
      </c>
      <c r="L6" s="161" t="s">
        <v>195</v>
      </c>
      <c r="P6" s="163"/>
      <c r="Q6" s="163"/>
      <c r="V6" s="27" t="s">
        <v>151</v>
      </c>
    </row>
    <row r="7" spans="3:23" ht="30">
      <c r="C7" s="10" t="s">
        <v>70</v>
      </c>
      <c r="D7" s="332" t="s">
        <v>71</v>
      </c>
      <c r="E7" s="21">
        <v>30000000</v>
      </c>
      <c r="F7" s="154" t="s">
        <v>72</v>
      </c>
      <c r="G7" s="16">
        <v>2.1000000000000001E-2</v>
      </c>
      <c r="H7" s="242">
        <v>8.9950000000000002E-2</v>
      </c>
      <c r="I7" s="19">
        <v>42704</v>
      </c>
      <c r="J7" s="165" t="s">
        <v>73</v>
      </c>
      <c r="K7" s="167">
        <f>'Tabla de amortizacion'!J10</f>
        <v>27857142.840000004</v>
      </c>
      <c r="L7" s="22">
        <f>+'Tabla de amortizacion'!P23+'Tabla de amortizacion'!P24+'Tabla de amortizacion'!P25+'Tabla de amortizacion'!P26+'Tabla de amortizacion'!P27</f>
        <v>1041217.7799999999</v>
      </c>
      <c r="O7" s="50"/>
      <c r="P7" s="164"/>
      <c r="Q7" s="144"/>
      <c r="V7" s="29">
        <f>+'Tabla de amortizacion'!R34</f>
        <v>25357142.820000008</v>
      </c>
    </row>
    <row r="8" spans="3:23">
      <c r="C8" s="10" t="s">
        <v>74</v>
      </c>
      <c r="D8" s="332"/>
      <c r="E8" s="21">
        <v>40000000</v>
      </c>
      <c r="F8" s="154" t="s">
        <v>72</v>
      </c>
      <c r="G8" s="17">
        <v>0.02</v>
      </c>
      <c r="H8" s="242">
        <v>8.8609999999999994E-2</v>
      </c>
      <c r="I8" s="19">
        <v>41534</v>
      </c>
      <c r="J8" s="166" t="s">
        <v>53</v>
      </c>
      <c r="K8" s="168">
        <f>'Tabla de amortizacion'!J9</f>
        <v>26929824.299999963</v>
      </c>
      <c r="L8" s="22">
        <f>+'Tabla de amortizacion'!J64+'Tabla de amortizacion'!J65+'Tabla de amortizacion'!J66+'Tabla de amortizacion'!J67+'Tabla de amortizacion'!J68</f>
        <v>975352.34</v>
      </c>
      <c r="O8" s="50"/>
      <c r="P8" s="164"/>
      <c r="Q8" s="144"/>
      <c r="R8" s="38"/>
      <c r="V8" s="29">
        <f>+'Tabla de amortizacion'!L75</f>
        <v>24473683.899999969</v>
      </c>
    </row>
    <row r="9" spans="3:23" ht="30.75" thickBot="1">
      <c r="C9" s="10" t="s">
        <v>54</v>
      </c>
      <c r="D9" s="51" t="s">
        <v>75</v>
      </c>
      <c r="E9" s="21">
        <v>15752030.68</v>
      </c>
      <c r="F9" s="154" t="s">
        <v>72</v>
      </c>
      <c r="G9" s="18">
        <f>1.6%+0.83%</f>
        <v>2.4300000000000002E-2</v>
      </c>
      <c r="H9" s="242">
        <f>6.86%+G9</f>
        <v>9.290000000000001E-2</v>
      </c>
      <c r="I9" s="19">
        <v>41604</v>
      </c>
      <c r="J9" s="166" t="s">
        <v>53</v>
      </c>
      <c r="K9" s="169">
        <f>'Tabla de amortizacion'!J11</f>
        <v>-3.9999997243285179E-2</v>
      </c>
      <c r="L9" s="22">
        <f>+'Tabla de amortizacion'!V61+'Tabla de amortizacion'!V62+'Tabla de amortizacion'!V63+'Tabla de amortizacion'!V64+'Tabla de amortizacion'!V65</f>
        <v>322183.05</v>
      </c>
      <c r="M9" s="9"/>
      <c r="O9" s="50"/>
      <c r="P9" s="164"/>
      <c r="Q9" s="144"/>
      <c r="R9" s="38"/>
      <c r="V9" s="29">
        <f>+'Tabla de amortizacion'!X72</f>
        <v>0</v>
      </c>
    </row>
    <row r="10" spans="3:23" ht="15.75" thickBot="1">
      <c r="C10" s="11" t="s">
        <v>55</v>
      </c>
      <c r="D10" s="12"/>
      <c r="E10" s="13">
        <f>SUM(E7:E9)</f>
        <v>85752030.680000007</v>
      </c>
      <c r="F10" s="7"/>
      <c r="G10" s="14"/>
      <c r="H10" s="14"/>
      <c r="I10" s="7"/>
      <c r="J10" s="13"/>
      <c r="K10" s="13">
        <f>+K9+K8+K7</f>
        <v>54786967.099999972</v>
      </c>
      <c r="L10" s="15">
        <f>+L7+L9+L8</f>
        <v>2338753.17</v>
      </c>
      <c r="M10" s="9"/>
      <c r="P10" s="164"/>
      <c r="Q10" s="144"/>
      <c r="V10" s="29">
        <f>SUM(V7:V9)</f>
        <v>49830826.719999976</v>
      </c>
    </row>
    <row r="11" spans="3:23">
      <c r="H11" s="264"/>
      <c r="L11" s="9"/>
      <c r="M11" s="9"/>
      <c r="N11" s="37"/>
    </row>
    <row r="12" spans="3:23">
      <c r="C12" s="27" t="s">
        <v>77</v>
      </c>
      <c r="D12" s="152">
        <v>6.5</v>
      </c>
      <c r="P12" s="29"/>
      <c r="Q12" s="29"/>
      <c r="R12" s="29"/>
      <c r="S12" s="29"/>
      <c r="T12" s="29"/>
      <c r="V12" s="27">
        <f>40284-1815-1804</f>
        <v>36665</v>
      </c>
      <c r="W12" s="27">
        <f>213589-1714-1703</f>
        <v>210172</v>
      </c>
    </row>
    <row r="13" spans="3:23">
      <c r="C13" s="27" t="s">
        <v>78</v>
      </c>
      <c r="D13" s="27">
        <v>6.87</v>
      </c>
      <c r="N13" s="37"/>
      <c r="P13" s="29"/>
      <c r="Q13" s="29"/>
      <c r="R13" s="29"/>
      <c r="W13" s="27">
        <f>+W12+V12</f>
        <v>246837</v>
      </c>
    </row>
    <row r="14" spans="3:23">
      <c r="R14" s="29"/>
    </row>
    <row r="15" spans="3:23">
      <c r="Q15" s="29"/>
      <c r="R15" s="38"/>
    </row>
    <row r="16" spans="3:23">
      <c r="R16" s="38"/>
      <c r="W16" s="27">
        <v>134861051</v>
      </c>
    </row>
    <row r="17" spans="17:23">
      <c r="Q17" s="38"/>
      <c r="W17" s="27">
        <v>110256788</v>
      </c>
    </row>
    <row r="18" spans="17:23">
      <c r="W18" s="27">
        <f>+W16-W17</f>
        <v>24604263</v>
      </c>
    </row>
    <row r="19" spans="17:23">
      <c r="Q19" s="38"/>
      <c r="W19" s="27">
        <f>+W18/W17</f>
        <v>0.22315417895177575</v>
      </c>
    </row>
    <row r="20" spans="17:23">
      <c r="Q20" s="38"/>
    </row>
    <row r="21" spans="17:23">
      <c r="W21" s="27">
        <v>198674823</v>
      </c>
    </row>
    <row r="22" spans="17:23">
      <c r="W22" s="27">
        <f>+W21-W16</f>
        <v>63813772</v>
      </c>
    </row>
    <row r="23" spans="17:23">
      <c r="W23" s="40">
        <f>+W22/W16</f>
        <v>0.47318163047683798</v>
      </c>
    </row>
    <row r="25" spans="17:23">
      <c r="W25" s="27">
        <f>49700000+4000000</f>
        <v>53700000</v>
      </c>
    </row>
  </sheetData>
  <customSheetViews>
    <customSheetView guid="{DA992D42-88A1-40DD-B0D5-EBD30D5AEF2B}" scale="80" topLeftCell="A4">
      <selection activeCell="V25" sqref="V25"/>
      <pageMargins left="0.7" right="0.7" top="0.75" bottom="0.75" header="0.3" footer="0.3"/>
      <pageSetup paperSize="9" orientation="portrait" r:id="rId1"/>
    </customSheetView>
  </customSheetViews>
  <mergeCells count="3">
    <mergeCell ref="C5:L5"/>
    <mergeCell ref="C2:L3"/>
    <mergeCell ref="D7:D8"/>
  </mergeCells>
  <pageMargins left="0.7" right="0.7" top="0.75" bottom="0.75" header="0.3" footer="0.3"/>
  <pageSetup paperSize="9"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Y154"/>
  <sheetViews>
    <sheetView topLeftCell="B1" zoomScale="85" zoomScaleNormal="85" workbookViewId="0">
      <selection activeCell="T105" sqref="T105"/>
    </sheetView>
  </sheetViews>
  <sheetFormatPr baseColWidth="10" defaultColWidth="11.42578125" defaultRowHeight="15"/>
  <cols>
    <col min="1" max="2" width="11.42578125" style="27"/>
    <col min="3" max="3" width="15" style="27" customWidth="1"/>
    <col min="4" max="4" width="18.85546875" style="27" bestFit="1" customWidth="1"/>
    <col min="5" max="5" width="14.42578125" style="27" bestFit="1" customWidth="1"/>
    <col min="6" max="6" width="13.85546875" style="27" bestFit="1" customWidth="1"/>
    <col min="7" max="7" width="14.140625" style="27" bestFit="1" customWidth="1"/>
    <col min="8" max="8" width="14.140625" style="27" customWidth="1"/>
    <col min="9" max="9" width="15" style="27" customWidth="1"/>
    <col min="10" max="10" width="18.140625" style="27" bestFit="1" customWidth="1"/>
    <col min="11" max="11" width="16.28515625" style="27" customWidth="1"/>
    <col min="12" max="12" width="14.7109375" style="27" customWidth="1"/>
    <col min="13" max="13" width="14.140625" style="27" bestFit="1" customWidth="1"/>
    <col min="14" max="14" width="20.7109375" style="27" bestFit="1" customWidth="1"/>
    <col min="15" max="15" width="14.140625" style="27" bestFit="1" customWidth="1"/>
    <col min="16" max="18" width="16.28515625" style="27" bestFit="1" customWidth="1"/>
    <col min="19" max="19" width="11.42578125" style="27"/>
    <col min="20" max="20" width="15.140625" style="27" customWidth="1"/>
    <col min="21" max="21" width="13.7109375" style="27" customWidth="1"/>
    <col min="22" max="22" width="15.5703125" style="27" customWidth="1"/>
    <col min="23" max="23" width="15.42578125" style="27" customWidth="1"/>
    <col min="24" max="24" width="14.7109375" style="27" customWidth="1"/>
    <col min="25" max="25" width="15.140625" style="27" customWidth="1"/>
    <col min="26" max="16384" width="11.42578125" style="27"/>
  </cols>
  <sheetData>
    <row r="1" spans="2:25" ht="15.75" thickBot="1"/>
    <row r="2" spans="2:25" ht="15" customHeight="1">
      <c r="C2" s="326" t="s">
        <v>176</v>
      </c>
      <c r="D2" s="327"/>
      <c r="E2" s="327"/>
      <c r="F2" s="327"/>
      <c r="G2" s="327"/>
      <c r="H2" s="327"/>
      <c r="I2" s="327"/>
      <c r="J2" s="327"/>
      <c r="K2" s="327"/>
      <c r="L2" s="327"/>
      <c r="M2" s="327"/>
      <c r="N2" s="328"/>
    </row>
    <row r="3" spans="2:25" ht="15.75" customHeight="1" thickBot="1">
      <c r="C3" s="329"/>
      <c r="D3" s="330"/>
      <c r="E3" s="330"/>
      <c r="F3" s="330"/>
      <c r="G3" s="330"/>
      <c r="H3" s="330"/>
      <c r="I3" s="330"/>
      <c r="J3" s="330"/>
      <c r="K3" s="330"/>
      <c r="L3" s="330"/>
      <c r="M3" s="330"/>
      <c r="N3" s="331"/>
    </row>
    <row r="4" spans="2:25" ht="15.75" customHeight="1">
      <c r="C4" s="116"/>
      <c r="D4" s="116"/>
      <c r="E4" s="116"/>
      <c r="F4" s="116"/>
      <c r="G4" s="116"/>
      <c r="H4" s="116"/>
      <c r="I4" s="116"/>
      <c r="J4" s="116"/>
      <c r="K4" s="116"/>
      <c r="L4" s="116"/>
      <c r="M4" s="116"/>
      <c r="N4" s="116"/>
    </row>
    <row r="5" spans="2:25" ht="18.75" thickBot="1">
      <c r="C5" s="318" t="s">
        <v>49</v>
      </c>
      <c r="D5" s="318"/>
      <c r="E5" s="318"/>
      <c r="F5" s="318"/>
      <c r="G5" s="318"/>
      <c r="H5" s="318"/>
      <c r="I5" s="333"/>
      <c r="J5" s="333"/>
      <c r="K5" s="333"/>
      <c r="L5" s="333"/>
      <c r="M5" s="333"/>
      <c r="N5" s="333"/>
      <c r="Q5" s="9"/>
    </row>
    <row r="6" spans="2:25" ht="30" customHeight="1">
      <c r="C6" s="334" t="s">
        <v>89</v>
      </c>
      <c r="D6" s="336" t="s">
        <v>101</v>
      </c>
      <c r="E6" s="334" t="s">
        <v>177</v>
      </c>
      <c r="F6" s="334" t="s">
        <v>178</v>
      </c>
      <c r="G6" s="334" t="s">
        <v>191</v>
      </c>
      <c r="H6" s="334" t="s">
        <v>50</v>
      </c>
      <c r="I6" s="338" t="s">
        <v>52</v>
      </c>
      <c r="J6" s="340" t="s">
        <v>192</v>
      </c>
      <c r="K6" s="342" t="s">
        <v>193</v>
      </c>
      <c r="L6" s="344" t="s">
        <v>91</v>
      </c>
      <c r="M6" s="345"/>
      <c r="N6" s="348" t="s">
        <v>92</v>
      </c>
      <c r="R6" s="149"/>
    </row>
    <row r="7" spans="2:25" ht="15.75" thickBot="1">
      <c r="C7" s="335"/>
      <c r="D7" s="337"/>
      <c r="E7" s="335"/>
      <c r="F7" s="335"/>
      <c r="G7" s="335"/>
      <c r="H7" s="335"/>
      <c r="I7" s="339"/>
      <c r="J7" s="341"/>
      <c r="K7" s="343"/>
      <c r="L7" s="346"/>
      <c r="M7" s="347"/>
      <c r="N7" s="349"/>
      <c r="R7" s="149"/>
      <c r="W7" s="351"/>
      <c r="X7" s="351"/>
      <c r="Y7" s="351"/>
    </row>
    <row r="8" spans="2:25" ht="30">
      <c r="C8" s="182" t="s">
        <v>93</v>
      </c>
      <c r="D8" s="188">
        <v>42000000</v>
      </c>
      <c r="E8" s="189" t="s">
        <v>76</v>
      </c>
      <c r="F8" s="190">
        <v>2.5000000000000001E-2</v>
      </c>
      <c r="G8" s="191"/>
      <c r="H8" s="192">
        <v>41580</v>
      </c>
      <c r="I8" s="201" t="s">
        <v>53</v>
      </c>
      <c r="J8" s="193">
        <v>0</v>
      </c>
      <c r="K8" s="194">
        <f>+D61</f>
        <v>7100541.7299999995</v>
      </c>
      <c r="L8" s="354">
        <v>0</v>
      </c>
      <c r="M8" s="355"/>
      <c r="N8" s="195">
        <f>+K8+L8</f>
        <v>7100541.7299999995</v>
      </c>
      <c r="P8" s="149"/>
      <c r="Q8" s="149"/>
      <c r="R8" s="35"/>
      <c r="W8" s="220"/>
      <c r="X8" s="148"/>
      <c r="Y8" s="221"/>
    </row>
    <row r="9" spans="2:25" ht="30">
      <c r="C9" s="183" t="s">
        <v>94</v>
      </c>
      <c r="D9" s="196">
        <v>40000000</v>
      </c>
      <c r="E9" s="18">
        <v>7.1584999999999996E-2</v>
      </c>
      <c r="F9" s="17">
        <v>0.02</v>
      </c>
      <c r="G9" s="155">
        <f>+E9+F9</f>
        <v>9.1585E-2</v>
      </c>
      <c r="H9" s="197">
        <v>41534</v>
      </c>
      <c r="I9" s="202" t="s">
        <v>53</v>
      </c>
      <c r="J9" s="198">
        <f>+J17</f>
        <v>26929824.299999963</v>
      </c>
      <c r="K9" s="199">
        <f>+J63+J64+J65+J66+J67+J68</f>
        <v>7479370.9400000004</v>
      </c>
      <c r="L9" s="352">
        <f>+J154</f>
        <v>7990255.3548734514</v>
      </c>
      <c r="M9" s="352"/>
      <c r="N9" s="200">
        <f>+K9+L9</f>
        <v>15469626.294873452</v>
      </c>
      <c r="R9" s="170"/>
      <c r="W9" s="164"/>
      <c r="X9" s="181"/>
      <c r="Y9" s="181"/>
    </row>
    <row r="10" spans="2:25" ht="45">
      <c r="C10" s="183" t="s">
        <v>95</v>
      </c>
      <c r="D10" s="196">
        <v>30000000</v>
      </c>
      <c r="E10" s="18">
        <v>7.1584999999999996E-2</v>
      </c>
      <c r="F10" s="16">
        <v>2.1000000000000001E-2</v>
      </c>
      <c r="G10" s="155">
        <f>+E10+F10</f>
        <v>9.2585000000000001E-2</v>
      </c>
      <c r="H10" s="197">
        <v>42704</v>
      </c>
      <c r="I10" s="203" t="s">
        <v>73</v>
      </c>
      <c r="J10" s="198">
        <f>P17</f>
        <v>27857142.840000004</v>
      </c>
      <c r="K10" s="199">
        <f>+P20+P23+P24+P25+P26+P27</f>
        <v>1233085.2799999998</v>
      </c>
      <c r="L10" s="352">
        <f>+P115</f>
        <v>8489713.7627708409</v>
      </c>
      <c r="M10" s="352"/>
      <c r="N10" s="200">
        <f>+K10+L10</f>
        <v>9722799.0427708402</v>
      </c>
      <c r="R10" s="170"/>
      <c r="W10" s="350"/>
      <c r="X10" s="350"/>
      <c r="Y10" s="350"/>
    </row>
    <row r="11" spans="2:25" ht="30" customHeight="1" thickBot="1">
      <c r="C11" s="255" t="s">
        <v>190</v>
      </c>
      <c r="D11" s="256">
        <v>15752030.68</v>
      </c>
      <c r="E11" s="257">
        <v>7.1584999999999996E-2</v>
      </c>
      <c r="F11" s="257">
        <f>1.6%+0.83%</f>
        <v>2.4300000000000002E-2</v>
      </c>
      <c r="G11" s="258">
        <f>+E11+F11</f>
        <v>9.5884999999999998E-2</v>
      </c>
      <c r="H11" s="259">
        <v>41604</v>
      </c>
      <c r="I11" s="260" t="s">
        <v>53</v>
      </c>
      <c r="J11" s="261">
        <f>V17</f>
        <v>-3.9999997243285179E-2</v>
      </c>
      <c r="K11" s="262">
        <f>+V21+V34+V47+V60+V66+V6</f>
        <v>2855715.0900000003</v>
      </c>
      <c r="L11" s="356">
        <f>+V153</f>
        <v>0</v>
      </c>
      <c r="M11" s="356"/>
      <c r="N11" s="263">
        <f>+K11+L11</f>
        <v>2855715.0900000003</v>
      </c>
      <c r="W11" s="164"/>
      <c r="X11" s="181"/>
      <c r="Y11" s="181"/>
    </row>
    <row r="12" spans="2:25" ht="15.75" thickBot="1">
      <c r="C12" s="151" t="s">
        <v>55</v>
      </c>
      <c r="D12" s="184">
        <f>SUM(D8:D11)</f>
        <v>127752030.68000001</v>
      </c>
      <c r="E12" s="185"/>
      <c r="F12" s="185"/>
      <c r="G12" s="185"/>
      <c r="H12" s="185"/>
      <c r="I12" s="185"/>
      <c r="J12" s="186">
        <f>+J11+J9+J8+J10</f>
        <v>54786967.099999972</v>
      </c>
      <c r="K12" s="186">
        <f>+K11+K9+K10</f>
        <v>11568171.310000001</v>
      </c>
      <c r="L12" s="357">
        <f>+L8+L9+L11+L10</f>
        <v>16479969.117644291</v>
      </c>
      <c r="M12" s="358"/>
      <c r="N12" s="187">
        <f>+N9+N10+N11</f>
        <v>28048140.427644294</v>
      </c>
      <c r="O12" s="38"/>
      <c r="W12" s="9"/>
      <c r="X12" s="9"/>
      <c r="Y12" s="222"/>
    </row>
    <row r="13" spans="2:25">
      <c r="G13" s="171"/>
      <c r="H13" s="172"/>
      <c r="J13" s="38"/>
      <c r="M13" s="38"/>
    </row>
    <row r="15" spans="2:25">
      <c r="B15" s="353" t="s">
        <v>96</v>
      </c>
      <c r="C15" s="353"/>
      <c r="D15" s="353"/>
      <c r="E15" s="353"/>
      <c r="F15" s="353"/>
      <c r="H15" s="353" t="s">
        <v>97</v>
      </c>
      <c r="I15" s="353"/>
      <c r="J15" s="353"/>
      <c r="K15" s="353"/>
      <c r="L15" s="353"/>
      <c r="N15" s="353" t="s">
        <v>179</v>
      </c>
      <c r="O15" s="353"/>
      <c r="P15" s="353"/>
      <c r="Q15" s="353"/>
      <c r="R15" s="353"/>
      <c r="T15" s="353" t="s">
        <v>98</v>
      </c>
      <c r="U15" s="353"/>
      <c r="V15" s="353"/>
      <c r="W15" s="353"/>
      <c r="X15" s="353"/>
    </row>
    <row r="16" spans="2:25">
      <c r="U16" s="28"/>
      <c r="V16" s="39"/>
      <c r="W16" s="39"/>
    </row>
    <row r="17" spans="2:24">
      <c r="B17" s="30" t="s">
        <v>99</v>
      </c>
      <c r="C17" s="30"/>
      <c r="D17" s="31">
        <f>+J8</f>
        <v>0</v>
      </c>
      <c r="F17" s="173" t="s">
        <v>90</v>
      </c>
      <c r="H17" s="30" t="s">
        <v>175</v>
      </c>
      <c r="I17" s="30"/>
      <c r="J17" s="31">
        <f>L68</f>
        <v>26929824.299999963</v>
      </c>
      <c r="N17" s="30" t="s">
        <v>175</v>
      </c>
      <c r="O17" s="30"/>
      <c r="P17" s="31">
        <f>R27</f>
        <v>27857142.840000004</v>
      </c>
      <c r="T17" s="30" t="s">
        <v>175</v>
      </c>
      <c r="U17" s="30"/>
      <c r="V17" s="31">
        <f>X65</f>
        <v>-3.9999997243285179E-2</v>
      </c>
    </row>
    <row r="18" spans="2:24">
      <c r="B18" s="27" t="s">
        <v>21</v>
      </c>
      <c r="C18" s="40">
        <f>+G8</f>
        <v>0</v>
      </c>
      <c r="F18" s="37" t="s">
        <v>90</v>
      </c>
      <c r="H18" s="27" t="s">
        <v>21</v>
      </c>
      <c r="I18" s="40">
        <f>+G9</f>
        <v>9.1585E-2</v>
      </c>
      <c r="N18" s="27" t="s">
        <v>21</v>
      </c>
      <c r="O18" s="40">
        <f>+G10</f>
        <v>9.2585000000000001E-2</v>
      </c>
      <c r="T18" s="27" t="s">
        <v>21</v>
      </c>
      <c r="U18" s="40">
        <f>+G11</f>
        <v>9.5884999999999998E-2</v>
      </c>
      <c r="V18" s="174"/>
      <c r="W18" s="174"/>
    </row>
    <row r="19" spans="2:24" ht="26.25">
      <c r="B19" s="216" t="s">
        <v>100</v>
      </c>
      <c r="C19" s="217" t="s">
        <v>101</v>
      </c>
      <c r="D19" s="216" t="s">
        <v>102</v>
      </c>
      <c r="E19" s="218" t="s">
        <v>103</v>
      </c>
      <c r="F19" s="219" t="s">
        <v>104</v>
      </c>
      <c r="H19" s="216" t="s">
        <v>100</v>
      </c>
      <c r="I19" s="217" t="s">
        <v>101</v>
      </c>
      <c r="J19" s="216" t="s">
        <v>102</v>
      </c>
      <c r="K19" s="218" t="s">
        <v>103</v>
      </c>
      <c r="L19" s="219" t="s">
        <v>104</v>
      </c>
      <c r="N19" s="216" t="s">
        <v>100</v>
      </c>
      <c r="O19" s="217" t="s">
        <v>101</v>
      </c>
      <c r="P19" s="216" t="s">
        <v>102</v>
      </c>
      <c r="Q19" s="218" t="s">
        <v>103</v>
      </c>
      <c r="R19" s="219" t="s">
        <v>104</v>
      </c>
      <c r="T19" s="216" t="s">
        <v>100</v>
      </c>
      <c r="U19" s="217" t="s">
        <v>101</v>
      </c>
      <c r="V19" s="216" t="s">
        <v>102</v>
      </c>
      <c r="W19" s="218" t="s">
        <v>103</v>
      </c>
      <c r="X19" s="219" t="s">
        <v>104</v>
      </c>
    </row>
    <row r="20" spans="2:24" ht="15.75" thickBot="1">
      <c r="B20" s="27" t="s">
        <v>105</v>
      </c>
      <c r="C20" s="41">
        <f>+D8</f>
        <v>42000000</v>
      </c>
      <c r="D20" s="41">
        <v>139395.09</v>
      </c>
      <c r="E20" s="41"/>
      <c r="F20" s="41">
        <f>+C20</f>
        <v>42000000</v>
      </c>
      <c r="H20" s="27" t="s">
        <v>106</v>
      </c>
      <c r="I20" s="41">
        <v>40000000</v>
      </c>
      <c r="J20" s="41">
        <v>50300.83</v>
      </c>
      <c r="K20" s="42">
        <v>0</v>
      </c>
      <c r="L20" s="41">
        <f>+I20-K20</f>
        <v>40000000</v>
      </c>
      <c r="N20" s="27" t="s">
        <v>107</v>
      </c>
      <c r="O20" s="41">
        <f>+D10</f>
        <v>30000000</v>
      </c>
      <c r="P20" s="41">
        <v>191867.5</v>
      </c>
      <c r="Q20" s="41">
        <v>357142.86</v>
      </c>
      <c r="R20" s="41">
        <f>+O20-Q20</f>
        <v>29642857.140000001</v>
      </c>
      <c r="T20" s="27" t="s">
        <v>107</v>
      </c>
      <c r="U20" s="41">
        <v>15752030.68</v>
      </c>
      <c r="V20" s="42">
        <v>71156.3</v>
      </c>
      <c r="W20" s="41">
        <v>131266.92000000001</v>
      </c>
      <c r="X20" s="41">
        <f>+U20-W20</f>
        <v>15620763.76</v>
      </c>
    </row>
    <row r="21" spans="2:24" ht="15.75" thickBot="1">
      <c r="B21" s="27" t="s">
        <v>107</v>
      </c>
      <c r="C21" s="41">
        <f>+F20</f>
        <v>42000000</v>
      </c>
      <c r="D21" s="41">
        <v>213014.67</v>
      </c>
      <c r="E21" s="41"/>
      <c r="F21" s="41">
        <f>+C21-E21</f>
        <v>42000000</v>
      </c>
      <c r="H21" s="27" t="s">
        <v>105</v>
      </c>
      <c r="I21" s="37">
        <f>+L20</f>
        <v>40000000</v>
      </c>
      <c r="J21" s="41">
        <f>77855.21+77720.88+55095.33</f>
        <v>210671.42000000004</v>
      </c>
      <c r="K21" s="42">
        <v>0</v>
      </c>
      <c r="L21" s="41">
        <f>+I21-K21</f>
        <v>40000000</v>
      </c>
      <c r="N21" s="204" t="s">
        <v>108</v>
      </c>
      <c r="O21" s="205"/>
      <c r="P21" s="206">
        <f>+P20</f>
        <v>191867.5</v>
      </c>
      <c r="Q21" s="207">
        <f ca="1">SUM(Q20:Q22)</f>
        <v>0</v>
      </c>
      <c r="R21" s="208"/>
      <c r="T21" s="204" t="s">
        <v>109</v>
      </c>
      <c r="U21" s="205"/>
      <c r="V21" s="206">
        <f>SUM(V20)</f>
        <v>71156.3</v>
      </c>
      <c r="W21" s="206">
        <f>SUM(W20)</f>
        <v>131266.92000000001</v>
      </c>
      <c r="X21" s="208"/>
    </row>
    <row r="22" spans="2:24" ht="15.75" thickBot="1">
      <c r="B22" s="204" t="s">
        <v>109</v>
      </c>
      <c r="C22" s="205"/>
      <c r="D22" s="206">
        <f>SUM(D20:D21)</f>
        <v>352409.76</v>
      </c>
      <c r="E22" s="207">
        <f>SUM(E20:E21)</f>
        <v>0</v>
      </c>
      <c r="F22" s="208"/>
      <c r="H22" s="27" t="s">
        <v>107</v>
      </c>
      <c r="I22" s="37">
        <f>+L21</f>
        <v>40000000</v>
      </c>
      <c r="J22" s="41">
        <f>74631.21+74631.21+45094.78</f>
        <v>194357.2</v>
      </c>
      <c r="K22" s="42">
        <v>0</v>
      </c>
      <c r="L22" s="41">
        <f>+I22-K22</f>
        <v>40000000</v>
      </c>
      <c r="N22" s="209" t="s">
        <v>110</v>
      </c>
      <c r="O22" s="210"/>
      <c r="P22" s="211">
        <f>+P21</f>
        <v>191867.5</v>
      </c>
      <c r="Q22" s="211">
        <f>+Q20</f>
        <v>357142.86</v>
      </c>
      <c r="R22" s="212"/>
      <c r="T22" s="27" t="s">
        <v>111</v>
      </c>
      <c r="U22" s="29">
        <f>+X20</f>
        <v>15620763.76</v>
      </c>
      <c r="V22" s="29">
        <v>67826.179999999993</v>
      </c>
      <c r="W22" s="29">
        <v>131266.92000000001</v>
      </c>
      <c r="X22" s="29">
        <f>+U22-W22</f>
        <v>15489496.84</v>
      </c>
    </row>
    <row r="23" spans="2:24" ht="15.75" thickBot="1">
      <c r="B23" s="27" t="s">
        <v>111</v>
      </c>
      <c r="C23" s="41">
        <f>+F21</f>
        <v>42000000</v>
      </c>
      <c r="D23" s="41">
        <v>227488.33</v>
      </c>
      <c r="E23" s="41"/>
      <c r="F23" s="41">
        <f>+C23-E23</f>
        <v>42000000</v>
      </c>
      <c r="H23" s="204" t="s">
        <v>109</v>
      </c>
      <c r="I23" s="205"/>
      <c r="J23" s="207">
        <f>SUM(J20:J22)</f>
        <v>455329.45000000007</v>
      </c>
      <c r="K23" s="207">
        <f>SUM(K20:K22)</f>
        <v>0</v>
      </c>
      <c r="L23" s="208"/>
      <c r="N23" s="27" t="s">
        <v>111</v>
      </c>
      <c r="O23" s="41">
        <f>+R20</f>
        <v>29642857.140000001</v>
      </c>
      <c r="P23" s="41">
        <v>209505.5</v>
      </c>
      <c r="Q23" s="41">
        <v>357142.86</v>
      </c>
      <c r="R23" s="41">
        <f t="shared" ref="R23:R34" si="0">+O23-Q23</f>
        <v>29285714.280000001</v>
      </c>
      <c r="T23" s="27" t="s">
        <v>112</v>
      </c>
      <c r="U23" s="29">
        <f>+X22</f>
        <v>15489496.84</v>
      </c>
      <c r="V23" s="29">
        <v>86360.6</v>
      </c>
      <c r="W23" s="29">
        <v>131266.92000000001</v>
      </c>
      <c r="X23" s="29">
        <f>+U23-W23</f>
        <v>15358229.92</v>
      </c>
    </row>
    <row r="24" spans="2:24">
      <c r="B24" s="27" t="s">
        <v>112</v>
      </c>
      <c r="C24" s="41">
        <f>+F23</f>
        <v>42000000</v>
      </c>
      <c r="D24" s="41">
        <v>205019.27</v>
      </c>
      <c r="E24" s="41"/>
      <c r="F24" s="41">
        <f>+C24-E24</f>
        <v>42000000</v>
      </c>
      <c r="H24" s="27" t="s">
        <v>111</v>
      </c>
      <c r="I24" s="41">
        <f>+L22</f>
        <v>40000000</v>
      </c>
      <c r="J24" s="41">
        <f>72403.75+72398.75+49889.33</f>
        <v>194691.83000000002</v>
      </c>
      <c r="K24" s="42"/>
      <c r="L24" s="41">
        <f>+I24-K24</f>
        <v>40000000</v>
      </c>
      <c r="N24" s="27" t="s">
        <v>112</v>
      </c>
      <c r="O24" s="41">
        <f t="shared" ref="O24:O34" si="1">+R23</f>
        <v>29285714.280000001</v>
      </c>
      <c r="P24" s="41">
        <v>194741.21</v>
      </c>
      <c r="Q24" s="41">
        <v>357142.86</v>
      </c>
      <c r="R24" s="41">
        <f t="shared" si="0"/>
        <v>28928571.420000002</v>
      </c>
      <c r="T24" s="27" t="s">
        <v>113</v>
      </c>
      <c r="U24" s="29">
        <f t="shared" ref="U24:U33" si="2">+X23</f>
        <v>15358229.92</v>
      </c>
      <c r="V24" s="29">
        <v>74875.92</v>
      </c>
      <c r="W24" s="29">
        <v>131266.92000000001</v>
      </c>
      <c r="X24" s="29">
        <f t="shared" ref="X24:X33" si="3">+U24-W24</f>
        <v>15226963</v>
      </c>
    </row>
    <row r="25" spans="2:24">
      <c r="B25" s="27" t="s">
        <v>113</v>
      </c>
      <c r="C25" s="41">
        <f t="shared" ref="C25:C55" si="4">+F24</f>
        <v>42000000</v>
      </c>
      <c r="D25" s="41">
        <v>227549.82</v>
      </c>
      <c r="E25" s="41"/>
      <c r="F25" s="41">
        <f t="shared" ref="F25:F55" si="5">+C25-E25</f>
        <v>42000000</v>
      </c>
      <c r="H25" s="27" t="s">
        <v>112</v>
      </c>
      <c r="I25" s="41">
        <f>+L24</f>
        <v>40000000</v>
      </c>
      <c r="J25" s="41">
        <f>79747.25+49797.19+79663.38</f>
        <v>209207.82</v>
      </c>
      <c r="K25" s="42"/>
      <c r="L25" s="41">
        <f t="shared" ref="L25:L35" si="6">+I25-K25</f>
        <v>40000000</v>
      </c>
      <c r="N25" s="27" t="s">
        <v>113</v>
      </c>
      <c r="O25" s="41">
        <f t="shared" si="1"/>
        <v>28928571.420000002</v>
      </c>
      <c r="P25" s="41">
        <v>209881.61</v>
      </c>
      <c r="Q25" s="41">
        <v>357142.86</v>
      </c>
      <c r="R25" s="41">
        <f t="shared" si="0"/>
        <v>28571428.560000002</v>
      </c>
      <c r="T25" s="27" t="s">
        <v>114</v>
      </c>
      <c r="U25" s="29">
        <f t="shared" si="2"/>
        <v>15226963</v>
      </c>
      <c r="V25" s="29">
        <v>79291.02</v>
      </c>
      <c r="W25" s="29">
        <v>131266.92000000001</v>
      </c>
      <c r="X25" s="29">
        <f t="shared" si="3"/>
        <v>15095696.08</v>
      </c>
    </row>
    <row r="26" spans="2:24" ht="15.75" thickBot="1">
      <c r="B26" s="27" t="s">
        <v>114</v>
      </c>
      <c r="C26" s="41">
        <f t="shared" si="4"/>
        <v>42000000</v>
      </c>
      <c r="D26" s="41">
        <v>220937.5</v>
      </c>
      <c r="E26" s="41"/>
      <c r="F26" s="41">
        <f t="shared" si="5"/>
        <v>42000000</v>
      </c>
      <c r="H26" s="27" t="s">
        <v>113</v>
      </c>
      <c r="I26" s="41">
        <f t="shared" ref="I26:I35" si="7">+L25</f>
        <v>40000000</v>
      </c>
      <c r="J26" s="41">
        <f>67455.5+46620.72+69931.08</f>
        <v>184007.3</v>
      </c>
      <c r="K26" s="42"/>
      <c r="L26" s="41">
        <f t="shared" si="6"/>
        <v>40000000</v>
      </c>
      <c r="N26" s="9" t="s">
        <v>114</v>
      </c>
      <c r="O26" s="177">
        <f t="shared" si="1"/>
        <v>28571428.560000002</v>
      </c>
      <c r="P26" s="177">
        <v>229703.57</v>
      </c>
      <c r="Q26" s="177">
        <v>357142.86</v>
      </c>
      <c r="R26" s="177">
        <f t="shared" si="0"/>
        <v>28214285.700000003</v>
      </c>
      <c r="T26" s="27" t="s">
        <v>115</v>
      </c>
      <c r="U26" s="29">
        <f t="shared" si="2"/>
        <v>15095696.08</v>
      </c>
      <c r="V26" s="29">
        <v>80960.759999999995</v>
      </c>
      <c r="W26" s="29">
        <v>131266.92000000001</v>
      </c>
      <c r="X26" s="29">
        <f t="shared" si="3"/>
        <v>14964429.16</v>
      </c>
    </row>
    <row r="27" spans="2:24" ht="15.75" thickBot="1">
      <c r="B27" s="27" t="s">
        <v>115</v>
      </c>
      <c r="C27" s="41">
        <f t="shared" si="4"/>
        <v>42000000</v>
      </c>
      <c r="D27" s="41">
        <v>242357.5</v>
      </c>
      <c r="E27" s="41">
        <v>368421.05</v>
      </c>
      <c r="F27" s="41">
        <f t="shared" si="5"/>
        <v>41631578.950000003</v>
      </c>
      <c r="H27" s="27" t="s">
        <v>114</v>
      </c>
      <c r="I27" s="41">
        <f t="shared" si="7"/>
        <v>40000000</v>
      </c>
      <c r="J27" s="41">
        <f>70095.42+67758.83+54852.39</f>
        <v>192706.64</v>
      </c>
      <c r="K27" s="41">
        <v>87719.3</v>
      </c>
      <c r="L27" s="41">
        <f t="shared" si="6"/>
        <v>39912280.700000003</v>
      </c>
      <c r="N27" s="213" t="s">
        <v>115</v>
      </c>
      <c r="O27" s="214">
        <f t="shared" si="1"/>
        <v>28214285.700000003</v>
      </c>
      <c r="P27" s="214">
        <v>197385.89</v>
      </c>
      <c r="Q27" s="214">
        <v>357142.86</v>
      </c>
      <c r="R27" s="215">
        <f t="shared" si="0"/>
        <v>27857142.840000004</v>
      </c>
      <c r="T27" s="27" t="s">
        <v>116</v>
      </c>
      <c r="U27" s="29">
        <f t="shared" si="2"/>
        <v>14964429.16</v>
      </c>
      <c r="V27" s="29">
        <v>79886.14</v>
      </c>
      <c r="W27" s="29">
        <v>131266.92000000001</v>
      </c>
      <c r="X27" s="29">
        <f t="shared" si="3"/>
        <v>14833162.24</v>
      </c>
    </row>
    <row r="28" spans="2:24">
      <c r="B28" s="27" t="s">
        <v>116</v>
      </c>
      <c r="C28" s="41">
        <f t="shared" si="4"/>
        <v>41631578.950000003</v>
      </c>
      <c r="D28" s="41">
        <v>203298.56</v>
      </c>
      <c r="E28" s="41">
        <v>368421.05</v>
      </c>
      <c r="F28" s="41">
        <f t="shared" si="5"/>
        <v>41263157.900000006</v>
      </c>
      <c r="H28" s="27" t="s">
        <v>115</v>
      </c>
      <c r="I28" s="41">
        <f t="shared" si="7"/>
        <v>39912280.700000003</v>
      </c>
      <c r="J28" s="41">
        <f>72572.5+72505+44679.94</f>
        <v>189757.44</v>
      </c>
      <c r="K28" s="41">
        <f>87719.3+131578.95+131578.95</f>
        <v>350877.2</v>
      </c>
      <c r="L28" s="41">
        <f t="shared" si="6"/>
        <v>39561403.5</v>
      </c>
      <c r="N28" s="27" t="s">
        <v>116</v>
      </c>
      <c r="O28" s="41">
        <f t="shared" si="1"/>
        <v>27857142.840000004</v>
      </c>
      <c r="P28" s="41">
        <f t="shared" ref="P28:P34" si="8">+O28*$O$18/360*30</f>
        <v>214929.46415345001</v>
      </c>
      <c r="Q28" s="41">
        <v>357142.86</v>
      </c>
      <c r="R28" s="41">
        <f t="shared" si="0"/>
        <v>27499999.980000004</v>
      </c>
      <c r="T28" s="27" t="s">
        <v>117</v>
      </c>
      <c r="U28" s="29">
        <f t="shared" si="2"/>
        <v>14833162.24</v>
      </c>
      <c r="V28" s="29">
        <v>71025.53</v>
      </c>
      <c r="W28" s="29">
        <v>131266.92000000001</v>
      </c>
      <c r="X28" s="29">
        <f t="shared" si="3"/>
        <v>14701895.32</v>
      </c>
    </row>
    <row r="29" spans="2:24">
      <c r="B29" s="27" t="s">
        <v>117</v>
      </c>
      <c r="C29" s="41">
        <f t="shared" si="4"/>
        <v>41263157.900000006</v>
      </c>
      <c r="D29" s="41">
        <v>206264.21</v>
      </c>
      <c r="E29" s="41">
        <v>368421.05</v>
      </c>
      <c r="F29" s="41">
        <f t="shared" si="5"/>
        <v>40894736.850000009</v>
      </c>
      <c r="H29" s="27" t="s">
        <v>116</v>
      </c>
      <c r="I29" s="41">
        <f t="shared" si="7"/>
        <v>39561403.5</v>
      </c>
      <c r="J29" s="41">
        <f>76673.47+76886.26+45972.18</f>
        <v>199531.90999999997</v>
      </c>
      <c r="K29" s="41">
        <f t="shared" ref="K29:K92" si="9">87719.3+131578.95+131578.95</f>
        <v>350877.2</v>
      </c>
      <c r="L29" s="41">
        <f t="shared" si="6"/>
        <v>39210526.299999997</v>
      </c>
      <c r="N29" s="27" t="s">
        <v>117</v>
      </c>
      <c r="O29" s="41">
        <f t="shared" si="1"/>
        <v>27499999.980000004</v>
      </c>
      <c r="P29" s="41">
        <f t="shared" si="8"/>
        <v>212173.95817902501</v>
      </c>
      <c r="Q29" s="41">
        <v>357142.86</v>
      </c>
      <c r="R29" s="41">
        <f t="shared" si="0"/>
        <v>27142857.120000005</v>
      </c>
      <c r="T29" s="27" t="s">
        <v>118</v>
      </c>
      <c r="U29" s="29">
        <f t="shared" si="2"/>
        <v>14701895.32</v>
      </c>
      <c r="V29" s="29">
        <v>74697.16</v>
      </c>
      <c r="W29" s="29">
        <v>131266.92000000001</v>
      </c>
      <c r="X29" s="29">
        <f t="shared" si="3"/>
        <v>14570628.4</v>
      </c>
    </row>
    <row r="30" spans="2:24">
      <c r="B30" s="27" t="s">
        <v>118</v>
      </c>
      <c r="C30" s="41">
        <f t="shared" si="4"/>
        <v>40894736.850000009</v>
      </c>
      <c r="D30" s="41">
        <v>211107.72</v>
      </c>
      <c r="E30" s="41">
        <v>368421.05</v>
      </c>
      <c r="F30" s="41">
        <f t="shared" si="5"/>
        <v>40526315.800000012</v>
      </c>
      <c r="H30" s="27" t="s">
        <v>117</v>
      </c>
      <c r="I30" s="41">
        <f t="shared" si="7"/>
        <v>39210526.299999997</v>
      </c>
      <c r="J30" s="41">
        <f>63218.47+63061.77+43067.68</f>
        <v>169347.91999999998</v>
      </c>
      <c r="K30" s="41">
        <f t="shared" si="9"/>
        <v>350877.2</v>
      </c>
      <c r="L30" s="41">
        <f t="shared" si="6"/>
        <v>38859649.099999994</v>
      </c>
      <c r="N30" s="27" t="s">
        <v>118</v>
      </c>
      <c r="O30" s="41">
        <f t="shared" si="1"/>
        <v>27142857.120000005</v>
      </c>
      <c r="P30" s="41">
        <f t="shared" si="8"/>
        <v>209418.45220460006</v>
      </c>
      <c r="Q30" s="41">
        <v>357142.86</v>
      </c>
      <c r="R30" s="41">
        <f t="shared" si="0"/>
        <v>26785714.260000005</v>
      </c>
      <c r="T30" s="27" t="s">
        <v>119</v>
      </c>
      <c r="U30" s="29">
        <f t="shared" si="2"/>
        <v>14570628.4</v>
      </c>
      <c r="V30" s="29">
        <v>71446.94</v>
      </c>
      <c r="W30" s="29">
        <v>131266.92000000001</v>
      </c>
      <c r="X30" s="29">
        <f t="shared" si="3"/>
        <v>14439361.48</v>
      </c>
    </row>
    <row r="31" spans="2:24">
      <c r="B31" s="27" t="s">
        <v>119</v>
      </c>
      <c r="C31" s="41">
        <f t="shared" si="4"/>
        <v>40526315.800000012</v>
      </c>
      <c r="D31" s="41">
        <v>188890.91</v>
      </c>
      <c r="E31" s="41">
        <v>368421.05</v>
      </c>
      <c r="F31" s="41">
        <f t="shared" si="5"/>
        <v>40157894.750000015</v>
      </c>
      <c r="H31" s="27" t="s">
        <v>118</v>
      </c>
      <c r="I31" s="41">
        <f t="shared" si="7"/>
        <v>38859649.099999994</v>
      </c>
      <c r="J31" s="41">
        <f>66610.26+66780.05+45434.93</f>
        <v>178825.24</v>
      </c>
      <c r="K31" s="41">
        <f t="shared" si="9"/>
        <v>350877.2</v>
      </c>
      <c r="L31" s="41">
        <f t="shared" si="6"/>
        <v>38508771.899999991</v>
      </c>
      <c r="N31" s="27" t="s">
        <v>119</v>
      </c>
      <c r="O31" s="41">
        <f t="shared" si="1"/>
        <v>26785714.260000005</v>
      </c>
      <c r="P31" s="41">
        <f t="shared" si="8"/>
        <v>206662.94623017506</v>
      </c>
      <c r="Q31" s="41">
        <v>357142.86</v>
      </c>
      <c r="R31" s="41">
        <f t="shared" si="0"/>
        <v>26428571.400000006</v>
      </c>
      <c r="T31" s="27" t="s">
        <v>106</v>
      </c>
      <c r="U31" s="29">
        <f t="shared" si="2"/>
        <v>14439361.48</v>
      </c>
      <c r="V31" s="29">
        <v>65154.8</v>
      </c>
      <c r="W31" s="29">
        <v>131266.92000000001</v>
      </c>
      <c r="X31" s="29">
        <f t="shared" si="3"/>
        <v>14308094.560000001</v>
      </c>
    </row>
    <row r="32" spans="2:24">
      <c r="B32" s="27" t="s">
        <v>106</v>
      </c>
      <c r="C32" s="41">
        <f t="shared" si="4"/>
        <v>40157894.750000015</v>
      </c>
      <c r="D32" s="41">
        <v>200275.9</v>
      </c>
      <c r="E32" s="41">
        <v>368421.05</v>
      </c>
      <c r="F32" s="41">
        <f t="shared" si="5"/>
        <v>39789473.700000018</v>
      </c>
      <c r="H32" s="27" t="s">
        <v>119</v>
      </c>
      <c r="I32" s="41">
        <f t="shared" si="7"/>
        <v>38508771.899999991</v>
      </c>
      <c r="J32" s="41">
        <f>65979.01+66091.18+42218.38</f>
        <v>174288.57</v>
      </c>
      <c r="K32" s="41">
        <f t="shared" si="9"/>
        <v>350877.2</v>
      </c>
      <c r="L32" s="41">
        <f t="shared" si="6"/>
        <v>38157894.699999988</v>
      </c>
      <c r="N32" s="27" t="s">
        <v>106</v>
      </c>
      <c r="O32" s="41">
        <f t="shared" si="1"/>
        <v>26428571.400000006</v>
      </c>
      <c r="P32" s="41">
        <f t="shared" si="8"/>
        <v>203907.44025575006</v>
      </c>
      <c r="Q32" s="41">
        <v>357142.86</v>
      </c>
      <c r="R32" s="41">
        <f t="shared" si="0"/>
        <v>26071428.540000007</v>
      </c>
      <c r="T32" s="27" t="s">
        <v>105</v>
      </c>
      <c r="U32" s="29">
        <f t="shared" si="2"/>
        <v>14308094.560000001</v>
      </c>
      <c r="V32" s="29">
        <v>73958.33</v>
      </c>
      <c r="W32" s="29">
        <v>131266.92000000001</v>
      </c>
      <c r="X32" s="29">
        <f t="shared" si="3"/>
        <v>14176827.640000001</v>
      </c>
    </row>
    <row r="33" spans="2:24" ht="15.75" thickBot="1">
      <c r="B33" s="27" t="s">
        <v>105</v>
      </c>
      <c r="C33" s="41">
        <f t="shared" si="4"/>
        <v>39789473.700000018</v>
      </c>
      <c r="D33" s="41">
        <v>198075.32</v>
      </c>
      <c r="E33" s="41">
        <v>368421.05</v>
      </c>
      <c r="F33" s="41">
        <f t="shared" si="5"/>
        <v>39421052.650000021</v>
      </c>
      <c r="H33" s="27" t="s">
        <v>106</v>
      </c>
      <c r="I33" s="41">
        <f t="shared" si="7"/>
        <v>38157894.699999988</v>
      </c>
      <c r="J33" s="41">
        <f>63258.25+63259.44+41895.79</f>
        <v>168413.48</v>
      </c>
      <c r="K33" s="41">
        <f t="shared" si="9"/>
        <v>350877.2</v>
      </c>
      <c r="L33" s="41">
        <f t="shared" si="6"/>
        <v>37807017.499999985</v>
      </c>
      <c r="N33" s="27" t="s">
        <v>105</v>
      </c>
      <c r="O33" s="41">
        <f t="shared" si="1"/>
        <v>26071428.540000007</v>
      </c>
      <c r="P33" s="41">
        <f t="shared" si="8"/>
        <v>201151.93428132506</v>
      </c>
      <c r="Q33" s="41">
        <v>357142.86</v>
      </c>
      <c r="R33" s="41">
        <f t="shared" si="0"/>
        <v>25714285.680000007</v>
      </c>
      <c r="T33" s="27" t="s">
        <v>107</v>
      </c>
      <c r="U33" s="29">
        <f t="shared" si="2"/>
        <v>14176827.640000001</v>
      </c>
      <c r="V33" s="29">
        <v>67859.73</v>
      </c>
      <c r="W33" s="29">
        <v>131266.92000000001</v>
      </c>
      <c r="X33" s="29">
        <f t="shared" si="3"/>
        <v>14045560.720000001</v>
      </c>
    </row>
    <row r="34" spans="2:24" ht="15.75" thickBot="1">
      <c r="B34" s="27" t="s">
        <v>107</v>
      </c>
      <c r="C34" s="41">
        <f t="shared" si="4"/>
        <v>39421052.650000021</v>
      </c>
      <c r="D34" s="41">
        <v>190420.11</v>
      </c>
      <c r="E34" s="41">
        <v>368421.05</v>
      </c>
      <c r="F34" s="41">
        <f t="shared" si="5"/>
        <v>39052631.600000024</v>
      </c>
      <c r="H34" s="27" t="s">
        <v>105</v>
      </c>
      <c r="I34" s="41">
        <f t="shared" si="7"/>
        <v>37807017.499999985</v>
      </c>
      <c r="J34" s="41">
        <f>71088.63+44083.17+69108.51</f>
        <v>184280.31</v>
      </c>
      <c r="K34" s="41">
        <f t="shared" si="9"/>
        <v>350877.2</v>
      </c>
      <c r="L34" s="41">
        <f t="shared" si="6"/>
        <v>37456140.299999982</v>
      </c>
      <c r="N34" s="27" t="s">
        <v>107</v>
      </c>
      <c r="O34" s="41">
        <f t="shared" si="1"/>
        <v>25714285.680000007</v>
      </c>
      <c r="P34" s="41">
        <f t="shared" si="8"/>
        <v>198396.42830690002</v>
      </c>
      <c r="Q34" s="41">
        <v>357142.86</v>
      </c>
      <c r="R34" s="41">
        <f t="shared" si="0"/>
        <v>25357142.820000008</v>
      </c>
      <c r="T34" s="204" t="s">
        <v>120</v>
      </c>
      <c r="U34" s="205"/>
      <c r="V34" s="206">
        <f>SUM(V22:V33)</f>
        <v>893343.11</v>
      </c>
      <c r="W34" s="206">
        <f>SUM(W22:W33)</f>
        <v>1575203.0399999998</v>
      </c>
      <c r="X34" s="208"/>
    </row>
    <row r="35" spans="2:24" ht="15.75" thickBot="1">
      <c r="B35" s="204" t="s">
        <v>120</v>
      </c>
      <c r="C35" s="205"/>
      <c r="D35" s="207">
        <f>SUM(D23:D34)</f>
        <v>2521685.1499999994</v>
      </c>
      <c r="E35" s="207">
        <f>SUM(E23:E34)</f>
        <v>2947368.3999999994</v>
      </c>
      <c r="F35" s="208"/>
      <c r="H35" s="27" t="s">
        <v>107</v>
      </c>
      <c r="I35" s="41">
        <f t="shared" si="7"/>
        <v>37456140.299999982</v>
      </c>
      <c r="J35" s="41">
        <f>55755.8+39550.79+57779.22</f>
        <v>153085.81</v>
      </c>
      <c r="K35" s="41">
        <f t="shared" si="9"/>
        <v>350877.2</v>
      </c>
      <c r="L35" s="41">
        <f t="shared" si="6"/>
        <v>37105263.099999979</v>
      </c>
      <c r="N35" s="204" t="s">
        <v>121</v>
      </c>
      <c r="O35" s="205"/>
      <c r="P35" s="206">
        <f>SUM(P28:P34)</f>
        <v>1446640.6236112253</v>
      </c>
      <c r="Q35" s="207">
        <f>SUM(Q28:Q34)</f>
        <v>2500000.0199999996</v>
      </c>
      <c r="R35" s="208"/>
      <c r="T35" s="27" t="s">
        <v>111</v>
      </c>
      <c r="U35" s="29">
        <f>+X33</f>
        <v>14045560.720000001</v>
      </c>
      <c r="V35" s="29">
        <v>69176.66</v>
      </c>
      <c r="W35" s="29">
        <v>131266.92000000001</v>
      </c>
      <c r="X35" s="29">
        <f>+U35-W35</f>
        <v>13914293.800000001</v>
      </c>
    </row>
    <row r="36" spans="2:24" ht="15.75" thickBot="1">
      <c r="B36" s="27" t="s">
        <v>111</v>
      </c>
      <c r="C36" s="41">
        <f>+F34</f>
        <v>39052631.600000024</v>
      </c>
      <c r="D36" s="41">
        <v>214327.35</v>
      </c>
      <c r="E36" s="41">
        <v>368421.05</v>
      </c>
      <c r="F36" s="41">
        <f t="shared" si="5"/>
        <v>38684210.550000027</v>
      </c>
      <c r="H36" s="204" t="s">
        <v>120</v>
      </c>
      <c r="I36" s="205"/>
      <c r="J36" s="206">
        <f>SUM(J24:J35)</f>
        <v>2198144.27</v>
      </c>
      <c r="K36" s="207">
        <f>SUM(K24:K35)</f>
        <v>2894736.9000000004</v>
      </c>
      <c r="L36" s="208"/>
      <c r="N36" s="27" t="s">
        <v>111</v>
      </c>
      <c r="O36" s="41">
        <f>+R34</f>
        <v>25357142.820000008</v>
      </c>
      <c r="P36" s="41">
        <f>+O36*$O$18/360*30</f>
        <v>195640.92233247508</v>
      </c>
      <c r="Q36" s="41">
        <v>357142.86</v>
      </c>
      <c r="R36" s="41">
        <f>+O36-Q36</f>
        <v>24999999.960000008</v>
      </c>
      <c r="T36" s="27" t="s">
        <v>112</v>
      </c>
      <c r="U36" s="29">
        <f>+X35</f>
        <v>13914293.800000001</v>
      </c>
      <c r="V36" s="29">
        <v>67538.31</v>
      </c>
      <c r="W36" s="29">
        <v>131266.92000000001</v>
      </c>
      <c r="X36" s="29">
        <f>+U36-W36</f>
        <v>13783026.880000001</v>
      </c>
    </row>
    <row r="37" spans="2:24">
      <c r="B37" s="27" t="s">
        <v>112</v>
      </c>
      <c r="C37" s="41">
        <f t="shared" si="4"/>
        <v>38684210.550000027</v>
      </c>
      <c r="D37" s="41">
        <v>168131.25</v>
      </c>
      <c r="E37" s="41">
        <v>368421.05</v>
      </c>
      <c r="F37" s="41">
        <f t="shared" si="5"/>
        <v>38315789.50000003</v>
      </c>
      <c r="H37" s="27" t="s">
        <v>111</v>
      </c>
      <c r="I37" s="41">
        <f>+L35</f>
        <v>37105263.099999979</v>
      </c>
      <c r="J37" s="41">
        <f>63627.82+44746.96+63627.82</f>
        <v>172002.6</v>
      </c>
      <c r="K37" s="41">
        <f t="shared" si="9"/>
        <v>350877.2</v>
      </c>
      <c r="L37" s="41">
        <f>+I37-K37</f>
        <v>36754385.899999976</v>
      </c>
      <c r="N37" s="27" t="s">
        <v>112</v>
      </c>
      <c r="O37" s="41">
        <f>+R36</f>
        <v>24999999.960000008</v>
      </c>
      <c r="P37" s="41">
        <f t="shared" ref="P37:P47" si="10">+O37*$O$18/360*30</f>
        <v>192885.41635805008</v>
      </c>
      <c r="Q37" s="41">
        <v>357142.86</v>
      </c>
      <c r="R37" s="41">
        <f t="shared" ref="R37:R47" si="11">+O37-Q37</f>
        <v>24642857.100000009</v>
      </c>
      <c r="T37" s="27" t="s">
        <v>113</v>
      </c>
      <c r="U37" s="29">
        <f t="shared" ref="U37:U46" si="12">+X36</f>
        <v>13783026.880000001</v>
      </c>
      <c r="V37" s="29">
        <v>62259.94</v>
      </c>
      <c r="W37" s="29">
        <v>131266.92000000001</v>
      </c>
      <c r="X37" s="29">
        <f t="shared" ref="X37:X46" si="13">+U37-W37</f>
        <v>13651759.960000001</v>
      </c>
    </row>
    <row r="38" spans="2:24">
      <c r="B38" s="27" t="s">
        <v>113</v>
      </c>
      <c r="C38" s="41">
        <f t="shared" si="4"/>
        <v>38315789.50000003</v>
      </c>
      <c r="D38" s="41">
        <v>178979.76</v>
      </c>
      <c r="E38" s="41">
        <v>368421.05</v>
      </c>
      <c r="F38" s="41">
        <f t="shared" si="5"/>
        <v>37947368.450000033</v>
      </c>
      <c r="H38" s="27" t="s">
        <v>112</v>
      </c>
      <c r="I38" s="41">
        <f>+L37</f>
        <v>36754385.899999976</v>
      </c>
      <c r="J38" s="41">
        <f>65060.7+38923.6+65130.08</f>
        <v>169114.38</v>
      </c>
      <c r="K38" s="41">
        <f t="shared" si="9"/>
        <v>350877.2</v>
      </c>
      <c r="L38" s="41">
        <f t="shared" ref="L38:L48" si="14">+I38-K38</f>
        <v>36403508.699999973</v>
      </c>
      <c r="N38" s="27" t="s">
        <v>113</v>
      </c>
      <c r="O38" s="41">
        <f t="shared" ref="O38:O47" si="15">+R37</f>
        <v>24642857.100000009</v>
      </c>
      <c r="P38" s="41">
        <f t="shared" si="10"/>
        <v>190129.91038362507</v>
      </c>
      <c r="Q38" s="41">
        <v>357142.86</v>
      </c>
      <c r="R38" s="41">
        <f t="shared" si="11"/>
        <v>24285714.24000001</v>
      </c>
      <c r="T38" s="27" t="s">
        <v>114</v>
      </c>
      <c r="U38" s="29">
        <f t="shared" si="12"/>
        <v>13651759.960000001</v>
      </c>
      <c r="V38" s="29">
        <v>63256.9</v>
      </c>
      <c r="W38" s="29">
        <v>131266.92000000001</v>
      </c>
      <c r="X38" s="29">
        <f t="shared" si="13"/>
        <v>13520493.040000001</v>
      </c>
    </row>
    <row r="39" spans="2:24">
      <c r="B39" s="27" t="s">
        <v>114</v>
      </c>
      <c r="C39" s="41">
        <f t="shared" si="4"/>
        <v>37947368.450000033</v>
      </c>
      <c r="D39" s="41">
        <v>183269.98</v>
      </c>
      <c r="E39" s="41">
        <v>368421.05</v>
      </c>
      <c r="F39" s="41">
        <f t="shared" si="5"/>
        <v>37578947.400000036</v>
      </c>
      <c r="H39" s="27" t="s">
        <v>113</v>
      </c>
      <c r="I39" s="41">
        <f t="shared" ref="I39:I48" si="16">+L38</f>
        <v>36403508.699999973</v>
      </c>
      <c r="J39" s="41">
        <f>58383.19+37229.18+56316.76</f>
        <v>151929.13</v>
      </c>
      <c r="K39" s="41">
        <f t="shared" si="9"/>
        <v>350877.2</v>
      </c>
      <c r="L39" s="41">
        <f t="shared" si="14"/>
        <v>36052631.49999997</v>
      </c>
      <c r="N39" s="27" t="s">
        <v>114</v>
      </c>
      <c r="O39" s="41">
        <f t="shared" si="15"/>
        <v>24285714.24000001</v>
      </c>
      <c r="P39" s="41">
        <f t="shared" si="10"/>
        <v>187374.40440920007</v>
      </c>
      <c r="Q39" s="41">
        <v>357142.86</v>
      </c>
      <c r="R39" s="41">
        <f t="shared" si="11"/>
        <v>23928571.38000001</v>
      </c>
      <c r="T39" s="27" t="s">
        <v>115</v>
      </c>
      <c r="U39" s="29">
        <f t="shared" si="12"/>
        <v>13520493.040000001</v>
      </c>
      <c r="V39" s="29">
        <v>68433.600000000006</v>
      </c>
      <c r="W39" s="29">
        <v>131266.92000000001</v>
      </c>
      <c r="X39" s="29">
        <f t="shared" si="13"/>
        <v>13389226.120000001</v>
      </c>
    </row>
    <row r="40" spans="2:24">
      <c r="B40" s="27" t="s">
        <v>115</v>
      </c>
      <c r="C40" s="41">
        <f t="shared" si="4"/>
        <v>37578947.400000036</v>
      </c>
      <c r="D40" s="41">
        <v>193656.85</v>
      </c>
      <c r="E40" s="41">
        <v>368421.05</v>
      </c>
      <c r="F40" s="41">
        <f t="shared" si="5"/>
        <v>37210526.350000039</v>
      </c>
      <c r="H40" s="27" t="s">
        <v>114</v>
      </c>
      <c r="I40" s="41">
        <f t="shared" si="16"/>
        <v>36052631.49999997</v>
      </c>
      <c r="J40" s="41">
        <f>57987.76+40923.4+59902.63</f>
        <v>158813.79</v>
      </c>
      <c r="K40" s="41">
        <f t="shared" si="9"/>
        <v>350877.2</v>
      </c>
      <c r="L40" s="41">
        <f t="shared" si="14"/>
        <v>35701754.299999967</v>
      </c>
      <c r="N40" s="27" t="s">
        <v>115</v>
      </c>
      <c r="O40" s="41">
        <f t="shared" si="15"/>
        <v>23928571.38000001</v>
      </c>
      <c r="P40" s="41">
        <f t="shared" si="10"/>
        <v>184618.89843477507</v>
      </c>
      <c r="Q40" s="41">
        <v>357142.86</v>
      </c>
      <c r="R40" s="41">
        <f t="shared" si="11"/>
        <v>23571428.520000011</v>
      </c>
      <c r="T40" s="27" t="s">
        <v>116</v>
      </c>
      <c r="U40" s="29">
        <f t="shared" si="12"/>
        <v>13389226.120000001</v>
      </c>
      <c r="V40" s="29">
        <v>65668.53</v>
      </c>
      <c r="W40" s="29">
        <v>131266.92000000001</v>
      </c>
      <c r="X40" s="29">
        <f t="shared" si="13"/>
        <v>13257959.200000001</v>
      </c>
    </row>
    <row r="41" spans="2:24">
      <c r="B41" s="27" t="s">
        <v>116</v>
      </c>
      <c r="C41" s="41">
        <f t="shared" si="4"/>
        <v>37210526.350000039</v>
      </c>
      <c r="D41" s="41">
        <v>173855.85</v>
      </c>
      <c r="E41" s="41">
        <v>368421.05</v>
      </c>
      <c r="F41" s="41">
        <f t="shared" si="5"/>
        <v>36842105.300000042</v>
      </c>
      <c r="H41" s="27" t="s">
        <v>115</v>
      </c>
      <c r="I41" s="41">
        <f t="shared" si="16"/>
        <v>35701754.299999967</v>
      </c>
      <c r="J41" s="41">
        <f>59279.67+40322.31+59167.83</f>
        <v>158769.81</v>
      </c>
      <c r="K41" s="41">
        <f t="shared" si="9"/>
        <v>350877.2</v>
      </c>
      <c r="L41" s="41">
        <f t="shared" si="14"/>
        <v>35350877.099999964</v>
      </c>
      <c r="N41" s="27" t="s">
        <v>116</v>
      </c>
      <c r="O41" s="41">
        <f t="shared" si="15"/>
        <v>23571428.520000011</v>
      </c>
      <c r="P41" s="41">
        <f t="shared" si="10"/>
        <v>181863.39246035012</v>
      </c>
      <c r="Q41" s="41">
        <v>357142.86</v>
      </c>
      <c r="R41" s="41">
        <f t="shared" si="11"/>
        <v>23214285.660000011</v>
      </c>
      <c r="T41" s="27" t="s">
        <v>117</v>
      </c>
      <c r="U41" s="29">
        <f t="shared" si="12"/>
        <v>13257959.200000001</v>
      </c>
      <c r="V41" s="29">
        <v>60556.800000000003</v>
      </c>
      <c r="W41" s="29">
        <v>131266.92000000001</v>
      </c>
      <c r="X41" s="29">
        <f t="shared" si="13"/>
        <v>13126692.280000001</v>
      </c>
    </row>
    <row r="42" spans="2:24">
      <c r="B42" s="27" t="s">
        <v>117</v>
      </c>
      <c r="C42" s="41">
        <f t="shared" si="4"/>
        <v>36842105.300000042</v>
      </c>
      <c r="D42" s="41">
        <v>184085.16</v>
      </c>
      <c r="E42" s="41">
        <v>368421.05</v>
      </c>
      <c r="F42" s="41">
        <f t="shared" si="5"/>
        <v>36473684.250000045</v>
      </c>
      <c r="H42" s="27" t="s">
        <v>116</v>
      </c>
      <c r="I42" s="41">
        <f t="shared" si="16"/>
        <v>35350877.099999964</v>
      </c>
      <c r="J42" s="41">
        <f>60655.11+38697.37+60655.11</f>
        <v>160007.59000000003</v>
      </c>
      <c r="K42" s="41">
        <f t="shared" si="9"/>
        <v>350877.2</v>
      </c>
      <c r="L42" s="41">
        <f t="shared" si="14"/>
        <v>34999999.899999961</v>
      </c>
      <c r="N42" s="27" t="s">
        <v>117</v>
      </c>
      <c r="O42" s="41">
        <f t="shared" si="15"/>
        <v>23214285.660000011</v>
      </c>
      <c r="P42" s="41">
        <f t="shared" si="10"/>
        <v>179107.88648592509</v>
      </c>
      <c r="Q42" s="41">
        <v>357142.86</v>
      </c>
      <c r="R42" s="41">
        <f t="shared" si="11"/>
        <v>22857142.800000012</v>
      </c>
      <c r="T42" s="27" t="s">
        <v>118</v>
      </c>
      <c r="U42" s="29">
        <f t="shared" si="12"/>
        <v>13126692.280000001</v>
      </c>
      <c r="V42" s="29">
        <v>68294.459999999992</v>
      </c>
      <c r="W42" s="29">
        <v>131266.92000000001</v>
      </c>
      <c r="X42" s="29">
        <f t="shared" si="13"/>
        <v>12995425.360000001</v>
      </c>
    </row>
    <row r="43" spans="2:24">
      <c r="B43" s="27" t="s">
        <v>118</v>
      </c>
      <c r="C43" s="41">
        <f t="shared" si="4"/>
        <v>36473684.250000045</v>
      </c>
      <c r="D43" s="41">
        <v>182517.56</v>
      </c>
      <c r="E43" s="41">
        <v>368421.05</v>
      </c>
      <c r="F43" s="41">
        <f t="shared" si="5"/>
        <v>36105263.200000048</v>
      </c>
      <c r="H43" s="27" t="s">
        <v>117</v>
      </c>
      <c r="I43" s="41">
        <f t="shared" si="16"/>
        <v>34999999.899999961</v>
      </c>
      <c r="J43" s="41">
        <f>58144.74+38415.33+58232.46</f>
        <v>154792.53</v>
      </c>
      <c r="K43" s="41">
        <f t="shared" si="9"/>
        <v>350877.2</v>
      </c>
      <c r="L43" s="41">
        <f t="shared" si="14"/>
        <v>34649122.699999958</v>
      </c>
      <c r="N43" s="27" t="s">
        <v>118</v>
      </c>
      <c r="O43" s="41">
        <f t="shared" si="15"/>
        <v>22857142.800000012</v>
      </c>
      <c r="P43" s="41">
        <f t="shared" si="10"/>
        <v>176352.38051150009</v>
      </c>
      <c r="Q43" s="41">
        <v>357142.86</v>
      </c>
      <c r="R43" s="41">
        <f t="shared" si="11"/>
        <v>22499999.940000013</v>
      </c>
      <c r="T43" s="27" t="s">
        <v>119</v>
      </c>
      <c r="U43" s="29">
        <f t="shared" si="12"/>
        <v>12995425.360000001</v>
      </c>
      <c r="V43" s="29">
        <v>62406.879999999997</v>
      </c>
      <c r="W43" s="29">
        <v>131266.92000000001</v>
      </c>
      <c r="X43" s="29">
        <f t="shared" si="13"/>
        <v>12864158.440000001</v>
      </c>
    </row>
    <row r="44" spans="2:24">
      <c r="B44" s="27" t="s">
        <v>119</v>
      </c>
      <c r="C44" s="41">
        <f t="shared" si="4"/>
        <v>36105263.200000048</v>
      </c>
      <c r="D44" s="41">
        <v>175411.4</v>
      </c>
      <c r="E44" s="41">
        <v>368421.05</v>
      </c>
      <c r="F44" s="41">
        <f t="shared" si="5"/>
        <v>35736842.150000051</v>
      </c>
      <c r="H44" s="27" t="s">
        <v>118</v>
      </c>
      <c r="I44" s="41">
        <f t="shared" si="16"/>
        <v>34649122.699999958</v>
      </c>
      <c r="J44" s="41">
        <f>63379.32+39254.16+63200.21</f>
        <v>165833.69</v>
      </c>
      <c r="K44" s="41">
        <f t="shared" si="9"/>
        <v>350877.2</v>
      </c>
      <c r="L44" s="41">
        <f t="shared" si="14"/>
        <v>34298245.499999955</v>
      </c>
      <c r="N44" s="27" t="s">
        <v>119</v>
      </c>
      <c r="O44" s="41">
        <f t="shared" si="15"/>
        <v>22499999.940000013</v>
      </c>
      <c r="P44" s="41">
        <f t="shared" si="10"/>
        <v>173596.87453707511</v>
      </c>
      <c r="Q44" s="41">
        <v>357142.86</v>
      </c>
      <c r="R44" s="41">
        <f t="shared" si="11"/>
        <v>22142857.080000013</v>
      </c>
      <c r="T44" s="27" t="s">
        <v>106</v>
      </c>
      <c r="U44" s="29">
        <f t="shared" si="12"/>
        <v>12864158.440000001</v>
      </c>
      <c r="V44" s="29">
        <v>63721.23</v>
      </c>
      <c r="W44" s="29">
        <v>131266.92000000001</v>
      </c>
      <c r="X44" s="29">
        <f t="shared" si="13"/>
        <v>12732891.520000001</v>
      </c>
    </row>
    <row r="45" spans="2:24">
      <c r="B45" s="27" t="s">
        <v>106</v>
      </c>
      <c r="C45" s="41">
        <f t="shared" si="4"/>
        <v>35736842.150000051</v>
      </c>
      <c r="D45" s="37">
        <v>173472.59</v>
      </c>
      <c r="E45" s="41">
        <v>368421.05</v>
      </c>
      <c r="F45" s="41">
        <f t="shared" si="5"/>
        <v>35368421.100000054</v>
      </c>
      <c r="H45" s="27" t="s">
        <v>119</v>
      </c>
      <c r="I45" s="41">
        <f t="shared" si="16"/>
        <v>34298245.499999955</v>
      </c>
      <c r="J45" s="37">
        <f>55160.35+38908.56+55195.67</f>
        <v>149264.58000000002</v>
      </c>
      <c r="K45" s="41">
        <f t="shared" si="9"/>
        <v>350877.2</v>
      </c>
      <c r="L45" s="41">
        <f t="shared" si="14"/>
        <v>33947368.299999952</v>
      </c>
      <c r="N45" s="27" t="s">
        <v>106</v>
      </c>
      <c r="O45" s="41">
        <f t="shared" si="15"/>
        <v>22142857.080000013</v>
      </c>
      <c r="P45" s="41">
        <f t="shared" si="10"/>
        <v>170841.36856265011</v>
      </c>
      <c r="Q45" s="41">
        <v>357142.86</v>
      </c>
      <c r="R45" s="41">
        <f t="shared" si="11"/>
        <v>21785714.220000014</v>
      </c>
      <c r="T45" s="27" t="s">
        <v>105</v>
      </c>
      <c r="U45" s="29">
        <f t="shared" si="12"/>
        <v>12732891.520000001</v>
      </c>
      <c r="V45" s="29">
        <v>61977.78</v>
      </c>
      <c r="W45" s="29">
        <v>131266.92000000001</v>
      </c>
      <c r="X45" s="29">
        <f t="shared" si="13"/>
        <v>12601624.600000001</v>
      </c>
    </row>
    <row r="46" spans="2:24" ht="15.75" thickBot="1">
      <c r="B46" s="27" t="s">
        <v>105</v>
      </c>
      <c r="C46" s="41">
        <f t="shared" si="4"/>
        <v>35368421.100000054</v>
      </c>
      <c r="D46" s="41">
        <v>176645.62</v>
      </c>
      <c r="E46" s="41">
        <v>368421.05</v>
      </c>
      <c r="F46" s="41">
        <f t="shared" si="5"/>
        <v>35000000.050000057</v>
      </c>
      <c r="H46" s="27" t="s">
        <v>106</v>
      </c>
      <c r="I46" s="41">
        <f t="shared" si="16"/>
        <v>33947368.299999952</v>
      </c>
      <c r="J46" s="41">
        <f>56840.72+40022.83+56788.61</f>
        <v>153652.16</v>
      </c>
      <c r="K46" s="41">
        <f t="shared" si="9"/>
        <v>350877.2</v>
      </c>
      <c r="L46" s="41">
        <f t="shared" si="14"/>
        <v>33596491.099999949</v>
      </c>
      <c r="N46" s="27" t="s">
        <v>105</v>
      </c>
      <c r="O46" s="41">
        <f t="shared" si="15"/>
        <v>21785714.220000014</v>
      </c>
      <c r="P46" s="41">
        <f t="shared" si="10"/>
        <v>168085.86258822511</v>
      </c>
      <c r="Q46" s="41">
        <v>357142.86</v>
      </c>
      <c r="R46" s="41">
        <f t="shared" si="11"/>
        <v>21428571.360000014</v>
      </c>
      <c r="T46" s="27" t="s">
        <v>107</v>
      </c>
      <c r="U46" s="29">
        <f t="shared" si="12"/>
        <v>12601624.600000001</v>
      </c>
      <c r="V46" s="29">
        <v>57079.01</v>
      </c>
      <c r="W46" s="29">
        <v>131266.92000000001</v>
      </c>
      <c r="X46" s="29">
        <f t="shared" si="13"/>
        <v>12470357.680000002</v>
      </c>
    </row>
    <row r="47" spans="2:24" ht="15.75" thickBot="1">
      <c r="B47" s="27" t="s">
        <v>107</v>
      </c>
      <c r="C47" s="41">
        <f t="shared" si="4"/>
        <v>35000000.050000057</v>
      </c>
      <c r="D47" s="41">
        <v>175332.99</v>
      </c>
      <c r="E47" s="41">
        <v>368421.05</v>
      </c>
      <c r="F47" s="41">
        <f t="shared" si="5"/>
        <v>34631579.00000006</v>
      </c>
      <c r="H47" s="27" t="s">
        <v>105</v>
      </c>
      <c r="I47" s="41">
        <f t="shared" si="16"/>
        <v>33596491.099999949</v>
      </c>
      <c r="J47" s="41">
        <f>61371.89+35633.75+59568.28</f>
        <v>156573.91999999998</v>
      </c>
      <c r="K47" s="41">
        <f t="shared" si="9"/>
        <v>350877.2</v>
      </c>
      <c r="L47" s="41">
        <f t="shared" si="14"/>
        <v>33245613.89999995</v>
      </c>
      <c r="N47" s="27" t="s">
        <v>107</v>
      </c>
      <c r="O47" s="41">
        <f t="shared" si="15"/>
        <v>21428571.360000014</v>
      </c>
      <c r="P47" s="41">
        <f t="shared" si="10"/>
        <v>165330.3566138001</v>
      </c>
      <c r="Q47" s="41">
        <v>357142.86</v>
      </c>
      <c r="R47" s="41">
        <f t="shared" si="11"/>
        <v>21071428.500000015</v>
      </c>
      <c r="T47" s="204" t="s">
        <v>122</v>
      </c>
      <c r="U47" s="205"/>
      <c r="V47" s="206">
        <f>SUM(V35:V46)</f>
        <v>770370.10000000009</v>
      </c>
      <c r="W47" s="206">
        <f>SUM(W35:W46)</f>
        <v>1575203.0399999998</v>
      </c>
      <c r="X47" s="208"/>
    </row>
    <row r="48" spans="2:24" ht="15.75" thickBot="1">
      <c r="B48" s="204" t="s">
        <v>122</v>
      </c>
      <c r="C48" s="205"/>
      <c r="D48" s="207">
        <f>SUM(D36:D47)</f>
        <v>2179686.3600000003</v>
      </c>
      <c r="E48" s="207">
        <f>SUM(E36:E47)</f>
        <v>4421052.5999999987</v>
      </c>
      <c r="F48" s="208"/>
      <c r="H48" s="27" t="s">
        <v>107</v>
      </c>
      <c r="I48" s="41">
        <f t="shared" si="16"/>
        <v>33245613.89999995</v>
      </c>
      <c r="J48" s="41">
        <f>51783.47+36598.84+53396.25</f>
        <v>141778.56</v>
      </c>
      <c r="K48" s="41">
        <f t="shared" si="9"/>
        <v>350877.2</v>
      </c>
      <c r="L48" s="41">
        <f t="shared" si="14"/>
        <v>32894736.699999951</v>
      </c>
      <c r="N48" s="204" t="s">
        <v>123</v>
      </c>
      <c r="O48" s="205"/>
      <c r="P48" s="206">
        <f>SUM(P36:P47)</f>
        <v>2165827.6736776512</v>
      </c>
      <c r="Q48" s="207">
        <f>SUM(Q36:Q47)</f>
        <v>4285714.3199999994</v>
      </c>
      <c r="R48" s="208"/>
      <c r="T48" s="27" t="s">
        <v>111</v>
      </c>
      <c r="U48" s="29">
        <f>+X46</f>
        <v>12470357.680000002</v>
      </c>
      <c r="V48" s="29">
        <v>65873.649999999994</v>
      </c>
      <c r="W48" s="29">
        <v>131266.92000000001</v>
      </c>
      <c r="X48" s="29">
        <f t="shared" ref="X48:X54" si="17">+U48-W48</f>
        <v>12339090.760000002</v>
      </c>
    </row>
    <row r="49" spans="2:25" ht="15.75" thickBot="1">
      <c r="B49" s="27" t="s">
        <v>111</v>
      </c>
      <c r="C49" s="41">
        <f>+F47</f>
        <v>34631579.00000006</v>
      </c>
      <c r="D49" s="41">
        <v>191981.6</v>
      </c>
      <c r="E49" s="41">
        <v>368421.05</v>
      </c>
      <c r="F49" s="41">
        <f t="shared" si="5"/>
        <v>34263157.950000063</v>
      </c>
      <c r="H49" s="204" t="s">
        <v>122</v>
      </c>
      <c r="I49" s="205"/>
      <c r="J49" s="206">
        <f>SUM(J37:J48)</f>
        <v>1892532.74</v>
      </c>
      <c r="K49" s="207">
        <f>SUM(K37:K48)</f>
        <v>4210526.4000000013</v>
      </c>
      <c r="L49" s="208"/>
      <c r="N49" s="27" t="s">
        <v>111</v>
      </c>
      <c r="O49" s="41">
        <f>+R47</f>
        <v>21071428.500000015</v>
      </c>
      <c r="P49" s="41">
        <f>+O49*$O$18/360*30</f>
        <v>162574.85063937513</v>
      </c>
      <c r="Q49" s="41">
        <v>357142.86</v>
      </c>
      <c r="R49" s="41">
        <f>+O49-Q49</f>
        <v>20714285.640000015</v>
      </c>
      <c r="T49" s="27" t="s">
        <v>112</v>
      </c>
      <c r="U49" s="29">
        <f t="shared" ref="U49:U54" si="18">+X48</f>
        <v>12339090.760000002</v>
      </c>
      <c r="V49" s="29">
        <v>62661.85</v>
      </c>
      <c r="W49" s="29">
        <v>131266.92000000001</v>
      </c>
      <c r="X49" s="29">
        <f t="shared" si="17"/>
        <v>12207823.840000002</v>
      </c>
    </row>
    <row r="50" spans="2:25">
      <c r="B50" s="27" t="s">
        <v>112</v>
      </c>
      <c r="C50" s="41">
        <f t="shared" si="4"/>
        <v>34263157.950000063</v>
      </c>
      <c r="D50" s="41">
        <v>155648.95999999999</v>
      </c>
      <c r="E50" s="41">
        <v>368421.05</v>
      </c>
      <c r="F50" s="41">
        <f t="shared" si="5"/>
        <v>33894736.900000066</v>
      </c>
      <c r="H50" s="27" t="s">
        <v>111</v>
      </c>
      <c r="I50" s="41">
        <f>+L48</f>
        <v>32894736.699999951</v>
      </c>
      <c r="J50" s="41">
        <f>56877.32+56877.32+39033.17</f>
        <v>152787.81</v>
      </c>
      <c r="K50" s="41">
        <f t="shared" si="9"/>
        <v>350877.2</v>
      </c>
      <c r="L50" s="41">
        <f>+I50-K50</f>
        <v>32543859.499999952</v>
      </c>
      <c r="N50" s="27" t="s">
        <v>112</v>
      </c>
      <c r="O50" s="41">
        <f t="shared" ref="O50:O60" si="19">+R49</f>
        <v>20714285.640000015</v>
      </c>
      <c r="P50" s="41">
        <f t="shared" ref="P50:P55" si="20">+O50*$O$18/360*30</f>
        <v>159819.3446649501</v>
      </c>
      <c r="Q50" s="41">
        <v>357142.86</v>
      </c>
      <c r="R50" s="41">
        <f t="shared" ref="R50:R54" si="21">+O50-Q50</f>
        <v>20357142.780000016</v>
      </c>
      <c r="T50" s="27" t="s">
        <v>113</v>
      </c>
      <c r="U50" s="29">
        <f t="shared" si="18"/>
        <v>12207823.840000002</v>
      </c>
      <c r="V50" s="29">
        <v>56378.5</v>
      </c>
      <c r="W50" s="29">
        <v>131266.92000000001</v>
      </c>
      <c r="X50" s="29">
        <f t="shared" si="17"/>
        <v>12076556.920000002</v>
      </c>
    </row>
    <row r="51" spans="2:25">
      <c r="B51" s="27" t="s">
        <v>113</v>
      </c>
      <c r="C51" s="41">
        <f t="shared" si="4"/>
        <v>33894736.900000066</v>
      </c>
      <c r="D51" s="41">
        <v>191178.65</v>
      </c>
      <c r="E51" s="41">
        <v>368421.05</v>
      </c>
      <c r="F51" s="41">
        <f t="shared" si="5"/>
        <v>33526315.850000065</v>
      </c>
      <c r="H51" s="27" t="s">
        <v>112</v>
      </c>
      <c r="I51" s="41">
        <f t="shared" ref="I51:I61" si="22">+L50</f>
        <v>32543859.499999952</v>
      </c>
      <c r="J51" s="41">
        <f>60481.54+58531.43+37358.86</f>
        <v>156371.83000000002</v>
      </c>
      <c r="K51" s="41">
        <f t="shared" si="9"/>
        <v>350877.2</v>
      </c>
      <c r="L51" s="41">
        <f t="shared" ref="L51:L61" si="23">+I51-K51</f>
        <v>32192982.299999952</v>
      </c>
      <c r="N51" s="27" t="s">
        <v>113</v>
      </c>
      <c r="O51" s="41">
        <f t="shared" si="19"/>
        <v>20357142.780000016</v>
      </c>
      <c r="P51" s="41">
        <f t="shared" si="20"/>
        <v>157063.83869052512</v>
      </c>
      <c r="Q51" s="41">
        <v>357142.86</v>
      </c>
      <c r="R51" s="41">
        <f t="shared" si="21"/>
        <v>19999999.920000017</v>
      </c>
      <c r="T51" s="27" t="s">
        <v>114</v>
      </c>
      <c r="U51" s="29">
        <f t="shared" si="18"/>
        <v>12076556.920000002</v>
      </c>
      <c r="V51" s="29">
        <v>71906.59</v>
      </c>
      <c r="W51" s="29">
        <v>131266.92000000001</v>
      </c>
      <c r="X51" s="29">
        <f t="shared" si="17"/>
        <v>11945290.000000002</v>
      </c>
    </row>
    <row r="52" spans="2:25">
      <c r="B52" s="27" t="s">
        <v>114</v>
      </c>
      <c r="C52" s="41">
        <f t="shared" si="4"/>
        <v>33526315.850000065</v>
      </c>
      <c r="D52" s="41">
        <v>195644.68</v>
      </c>
      <c r="E52" s="41">
        <v>368421.05</v>
      </c>
      <c r="F52" s="41">
        <f t="shared" si="5"/>
        <v>33157894.800000064</v>
      </c>
      <c r="H52" s="27" t="s">
        <v>113</v>
      </c>
      <c r="I52" s="41">
        <f t="shared" si="22"/>
        <v>32192982.299999952</v>
      </c>
      <c r="J52" s="41">
        <f>52333.47+54100.14+35718.45</f>
        <v>142152.06</v>
      </c>
      <c r="K52" s="41">
        <f t="shared" si="9"/>
        <v>350877.2</v>
      </c>
      <c r="L52" s="41">
        <f t="shared" si="23"/>
        <v>31842105.099999953</v>
      </c>
      <c r="N52" s="27" t="s">
        <v>114</v>
      </c>
      <c r="O52" s="41">
        <f t="shared" si="19"/>
        <v>19999999.920000017</v>
      </c>
      <c r="P52" s="41">
        <f t="shared" si="20"/>
        <v>154308.33271610015</v>
      </c>
      <c r="Q52" s="41">
        <v>357142.86</v>
      </c>
      <c r="R52" s="41">
        <f t="shared" si="21"/>
        <v>19642857.060000017</v>
      </c>
      <c r="T52" s="27" t="s">
        <v>115</v>
      </c>
      <c r="U52" s="29">
        <f t="shared" si="18"/>
        <v>11945290.000000002</v>
      </c>
      <c r="V52" s="29">
        <v>64552.63</v>
      </c>
      <c r="W52" s="29">
        <v>131266.92000000001</v>
      </c>
      <c r="X52" s="29">
        <f t="shared" si="17"/>
        <v>11814023.080000002</v>
      </c>
    </row>
    <row r="53" spans="2:25">
      <c r="B53" s="27" t="s">
        <v>115</v>
      </c>
      <c r="C53" s="41">
        <f t="shared" si="4"/>
        <v>33157894.800000064</v>
      </c>
      <c r="D53" s="41">
        <v>175367.96</v>
      </c>
      <c r="E53" s="41">
        <v>368421.05</v>
      </c>
      <c r="F53" s="41">
        <f t="shared" si="5"/>
        <v>32789473.750000063</v>
      </c>
      <c r="H53" s="27" t="s">
        <v>114</v>
      </c>
      <c r="I53" s="41">
        <f t="shared" si="22"/>
        <v>31842105.099999953</v>
      </c>
      <c r="J53" s="41">
        <f>62513.61+62513.61+42562.81</f>
        <v>167590.03</v>
      </c>
      <c r="K53" s="41">
        <f t="shared" si="9"/>
        <v>350877.2</v>
      </c>
      <c r="L53" s="41">
        <f t="shared" si="23"/>
        <v>31491227.899999954</v>
      </c>
      <c r="N53" s="27" t="s">
        <v>115</v>
      </c>
      <c r="O53" s="41">
        <f t="shared" si="19"/>
        <v>19642857.060000017</v>
      </c>
      <c r="P53" s="41">
        <f t="shared" si="20"/>
        <v>151552.82674167512</v>
      </c>
      <c r="Q53" s="41">
        <v>357142.86</v>
      </c>
      <c r="R53" s="41">
        <f t="shared" si="21"/>
        <v>19285714.200000018</v>
      </c>
      <c r="T53" s="27" t="s">
        <v>116</v>
      </c>
      <c r="U53" s="29">
        <f t="shared" si="18"/>
        <v>11814023.080000002</v>
      </c>
      <c r="V53" s="29">
        <v>68193.2</v>
      </c>
      <c r="W53" s="29">
        <v>131266.92000000001</v>
      </c>
      <c r="X53" s="29">
        <f t="shared" si="17"/>
        <v>11682756.160000002</v>
      </c>
    </row>
    <row r="54" spans="2:25">
      <c r="B54" s="27" t="s">
        <v>116</v>
      </c>
      <c r="C54" s="41">
        <f t="shared" si="4"/>
        <v>32789473.750000063</v>
      </c>
      <c r="D54" s="41">
        <v>180260.13</v>
      </c>
      <c r="E54" s="41">
        <v>368421.05</v>
      </c>
      <c r="F54" s="41">
        <f t="shared" si="5"/>
        <v>32421052.700000063</v>
      </c>
      <c r="H54" s="27" t="s">
        <v>115</v>
      </c>
      <c r="I54" s="41">
        <f t="shared" si="22"/>
        <v>31491227.899999954</v>
      </c>
      <c r="J54" s="41">
        <f>61852.14+38145.85+61852.14</f>
        <v>161850.13</v>
      </c>
      <c r="K54" s="41">
        <f t="shared" si="9"/>
        <v>350877.2</v>
      </c>
      <c r="L54" s="41">
        <f t="shared" si="23"/>
        <v>31140350.699999955</v>
      </c>
      <c r="N54" s="27" t="s">
        <v>116</v>
      </c>
      <c r="O54" s="41">
        <f t="shared" si="19"/>
        <v>19285714.200000018</v>
      </c>
      <c r="P54" s="41">
        <f t="shared" si="20"/>
        <v>148797.32076725014</v>
      </c>
      <c r="Q54" s="41">
        <v>357142.86</v>
      </c>
      <c r="R54" s="41">
        <f t="shared" si="21"/>
        <v>18928571.340000018</v>
      </c>
      <c r="T54" s="27" t="s">
        <v>117</v>
      </c>
      <c r="U54" s="29">
        <f t="shared" si="18"/>
        <v>11682756.160000002</v>
      </c>
      <c r="V54" s="29">
        <v>62888.75</v>
      </c>
      <c r="W54" s="29">
        <v>131266.92000000001</v>
      </c>
      <c r="X54" s="29">
        <f t="shared" si="17"/>
        <v>11551489.240000002</v>
      </c>
    </row>
    <row r="55" spans="2:25">
      <c r="B55" s="27" t="s">
        <v>117</v>
      </c>
      <c r="C55" s="41">
        <f t="shared" si="4"/>
        <v>32421052.700000063</v>
      </c>
      <c r="D55" s="41">
        <v>190537.81</v>
      </c>
      <c r="E55" s="41">
        <v>368421.05</v>
      </c>
      <c r="F55" s="41">
        <f t="shared" si="5"/>
        <v>32052631.650000062</v>
      </c>
      <c r="H55" s="27" t="s">
        <v>116</v>
      </c>
      <c r="I55" s="41">
        <f t="shared" si="22"/>
        <v>31140350.699999955</v>
      </c>
      <c r="J55" s="41">
        <f>59191.83+59191.83+40325.08</f>
        <v>158708.74</v>
      </c>
      <c r="K55" s="41">
        <f t="shared" si="9"/>
        <v>350877.2</v>
      </c>
      <c r="L55" s="41">
        <f t="shared" si="23"/>
        <v>30789473.499999955</v>
      </c>
      <c r="N55" s="27" t="s">
        <v>117</v>
      </c>
      <c r="O55" s="41">
        <f t="shared" si="19"/>
        <v>18928571.340000018</v>
      </c>
      <c r="P55" s="41">
        <f t="shared" si="20"/>
        <v>146041.81479282514</v>
      </c>
      <c r="Q55" s="41">
        <v>357142.86</v>
      </c>
      <c r="R55" s="41">
        <f>+O55-Q55</f>
        <v>18571428.480000019</v>
      </c>
      <c r="T55" s="27" t="s">
        <v>118</v>
      </c>
      <c r="U55" s="41">
        <f>+X54</f>
        <v>11551489.240000002</v>
      </c>
      <c r="V55" s="41">
        <v>68645.42</v>
      </c>
      <c r="W55" s="41">
        <v>131266.92000000001</v>
      </c>
      <c r="X55" s="41">
        <f>+U55-W55</f>
        <v>11420222.320000002</v>
      </c>
    </row>
    <row r="56" spans="2:25">
      <c r="B56" s="27" t="s">
        <v>118</v>
      </c>
      <c r="C56" s="41">
        <f>+F55</f>
        <v>32052631.650000062</v>
      </c>
      <c r="D56" s="41">
        <v>189239.08</v>
      </c>
      <c r="E56" s="41">
        <v>368421.05</v>
      </c>
      <c r="F56" s="41">
        <f>+C56-E56</f>
        <v>31684210.600000061</v>
      </c>
      <c r="H56" s="27" t="s">
        <v>117</v>
      </c>
      <c r="I56" s="41">
        <f t="shared" si="22"/>
        <v>30789473.499999955</v>
      </c>
      <c r="J56" s="41">
        <f>58754.47+58960.96+40120.5</f>
        <v>157835.93</v>
      </c>
      <c r="K56" s="41">
        <f t="shared" si="9"/>
        <v>350877.2</v>
      </c>
      <c r="L56" s="41">
        <f t="shared" si="23"/>
        <v>30438596.299999956</v>
      </c>
      <c r="M56" s="37"/>
      <c r="N56" s="27" t="s">
        <v>118</v>
      </c>
      <c r="O56" s="41">
        <f t="shared" si="19"/>
        <v>18571428.480000019</v>
      </c>
      <c r="P56" s="41">
        <f>+O56*$O$18/360*30</f>
        <v>143286.30881840014</v>
      </c>
      <c r="Q56" s="41">
        <v>357142.86</v>
      </c>
      <c r="R56" s="41">
        <f>+O56-Q56</f>
        <v>18214285.62000002</v>
      </c>
      <c r="T56" s="27" t="s">
        <v>119</v>
      </c>
      <c r="U56" s="41">
        <f>+X55</f>
        <v>11420222.320000002</v>
      </c>
      <c r="V56" s="41">
        <v>68628.429999999993</v>
      </c>
      <c r="W56" s="41">
        <v>131266.92000000001</v>
      </c>
      <c r="X56" s="41">
        <f>+U56-W56</f>
        <v>11288955.400000002</v>
      </c>
    </row>
    <row r="57" spans="2:25">
      <c r="B57" s="27" t="s">
        <v>119</v>
      </c>
      <c r="C57" s="41">
        <f>+F56</f>
        <v>31684210.600000061</v>
      </c>
      <c r="D57" s="41">
        <v>187332.9</v>
      </c>
      <c r="E57" s="41">
        <v>368421.05</v>
      </c>
      <c r="F57" s="41">
        <f>+C57-E57</f>
        <v>31315789.55000006</v>
      </c>
      <c r="H57" s="27" t="s">
        <v>118</v>
      </c>
      <c r="I57" s="41">
        <f t="shared" si="22"/>
        <v>30438596.299999956</v>
      </c>
      <c r="J57" s="41">
        <f>64888.68+64956.69+41432.13</f>
        <v>171277.5</v>
      </c>
      <c r="K57" s="41">
        <f t="shared" si="9"/>
        <v>350877.2</v>
      </c>
      <c r="L57" s="41">
        <f t="shared" si="23"/>
        <v>30087719.099999957</v>
      </c>
      <c r="N57" s="27" t="s">
        <v>119</v>
      </c>
      <c r="O57" s="41">
        <f t="shared" si="19"/>
        <v>18214285.62000002</v>
      </c>
      <c r="P57" s="41">
        <f t="shared" ref="P57:P71" si="24">+O57*$O$18/360*30</f>
        <v>140530.80284397517</v>
      </c>
      <c r="Q57" s="41">
        <v>357142.86</v>
      </c>
      <c r="R57" s="41">
        <f t="shared" ref="R57:R60" si="25">+O57-Q57</f>
        <v>17857142.76000002</v>
      </c>
      <c r="T57" s="27" t="s">
        <v>106</v>
      </c>
      <c r="U57" s="41">
        <f>+X56</f>
        <v>11288955.400000002</v>
      </c>
      <c r="V57" s="41">
        <v>66372.42</v>
      </c>
      <c r="W57" s="41">
        <v>131266.92000000001</v>
      </c>
      <c r="X57" s="41">
        <f>+U57-W57</f>
        <v>11157688.480000002</v>
      </c>
    </row>
    <row r="58" spans="2:25">
      <c r="B58" s="27" t="s">
        <v>106</v>
      </c>
      <c r="C58" s="41">
        <f>+F57</f>
        <v>31315789.55000006</v>
      </c>
      <c r="D58" s="41">
        <v>193303.06</v>
      </c>
      <c r="E58" s="41">
        <v>368421.05</v>
      </c>
      <c r="F58" s="41">
        <f>+C58-E58</f>
        <v>30947368.50000006</v>
      </c>
      <c r="H58" s="27" t="s">
        <v>119</v>
      </c>
      <c r="I58" s="41">
        <f t="shared" si="22"/>
        <v>30087719.099999957</v>
      </c>
      <c r="J58" s="41">
        <f>64180.83+64235.4+45052.92</f>
        <v>173469.15000000002</v>
      </c>
      <c r="K58" s="41">
        <f t="shared" si="9"/>
        <v>350877.2</v>
      </c>
      <c r="L58" s="41">
        <f t="shared" si="23"/>
        <v>29736841.899999958</v>
      </c>
      <c r="N58" s="27" t="s">
        <v>106</v>
      </c>
      <c r="O58" s="41">
        <f t="shared" si="19"/>
        <v>17857142.76000002</v>
      </c>
      <c r="P58" s="41">
        <f t="shared" si="24"/>
        <v>137775.29686955016</v>
      </c>
      <c r="Q58" s="41">
        <v>357142.86</v>
      </c>
      <c r="R58" s="41">
        <f t="shared" si="25"/>
        <v>17499999.900000021</v>
      </c>
      <c r="T58" s="27" t="s">
        <v>105</v>
      </c>
      <c r="U58" s="41">
        <f>+X57</f>
        <v>11157688.480000002</v>
      </c>
      <c r="V58" s="41">
        <v>69332.539999999994</v>
      </c>
      <c r="W58" s="41">
        <v>131266.92000000001</v>
      </c>
      <c r="X58" s="41">
        <f>+U58-W58</f>
        <v>11026421.560000002</v>
      </c>
      <c r="Y58" s="43"/>
    </row>
    <row r="59" spans="2:25" ht="15.75" thickBot="1">
      <c r="B59" s="27" t="s">
        <v>105</v>
      </c>
      <c r="C59" s="41">
        <f>+F58</f>
        <v>30947368.50000006</v>
      </c>
      <c r="D59" s="41">
        <v>196265.63</v>
      </c>
      <c r="E59" s="41">
        <v>30947369</v>
      </c>
      <c r="F59" s="41">
        <f>+C59-E59</f>
        <v>-0.49999994039535522</v>
      </c>
      <c r="H59" s="27" t="s">
        <v>106</v>
      </c>
      <c r="I59" s="41">
        <f t="shared" si="22"/>
        <v>29736841.899999958</v>
      </c>
      <c r="J59" s="41">
        <f>63310.18+65570.29+37799.34</f>
        <v>166679.81</v>
      </c>
      <c r="K59" s="41">
        <f t="shared" si="9"/>
        <v>350877.2</v>
      </c>
      <c r="L59" s="41">
        <f t="shared" si="23"/>
        <v>29385964.699999958</v>
      </c>
      <c r="N59" s="27" t="s">
        <v>105</v>
      </c>
      <c r="O59" s="41">
        <f t="shared" si="19"/>
        <v>17499999.900000021</v>
      </c>
      <c r="P59" s="41">
        <f t="shared" si="24"/>
        <v>135019.79089512519</v>
      </c>
      <c r="Q59" s="41">
        <v>357142.86</v>
      </c>
      <c r="R59" s="41">
        <f t="shared" si="25"/>
        <v>17142857.040000021</v>
      </c>
      <c r="T59" s="27" t="s">
        <v>107</v>
      </c>
      <c r="U59" s="41">
        <f>+X58</f>
        <v>11026421.560000002</v>
      </c>
      <c r="V59" s="41">
        <v>73228.55</v>
      </c>
      <c r="W59" s="41">
        <v>131266.92000000001</v>
      </c>
      <c r="X59" s="41">
        <f>+U59-W59</f>
        <v>10895154.640000002</v>
      </c>
      <c r="Y59" s="43"/>
    </row>
    <row r="60" spans="2:25" ht="15.75" thickBot="1">
      <c r="B60" s="204" t="s">
        <v>108</v>
      </c>
      <c r="C60" s="205"/>
      <c r="D60" s="207">
        <f>SUM(D49:D59)</f>
        <v>2046760.46</v>
      </c>
      <c r="E60" s="207">
        <f>SUM(E49:E59)</f>
        <v>34631579.5</v>
      </c>
      <c r="F60" s="208"/>
      <c r="H60" s="27" t="s">
        <v>105</v>
      </c>
      <c r="I60" s="41">
        <f t="shared" si="22"/>
        <v>29385964.699999958</v>
      </c>
      <c r="J60" s="41">
        <f>63310.18+63323.53+44589.89</f>
        <v>171223.59999999998</v>
      </c>
      <c r="K60" s="41">
        <f t="shared" si="9"/>
        <v>350877.2</v>
      </c>
      <c r="L60" s="41">
        <f t="shared" si="23"/>
        <v>29035087.499999959</v>
      </c>
      <c r="N60" s="27" t="s">
        <v>107</v>
      </c>
      <c r="O60" s="41">
        <f t="shared" si="19"/>
        <v>17142857.040000021</v>
      </c>
      <c r="P60" s="41">
        <f t="shared" si="24"/>
        <v>132264.28492070016</v>
      </c>
      <c r="Q60" s="41">
        <v>357142.86</v>
      </c>
      <c r="R60" s="41">
        <f t="shared" si="25"/>
        <v>16785714.180000022</v>
      </c>
      <c r="T60" s="204" t="s">
        <v>108</v>
      </c>
      <c r="U60" s="205"/>
      <c r="V60" s="206">
        <f>SUM(V48:V59)</f>
        <v>798662.53000000014</v>
      </c>
      <c r="W60" s="206">
        <f>SUM(W48:W59)</f>
        <v>1575203.0399999998</v>
      </c>
      <c r="X60" s="208"/>
      <c r="Y60" s="38"/>
    </row>
    <row r="61" spans="2:25" ht="15.75" thickBot="1">
      <c r="B61" s="209" t="s">
        <v>110</v>
      </c>
      <c r="C61" s="210"/>
      <c r="D61" s="211">
        <f>+D60+D48+D35+D22</f>
        <v>7100541.7299999995</v>
      </c>
      <c r="E61" s="211">
        <f>+E60+E48+E35+E22</f>
        <v>42000000.5</v>
      </c>
      <c r="F61" s="212">
        <f>+E61+D61</f>
        <v>49100542.229999997</v>
      </c>
      <c r="H61" s="27" t="s">
        <v>107</v>
      </c>
      <c r="I61" s="41">
        <f t="shared" si="22"/>
        <v>29035087.499999959</v>
      </c>
      <c r="J61" s="41">
        <f>64759.11+66307.17+46999.27</f>
        <v>178065.55</v>
      </c>
      <c r="K61" s="41">
        <f t="shared" si="9"/>
        <v>350877.2</v>
      </c>
      <c r="L61" s="41">
        <f t="shared" si="23"/>
        <v>28684210.29999996</v>
      </c>
      <c r="N61" s="204" t="s">
        <v>124</v>
      </c>
      <c r="O61" s="205"/>
      <c r="P61" s="206">
        <f>SUM(P49:P60)</f>
        <v>1769034.8133604515</v>
      </c>
      <c r="Q61" s="207">
        <f>SUM(Q49:Q60)</f>
        <v>4285714.3199999994</v>
      </c>
      <c r="R61" s="208"/>
      <c r="T61" s="27" t="s">
        <v>111</v>
      </c>
      <c r="U61" s="29">
        <f>+X59</f>
        <v>10895154.640000002</v>
      </c>
      <c r="V61" s="41">
        <v>76572.59</v>
      </c>
      <c r="W61" s="29">
        <v>131266.92000000001</v>
      </c>
      <c r="X61" s="29">
        <f>+U61-W61</f>
        <v>10763887.720000003</v>
      </c>
      <c r="Y61" s="43"/>
    </row>
    <row r="62" spans="2:25" ht="15.75" thickBot="1">
      <c r="H62" s="204" t="s">
        <v>108</v>
      </c>
      <c r="I62" s="205"/>
      <c r="J62" s="206">
        <f>SUM(J50:J61)</f>
        <v>1958012.1400000004</v>
      </c>
      <c r="K62" s="207">
        <f>SUM(K50:K61)</f>
        <v>4210526.4000000013</v>
      </c>
      <c r="L62" s="208"/>
      <c r="N62" s="27" t="s">
        <v>111</v>
      </c>
      <c r="O62" s="41">
        <f>+R60</f>
        <v>16785714.180000022</v>
      </c>
      <c r="P62" s="41">
        <f t="shared" si="24"/>
        <v>129508.77894627515</v>
      </c>
      <c r="Q62" s="41">
        <v>357142.86</v>
      </c>
      <c r="R62" s="41">
        <f t="shared" ref="R62:R73" si="26">+O62-Q62</f>
        <v>16428571.320000023</v>
      </c>
      <c r="T62" s="27" t="s">
        <v>112</v>
      </c>
      <c r="U62" s="29">
        <f>+X61</f>
        <v>10763887.720000003</v>
      </c>
      <c r="V62" s="41">
        <f>73354.28+132.48</f>
        <v>73486.759999999995</v>
      </c>
      <c r="W62" s="29">
        <v>131266.92000000001</v>
      </c>
      <c r="X62" s="29">
        <f>+U62-W62</f>
        <v>10632620.800000003</v>
      </c>
      <c r="Y62" s="43"/>
    </row>
    <row r="63" spans="2:25" ht="15.75" thickBot="1">
      <c r="H63" s="209" t="s">
        <v>110</v>
      </c>
      <c r="I63" s="210"/>
      <c r="J63" s="211">
        <f>+J62+J49+J36+J23</f>
        <v>6504018.6000000006</v>
      </c>
      <c r="K63" s="211">
        <f>+K62+K49+K36+K23</f>
        <v>11315789.700000003</v>
      </c>
      <c r="L63" s="212"/>
      <c r="N63" s="27" t="s">
        <v>112</v>
      </c>
      <c r="O63" s="41">
        <f>+R62</f>
        <v>16428571.320000023</v>
      </c>
      <c r="P63" s="41">
        <f t="shared" si="24"/>
        <v>126753.27297185019</v>
      </c>
      <c r="Q63" s="41">
        <v>357142.86</v>
      </c>
      <c r="R63" s="41">
        <f t="shared" si="26"/>
        <v>16071428.460000023</v>
      </c>
      <c r="T63" s="27" t="s">
        <v>113</v>
      </c>
      <c r="U63" s="29">
        <f>+X62</f>
        <v>10632620.800000003</v>
      </c>
      <c r="V63" s="41">
        <v>74148.570000000007</v>
      </c>
      <c r="W63" s="29">
        <v>131266.92000000001</v>
      </c>
      <c r="X63" s="29">
        <f t="shared" ref="X63:X65" si="27">+U63-W63</f>
        <v>10501353.880000003</v>
      </c>
    </row>
    <row r="64" spans="2:25" ht="15.75" thickBot="1">
      <c r="B64" s="175"/>
      <c r="C64" s="175"/>
      <c r="D64" s="176"/>
      <c r="E64" s="176"/>
      <c r="F64" s="175"/>
      <c r="H64" s="27" t="s">
        <v>111</v>
      </c>
      <c r="I64" s="41">
        <f>+L61</f>
        <v>28684210.29999996</v>
      </c>
      <c r="J64" s="41">
        <f>72881.22+72944.51+46254.81</f>
        <v>192080.53999999998</v>
      </c>
      <c r="K64" s="41">
        <f t="shared" si="9"/>
        <v>350877.2</v>
      </c>
      <c r="L64" s="41">
        <f t="shared" ref="L64:L75" si="28">+I64-K64</f>
        <v>28333333.099999961</v>
      </c>
      <c r="N64" s="27" t="s">
        <v>113</v>
      </c>
      <c r="O64" s="41">
        <f t="shared" ref="O64:O73" si="29">+R63</f>
        <v>16071428.460000023</v>
      </c>
      <c r="P64" s="41">
        <f t="shared" si="24"/>
        <v>123997.76699742518</v>
      </c>
      <c r="Q64" s="41">
        <v>357142.86</v>
      </c>
      <c r="R64" s="41">
        <f t="shared" si="26"/>
        <v>15714285.600000024</v>
      </c>
      <c r="T64" s="9" t="s">
        <v>114</v>
      </c>
      <c r="U64" s="144">
        <f t="shared" ref="U64:U65" si="30">+X63</f>
        <v>10501353.880000003</v>
      </c>
      <c r="V64" s="177">
        <v>85935.84</v>
      </c>
      <c r="W64" s="144">
        <v>131266.92000000001</v>
      </c>
      <c r="X64" s="144">
        <f t="shared" si="27"/>
        <v>10370086.960000003</v>
      </c>
    </row>
    <row r="65" spans="2:25" ht="15.75" thickBot="1">
      <c r="H65" s="27" t="s">
        <v>112</v>
      </c>
      <c r="I65" s="41">
        <f>+L64</f>
        <v>28333333.099999961</v>
      </c>
      <c r="J65" s="41">
        <f>74526.96+72105+49065.81</f>
        <v>195697.77000000002</v>
      </c>
      <c r="K65" s="41">
        <f t="shared" si="9"/>
        <v>350877.2</v>
      </c>
      <c r="L65" s="41">
        <f t="shared" si="28"/>
        <v>27982455.899999961</v>
      </c>
      <c r="N65" s="27" t="s">
        <v>114</v>
      </c>
      <c r="O65" s="41">
        <f t="shared" si="29"/>
        <v>15714285.600000024</v>
      </c>
      <c r="P65" s="41">
        <f t="shared" si="24"/>
        <v>121242.26102300019</v>
      </c>
      <c r="Q65" s="41">
        <v>357142.86</v>
      </c>
      <c r="R65" s="41">
        <f t="shared" si="26"/>
        <v>15357142.740000024</v>
      </c>
      <c r="T65" s="250" t="s">
        <v>115</v>
      </c>
      <c r="U65" s="251">
        <f t="shared" si="30"/>
        <v>10370086.960000003</v>
      </c>
      <c r="V65" s="252">
        <v>12039.29</v>
      </c>
      <c r="W65" s="251">
        <v>10370087</v>
      </c>
      <c r="X65" s="253">
        <f t="shared" si="27"/>
        <v>-3.9999997243285179E-2</v>
      </c>
    </row>
    <row r="66" spans="2:25" ht="15.75" thickBot="1">
      <c r="B66" s="9"/>
      <c r="C66" s="177"/>
      <c r="D66" s="177"/>
      <c r="E66" s="177"/>
      <c r="F66" s="177"/>
      <c r="H66" s="27" t="s">
        <v>113</v>
      </c>
      <c r="I66" s="41">
        <f t="shared" ref="I66:I75" si="31">+L65</f>
        <v>27982455.899999961</v>
      </c>
      <c r="J66" s="41">
        <f>64605.79+70320.94+46332.34</f>
        <v>181259.07</v>
      </c>
      <c r="K66" s="41">
        <f t="shared" si="9"/>
        <v>350877.2</v>
      </c>
      <c r="L66" s="41">
        <f t="shared" si="28"/>
        <v>27631578.699999962</v>
      </c>
      <c r="N66" s="27" t="s">
        <v>115</v>
      </c>
      <c r="O66" s="41">
        <f t="shared" si="29"/>
        <v>15357142.740000024</v>
      </c>
      <c r="P66" s="41">
        <f t="shared" si="24"/>
        <v>118486.75504857519</v>
      </c>
      <c r="Q66" s="41">
        <v>357142.86</v>
      </c>
      <c r="R66" s="41">
        <f t="shared" si="26"/>
        <v>14999999.880000025</v>
      </c>
      <c r="T66" s="204" t="s">
        <v>108</v>
      </c>
      <c r="U66" s="205"/>
      <c r="V66" s="206">
        <f>SUM(V61:V65)</f>
        <v>322183.05</v>
      </c>
      <c r="W66" s="206">
        <f>SUM(W61:W65)</f>
        <v>10895154.68</v>
      </c>
      <c r="X66" s="208"/>
    </row>
    <row r="67" spans="2:25" ht="15.75" thickBot="1">
      <c r="B67" s="9"/>
      <c r="C67" s="177"/>
      <c r="D67" s="177"/>
      <c r="E67" s="177"/>
      <c r="F67" s="177"/>
      <c r="H67" s="9" t="s">
        <v>114</v>
      </c>
      <c r="I67" s="177">
        <f t="shared" si="31"/>
        <v>27631578.699999962</v>
      </c>
      <c r="J67" s="177">
        <f>82025.21+50881.7+82147.18</f>
        <v>215054.09</v>
      </c>
      <c r="K67" s="177">
        <f t="shared" si="9"/>
        <v>350877.2</v>
      </c>
      <c r="L67" s="177">
        <f>+I67-K67</f>
        <v>27280701.499999963</v>
      </c>
      <c r="N67" s="27" t="s">
        <v>116</v>
      </c>
      <c r="O67" s="41">
        <f t="shared" si="29"/>
        <v>14999999.880000025</v>
      </c>
      <c r="P67" s="41">
        <f t="shared" si="24"/>
        <v>115731.2490741502</v>
      </c>
      <c r="Q67" s="41">
        <v>357142.86</v>
      </c>
      <c r="R67" s="41">
        <f t="shared" si="26"/>
        <v>14642857.020000026</v>
      </c>
      <c r="T67" s="209" t="s">
        <v>110</v>
      </c>
      <c r="U67" s="210"/>
      <c r="V67" s="211">
        <f>+V21+V34+V47+V60+V66</f>
        <v>2855715.0900000003</v>
      </c>
      <c r="W67" s="211">
        <f>+W21+W34+W47+W60+W66</f>
        <v>15752030.719999999</v>
      </c>
      <c r="X67" s="212">
        <f>+V67+W67</f>
        <v>18607745.809999999</v>
      </c>
    </row>
    <row r="68" spans="2:25" ht="15.75" thickBot="1">
      <c r="B68" s="9"/>
      <c r="C68" s="177"/>
      <c r="D68" s="177"/>
      <c r="E68" s="177"/>
      <c r="F68" s="177"/>
      <c r="H68" s="213" t="s">
        <v>115</v>
      </c>
      <c r="I68" s="214">
        <f t="shared" si="31"/>
        <v>27280701.499999963</v>
      </c>
      <c r="J68" s="214">
        <f>70648.73+70734.94+49877.2</f>
        <v>191260.87</v>
      </c>
      <c r="K68" s="214">
        <f t="shared" si="9"/>
        <v>350877.2</v>
      </c>
      <c r="L68" s="215">
        <f t="shared" si="28"/>
        <v>26929824.299999963</v>
      </c>
      <c r="M68" s="37">
        <f>+L68+R27</f>
        <v>54786967.139999971</v>
      </c>
      <c r="N68" s="27" t="s">
        <v>117</v>
      </c>
      <c r="O68" s="41">
        <f t="shared" si="29"/>
        <v>14642857.020000026</v>
      </c>
      <c r="P68" s="41">
        <f t="shared" si="24"/>
        <v>112975.74309972521</v>
      </c>
      <c r="Q68" s="41">
        <v>357142.86</v>
      </c>
      <c r="R68" s="41">
        <f t="shared" si="26"/>
        <v>14285714.160000026</v>
      </c>
      <c r="T68" s="9"/>
      <c r="U68" s="144"/>
      <c r="V68" s="177"/>
      <c r="W68" s="144"/>
      <c r="X68" s="144"/>
    </row>
    <row r="69" spans="2:25">
      <c r="B69" s="9"/>
      <c r="C69" s="177"/>
      <c r="D69" s="177"/>
      <c r="E69" s="177"/>
      <c r="F69" s="177"/>
      <c r="H69" s="27" t="s">
        <v>116</v>
      </c>
      <c r="I69" s="41">
        <f t="shared" si="31"/>
        <v>26929824.299999963</v>
      </c>
      <c r="J69" s="41">
        <f t="shared" ref="J69:J75" si="32">+I69*$I$18/360*30</f>
        <v>205530.6632096247</v>
      </c>
      <c r="K69" s="41">
        <f t="shared" si="9"/>
        <v>350877.2</v>
      </c>
      <c r="L69" s="41">
        <f t="shared" si="28"/>
        <v>26578947.099999964</v>
      </c>
      <c r="N69" s="27" t="s">
        <v>118</v>
      </c>
      <c r="O69" s="41">
        <f t="shared" si="29"/>
        <v>14285714.160000026</v>
      </c>
      <c r="P69" s="41">
        <f t="shared" si="24"/>
        <v>110220.23712530021</v>
      </c>
      <c r="Q69" s="41">
        <v>357142.86</v>
      </c>
      <c r="R69" s="41">
        <f t="shared" si="26"/>
        <v>13928571.300000027</v>
      </c>
      <c r="T69" s="9"/>
      <c r="U69" s="144"/>
      <c r="V69" s="177"/>
      <c r="W69" s="144"/>
      <c r="X69" s="144"/>
    </row>
    <row r="70" spans="2:25">
      <c r="B70" s="9"/>
      <c r="C70" s="177"/>
      <c r="D70" s="177"/>
      <c r="E70" s="177"/>
      <c r="F70" s="177"/>
      <c r="H70" s="27" t="s">
        <v>117</v>
      </c>
      <c r="I70" s="41">
        <f t="shared" si="31"/>
        <v>26578947.099999964</v>
      </c>
      <c r="J70" s="41">
        <f t="shared" si="32"/>
        <v>202852.73917945803</v>
      </c>
      <c r="K70" s="41">
        <f t="shared" si="9"/>
        <v>350877.2</v>
      </c>
      <c r="L70" s="41">
        <f t="shared" si="28"/>
        <v>26228069.899999965</v>
      </c>
      <c r="N70" s="27" t="s">
        <v>119</v>
      </c>
      <c r="O70" s="41">
        <f t="shared" si="29"/>
        <v>13928571.300000027</v>
      </c>
      <c r="P70" s="41">
        <f t="shared" si="24"/>
        <v>107464.73115087522</v>
      </c>
      <c r="Q70" s="41">
        <v>357142.86</v>
      </c>
      <c r="R70" s="41">
        <f t="shared" si="26"/>
        <v>13571428.440000027</v>
      </c>
      <c r="T70" s="9"/>
      <c r="U70" s="144"/>
      <c r="V70" s="177"/>
      <c r="W70" s="144"/>
      <c r="X70" s="144"/>
    </row>
    <row r="71" spans="2:25">
      <c r="B71" s="9"/>
      <c r="C71" s="177"/>
      <c r="D71" s="177"/>
      <c r="E71" s="177"/>
      <c r="F71" s="177"/>
      <c r="H71" s="27" t="s">
        <v>118</v>
      </c>
      <c r="I71" s="41">
        <f t="shared" si="31"/>
        <v>26228069.899999965</v>
      </c>
      <c r="J71" s="41">
        <f t="shared" si="32"/>
        <v>200174.81514929136</v>
      </c>
      <c r="K71" s="41">
        <f t="shared" si="9"/>
        <v>350877.2</v>
      </c>
      <c r="L71" s="41">
        <f t="shared" si="28"/>
        <v>25877192.699999966</v>
      </c>
      <c r="N71" s="27" t="s">
        <v>106</v>
      </c>
      <c r="O71" s="41">
        <f t="shared" si="29"/>
        <v>13571428.440000027</v>
      </c>
      <c r="P71" s="41">
        <f t="shared" si="24"/>
        <v>104709.22517645021</v>
      </c>
      <c r="Q71" s="41">
        <v>357142.86</v>
      </c>
      <c r="R71" s="41">
        <f t="shared" si="26"/>
        <v>13214285.580000028</v>
      </c>
      <c r="T71" s="9"/>
      <c r="U71" s="144"/>
      <c r="V71" s="177"/>
      <c r="W71" s="144"/>
      <c r="X71" s="144"/>
    </row>
    <row r="72" spans="2:25">
      <c r="B72" s="9"/>
      <c r="C72" s="177"/>
      <c r="D72" s="177"/>
      <c r="E72" s="177"/>
      <c r="F72" s="177"/>
      <c r="H72" s="27" t="s">
        <v>119</v>
      </c>
      <c r="I72" s="41">
        <f t="shared" si="31"/>
        <v>25877192.699999966</v>
      </c>
      <c r="J72" s="41">
        <f t="shared" si="32"/>
        <v>197496.89111912478</v>
      </c>
      <c r="K72" s="41">
        <f t="shared" si="9"/>
        <v>350877.2</v>
      </c>
      <c r="L72" s="41">
        <f t="shared" si="28"/>
        <v>25526315.499999966</v>
      </c>
      <c r="N72" s="27" t="s">
        <v>105</v>
      </c>
      <c r="O72" s="41">
        <f t="shared" si="29"/>
        <v>13214285.580000028</v>
      </c>
      <c r="P72" s="41">
        <f>+O72*$O$18/360*30</f>
        <v>101953.71920202521</v>
      </c>
      <c r="Q72" s="41">
        <v>357142.86</v>
      </c>
      <c r="R72" s="41">
        <f t="shared" si="26"/>
        <v>12857142.720000029</v>
      </c>
      <c r="T72" s="9"/>
      <c r="U72" s="144"/>
      <c r="V72" s="177"/>
      <c r="W72" s="144"/>
      <c r="X72" s="144"/>
    </row>
    <row r="73" spans="2:25" ht="15.75" thickBot="1">
      <c r="B73" s="9"/>
      <c r="C73" s="177"/>
      <c r="D73" s="177"/>
      <c r="E73" s="177"/>
      <c r="F73" s="177"/>
      <c r="H73" s="27" t="s">
        <v>106</v>
      </c>
      <c r="I73" s="41">
        <f t="shared" si="31"/>
        <v>25526315.499999966</v>
      </c>
      <c r="J73" s="41">
        <f t="shared" si="32"/>
        <v>194818.9670889581</v>
      </c>
      <c r="K73" s="41">
        <f t="shared" si="9"/>
        <v>350877.2</v>
      </c>
      <c r="L73" s="41">
        <f t="shared" si="28"/>
        <v>25175438.299999967</v>
      </c>
      <c r="N73" s="27" t="s">
        <v>107</v>
      </c>
      <c r="O73" s="41">
        <f t="shared" si="29"/>
        <v>12857142.720000029</v>
      </c>
      <c r="P73" s="41">
        <f>+O73*$O$18/360*30</f>
        <v>99198.213227600238</v>
      </c>
      <c r="Q73" s="41">
        <v>357142.86</v>
      </c>
      <c r="R73" s="41">
        <f t="shared" si="26"/>
        <v>12499999.860000029</v>
      </c>
      <c r="T73" s="9"/>
      <c r="U73" s="9"/>
      <c r="V73" s="9"/>
      <c r="W73" s="9"/>
      <c r="X73" s="9"/>
    </row>
    <row r="74" spans="2:25" ht="15.75" thickBot="1">
      <c r="B74" s="9"/>
      <c r="C74" s="177"/>
      <c r="D74" s="177"/>
      <c r="E74" s="177"/>
      <c r="F74" s="177"/>
      <c r="H74" s="27" t="s">
        <v>105</v>
      </c>
      <c r="I74" s="41">
        <f t="shared" si="31"/>
        <v>25175438.299999967</v>
      </c>
      <c r="J74" s="41">
        <f t="shared" si="32"/>
        <v>192141.04305879143</v>
      </c>
      <c r="K74" s="41">
        <f t="shared" si="9"/>
        <v>350877.2</v>
      </c>
      <c r="L74" s="41">
        <f t="shared" si="28"/>
        <v>24824561.099999968</v>
      </c>
      <c r="N74" s="204" t="s">
        <v>125</v>
      </c>
      <c r="O74" s="205"/>
      <c r="P74" s="206">
        <f>SUM(P62:P73)</f>
        <v>1372241.9530432527</v>
      </c>
      <c r="Q74" s="207">
        <f>SUM(Q62:Q73)</f>
        <v>4285714.3199999994</v>
      </c>
      <c r="R74" s="208"/>
      <c r="T74" s="175"/>
      <c r="U74" s="175"/>
      <c r="V74" s="178"/>
      <c r="W74" s="178"/>
      <c r="X74" s="175"/>
      <c r="Y74" s="38"/>
    </row>
    <row r="75" spans="2:25" ht="15.75" thickBot="1">
      <c r="B75" s="9"/>
      <c r="C75" s="177"/>
      <c r="D75" s="177"/>
      <c r="E75" s="177"/>
      <c r="F75" s="177"/>
      <c r="H75" s="27" t="s">
        <v>107</v>
      </c>
      <c r="I75" s="41">
        <f t="shared" si="31"/>
        <v>24824561.099999968</v>
      </c>
      <c r="J75" s="41">
        <f t="shared" si="32"/>
        <v>189463.11902862476</v>
      </c>
      <c r="K75" s="41">
        <f t="shared" si="9"/>
        <v>350877.2</v>
      </c>
      <c r="L75" s="41">
        <f t="shared" si="28"/>
        <v>24473683.899999969</v>
      </c>
      <c r="N75" s="27" t="s">
        <v>111</v>
      </c>
      <c r="O75" s="37">
        <f>+R73</f>
        <v>12499999.860000029</v>
      </c>
      <c r="P75" s="41">
        <f>+O75*$O$18/360*30</f>
        <v>96442.707253175235</v>
      </c>
      <c r="Q75" s="41">
        <v>357142.86</v>
      </c>
      <c r="R75" s="41">
        <f t="shared" ref="R75:R86" si="33">+O75-Q75</f>
        <v>12142857.00000003</v>
      </c>
      <c r="T75" s="9"/>
      <c r="U75" s="144"/>
      <c r="V75" s="177"/>
      <c r="W75" s="144"/>
      <c r="X75" s="144"/>
    </row>
    <row r="76" spans="2:25" ht="15.75" thickBot="1">
      <c r="B76" s="175"/>
      <c r="C76" s="175"/>
      <c r="D76" s="176"/>
      <c r="E76" s="176"/>
      <c r="F76" s="175"/>
      <c r="H76" s="204" t="s">
        <v>121</v>
      </c>
      <c r="I76" s="205"/>
      <c r="J76" s="206">
        <f>SUM(J69:J75)</f>
        <v>1382478.2378338731</v>
      </c>
      <c r="K76" s="207">
        <f>SUM(K69:K75)</f>
        <v>2456140.4000000004</v>
      </c>
      <c r="L76" s="208"/>
      <c r="N76" s="27" t="s">
        <v>112</v>
      </c>
      <c r="O76" s="37">
        <f>+R75</f>
        <v>12142857.00000003</v>
      </c>
      <c r="P76" s="41">
        <f t="shared" ref="P76:P86" si="34">+O76*$O$18/360*30</f>
        <v>93687.201278750217</v>
      </c>
      <c r="Q76" s="41">
        <v>357142.86</v>
      </c>
      <c r="R76" s="41">
        <f t="shared" si="33"/>
        <v>11785714.14000003</v>
      </c>
      <c r="T76" s="9"/>
      <c r="U76" s="144"/>
      <c r="V76" s="177"/>
      <c r="W76" s="144"/>
      <c r="X76" s="144"/>
    </row>
    <row r="77" spans="2:25">
      <c r="B77" s="9"/>
      <c r="C77" s="164"/>
      <c r="D77" s="177"/>
      <c r="E77" s="177"/>
      <c r="F77" s="164"/>
      <c r="H77" s="27" t="s">
        <v>111</v>
      </c>
      <c r="I77" s="37">
        <f>+L75</f>
        <v>24473683.899999969</v>
      </c>
      <c r="J77" s="41">
        <f t="shared" ref="J77:J88" si="35">+I77*$I$18/360*30</f>
        <v>186785.19499845809</v>
      </c>
      <c r="K77" s="41">
        <f t="shared" si="9"/>
        <v>350877.2</v>
      </c>
      <c r="L77" s="41">
        <f t="shared" ref="L77:L88" si="36">+I77-K77</f>
        <v>24122806.699999969</v>
      </c>
      <c r="N77" s="27" t="s">
        <v>113</v>
      </c>
      <c r="O77" s="37">
        <f t="shared" ref="O77:O86" si="37">+R76</f>
        <v>11785714.14000003</v>
      </c>
      <c r="P77" s="41">
        <f t="shared" si="34"/>
        <v>90931.695304325243</v>
      </c>
      <c r="Q77" s="41">
        <v>357142.86</v>
      </c>
      <c r="R77" s="41">
        <f t="shared" si="33"/>
        <v>11428571.280000031</v>
      </c>
      <c r="T77" s="9"/>
      <c r="U77" s="144"/>
      <c r="V77" s="177"/>
      <c r="W77" s="144"/>
      <c r="X77" s="144"/>
    </row>
    <row r="78" spans="2:25">
      <c r="B78" s="9"/>
      <c r="C78" s="164"/>
      <c r="D78" s="177"/>
      <c r="E78" s="177"/>
      <c r="F78" s="164"/>
      <c r="H78" s="27" t="s">
        <v>112</v>
      </c>
      <c r="I78" s="37">
        <f>+L77</f>
        <v>24122806.699999969</v>
      </c>
      <c r="J78" s="41">
        <f t="shared" si="35"/>
        <v>184107.27096829144</v>
      </c>
      <c r="K78" s="41">
        <f t="shared" si="9"/>
        <v>350877.2</v>
      </c>
      <c r="L78" s="41">
        <f t="shared" si="36"/>
        <v>23771929.49999997</v>
      </c>
      <c r="N78" s="27" t="s">
        <v>114</v>
      </c>
      <c r="O78" s="37">
        <f t="shared" si="37"/>
        <v>11428571.280000031</v>
      </c>
      <c r="P78" s="41">
        <f t="shared" si="34"/>
        <v>88176.189329900226</v>
      </c>
      <c r="Q78" s="41">
        <v>357142.86</v>
      </c>
      <c r="R78" s="41">
        <f t="shared" si="33"/>
        <v>11071428.420000032</v>
      </c>
      <c r="T78" s="9"/>
      <c r="U78" s="144"/>
      <c r="V78" s="177"/>
      <c r="W78" s="144"/>
      <c r="X78" s="144"/>
    </row>
    <row r="79" spans="2:25">
      <c r="B79" s="9"/>
      <c r="C79" s="164"/>
      <c r="D79" s="177"/>
      <c r="E79" s="177"/>
      <c r="F79" s="164"/>
      <c r="H79" s="27" t="s">
        <v>113</v>
      </c>
      <c r="I79" s="37">
        <f t="shared" ref="I79:I88" si="38">+L78</f>
        <v>23771929.49999997</v>
      </c>
      <c r="J79" s="41">
        <f t="shared" si="35"/>
        <v>181429.34693812477</v>
      </c>
      <c r="K79" s="41">
        <f t="shared" si="9"/>
        <v>350877.2</v>
      </c>
      <c r="L79" s="41">
        <f t="shared" si="36"/>
        <v>23421052.299999971</v>
      </c>
      <c r="N79" s="27" t="s">
        <v>115</v>
      </c>
      <c r="O79" s="37">
        <f t="shared" si="37"/>
        <v>11071428.420000032</v>
      </c>
      <c r="P79" s="41">
        <f t="shared" si="34"/>
        <v>85420.683355475237</v>
      </c>
      <c r="Q79" s="41">
        <v>357142.86</v>
      </c>
      <c r="R79" s="41">
        <f t="shared" si="33"/>
        <v>10714285.560000032</v>
      </c>
      <c r="T79" s="9"/>
      <c r="U79" s="144"/>
      <c r="V79" s="177"/>
      <c r="W79" s="144"/>
      <c r="X79" s="144"/>
    </row>
    <row r="80" spans="2:25">
      <c r="B80" s="9"/>
      <c r="C80" s="164"/>
      <c r="D80" s="177"/>
      <c r="E80" s="177"/>
      <c r="F80" s="164"/>
      <c r="H80" s="27" t="s">
        <v>114</v>
      </c>
      <c r="I80" s="37">
        <f t="shared" si="38"/>
        <v>23421052.299999971</v>
      </c>
      <c r="J80" s="41">
        <f t="shared" si="35"/>
        <v>178751.42290795813</v>
      </c>
      <c r="K80" s="41">
        <f t="shared" si="9"/>
        <v>350877.2</v>
      </c>
      <c r="L80" s="41">
        <f t="shared" si="36"/>
        <v>23070175.099999972</v>
      </c>
      <c r="N80" s="27" t="s">
        <v>116</v>
      </c>
      <c r="O80" s="37">
        <f t="shared" si="37"/>
        <v>10714285.560000032</v>
      </c>
      <c r="P80" s="41">
        <f t="shared" si="34"/>
        <v>82665.177381050249</v>
      </c>
      <c r="Q80" s="41">
        <v>357142.86</v>
      </c>
      <c r="R80" s="41">
        <f t="shared" si="33"/>
        <v>10357142.700000033</v>
      </c>
      <c r="T80" s="9"/>
      <c r="U80" s="144"/>
      <c r="V80" s="177"/>
      <c r="W80" s="144"/>
      <c r="X80" s="144"/>
    </row>
    <row r="81" spans="2:24">
      <c r="B81" s="9"/>
      <c r="C81" s="164"/>
      <c r="D81" s="177"/>
      <c r="E81" s="177"/>
      <c r="F81" s="164"/>
      <c r="H81" s="27" t="s">
        <v>115</v>
      </c>
      <c r="I81" s="37">
        <f t="shared" si="38"/>
        <v>23070175.099999972</v>
      </c>
      <c r="J81" s="41">
        <f t="shared" si="35"/>
        <v>176073.49887779146</v>
      </c>
      <c r="K81" s="41">
        <f t="shared" si="9"/>
        <v>350877.2</v>
      </c>
      <c r="L81" s="41">
        <f t="shared" si="36"/>
        <v>22719297.899999972</v>
      </c>
      <c r="N81" s="27" t="s">
        <v>117</v>
      </c>
      <c r="O81" s="37">
        <f t="shared" si="37"/>
        <v>10357142.700000033</v>
      </c>
      <c r="P81" s="41">
        <f t="shared" si="34"/>
        <v>79909.671406625261</v>
      </c>
      <c r="Q81" s="41">
        <v>357142.86</v>
      </c>
      <c r="R81" s="41">
        <f t="shared" si="33"/>
        <v>9999999.8400000334</v>
      </c>
      <c r="T81" s="9"/>
      <c r="U81" s="144"/>
      <c r="V81" s="177"/>
      <c r="W81" s="144"/>
      <c r="X81" s="144"/>
    </row>
    <row r="82" spans="2:24">
      <c r="B82" s="9"/>
      <c r="C82" s="164"/>
      <c r="D82" s="177"/>
      <c r="E82" s="177"/>
      <c r="F82" s="164"/>
      <c r="H82" s="27" t="s">
        <v>116</v>
      </c>
      <c r="I82" s="37">
        <f t="shared" si="38"/>
        <v>22719297.899999972</v>
      </c>
      <c r="J82" s="41">
        <f t="shared" si="35"/>
        <v>173395.57484762481</v>
      </c>
      <c r="K82" s="41">
        <f t="shared" si="9"/>
        <v>350877.2</v>
      </c>
      <c r="L82" s="41">
        <f t="shared" si="36"/>
        <v>22368420.699999973</v>
      </c>
      <c r="N82" s="27" t="s">
        <v>118</v>
      </c>
      <c r="O82" s="37">
        <f t="shared" si="37"/>
        <v>9999999.8400000334</v>
      </c>
      <c r="P82" s="41">
        <f t="shared" si="34"/>
        <v>77154.165432200258</v>
      </c>
      <c r="Q82" s="41">
        <v>357142.86</v>
      </c>
      <c r="R82" s="41">
        <f t="shared" si="33"/>
        <v>9642856.980000034</v>
      </c>
      <c r="T82" s="9"/>
      <c r="U82" s="144"/>
      <c r="V82" s="177"/>
      <c r="W82" s="144"/>
      <c r="X82" s="144"/>
    </row>
    <row r="83" spans="2:24">
      <c r="B83" s="9"/>
      <c r="C83" s="164"/>
      <c r="D83" s="177"/>
      <c r="E83" s="177"/>
      <c r="F83" s="164"/>
      <c r="H83" s="27" t="s">
        <v>117</v>
      </c>
      <c r="I83" s="37">
        <f t="shared" si="38"/>
        <v>22368420.699999973</v>
      </c>
      <c r="J83" s="41">
        <f t="shared" si="35"/>
        <v>170717.65081745814</v>
      </c>
      <c r="K83" s="41">
        <f t="shared" si="9"/>
        <v>350877.2</v>
      </c>
      <c r="L83" s="41">
        <f t="shared" si="36"/>
        <v>22017543.499999974</v>
      </c>
      <c r="N83" s="27" t="s">
        <v>119</v>
      </c>
      <c r="O83" s="37">
        <f t="shared" si="37"/>
        <v>9642856.980000034</v>
      </c>
      <c r="P83" s="41">
        <f t="shared" si="34"/>
        <v>74398.659457775255</v>
      </c>
      <c r="Q83" s="41">
        <v>357142.86</v>
      </c>
      <c r="R83" s="41">
        <f t="shared" si="33"/>
        <v>9285714.1200000346</v>
      </c>
      <c r="T83" s="9"/>
      <c r="U83" s="144"/>
      <c r="V83" s="177"/>
      <c r="W83" s="144"/>
      <c r="X83" s="144"/>
    </row>
    <row r="84" spans="2:24">
      <c r="B84" s="9"/>
      <c r="C84" s="164"/>
      <c r="D84" s="177"/>
      <c r="E84" s="177"/>
      <c r="F84" s="164"/>
      <c r="H84" s="27" t="s">
        <v>118</v>
      </c>
      <c r="I84" s="37">
        <f t="shared" si="38"/>
        <v>22017543.499999974</v>
      </c>
      <c r="J84" s="41">
        <f t="shared" si="35"/>
        <v>168039.72678729147</v>
      </c>
      <c r="K84" s="41">
        <f t="shared" si="9"/>
        <v>350877.2</v>
      </c>
      <c r="L84" s="41">
        <f t="shared" si="36"/>
        <v>21666666.299999975</v>
      </c>
      <c r="N84" s="27" t="s">
        <v>106</v>
      </c>
      <c r="O84" s="37">
        <f t="shared" si="37"/>
        <v>9285714.1200000346</v>
      </c>
      <c r="P84" s="41">
        <f t="shared" si="34"/>
        <v>71643.153483350266</v>
      </c>
      <c r="Q84" s="41">
        <v>357142.86</v>
      </c>
      <c r="R84" s="41">
        <f t="shared" si="33"/>
        <v>8928571.2600000352</v>
      </c>
      <c r="T84" s="9"/>
      <c r="U84" s="144"/>
      <c r="V84" s="177"/>
      <c r="W84" s="144"/>
      <c r="X84" s="144"/>
    </row>
    <row r="85" spans="2:24">
      <c r="B85" s="9"/>
      <c r="C85" s="164"/>
      <c r="D85" s="177"/>
      <c r="E85" s="177"/>
      <c r="F85" s="164"/>
      <c r="H85" s="27" t="s">
        <v>119</v>
      </c>
      <c r="I85" s="37">
        <f t="shared" si="38"/>
        <v>21666666.299999975</v>
      </c>
      <c r="J85" s="41">
        <f t="shared" si="35"/>
        <v>165361.80275712479</v>
      </c>
      <c r="K85" s="41">
        <f t="shared" si="9"/>
        <v>350877.2</v>
      </c>
      <c r="L85" s="41">
        <f t="shared" si="36"/>
        <v>21315789.099999975</v>
      </c>
      <c r="N85" s="27" t="s">
        <v>105</v>
      </c>
      <c r="O85" s="37">
        <f t="shared" si="37"/>
        <v>8928571.2600000352</v>
      </c>
      <c r="P85" s="41">
        <f t="shared" si="34"/>
        <v>68887.647508925264</v>
      </c>
      <c r="Q85" s="41">
        <v>357142.86</v>
      </c>
      <c r="R85" s="41">
        <f t="shared" si="33"/>
        <v>8571428.4000000358</v>
      </c>
      <c r="T85" s="9"/>
      <c r="U85" s="144"/>
      <c r="V85" s="177"/>
      <c r="W85" s="144"/>
      <c r="X85" s="144"/>
    </row>
    <row r="86" spans="2:24" ht="15.75" thickBot="1">
      <c r="B86" s="9"/>
      <c r="C86" s="164"/>
      <c r="D86" s="177"/>
      <c r="E86" s="177"/>
      <c r="F86" s="164"/>
      <c r="H86" s="27" t="s">
        <v>106</v>
      </c>
      <c r="I86" s="37">
        <f t="shared" si="38"/>
        <v>21315789.099999975</v>
      </c>
      <c r="J86" s="41">
        <f t="shared" si="35"/>
        <v>162683.87872695812</v>
      </c>
      <c r="K86" s="41">
        <f t="shared" si="9"/>
        <v>350877.2</v>
      </c>
      <c r="L86" s="41">
        <f t="shared" si="36"/>
        <v>20964911.899999976</v>
      </c>
      <c r="N86" s="27" t="s">
        <v>107</v>
      </c>
      <c r="O86" s="37">
        <f t="shared" si="37"/>
        <v>8571428.4000000358</v>
      </c>
      <c r="P86" s="41">
        <f t="shared" si="34"/>
        <v>66132.14153450029</v>
      </c>
      <c r="Q86" s="41">
        <v>357142.86</v>
      </c>
      <c r="R86" s="41">
        <f t="shared" si="33"/>
        <v>8214285.5400000354</v>
      </c>
      <c r="T86" s="9"/>
      <c r="U86" s="144"/>
      <c r="V86" s="177"/>
      <c r="W86" s="144"/>
      <c r="X86" s="144"/>
    </row>
    <row r="87" spans="2:24" ht="15.75" thickBot="1">
      <c r="B87" s="9"/>
      <c r="C87" s="164"/>
      <c r="D87" s="177"/>
      <c r="E87" s="177"/>
      <c r="F87" s="164"/>
      <c r="H87" s="27" t="s">
        <v>105</v>
      </c>
      <c r="I87" s="37">
        <f t="shared" si="38"/>
        <v>20964911.899999976</v>
      </c>
      <c r="J87" s="41">
        <f t="shared" si="35"/>
        <v>160005.95469679148</v>
      </c>
      <c r="K87" s="41">
        <f t="shared" si="9"/>
        <v>350877.2</v>
      </c>
      <c r="L87" s="41">
        <f t="shared" si="36"/>
        <v>20614034.699999977</v>
      </c>
      <c r="N87" s="204" t="s">
        <v>126</v>
      </c>
      <c r="O87" s="205"/>
      <c r="P87" s="206">
        <f>SUM(P75:P86)</f>
        <v>975449.0927260532</v>
      </c>
      <c r="Q87" s="207">
        <f>SUM(Q75:Q86)</f>
        <v>4285714.3199999994</v>
      </c>
      <c r="R87" s="208"/>
      <c r="T87" s="175"/>
      <c r="U87" s="175"/>
      <c r="V87" s="178"/>
      <c r="W87" s="178"/>
      <c r="X87" s="175"/>
    </row>
    <row r="88" spans="2:24" ht="15.75" thickBot="1">
      <c r="B88" s="9"/>
      <c r="C88" s="164"/>
      <c r="D88" s="177"/>
      <c r="E88" s="177"/>
      <c r="F88" s="164"/>
      <c r="H88" s="27" t="s">
        <v>107</v>
      </c>
      <c r="I88" s="37">
        <f t="shared" si="38"/>
        <v>20614034.699999977</v>
      </c>
      <c r="J88" s="41">
        <f t="shared" si="35"/>
        <v>157328.03066662481</v>
      </c>
      <c r="K88" s="41">
        <f t="shared" si="9"/>
        <v>350877.2</v>
      </c>
      <c r="L88" s="41">
        <f t="shared" si="36"/>
        <v>20263157.499999978</v>
      </c>
      <c r="N88" s="27" t="s">
        <v>111</v>
      </c>
      <c r="O88" s="37">
        <f>+R86</f>
        <v>8214285.5400000354</v>
      </c>
      <c r="P88" s="41">
        <f>+O88*$O$18/360*30</f>
        <v>63376.635560075287</v>
      </c>
      <c r="Q88" s="41">
        <v>357142.86</v>
      </c>
      <c r="R88" s="41">
        <f t="shared" ref="R88:R99" si="39">+O88-Q88</f>
        <v>7857142.6800000351</v>
      </c>
      <c r="T88" s="9"/>
      <c r="U88" s="144"/>
      <c r="V88" s="177"/>
      <c r="W88" s="144"/>
      <c r="X88" s="144"/>
    </row>
    <row r="89" spans="2:24" ht="15.75" thickBot="1">
      <c r="B89" s="175"/>
      <c r="C89" s="175"/>
      <c r="D89" s="176"/>
      <c r="E89" s="176"/>
      <c r="F89" s="175"/>
      <c r="H89" s="204" t="s">
        <v>123</v>
      </c>
      <c r="I89" s="205"/>
      <c r="J89" s="206">
        <f>SUM(J77:J88)</f>
        <v>2064679.3539904975</v>
      </c>
      <c r="K89" s="207">
        <f>SUM(K77:K88)</f>
        <v>4210526.4000000013</v>
      </c>
      <c r="L89" s="208"/>
      <c r="N89" s="27" t="s">
        <v>112</v>
      </c>
      <c r="O89" s="37">
        <f>+R88</f>
        <v>7857142.6800000351</v>
      </c>
      <c r="P89" s="41">
        <f t="shared" ref="P89:P98" si="40">+O89*$O$18/360*30</f>
        <v>60621.129585650277</v>
      </c>
      <c r="Q89" s="41">
        <v>357142.86</v>
      </c>
      <c r="R89" s="41">
        <f t="shared" si="39"/>
        <v>7499999.8200000348</v>
      </c>
      <c r="T89" s="9"/>
      <c r="U89" s="144"/>
      <c r="V89" s="177"/>
      <c r="W89" s="144"/>
      <c r="X89" s="144"/>
    </row>
    <row r="90" spans="2:24">
      <c r="B90" s="9"/>
      <c r="C90" s="164"/>
      <c r="D90" s="177"/>
      <c r="E90" s="177"/>
      <c r="F90" s="164"/>
      <c r="H90" s="27" t="s">
        <v>111</v>
      </c>
      <c r="I90" s="37">
        <f>+L88</f>
        <v>20263157.499999978</v>
      </c>
      <c r="J90" s="41">
        <f t="shared" ref="J90:J101" si="41">+I90*$I$18/360*30</f>
        <v>154650.10663645816</v>
      </c>
      <c r="K90" s="41">
        <f t="shared" si="9"/>
        <v>350877.2</v>
      </c>
      <c r="L90" s="41">
        <f t="shared" ref="L90:L101" si="42">+I90-K90</f>
        <v>19912280.299999978</v>
      </c>
      <c r="N90" s="27" t="s">
        <v>113</v>
      </c>
      <c r="O90" s="37">
        <f t="shared" ref="O90:O99" si="43">+R89</f>
        <v>7499999.8200000348</v>
      </c>
      <c r="P90" s="41">
        <f t="shared" si="40"/>
        <v>57865.623611225266</v>
      </c>
      <c r="Q90" s="41">
        <v>357142.86</v>
      </c>
      <c r="R90" s="41">
        <f t="shared" si="39"/>
        <v>7142856.9600000344</v>
      </c>
      <c r="T90" s="9"/>
      <c r="U90" s="144"/>
      <c r="V90" s="177"/>
      <c r="W90" s="144"/>
      <c r="X90" s="144"/>
    </row>
    <row r="91" spans="2:24">
      <c r="B91" s="9"/>
      <c r="C91" s="164"/>
      <c r="D91" s="177"/>
      <c r="E91" s="177"/>
      <c r="F91" s="164"/>
      <c r="H91" s="27" t="s">
        <v>112</v>
      </c>
      <c r="I91" s="37">
        <f>+L90</f>
        <v>19912280.299999978</v>
      </c>
      <c r="J91" s="41">
        <f t="shared" si="41"/>
        <v>151972.18260629149</v>
      </c>
      <c r="K91" s="41">
        <f t="shared" si="9"/>
        <v>350877.2</v>
      </c>
      <c r="L91" s="41">
        <f t="shared" si="42"/>
        <v>19561403.099999979</v>
      </c>
      <c r="N91" s="27" t="s">
        <v>114</v>
      </c>
      <c r="O91" s="37">
        <f t="shared" si="43"/>
        <v>7142856.9600000344</v>
      </c>
      <c r="P91" s="41">
        <f t="shared" si="40"/>
        <v>55110.117636800271</v>
      </c>
      <c r="Q91" s="41">
        <v>357142.86</v>
      </c>
      <c r="R91" s="41">
        <f t="shared" si="39"/>
        <v>6785714.1000000341</v>
      </c>
      <c r="T91" s="9"/>
      <c r="U91" s="144"/>
      <c r="V91" s="177"/>
      <c r="W91" s="144"/>
      <c r="X91" s="144"/>
    </row>
    <row r="92" spans="2:24">
      <c r="B92" s="9"/>
      <c r="C92" s="164"/>
      <c r="D92" s="177"/>
      <c r="E92" s="177"/>
      <c r="F92" s="164"/>
      <c r="H92" s="27" t="s">
        <v>113</v>
      </c>
      <c r="I92" s="37">
        <f t="shared" ref="I92:I101" si="44">+L91</f>
        <v>19561403.099999979</v>
      </c>
      <c r="J92" s="41">
        <f t="shared" si="41"/>
        <v>149294.25857612485</v>
      </c>
      <c r="K92" s="41">
        <f t="shared" si="9"/>
        <v>350877.2</v>
      </c>
      <c r="L92" s="41">
        <f t="shared" si="42"/>
        <v>19210525.89999998</v>
      </c>
      <c r="N92" s="27" t="s">
        <v>115</v>
      </c>
      <c r="O92" s="37">
        <f t="shared" si="43"/>
        <v>6785714.1000000341</v>
      </c>
      <c r="P92" s="41">
        <f t="shared" si="40"/>
        <v>52354.611662375268</v>
      </c>
      <c r="Q92" s="41">
        <v>357142.86</v>
      </c>
      <c r="R92" s="41">
        <f t="shared" si="39"/>
        <v>6428571.2400000338</v>
      </c>
      <c r="T92" s="9"/>
      <c r="U92" s="144"/>
      <c r="V92" s="177"/>
      <c r="W92" s="144"/>
      <c r="X92" s="144"/>
    </row>
    <row r="93" spans="2:24">
      <c r="B93" s="9"/>
      <c r="C93" s="164"/>
      <c r="D93" s="177"/>
      <c r="E93" s="177"/>
      <c r="F93" s="164"/>
      <c r="H93" s="27" t="s">
        <v>114</v>
      </c>
      <c r="I93" s="37">
        <f t="shared" si="44"/>
        <v>19210525.89999998</v>
      </c>
      <c r="J93" s="41">
        <f t="shared" si="41"/>
        <v>146616.33454595818</v>
      </c>
      <c r="K93" s="41">
        <f t="shared" ref="K93:K127" si="45">87719.3+131578.95+131578.95</f>
        <v>350877.2</v>
      </c>
      <c r="L93" s="41">
        <f t="shared" si="42"/>
        <v>18859648.699999981</v>
      </c>
      <c r="N93" s="27" t="s">
        <v>116</v>
      </c>
      <c r="O93" s="37">
        <f t="shared" si="43"/>
        <v>6428571.2400000338</v>
      </c>
      <c r="P93" s="41">
        <f t="shared" si="40"/>
        <v>49599.105687950265</v>
      </c>
      <c r="Q93" s="41">
        <v>357142.86</v>
      </c>
      <c r="R93" s="41">
        <f t="shared" si="39"/>
        <v>6071428.3800000334</v>
      </c>
      <c r="T93" s="9"/>
      <c r="U93" s="144"/>
      <c r="V93" s="177"/>
      <c r="W93" s="144"/>
      <c r="X93" s="144"/>
    </row>
    <row r="94" spans="2:24">
      <c r="B94" s="9"/>
      <c r="C94" s="164"/>
      <c r="D94" s="177"/>
      <c r="E94" s="177"/>
      <c r="F94" s="164"/>
      <c r="H94" s="27" t="s">
        <v>115</v>
      </c>
      <c r="I94" s="37">
        <f t="shared" si="44"/>
        <v>18859648.699999981</v>
      </c>
      <c r="J94" s="41">
        <f t="shared" si="41"/>
        <v>143938.41051579153</v>
      </c>
      <c r="K94" s="41">
        <f t="shared" si="45"/>
        <v>350877.2</v>
      </c>
      <c r="L94" s="41">
        <f t="shared" si="42"/>
        <v>18508771.499999981</v>
      </c>
      <c r="N94" s="27" t="s">
        <v>117</v>
      </c>
      <c r="O94" s="37">
        <f t="shared" si="43"/>
        <v>6071428.3800000334</v>
      </c>
      <c r="P94" s="41">
        <f t="shared" si="40"/>
        <v>46843.599713525262</v>
      </c>
      <c r="Q94" s="41">
        <v>357142.86</v>
      </c>
      <c r="R94" s="41">
        <f t="shared" si="39"/>
        <v>5714285.5200000331</v>
      </c>
      <c r="T94" s="9"/>
      <c r="U94" s="144"/>
      <c r="V94" s="177"/>
      <c r="W94" s="144"/>
      <c r="X94" s="144"/>
    </row>
    <row r="95" spans="2:24">
      <c r="B95" s="9"/>
      <c r="C95" s="164"/>
      <c r="D95" s="177"/>
      <c r="E95" s="177"/>
      <c r="F95" s="164"/>
      <c r="H95" s="27" t="s">
        <v>116</v>
      </c>
      <c r="I95" s="37">
        <f t="shared" si="44"/>
        <v>18508771.499999981</v>
      </c>
      <c r="J95" s="41">
        <f t="shared" si="41"/>
        <v>141260.48648562486</v>
      </c>
      <c r="K95" s="41">
        <f t="shared" si="45"/>
        <v>350877.2</v>
      </c>
      <c r="L95" s="41">
        <f t="shared" si="42"/>
        <v>18157894.299999982</v>
      </c>
      <c r="N95" s="27" t="s">
        <v>118</v>
      </c>
      <c r="O95" s="37">
        <f t="shared" si="43"/>
        <v>5714285.5200000331</v>
      </c>
      <c r="P95" s="41">
        <f t="shared" si="40"/>
        <v>44088.093739100252</v>
      </c>
      <c r="Q95" s="41">
        <v>357142.86</v>
      </c>
      <c r="R95" s="41">
        <f t="shared" si="39"/>
        <v>5357142.6600000327</v>
      </c>
      <c r="T95" s="9"/>
      <c r="U95" s="144"/>
      <c r="V95" s="177"/>
      <c r="W95" s="144"/>
      <c r="X95" s="144"/>
    </row>
    <row r="96" spans="2:24">
      <c r="B96" s="9"/>
      <c r="C96" s="164"/>
      <c r="D96" s="177"/>
      <c r="E96" s="177"/>
      <c r="F96" s="164"/>
      <c r="H96" s="27" t="s">
        <v>117</v>
      </c>
      <c r="I96" s="37">
        <f t="shared" si="44"/>
        <v>18157894.299999982</v>
      </c>
      <c r="J96" s="41">
        <f t="shared" si="41"/>
        <v>138582.56245545819</v>
      </c>
      <c r="K96" s="41">
        <f t="shared" si="45"/>
        <v>350877.2</v>
      </c>
      <c r="L96" s="41">
        <f t="shared" si="42"/>
        <v>17807017.099999983</v>
      </c>
      <c r="N96" s="27" t="s">
        <v>119</v>
      </c>
      <c r="O96" s="37">
        <f t="shared" si="43"/>
        <v>5357142.6600000327</v>
      </c>
      <c r="P96" s="41">
        <f t="shared" si="40"/>
        <v>41332.587764675256</v>
      </c>
      <c r="Q96" s="41">
        <v>357142.86</v>
      </c>
      <c r="R96" s="41">
        <f t="shared" si="39"/>
        <v>4999999.8000000324</v>
      </c>
      <c r="T96" s="9"/>
      <c r="U96" s="144"/>
      <c r="V96" s="177"/>
      <c r="W96" s="144"/>
      <c r="X96" s="144"/>
    </row>
    <row r="97" spans="2:24">
      <c r="B97" s="9"/>
      <c r="C97" s="164"/>
      <c r="D97" s="177"/>
      <c r="E97" s="177"/>
      <c r="F97" s="164"/>
      <c r="H97" s="27" t="s">
        <v>118</v>
      </c>
      <c r="I97" s="37">
        <f t="shared" si="44"/>
        <v>17807017.099999983</v>
      </c>
      <c r="J97" s="41">
        <f t="shared" si="41"/>
        <v>135904.63842529154</v>
      </c>
      <c r="K97" s="41">
        <f t="shared" si="45"/>
        <v>350877.2</v>
      </c>
      <c r="L97" s="41">
        <f t="shared" si="42"/>
        <v>17456139.899999984</v>
      </c>
      <c r="N97" s="27" t="s">
        <v>106</v>
      </c>
      <c r="O97" s="37">
        <f t="shared" si="43"/>
        <v>4999999.8000000324</v>
      </c>
      <c r="P97" s="41">
        <f t="shared" si="40"/>
        <v>38577.081790250253</v>
      </c>
      <c r="Q97" s="41">
        <v>357142.86</v>
      </c>
      <c r="R97" s="41">
        <f t="shared" si="39"/>
        <v>4642856.9400000321</v>
      </c>
      <c r="T97" s="9"/>
      <c r="U97" s="144"/>
      <c r="V97" s="177"/>
      <c r="W97" s="144"/>
      <c r="X97" s="144"/>
    </row>
    <row r="98" spans="2:24">
      <c r="B98" s="9"/>
      <c r="C98" s="164"/>
      <c r="D98" s="177"/>
      <c r="E98" s="177"/>
      <c r="F98" s="164"/>
      <c r="H98" s="27" t="s">
        <v>119</v>
      </c>
      <c r="I98" s="37">
        <f t="shared" si="44"/>
        <v>17456139.899999984</v>
      </c>
      <c r="J98" s="41">
        <f t="shared" si="41"/>
        <v>133226.71439512487</v>
      </c>
      <c r="K98" s="41">
        <f t="shared" si="45"/>
        <v>350877.2</v>
      </c>
      <c r="L98" s="41">
        <f t="shared" si="42"/>
        <v>17105262.699999984</v>
      </c>
      <c r="N98" s="27" t="s">
        <v>105</v>
      </c>
      <c r="O98" s="37">
        <f t="shared" si="43"/>
        <v>4642856.9400000321</v>
      </c>
      <c r="P98" s="41">
        <f t="shared" si="40"/>
        <v>35821.57581582525</v>
      </c>
      <c r="Q98" s="41">
        <v>357142.86</v>
      </c>
      <c r="R98" s="41">
        <f t="shared" si="39"/>
        <v>4285714.0800000317</v>
      </c>
      <c r="T98" s="9"/>
      <c r="U98" s="144"/>
      <c r="V98" s="177"/>
      <c r="W98" s="144"/>
      <c r="X98" s="144"/>
    </row>
    <row r="99" spans="2:24" ht="15.75" thickBot="1">
      <c r="B99" s="9"/>
      <c r="C99" s="164"/>
      <c r="D99" s="177"/>
      <c r="E99" s="177"/>
      <c r="F99" s="164"/>
      <c r="H99" s="27" t="s">
        <v>106</v>
      </c>
      <c r="I99" s="37">
        <f t="shared" si="44"/>
        <v>17105262.699999984</v>
      </c>
      <c r="J99" s="41">
        <f t="shared" si="41"/>
        <v>130548.79036495823</v>
      </c>
      <c r="K99" s="41">
        <f t="shared" si="45"/>
        <v>350877.2</v>
      </c>
      <c r="L99" s="41">
        <f t="shared" si="42"/>
        <v>16754385.499999985</v>
      </c>
      <c r="N99" s="27" t="s">
        <v>107</v>
      </c>
      <c r="O99" s="37">
        <f t="shared" si="43"/>
        <v>4285714.0800000317</v>
      </c>
      <c r="P99" s="41">
        <f>+O99*$O$18/360*30</f>
        <v>33066.069841400247</v>
      </c>
      <c r="Q99" s="41">
        <v>357142.86</v>
      </c>
      <c r="R99" s="41">
        <f t="shared" si="39"/>
        <v>3928571.2200000319</v>
      </c>
      <c r="T99" s="9"/>
      <c r="U99" s="144"/>
      <c r="V99" s="177"/>
      <c r="W99" s="144"/>
      <c r="X99" s="144"/>
    </row>
    <row r="100" spans="2:24" ht="15.75" thickBot="1">
      <c r="B100" s="9"/>
      <c r="C100" s="164"/>
      <c r="D100" s="177"/>
      <c r="E100" s="177"/>
      <c r="F100" s="164"/>
      <c r="H100" s="27" t="s">
        <v>105</v>
      </c>
      <c r="I100" s="37">
        <f t="shared" si="44"/>
        <v>16754385.499999985</v>
      </c>
      <c r="J100" s="41">
        <f t="shared" si="41"/>
        <v>127870.86633479153</v>
      </c>
      <c r="K100" s="41">
        <f t="shared" si="45"/>
        <v>350877.2</v>
      </c>
      <c r="L100" s="41">
        <f t="shared" si="42"/>
        <v>16403508.299999986</v>
      </c>
      <c r="N100" s="204" t="s">
        <v>127</v>
      </c>
      <c r="O100" s="205"/>
      <c r="P100" s="206">
        <f>SUM(P88:P99)</f>
        <v>578656.23240885325</v>
      </c>
      <c r="Q100" s="207">
        <f>SUM(Q88:Q99)</f>
        <v>4285714.3199999994</v>
      </c>
      <c r="R100" s="208"/>
      <c r="T100" s="175"/>
      <c r="U100" s="175"/>
      <c r="V100" s="178"/>
      <c r="W100" s="178"/>
      <c r="X100" s="175"/>
    </row>
    <row r="101" spans="2:24" ht="15.75" thickBot="1">
      <c r="B101" s="9"/>
      <c r="C101" s="164"/>
      <c r="D101" s="177"/>
      <c r="E101" s="177"/>
      <c r="F101" s="164"/>
      <c r="H101" s="27" t="s">
        <v>107</v>
      </c>
      <c r="I101" s="37">
        <f t="shared" si="44"/>
        <v>16403508.299999986</v>
      </c>
      <c r="J101" s="41">
        <f t="shared" si="41"/>
        <v>125192.94230462487</v>
      </c>
      <c r="K101" s="41">
        <f t="shared" si="45"/>
        <v>350877.2</v>
      </c>
      <c r="L101" s="41">
        <f t="shared" si="42"/>
        <v>16052631.099999987</v>
      </c>
      <c r="N101" s="27" t="s">
        <v>111</v>
      </c>
      <c r="O101" s="37">
        <f>+R99</f>
        <v>3928571.2200000319</v>
      </c>
      <c r="P101" s="41">
        <f>+O101*$O$18/360*30</f>
        <v>30310.563866975248</v>
      </c>
      <c r="Q101" s="41">
        <v>357142.86</v>
      </c>
      <c r="R101" s="41">
        <f t="shared" ref="R101:R111" si="46">+O101-Q101</f>
        <v>3571428.360000032</v>
      </c>
      <c r="T101" s="9"/>
      <c r="U101" s="144"/>
      <c r="V101" s="177"/>
      <c r="W101" s="144"/>
      <c r="X101" s="144"/>
    </row>
    <row r="102" spans="2:24" ht="15.75" thickBot="1">
      <c r="B102" s="175"/>
      <c r="C102" s="175"/>
      <c r="D102" s="176"/>
      <c r="E102" s="176"/>
      <c r="F102" s="175"/>
      <c r="H102" s="204" t="s">
        <v>124</v>
      </c>
      <c r="I102" s="205"/>
      <c r="J102" s="206">
        <f>SUM(J90:J101)</f>
        <v>1679058.2936464986</v>
      </c>
      <c r="K102" s="207">
        <f>SUM(K90:K101)</f>
        <v>4210526.4000000013</v>
      </c>
      <c r="L102" s="208"/>
      <c r="N102" s="27" t="s">
        <v>112</v>
      </c>
      <c r="O102" s="37">
        <f>+R101</f>
        <v>3571428.360000032</v>
      </c>
      <c r="P102" s="41">
        <f t="shared" ref="P102:P111" si="47">+O102*$O$18/360*30</f>
        <v>27555.057892550249</v>
      </c>
      <c r="Q102" s="41">
        <v>357142.86</v>
      </c>
      <c r="R102" s="41">
        <f t="shared" si="46"/>
        <v>3214285.5000000321</v>
      </c>
      <c r="T102" s="9"/>
      <c r="U102" s="144"/>
      <c r="V102" s="177"/>
      <c r="W102" s="144"/>
      <c r="X102" s="144"/>
    </row>
    <row r="103" spans="2:24">
      <c r="B103" s="9"/>
      <c r="C103" s="164"/>
      <c r="D103" s="177"/>
      <c r="E103" s="177"/>
      <c r="F103" s="164"/>
      <c r="H103" s="27" t="s">
        <v>111</v>
      </c>
      <c r="I103" s="37">
        <f>+L101</f>
        <v>16052631.099999987</v>
      </c>
      <c r="J103" s="41">
        <f t="shared" ref="J103:J114" si="48">+I103*$I$18/360*30</f>
        <v>122515.01827445821</v>
      </c>
      <c r="K103" s="41">
        <f t="shared" si="45"/>
        <v>350877.2</v>
      </c>
      <c r="L103" s="41">
        <f t="shared" ref="L103:L114" si="49">+I103-K103</f>
        <v>15701753.899999987</v>
      </c>
      <c r="N103" s="27" t="s">
        <v>113</v>
      </c>
      <c r="O103" s="37">
        <f t="shared" ref="O103:O111" si="50">+R102</f>
        <v>3214285.5000000321</v>
      </c>
      <c r="P103" s="41">
        <f t="shared" si="47"/>
        <v>24799.551918125246</v>
      </c>
      <c r="Q103" s="41">
        <v>357142.86</v>
      </c>
      <c r="R103" s="41">
        <f t="shared" si="46"/>
        <v>2857142.6400000323</v>
      </c>
      <c r="T103" s="9"/>
      <c r="U103" s="144"/>
      <c r="V103" s="177"/>
      <c r="W103" s="144"/>
      <c r="X103" s="144"/>
    </row>
    <row r="104" spans="2:24">
      <c r="B104" s="9"/>
      <c r="C104" s="164"/>
      <c r="D104" s="177"/>
      <c r="E104" s="177"/>
      <c r="F104" s="164"/>
      <c r="H104" s="27" t="s">
        <v>112</v>
      </c>
      <c r="I104" s="37">
        <f>+L103</f>
        <v>15701753.899999987</v>
      </c>
      <c r="J104" s="41">
        <f t="shared" si="48"/>
        <v>119837.09424429158</v>
      </c>
      <c r="K104" s="41">
        <f t="shared" si="45"/>
        <v>350877.2</v>
      </c>
      <c r="L104" s="41">
        <f t="shared" si="49"/>
        <v>15350876.699999988</v>
      </c>
      <c r="N104" s="27" t="s">
        <v>114</v>
      </c>
      <c r="O104" s="37">
        <f t="shared" si="50"/>
        <v>2857142.6400000323</v>
      </c>
      <c r="P104" s="41">
        <f t="shared" si="47"/>
        <v>22044.045943700246</v>
      </c>
      <c r="Q104" s="41">
        <v>357142.86</v>
      </c>
      <c r="R104" s="41">
        <f t="shared" si="46"/>
        <v>2499999.7800000324</v>
      </c>
      <c r="T104" s="9"/>
      <c r="U104" s="144"/>
      <c r="V104" s="177"/>
      <c r="W104" s="144"/>
      <c r="X104" s="144"/>
    </row>
    <row r="105" spans="2:24">
      <c r="B105" s="9"/>
      <c r="C105" s="164"/>
      <c r="D105" s="177"/>
      <c r="E105" s="177"/>
      <c r="F105" s="164"/>
      <c r="H105" s="27" t="s">
        <v>113</v>
      </c>
      <c r="I105" s="37">
        <f t="shared" ref="I105:I114" si="51">+L104</f>
        <v>15350876.699999988</v>
      </c>
      <c r="J105" s="41">
        <f t="shared" si="48"/>
        <v>117159.17021412491</v>
      </c>
      <c r="K105" s="41">
        <f t="shared" si="45"/>
        <v>350877.2</v>
      </c>
      <c r="L105" s="41">
        <f t="shared" si="49"/>
        <v>14999999.499999989</v>
      </c>
      <c r="N105" s="27" t="s">
        <v>115</v>
      </c>
      <c r="O105" s="37">
        <f t="shared" si="50"/>
        <v>2499999.7800000324</v>
      </c>
      <c r="P105" s="41">
        <f t="shared" si="47"/>
        <v>19288.539969275251</v>
      </c>
      <c r="Q105" s="41">
        <v>357142.86</v>
      </c>
      <c r="R105" s="41">
        <f t="shared" si="46"/>
        <v>2142856.9200000325</v>
      </c>
      <c r="T105" s="9"/>
      <c r="U105" s="144"/>
      <c r="V105" s="177"/>
      <c r="W105" s="144"/>
      <c r="X105" s="144"/>
    </row>
    <row r="106" spans="2:24">
      <c r="B106" s="9"/>
      <c r="C106" s="164"/>
      <c r="D106" s="177"/>
      <c r="E106" s="177"/>
      <c r="F106" s="164"/>
      <c r="H106" s="27" t="s">
        <v>114</v>
      </c>
      <c r="I106" s="37">
        <f t="shared" si="51"/>
        <v>14999999.499999989</v>
      </c>
      <c r="J106" s="41">
        <f t="shared" si="48"/>
        <v>114481.24618395825</v>
      </c>
      <c r="K106" s="41">
        <f t="shared" si="45"/>
        <v>350877.2</v>
      </c>
      <c r="L106" s="41">
        <f t="shared" si="49"/>
        <v>14649122.29999999</v>
      </c>
      <c r="N106" s="27" t="s">
        <v>116</v>
      </c>
      <c r="O106" s="37">
        <f t="shared" si="50"/>
        <v>2142856.9200000325</v>
      </c>
      <c r="P106" s="41">
        <f t="shared" si="47"/>
        <v>16533.033994850251</v>
      </c>
      <c r="Q106" s="41">
        <v>357142.86</v>
      </c>
      <c r="R106" s="41">
        <f t="shared" si="46"/>
        <v>1785714.0600000327</v>
      </c>
      <c r="T106" s="9"/>
      <c r="U106" s="144"/>
      <c r="V106" s="177"/>
      <c r="W106" s="144"/>
      <c r="X106" s="144"/>
    </row>
    <row r="107" spans="2:24">
      <c r="B107" s="9"/>
      <c r="C107" s="164"/>
      <c r="D107" s="177"/>
      <c r="E107" s="177"/>
      <c r="F107" s="164"/>
      <c r="H107" s="27" t="s">
        <v>115</v>
      </c>
      <c r="I107" s="37">
        <f t="shared" si="51"/>
        <v>14649122.29999999</v>
      </c>
      <c r="J107" s="41">
        <f t="shared" si="48"/>
        <v>111803.3221537916</v>
      </c>
      <c r="K107" s="41">
        <f t="shared" si="45"/>
        <v>350877.2</v>
      </c>
      <c r="L107" s="41">
        <f t="shared" si="49"/>
        <v>14298245.09999999</v>
      </c>
      <c r="N107" s="27" t="s">
        <v>117</v>
      </c>
      <c r="O107" s="37">
        <f t="shared" si="50"/>
        <v>1785714.0600000327</v>
      </c>
      <c r="P107" s="41">
        <f t="shared" si="47"/>
        <v>13777.52802042525</v>
      </c>
      <c r="Q107" s="41">
        <v>357142.86</v>
      </c>
      <c r="R107" s="41">
        <f t="shared" si="46"/>
        <v>1428571.2000000328</v>
      </c>
      <c r="T107" s="9"/>
      <c r="U107" s="144"/>
      <c r="V107" s="177"/>
      <c r="W107" s="144"/>
      <c r="X107" s="144"/>
    </row>
    <row r="108" spans="2:24">
      <c r="B108" s="9"/>
      <c r="C108" s="164"/>
      <c r="D108" s="177"/>
      <c r="E108" s="177"/>
      <c r="F108" s="164"/>
      <c r="H108" s="27" t="s">
        <v>116</v>
      </c>
      <c r="I108" s="37">
        <f t="shared" si="51"/>
        <v>14298245.09999999</v>
      </c>
      <c r="J108" s="41">
        <f t="shared" si="48"/>
        <v>109125.39812362494</v>
      </c>
      <c r="K108" s="41">
        <f t="shared" si="45"/>
        <v>350877.2</v>
      </c>
      <c r="L108" s="41">
        <f t="shared" si="49"/>
        <v>13947367.899999991</v>
      </c>
      <c r="N108" s="27" t="s">
        <v>118</v>
      </c>
      <c r="O108" s="37">
        <f t="shared" si="50"/>
        <v>1428571.2000000328</v>
      </c>
      <c r="P108" s="41">
        <f t="shared" si="47"/>
        <v>11022.022046000253</v>
      </c>
      <c r="Q108" s="41">
        <v>357142.86</v>
      </c>
      <c r="R108" s="41">
        <f t="shared" si="46"/>
        <v>1071428.3400000329</v>
      </c>
      <c r="T108" s="9"/>
      <c r="U108" s="144"/>
      <c r="V108" s="177"/>
      <c r="W108" s="144"/>
      <c r="X108" s="144"/>
    </row>
    <row r="109" spans="2:24">
      <c r="B109" s="9"/>
      <c r="C109" s="164"/>
      <c r="D109" s="177"/>
      <c r="E109" s="177"/>
      <c r="F109" s="164"/>
      <c r="H109" s="27" t="s">
        <v>117</v>
      </c>
      <c r="I109" s="37">
        <f t="shared" si="51"/>
        <v>13947367.899999991</v>
      </c>
      <c r="J109" s="41">
        <f t="shared" si="48"/>
        <v>106447.47409345827</v>
      </c>
      <c r="K109" s="41">
        <f t="shared" si="45"/>
        <v>350877.2</v>
      </c>
      <c r="L109" s="41">
        <f t="shared" si="49"/>
        <v>13596490.699999992</v>
      </c>
      <c r="N109" s="27" t="s">
        <v>119</v>
      </c>
      <c r="O109" s="37">
        <f t="shared" si="50"/>
        <v>1071428.3400000329</v>
      </c>
      <c r="P109" s="41">
        <f t="shared" si="47"/>
        <v>8266.5160715752536</v>
      </c>
      <c r="Q109" s="41">
        <v>357142.86</v>
      </c>
      <c r="R109" s="41">
        <f t="shared" si="46"/>
        <v>714285.48000003293</v>
      </c>
      <c r="T109" s="9"/>
      <c r="U109" s="144"/>
      <c r="V109" s="177"/>
      <c r="W109" s="144"/>
      <c r="X109" s="144"/>
    </row>
    <row r="110" spans="2:24">
      <c r="B110" s="9"/>
      <c r="C110" s="164"/>
      <c r="D110" s="177"/>
      <c r="E110" s="177"/>
      <c r="F110" s="164"/>
      <c r="H110" s="27" t="s">
        <v>118</v>
      </c>
      <c r="I110" s="37">
        <f t="shared" si="51"/>
        <v>13596490.699999992</v>
      </c>
      <c r="J110" s="41">
        <f t="shared" si="48"/>
        <v>103769.55006329159</v>
      </c>
      <c r="K110" s="41">
        <f t="shared" si="45"/>
        <v>350877.2</v>
      </c>
      <c r="L110" s="41">
        <f t="shared" si="49"/>
        <v>13245613.499999993</v>
      </c>
      <c r="N110" s="27" t="s">
        <v>106</v>
      </c>
      <c r="O110" s="37">
        <f t="shared" si="50"/>
        <v>714285.48000003293</v>
      </c>
      <c r="P110" s="41">
        <f t="shared" si="47"/>
        <v>5511.0100971502543</v>
      </c>
      <c r="Q110" s="41">
        <v>357142.86</v>
      </c>
      <c r="R110" s="41">
        <f t="shared" si="46"/>
        <v>357142.62000003294</v>
      </c>
      <c r="T110" s="9"/>
      <c r="U110" s="144"/>
      <c r="V110" s="177"/>
      <c r="W110" s="144"/>
      <c r="X110" s="144"/>
    </row>
    <row r="111" spans="2:24">
      <c r="B111" s="9"/>
      <c r="C111" s="164"/>
      <c r="D111" s="177"/>
      <c r="E111" s="177"/>
      <c r="F111" s="164"/>
      <c r="H111" s="27" t="s">
        <v>119</v>
      </c>
      <c r="I111" s="37">
        <f t="shared" si="51"/>
        <v>13245613.499999993</v>
      </c>
      <c r="J111" s="41">
        <f t="shared" si="48"/>
        <v>101091.62603312494</v>
      </c>
      <c r="K111" s="41">
        <f t="shared" si="45"/>
        <v>350877.2</v>
      </c>
      <c r="L111" s="41">
        <f t="shared" si="49"/>
        <v>12894736.299999993</v>
      </c>
      <c r="N111" s="27" t="s">
        <v>105</v>
      </c>
      <c r="O111" s="37">
        <f t="shared" si="50"/>
        <v>357142.62000003294</v>
      </c>
      <c r="P111" s="41">
        <f t="shared" si="47"/>
        <v>2755.5041227252545</v>
      </c>
      <c r="Q111" s="41">
        <v>357142.86</v>
      </c>
      <c r="R111" s="41">
        <f t="shared" si="46"/>
        <v>-0.2399999670451507</v>
      </c>
      <c r="T111" s="9"/>
      <c r="U111" s="144"/>
      <c r="V111" s="177"/>
      <c r="W111" s="144"/>
      <c r="X111" s="144"/>
    </row>
    <row r="112" spans="2:24" ht="15.75" thickBot="1">
      <c r="B112" s="9"/>
      <c r="C112" s="164"/>
      <c r="D112" s="177"/>
      <c r="E112" s="177"/>
      <c r="F112" s="164"/>
      <c r="H112" s="27" t="s">
        <v>106</v>
      </c>
      <c r="I112" s="37">
        <f t="shared" si="51"/>
        <v>12894736.299999993</v>
      </c>
      <c r="J112" s="41">
        <f t="shared" si="48"/>
        <v>98413.702002958278</v>
      </c>
      <c r="K112" s="41">
        <f t="shared" si="45"/>
        <v>350877.2</v>
      </c>
      <c r="L112" s="41">
        <f t="shared" si="49"/>
        <v>12543859.099999994</v>
      </c>
      <c r="O112" s="37"/>
      <c r="P112" s="41"/>
      <c r="Q112" s="41"/>
      <c r="R112" s="41"/>
      <c r="T112" s="9"/>
      <c r="U112" s="144"/>
      <c r="V112" s="177"/>
      <c r="W112" s="144"/>
      <c r="X112" s="144"/>
    </row>
    <row r="113" spans="2:24" ht="15.75" thickBot="1">
      <c r="B113" s="9"/>
      <c r="C113" s="164"/>
      <c r="D113" s="177"/>
      <c r="E113" s="177"/>
      <c r="F113" s="164"/>
      <c r="H113" s="27" t="s">
        <v>105</v>
      </c>
      <c r="I113" s="37">
        <f t="shared" si="51"/>
        <v>12543859.099999994</v>
      </c>
      <c r="J113" s="41">
        <f t="shared" si="48"/>
        <v>95735.77797279162</v>
      </c>
      <c r="K113" s="41">
        <f t="shared" si="45"/>
        <v>350877.2</v>
      </c>
      <c r="L113" s="41">
        <f t="shared" si="49"/>
        <v>12192981.899999995</v>
      </c>
      <c r="N113" s="204" t="s">
        <v>128</v>
      </c>
      <c r="O113" s="205"/>
      <c r="P113" s="206">
        <f>SUM(P101:P112)</f>
        <v>181863.37394335278</v>
      </c>
      <c r="Q113" s="207">
        <f>SUM(Q101:Q112)</f>
        <v>3928571.459999999</v>
      </c>
      <c r="R113" s="208"/>
      <c r="T113" s="175"/>
      <c r="U113" s="175"/>
      <c r="V113" s="178"/>
      <c r="W113" s="178"/>
      <c r="X113" s="175"/>
    </row>
    <row r="114" spans="2:24" ht="15.75" thickBot="1">
      <c r="B114" s="9"/>
      <c r="C114" s="164"/>
      <c r="D114" s="177"/>
      <c r="E114" s="177"/>
      <c r="F114" s="164"/>
      <c r="H114" s="27" t="s">
        <v>107</v>
      </c>
      <c r="I114" s="37">
        <f t="shared" si="51"/>
        <v>12192981.899999995</v>
      </c>
      <c r="J114" s="41">
        <f t="shared" si="48"/>
        <v>93057.853942624948</v>
      </c>
      <c r="K114" s="41">
        <f t="shared" si="45"/>
        <v>350877.2</v>
      </c>
      <c r="L114" s="41">
        <f t="shared" si="49"/>
        <v>11842104.699999996</v>
      </c>
      <c r="O114" s="37"/>
      <c r="P114" s="41"/>
      <c r="Q114" s="41"/>
      <c r="R114" s="41"/>
      <c r="T114" s="9"/>
      <c r="U114" s="144"/>
      <c r="V114" s="177"/>
      <c r="W114" s="144"/>
      <c r="X114" s="144"/>
    </row>
    <row r="115" spans="2:24" ht="15.75" thickBot="1">
      <c r="B115" s="175"/>
      <c r="C115" s="175"/>
      <c r="D115" s="176"/>
      <c r="E115" s="176"/>
      <c r="F115" s="175"/>
      <c r="H115" s="204" t="s">
        <v>125</v>
      </c>
      <c r="I115" s="205"/>
      <c r="J115" s="206">
        <f>SUM(J103:J114)</f>
        <v>1293437.2333024992</v>
      </c>
      <c r="K115" s="207">
        <f>SUM(K103:K114)</f>
        <v>4210526.4000000013</v>
      </c>
      <c r="L115" s="208"/>
      <c r="O115" s="37"/>
      <c r="P115" s="38">
        <f>+P113+P100+P87+P74+P61+P48+P35</f>
        <v>8489713.7627708409</v>
      </c>
      <c r="Q115" s="38">
        <f>+Q113+Q100+Q87+Q74+Q61+Q48+Q35</f>
        <v>27857143.079999998</v>
      </c>
      <c r="R115" s="41"/>
      <c r="T115" s="9"/>
      <c r="U115" s="144"/>
      <c r="V115" s="177"/>
      <c r="W115" s="144"/>
      <c r="X115" s="144"/>
    </row>
    <row r="116" spans="2:24">
      <c r="B116" s="9"/>
      <c r="C116" s="164"/>
      <c r="D116" s="177"/>
      <c r="E116" s="177"/>
      <c r="F116" s="164"/>
      <c r="H116" s="27" t="s">
        <v>111</v>
      </c>
      <c r="I116" s="37">
        <f>+L114</f>
        <v>11842104.699999996</v>
      </c>
      <c r="J116" s="41">
        <f t="shared" ref="J116:J151" si="52">+I116*$I$18/360*30</f>
        <v>90379.92991245829</v>
      </c>
      <c r="K116" s="41">
        <f t="shared" si="45"/>
        <v>350877.2</v>
      </c>
      <c r="L116" s="41">
        <f t="shared" ref="L116:L140" si="53">+I116-K116</f>
        <v>11491227.499999996</v>
      </c>
      <c r="O116" s="37"/>
      <c r="P116" s="41"/>
      <c r="Q116" s="41"/>
      <c r="R116" s="41"/>
      <c r="T116" s="9"/>
      <c r="U116" s="144"/>
      <c r="V116" s="177"/>
      <c r="W116" s="144"/>
      <c r="X116" s="144"/>
    </row>
    <row r="117" spans="2:24">
      <c r="B117" s="9"/>
      <c r="C117" s="164"/>
      <c r="D117" s="177"/>
      <c r="E117" s="177"/>
      <c r="F117" s="164"/>
      <c r="H117" s="27" t="s">
        <v>112</v>
      </c>
      <c r="I117" s="37">
        <f>+L116</f>
        <v>11491227.499999996</v>
      </c>
      <c r="J117" s="41">
        <f t="shared" si="52"/>
        <v>87702.005882291647</v>
      </c>
      <c r="K117" s="41">
        <f t="shared" si="45"/>
        <v>350877.2</v>
      </c>
      <c r="L117" s="41">
        <f t="shared" si="53"/>
        <v>11140350.299999997</v>
      </c>
      <c r="O117" s="37"/>
      <c r="P117" s="41"/>
      <c r="Q117" s="41"/>
      <c r="R117" s="41"/>
      <c r="T117" s="9"/>
      <c r="U117" s="144"/>
      <c r="V117" s="177"/>
      <c r="W117" s="144"/>
      <c r="X117" s="144"/>
    </row>
    <row r="118" spans="2:24">
      <c r="B118" s="9"/>
      <c r="C118" s="164"/>
      <c r="D118" s="177"/>
      <c r="E118" s="177"/>
      <c r="F118" s="164"/>
      <c r="H118" s="27" t="s">
        <v>113</v>
      </c>
      <c r="I118" s="37">
        <f t="shared" ref="I118:I127" si="54">+L117</f>
        <v>11140350.299999997</v>
      </c>
      <c r="J118" s="41">
        <f t="shared" si="52"/>
        <v>85024.081852124975</v>
      </c>
      <c r="K118" s="41">
        <f t="shared" si="45"/>
        <v>350877.2</v>
      </c>
      <c r="L118" s="41">
        <f t="shared" si="53"/>
        <v>10789473.099999998</v>
      </c>
      <c r="O118" s="37"/>
      <c r="P118" s="41"/>
      <c r="Q118" s="41"/>
      <c r="R118" s="41"/>
      <c r="T118" s="9"/>
      <c r="U118" s="144"/>
      <c r="V118" s="177"/>
      <c r="W118" s="144"/>
      <c r="X118" s="144"/>
    </row>
    <row r="119" spans="2:24">
      <c r="B119" s="9"/>
      <c r="C119" s="164"/>
      <c r="D119" s="177"/>
      <c r="E119" s="177"/>
      <c r="F119" s="164"/>
      <c r="H119" s="27" t="s">
        <v>114</v>
      </c>
      <c r="I119" s="37">
        <f t="shared" si="54"/>
        <v>10789473.099999998</v>
      </c>
      <c r="J119" s="41">
        <f t="shared" si="52"/>
        <v>82346.157821958303</v>
      </c>
      <c r="K119" s="41">
        <f t="shared" si="45"/>
        <v>350877.2</v>
      </c>
      <c r="L119" s="41">
        <f t="shared" si="53"/>
        <v>10438595.899999999</v>
      </c>
      <c r="O119" s="37"/>
      <c r="P119" s="41"/>
      <c r="Q119" s="41"/>
      <c r="R119" s="41"/>
      <c r="T119" s="9"/>
      <c r="U119" s="144"/>
      <c r="V119" s="177"/>
      <c r="W119" s="144"/>
      <c r="X119" s="144"/>
    </row>
    <row r="120" spans="2:24">
      <c r="B120" s="9"/>
      <c r="C120" s="164"/>
      <c r="D120" s="177"/>
      <c r="E120" s="177"/>
      <c r="F120" s="164"/>
      <c r="H120" s="27" t="s">
        <v>115</v>
      </c>
      <c r="I120" s="37">
        <f t="shared" si="54"/>
        <v>10438595.899999999</v>
      </c>
      <c r="J120" s="41">
        <f t="shared" si="52"/>
        <v>79668.233791791659</v>
      </c>
      <c r="K120" s="41">
        <f t="shared" si="45"/>
        <v>350877.2</v>
      </c>
      <c r="L120" s="41">
        <f t="shared" si="53"/>
        <v>10087718.699999999</v>
      </c>
      <c r="O120" s="37"/>
      <c r="P120" s="41"/>
      <c r="Q120" s="41"/>
      <c r="R120" s="41"/>
      <c r="T120" s="9"/>
      <c r="U120" s="144"/>
      <c r="V120" s="177"/>
      <c r="W120" s="144"/>
      <c r="X120" s="144"/>
    </row>
    <row r="121" spans="2:24">
      <c r="B121" s="9"/>
      <c r="C121" s="164"/>
      <c r="D121" s="177"/>
      <c r="E121" s="177"/>
      <c r="F121" s="164"/>
      <c r="H121" s="27" t="s">
        <v>116</v>
      </c>
      <c r="I121" s="37">
        <f t="shared" si="54"/>
        <v>10087718.699999999</v>
      </c>
      <c r="J121" s="41">
        <f t="shared" si="52"/>
        <v>76990.309761625002</v>
      </c>
      <c r="K121" s="41">
        <f t="shared" si="45"/>
        <v>350877.2</v>
      </c>
      <c r="L121" s="41">
        <f t="shared" si="53"/>
        <v>9736841.5</v>
      </c>
      <c r="O121" s="37"/>
      <c r="P121" s="41"/>
      <c r="Q121" s="41"/>
      <c r="R121" s="41"/>
      <c r="T121" s="9"/>
      <c r="U121" s="144"/>
      <c r="V121" s="177"/>
      <c r="W121" s="144"/>
      <c r="X121" s="144"/>
    </row>
    <row r="122" spans="2:24">
      <c r="B122" s="9"/>
      <c r="C122" s="164"/>
      <c r="D122" s="177"/>
      <c r="E122" s="177"/>
      <c r="F122" s="164"/>
      <c r="H122" s="27" t="s">
        <v>117</v>
      </c>
      <c r="I122" s="37">
        <f t="shared" si="54"/>
        <v>9736841.5</v>
      </c>
      <c r="J122" s="41">
        <f t="shared" si="52"/>
        <v>74312.385731458329</v>
      </c>
      <c r="K122" s="41">
        <f t="shared" si="45"/>
        <v>350877.2</v>
      </c>
      <c r="L122" s="41">
        <f t="shared" si="53"/>
        <v>9385964.3000000007</v>
      </c>
      <c r="O122" s="37"/>
      <c r="P122" s="41"/>
      <c r="Q122" s="41"/>
      <c r="R122" s="41"/>
      <c r="T122" s="9"/>
      <c r="U122" s="144"/>
      <c r="V122" s="177"/>
      <c r="W122" s="144"/>
      <c r="X122" s="144"/>
    </row>
    <row r="123" spans="2:24">
      <c r="B123" s="9"/>
      <c r="C123" s="164"/>
      <c r="D123" s="177"/>
      <c r="E123" s="177"/>
      <c r="F123" s="164"/>
      <c r="H123" s="27" t="s">
        <v>118</v>
      </c>
      <c r="I123" s="37">
        <f t="shared" si="54"/>
        <v>9385964.3000000007</v>
      </c>
      <c r="J123" s="41">
        <f t="shared" si="52"/>
        <v>71634.461701291671</v>
      </c>
      <c r="K123" s="41">
        <f t="shared" si="45"/>
        <v>350877.2</v>
      </c>
      <c r="L123" s="41">
        <f t="shared" si="53"/>
        <v>9035087.1000000015</v>
      </c>
      <c r="O123" s="37"/>
      <c r="P123" s="41"/>
      <c r="Q123" s="41"/>
      <c r="R123" s="41"/>
      <c r="T123" s="9"/>
      <c r="U123" s="144"/>
      <c r="V123" s="177"/>
      <c r="W123" s="144"/>
      <c r="X123" s="144"/>
    </row>
    <row r="124" spans="2:24">
      <c r="B124" s="9"/>
      <c r="C124" s="164"/>
      <c r="D124" s="177"/>
      <c r="E124" s="177"/>
      <c r="F124" s="164"/>
      <c r="H124" s="27" t="s">
        <v>119</v>
      </c>
      <c r="I124" s="37">
        <f t="shared" si="54"/>
        <v>9035087.1000000015</v>
      </c>
      <c r="J124" s="41">
        <f t="shared" si="52"/>
        <v>68956.537671125014</v>
      </c>
      <c r="K124" s="41">
        <f t="shared" si="45"/>
        <v>350877.2</v>
      </c>
      <c r="L124" s="41">
        <f t="shared" si="53"/>
        <v>8684209.9000000022</v>
      </c>
      <c r="N124" s="9"/>
      <c r="O124" s="164"/>
      <c r="P124" s="177"/>
      <c r="Q124" s="177"/>
      <c r="R124" s="177"/>
      <c r="T124" s="9"/>
      <c r="U124" s="144"/>
      <c r="V124" s="177"/>
      <c r="W124" s="144"/>
      <c r="X124" s="144"/>
    </row>
    <row r="125" spans="2:24">
      <c r="B125" s="9"/>
      <c r="C125" s="164"/>
      <c r="D125" s="177"/>
      <c r="E125" s="177"/>
      <c r="F125" s="164"/>
      <c r="H125" s="27" t="s">
        <v>106</v>
      </c>
      <c r="I125" s="37">
        <f t="shared" si="54"/>
        <v>8684209.9000000022</v>
      </c>
      <c r="J125" s="41">
        <f t="shared" si="52"/>
        <v>66278.613640958356</v>
      </c>
      <c r="K125" s="41">
        <f t="shared" si="45"/>
        <v>350877.2</v>
      </c>
      <c r="L125" s="41">
        <f t="shared" si="53"/>
        <v>8333332.700000002</v>
      </c>
      <c r="N125" s="9"/>
      <c r="O125" s="164"/>
      <c r="P125" s="177"/>
      <c r="Q125" s="177"/>
      <c r="R125" s="177"/>
      <c r="T125" s="9"/>
      <c r="U125" s="144"/>
      <c r="V125" s="177"/>
      <c r="W125" s="144"/>
      <c r="X125" s="144"/>
    </row>
    <row r="126" spans="2:24">
      <c r="B126" s="9"/>
      <c r="C126" s="164"/>
      <c r="D126" s="177"/>
      <c r="E126" s="177"/>
      <c r="F126" s="164"/>
      <c r="H126" s="27" t="s">
        <v>105</v>
      </c>
      <c r="I126" s="37">
        <f t="shared" si="54"/>
        <v>8333332.700000002</v>
      </c>
      <c r="J126" s="41">
        <f t="shared" si="52"/>
        <v>63600.689610791676</v>
      </c>
      <c r="K126" s="41">
        <f t="shared" si="45"/>
        <v>350877.2</v>
      </c>
      <c r="L126" s="41">
        <f t="shared" si="53"/>
        <v>7982455.5000000019</v>
      </c>
      <c r="N126" s="175"/>
      <c r="O126" s="175"/>
      <c r="P126" s="178"/>
      <c r="Q126" s="176"/>
      <c r="R126" s="175"/>
      <c r="T126" s="175"/>
      <c r="U126" s="175"/>
      <c r="V126" s="178"/>
      <c r="W126" s="178"/>
      <c r="X126" s="175"/>
    </row>
    <row r="127" spans="2:24" ht="15.75" thickBot="1">
      <c r="B127" s="9"/>
      <c r="C127" s="164"/>
      <c r="D127" s="177"/>
      <c r="E127" s="177"/>
      <c r="F127" s="164"/>
      <c r="H127" s="27" t="s">
        <v>107</v>
      </c>
      <c r="I127" s="37">
        <f t="shared" si="54"/>
        <v>7982455.5000000019</v>
      </c>
      <c r="J127" s="41">
        <f t="shared" si="52"/>
        <v>60922.765580625011</v>
      </c>
      <c r="K127" s="41">
        <f t="shared" si="45"/>
        <v>350877.2</v>
      </c>
      <c r="L127" s="41">
        <f t="shared" si="53"/>
        <v>7631578.3000000017</v>
      </c>
      <c r="N127" s="9"/>
      <c r="O127" s="164"/>
      <c r="P127" s="177"/>
      <c r="Q127" s="177"/>
      <c r="R127" s="177"/>
      <c r="T127" s="9"/>
      <c r="U127" s="144"/>
      <c r="V127" s="177"/>
      <c r="W127" s="144"/>
      <c r="X127" s="144"/>
    </row>
    <row r="128" spans="2:24" ht="15.75" thickBot="1">
      <c r="B128" s="175"/>
      <c r="C128" s="175"/>
      <c r="D128" s="176"/>
      <c r="E128" s="176"/>
      <c r="F128" s="175"/>
      <c r="H128" s="204" t="s">
        <v>126</v>
      </c>
      <c r="I128" s="205"/>
      <c r="J128" s="206">
        <f>SUM(J116:J127)</f>
        <v>907816.17295849987</v>
      </c>
      <c r="K128" s="207">
        <f>SUM(K116:K127)</f>
        <v>4210526.4000000013</v>
      </c>
      <c r="L128" s="208"/>
      <c r="N128" s="9"/>
      <c r="O128" s="164"/>
      <c r="P128" s="177"/>
      <c r="Q128" s="177"/>
      <c r="R128" s="177"/>
      <c r="T128" s="9"/>
      <c r="U128" s="144"/>
      <c r="V128" s="177"/>
      <c r="W128" s="144"/>
      <c r="X128" s="144"/>
    </row>
    <row r="129" spans="2:24">
      <c r="B129" s="9"/>
      <c r="C129" s="164"/>
      <c r="D129" s="177"/>
      <c r="E129" s="177"/>
      <c r="F129" s="164"/>
      <c r="H129" s="27" t="s">
        <v>111</v>
      </c>
      <c r="I129" s="37">
        <f>+L127</f>
        <v>7631578.3000000017</v>
      </c>
      <c r="J129" s="41">
        <f t="shared" si="52"/>
        <v>58244.841550458346</v>
      </c>
      <c r="K129" s="37">
        <f>+K127</f>
        <v>350877.2</v>
      </c>
      <c r="L129" s="41">
        <f t="shared" si="53"/>
        <v>7280701.1000000015</v>
      </c>
      <c r="N129" s="9"/>
      <c r="O129" s="164"/>
      <c r="P129" s="177"/>
      <c r="Q129" s="177"/>
      <c r="R129" s="177"/>
      <c r="T129" s="9"/>
      <c r="U129" s="144"/>
      <c r="V129" s="177"/>
      <c r="W129" s="144"/>
      <c r="X129" s="144"/>
    </row>
    <row r="130" spans="2:24">
      <c r="B130" s="9"/>
      <c r="C130" s="164"/>
      <c r="D130" s="177"/>
      <c r="E130" s="177"/>
      <c r="F130" s="164"/>
      <c r="H130" s="27" t="s">
        <v>112</v>
      </c>
      <c r="I130" s="37">
        <f>+L129</f>
        <v>7280701.1000000015</v>
      </c>
      <c r="J130" s="41">
        <f t="shared" si="52"/>
        <v>55566.917520291681</v>
      </c>
      <c r="K130" s="37">
        <f>+K129</f>
        <v>350877.2</v>
      </c>
      <c r="L130" s="41">
        <f t="shared" si="53"/>
        <v>6929823.9000000013</v>
      </c>
      <c r="N130" s="9"/>
      <c r="O130" s="164"/>
      <c r="P130" s="177"/>
      <c r="Q130" s="177"/>
      <c r="R130" s="177"/>
      <c r="T130" s="9"/>
      <c r="U130" s="144"/>
      <c r="V130" s="177"/>
      <c r="W130" s="144"/>
      <c r="X130" s="144"/>
    </row>
    <row r="131" spans="2:24">
      <c r="B131" s="9"/>
      <c r="C131" s="164"/>
      <c r="D131" s="177"/>
      <c r="E131" s="177"/>
      <c r="F131" s="164"/>
      <c r="H131" s="27" t="s">
        <v>113</v>
      </c>
      <c r="I131" s="37">
        <f t="shared" ref="I131:I140" si="55">+L130</f>
        <v>6929823.9000000013</v>
      </c>
      <c r="J131" s="41">
        <f t="shared" si="52"/>
        <v>52888.993490125009</v>
      </c>
      <c r="K131" s="37">
        <f t="shared" ref="K131:K140" si="56">+K129</f>
        <v>350877.2</v>
      </c>
      <c r="L131" s="41">
        <f t="shared" si="53"/>
        <v>6578946.7000000011</v>
      </c>
      <c r="N131" s="9"/>
      <c r="O131" s="164"/>
      <c r="P131" s="177"/>
      <c r="Q131" s="177"/>
      <c r="R131" s="177"/>
      <c r="T131" s="9"/>
      <c r="U131" s="144"/>
      <c r="V131" s="177"/>
      <c r="W131" s="144"/>
      <c r="X131" s="144"/>
    </row>
    <row r="132" spans="2:24">
      <c r="B132" s="9"/>
      <c r="C132" s="164"/>
      <c r="D132" s="177"/>
      <c r="E132" s="177"/>
      <c r="F132" s="164"/>
      <c r="H132" s="27" t="s">
        <v>114</v>
      </c>
      <c r="I132" s="37">
        <f t="shared" si="55"/>
        <v>6578946.7000000011</v>
      </c>
      <c r="J132" s="41">
        <f t="shared" si="52"/>
        <v>50211.069459958337</v>
      </c>
      <c r="K132" s="37">
        <f t="shared" si="56"/>
        <v>350877.2</v>
      </c>
      <c r="L132" s="41">
        <f t="shared" si="53"/>
        <v>6228069.5000000009</v>
      </c>
      <c r="N132" s="9"/>
      <c r="O132" s="164"/>
      <c r="P132" s="177"/>
      <c r="Q132" s="177"/>
      <c r="R132" s="177"/>
      <c r="T132" s="9"/>
      <c r="U132" s="144"/>
      <c r="V132" s="177"/>
      <c r="W132" s="144"/>
      <c r="X132" s="144"/>
    </row>
    <row r="133" spans="2:24">
      <c r="B133" s="9"/>
      <c r="C133" s="164"/>
      <c r="D133" s="177"/>
      <c r="E133" s="177"/>
      <c r="F133" s="164"/>
      <c r="H133" s="27" t="s">
        <v>115</v>
      </c>
      <c r="I133" s="37">
        <f t="shared" si="55"/>
        <v>6228069.5000000009</v>
      </c>
      <c r="J133" s="41">
        <f t="shared" si="52"/>
        <v>47533.145429791664</v>
      </c>
      <c r="K133" s="37">
        <f t="shared" si="56"/>
        <v>350877.2</v>
      </c>
      <c r="L133" s="41">
        <f t="shared" si="53"/>
        <v>5877192.3000000007</v>
      </c>
      <c r="N133" s="9"/>
      <c r="O133" s="164"/>
      <c r="P133" s="177"/>
      <c r="Q133" s="177"/>
      <c r="R133" s="177"/>
      <c r="T133" s="9"/>
      <c r="U133" s="144"/>
      <c r="V133" s="177"/>
      <c r="W133" s="144"/>
      <c r="X133" s="144"/>
    </row>
    <row r="134" spans="2:24">
      <c r="B134" s="9"/>
      <c r="C134" s="164"/>
      <c r="D134" s="177"/>
      <c r="E134" s="177"/>
      <c r="F134" s="164"/>
      <c r="H134" s="27" t="s">
        <v>116</v>
      </c>
      <c r="I134" s="37">
        <f t="shared" si="55"/>
        <v>5877192.3000000007</v>
      </c>
      <c r="J134" s="41">
        <f t="shared" si="52"/>
        <v>44855.221399625007</v>
      </c>
      <c r="K134" s="37">
        <f t="shared" si="56"/>
        <v>350877.2</v>
      </c>
      <c r="L134" s="41">
        <f t="shared" si="53"/>
        <v>5526315.1000000006</v>
      </c>
      <c r="N134" s="9"/>
      <c r="O134" s="164"/>
      <c r="P134" s="177"/>
      <c r="Q134" s="177"/>
      <c r="R134" s="177"/>
      <c r="T134" s="9"/>
      <c r="U134" s="144"/>
      <c r="V134" s="177"/>
      <c r="W134" s="144"/>
      <c r="X134" s="144"/>
    </row>
    <row r="135" spans="2:24">
      <c r="B135" s="9"/>
      <c r="C135" s="164"/>
      <c r="D135" s="177"/>
      <c r="E135" s="177"/>
      <c r="F135" s="164"/>
      <c r="H135" s="27" t="s">
        <v>117</v>
      </c>
      <c r="I135" s="37">
        <f t="shared" si="55"/>
        <v>5526315.1000000006</v>
      </c>
      <c r="J135" s="41">
        <f t="shared" si="52"/>
        <v>42177.297369458342</v>
      </c>
      <c r="K135" s="37">
        <f t="shared" si="56"/>
        <v>350877.2</v>
      </c>
      <c r="L135" s="41">
        <f t="shared" si="53"/>
        <v>5175437.9000000004</v>
      </c>
      <c r="N135" s="9"/>
      <c r="O135" s="164"/>
      <c r="P135" s="177"/>
      <c r="Q135" s="177"/>
      <c r="R135" s="177"/>
      <c r="T135" s="9"/>
      <c r="U135" s="144"/>
      <c r="V135" s="177"/>
      <c r="W135" s="144"/>
      <c r="X135" s="144"/>
    </row>
    <row r="136" spans="2:24">
      <c r="B136" s="9"/>
      <c r="C136" s="164"/>
      <c r="D136" s="177"/>
      <c r="E136" s="177"/>
      <c r="F136" s="164"/>
      <c r="H136" s="27" t="s">
        <v>118</v>
      </c>
      <c r="I136" s="37">
        <f t="shared" si="55"/>
        <v>5175437.9000000004</v>
      </c>
      <c r="J136" s="41">
        <f t="shared" si="52"/>
        <v>39499.373339291677</v>
      </c>
      <c r="K136" s="37">
        <f t="shared" si="56"/>
        <v>350877.2</v>
      </c>
      <c r="L136" s="41">
        <f t="shared" si="53"/>
        <v>4824560.7</v>
      </c>
      <c r="N136" s="9"/>
      <c r="O136" s="164"/>
      <c r="P136" s="177"/>
      <c r="Q136" s="177"/>
      <c r="R136" s="177"/>
      <c r="T136" s="9"/>
      <c r="U136" s="144"/>
      <c r="V136" s="177"/>
      <c r="W136" s="144"/>
      <c r="X136" s="144"/>
    </row>
    <row r="137" spans="2:24">
      <c r="B137" s="9"/>
      <c r="C137" s="164"/>
      <c r="D137" s="177"/>
      <c r="E137" s="177"/>
      <c r="F137" s="164"/>
      <c r="H137" s="27" t="s">
        <v>119</v>
      </c>
      <c r="I137" s="37">
        <f t="shared" si="55"/>
        <v>4824560.7</v>
      </c>
      <c r="J137" s="41">
        <f t="shared" si="52"/>
        <v>36821.449309125004</v>
      </c>
      <c r="K137" s="37">
        <f t="shared" si="56"/>
        <v>350877.2</v>
      </c>
      <c r="L137" s="41">
        <f t="shared" si="53"/>
        <v>4473683.5</v>
      </c>
      <c r="N137" s="9"/>
      <c r="O137" s="164"/>
      <c r="P137" s="177"/>
      <c r="Q137" s="177"/>
      <c r="R137" s="177"/>
      <c r="T137" s="9"/>
      <c r="U137" s="144"/>
      <c r="V137" s="177"/>
      <c r="W137" s="144"/>
      <c r="X137" s="144"/>
    </row>
    <row r="138" spans="2:24">
      <c r="B138" s="9"/>
      <c r="C138" s="164"/>
      <c r="D138" s="177"/>
      <c r="E138" s="177"/>
      <c r="F138" s="164"/>
      <c r="H138" s="27" t="s">
        <v>106</v>
      </c>
      <c r="I138" s="37">
        <f t="shared" si="55"/>
        <v>4473683.5</v>
      </c>
      <c r="J138" s="41">
        <f t="shared" si="52"/>
        <v>34143.525278958332</v>
      </c>
      <c r="K138" s="37">
        <f t="shared" si="56"/>
        <v>350877.2</v>
      </c>
      <c r="L138" s="41">
        <f t="shared" si="53"/>
        <v>4122806.3</v>
      </c>
      <c r="N138" s="9"/>
      <c r="O138" s="164"/>
      <c r="P138" s="177"/>
      <c r="Q138" s="177"/>
      <c r="R138" s="177"/>
      <c r="T138" s="9"/>
      <c r="U138" s="144"/>
      <c r="V138" s="177"/>
      <c r="W138" s="144"/>
      <c r="X138" s="144"/>
    </row>
    <row r="139" spans="2:24">
      <c r="B139" s="9"/>
      <c r="C139" s="164"/>
      <c r="D139" s="177"/>
      <c r="E139" s="177"/>
      <c r="F139" s="164"/>
      <c r="H139" s="27" t="s">
        <v>105</v>
      </c>
      <c r="I139" s="37">
        <f t="shared" si="55"/>
        <v>4122806.3</v>
      </c>
      <c r="J139" s="41">
        <f t="shared" si="52"/>
        <v>31465.601248791667</v>
      </c>
      <c r="K139" s="37">
        <f t="shared" si="56"/>
        <v>350877.2</v>
      </c>
      <c r="L139" s="41">
        <f t="shared" si="53"/>
        <v>3771929.0999999996</v>
      </c>
      <c r="N139" s="175"/>
      <c r="O139" s="175"/>
      <c r="P139" s="178"/>
      <c r="Q139" s="176"/>
      <c r="R139" s="175"/>
      <c r="T139" s="175"/>
      <c r="U139" s="175"/>
      <c r="V139" s="178"/>
      <c r="W139" s="178"/>
      <c r="X139" s="175"/>
    </row>
    <row r="140" spans="2:24" ht="15.75" thickBot="1">
      <c r="B140" s="9"/>
      <c r="C140" s="164"/>
      <c r="D140" s="177"/>
      <c r="E140" s="177"/>
      <c r="F140" s="164"/>
      <c r="H140" s="27" t="s">
        <v>107</v>
      </c>
      <c r="I140" s="37">
        <f t="shared" si="55"/>
        <v>3771929.0999999996</v>
      </c>
      <c r="J140" s="41">
        <f t="shared" si="52"/>
        <v>28787.677218624998</v>
      </c>
      <c r="K140" s="37">
        <f t="shared" si="56"/>
        <v>350877.2</v>
      </c>
      <c r="L140" s="41">
        <f t="shared" si="53"/>
        <v>3421051.8999999994</v>
      </c>
      <c r="N140" s="9"/>
      <c r="O140" s="164"/>
      <c r="P140" s="177"/>
      <c r="Q140" s="164"/>
      <c r="R140" s="164"/>
      <c r="T140" s="9"/>
      <c r="U140" s="144"/>
      <c r="V140" s="177"/>
      <c r="W140" s="144"/>
      <c r="X140" s="144"/>
    </row>
    <row r="141" spans="2:24" ht="15.75" thickBot="1">
      <c r="B141" s="175"/>
      <c r="C141" s="175"/>
      <c r="D141" s="176"/>
      <c r="E141" s="176"/>
      <c r="F141" s="175"/>
      <c r="H141" s="204" t="s">
        <v>127</v>
      </c>
      <c r="I141" s="205"/>
      <c r="J141" s="206">
        <f>SUM(J129:J140)</f>
        <v>522195.11261450005</v>
      </c>
      <c r="K141" s="207">
        <f>SUM(K129:K140)</f>
        <v>4210526.4000000013</v>
      </c>
      <c r="L141" s="208"/>
      <c r="N141" s="9"/>
      <c r="O141" s="164"/>
      <c r="P141" s="177"/>
      <c r="Q141" s="164"/>
      <c r="R141" s="164"/>
      <c r="T141" s="9"/>
      <c r="U141" s="144"/>
      <c r="V141" s="177"/>
      <c r="W141" s="144"/>
      <c r="X141" s="144"/>
    </row>
    <row r="142" spans="2:24">
      <c r="B142" s="9"/>
      <c r="C142" s="164"/>
      <c r="D142" s="177"/>
      <c r="E142" s="177"/>
      <c r="F142" s="164"/>
      <c r="H142" s="27" t="s">
        <v>111</v>
      </c>
      <c r="I142" s="37">
        <f>+L140</f>
        <v>3421051.8999999994</v>
      </c>
      <c r="J142" s="41">
        <f t="shared" si="52"/>
        <v>26109.75318845833</v>
      </c>
      <c r="K142" s="37">
        <f>+K140</f>
        <v>350877.2</v>
      </c>
      <c r="L142" s="37">
        <f>+I142-K142</f>
        <v>3070174.6999999993</v>
      </c>
      <c r="N142" s="9"/>
      <c r="O142" s="164"/>
      <c r="P142" s="177"/>
      <c r="Q142" s="164"/>
      <c r="R142" s="164"/>
      <c r="T142" s="9"/>
      <c r="U142" s="144"/>
      <c r="V142" s="177"/>
      <c r="W142" s="144"/>
      <c r="X142" s="144"/>
    </row>
    <row r="143" spans="2:24">
      <c r="B143" s="9"/>
      <c r="C143" s="164"/>
      <c r="D143" s="177"/>
      <c r="E143" s="177"/>
      <c r="F143" s="164"/>
      <c r="H143" s="27" t="s">
        <v>112</v>
      </c>
      <c r="I143" s="37">
        <f>+L142</f>
        <v>3070174.6999999993</v>
      </c>
      <c r="J143" s="41">
        <f t="shared" si="52"/>
        <v>23431.829158291661</v>
      </c>
      <c r="K143" s="37">
        <f>+K142</f>
        <v>350877.2</v>
      </c>
      <c r="L143" s="37">
        <f t="shared" ref="L143:L151" si="57">+I143-K143</f>
        <v>2719297.4999999991</v>
      </c>
      <c r="N143" s="9"/>
      <c r="O143" s="164"/>
      <c r="P143" s="177"/>
      <c r="Q143" s="164"/>
      <c r="R143" s="164"/>
      <c r="T143" s="9"/>
      <c r="U143" s="144"/>
      <c r="V143" s="177"/>
      <c r="W143" s="144"/>
      <c r="X143" s="144"/>
    </row>
    <row r="144" spans="2:24">
      <c r="B144" s="9"/>
      <c r="C144" s="164"/>
      <c r="D144" s="177"/>
      <c r="E144" s="177"/>
      <c r="F144" s="164"/>
      <c r="H144" s="27" t="s">
        <v>113</v>
      </c>
      <c r="I144" s="37">
        <f t="shared" ref="I144:I151" si="58">+L143</f>
        <v>2719297.4999999991</v>
      </c>
      <c r="J144" s="41">
        <f t="shared" si="52"/>
        <v>20753.905128124992</v>
      </c>
      <c r="K144" s="37">
        <f t="shared" ref="K144:K150" si="59">+K142</f>
        <v>350877.2</v>
      </c>
      <c r="L144" s="37">
        <f t="shared" si="57"/>
        <v>2368420.2999999989</v>
      </c>
      <c r="N144" s="9"/>
      <c r="O144" s="164"/>
      <c r="P144" s="177"/>
      <c r="Q144" s="164"/>
      <c r="R144" s="164"/>
      <c r="T144" s="9"/>
      <c r="U144" s="144"/>
      <c r="V144" s="177"/>
      <c r="W144" s="144"/>
      <c r="X144" s="144"/>
    </row>
    <row r="145" spans="2:24">
      <c r="B145" s="9"/>
      <c r="C145" s="164"/>
      <c r="D145" s="177"/>
      <c r="E145" s="177"/>
      <c r="F145" s="164"/>
      <c r="H145" s="27" t="s">
        <v>114</v>
      </c>
      <c r="I145" s="37">
        <f t="shared" si="58"/>
        <v>2368420.2999999989</v>
      </c>
      <c r="J145" s="41">
        <f t="shared" si="52"/>
        <v>18075.981097958327</v>
      </c>
      <c r="K145" s="37">
        <f t="shared" si="59"/>
        <v>350877.2</v>
      </c>
      <c r="L145" s="37">
        <f t="shared" si="57"/>
        <v>2017543.0999999989</v>
      </c>
      <c r="N145" s="9"/>
      <c r="O145" s="164"/>
      <c r="P145" s="177"/>
      <c r="Q145" s="164"/>
      <c r="R145" s="164"/>
      <c r="T145" s="9"/>
      <c r="U145" s="144"/>
      <c r="V145" s="177"/>
      <c r="W145" s="144"/>
      <c r="X145" s="144"/>
    </row>
    <row r="146" spans="2:24">
      <c r="B146" s="9"/>
      <c r="C146" s="164"/>
      <c r="D146" s="177"/>
      <c r="E146" s="177"/>
      <c r="F146" s="164"/>
      <c r="H146" s="27" t="s">
        <v>115</v>
      </c>
      <c r="I146" s="37">
        <f t="shared" si="58"/>
        <v>2017543.0999999989</v>
      </c>
      <c r="J146" s="41">
        <f t="shared" si="52"/>
        <v>15398.057067791655</v>
      </c>
      <c r="K146" s="37">
        <f t="shared" si="59"/>
        <v>350877.2</v>
      </c>
      <c r="L146" s="37">
        <f t="shared" si="57"/>
        <v>1666665.899999999</v>
      </c>
      <c r="N146" s="9"/>
      <c r="O146" s="164"/>
      <c r="P146" s="177"/>
      <c r="Q146" s="164"/>
      <c r="R146" s="164"/>
      <c r="T146" s="9"/>
      <c r="U146" s="144"/>
      <c r="V146" s="177"/>
      <c r="W146" s="144"/>
      <c r="X146" s="144"/>
    </row>
    <row r="147" spans="2:24">
      <c r="B147" s="9"/>
      <c r="C147" s="164"/>
      <c r="D147" s="177"/>
      <c r="E147" s="177"/>
      <c r="F147" s="164"/>
      <c r="H147" s="27" t="s">
        <v>116</v>
      </c>
      <c r="I147" s="37">
        <f t="shared" si="58"/>
        <v>1666665.899999999</v>
      </c>
      <c r="J147" s="41">
        <f t="shared" si="52"/>
        <v>12720.133037624993</v>
      </c>
      <c r="K147" s="37">
        <f t="shared" si="59"/>
        <v>350877.2</v>
      </c>
      <c r="L147" s="37">
        <f t="shared" si="57"/>
        <v>1315788.699999999</v>
      </c>
      <c r="N147" s="9"/>
      <c r="O147" s="164"/>
      <c r="P147" s="177"/>
      <c r="Q147" s="164"/>
      <c r="R147" s="164"/>
      <c r="T147" s="9"/>
      <c r="U147" s="144"/>
      <c r="V147" s="177"/>
      <c r="W147" s="144"/>
      <c r="X147" s="144"/>
    </row>
    <row r="148" spans="2:24">
      <c r="B148" s="9"/>
      <c r="C148" s="164"/>
      <c r="D148" s="177"/>
      <c r="E148" s="177"/>
      <c r="F148" s="164"/>
      <c r="H148" s="27" t="s">
        <v>117</v>
      </c>
      <c r="I148" s="37">
        <f t="shared" si="58"/>
        <v>1315788.699999999</v>
      </c>
      <c r="J148" s="41">
        <f t="shared" si="52"/>
        <v>10042.209007458327</v>
      </c>
      <c r="K148" s="37">
        <f t="shared" si="59"/>
        <v>350877.2</v>
      </c>
      <c r="L148" s="37">
        <f t="shared" si="57"/>
        <v>964911.49999999907</v>
      </c>
      <c r="N148" s="9"/>
      <c r="O148" s="164"/>
      <c r="P148" s="177"/>
      <c r="Q148" s="164"/>
      <c r="R148" s="164"/>
      <c r="T148" s="9"/>
      <c r="U148" s="144"/>
      <c r="V148" s="177"/>
      <c r="W148" s="144"/>
      <c r="X148" s="144"/>
    </row>
    <row r="149" spans="2:24">
      <c r="B149" s="9"/>
      <c r="C149" s="164"/>
      <c r="D149" s="177"/>
      <c r="E149" s="177"/>
      <c r="F149" s="164"/>
      <c r="H149" s="27" t="s">
        <v>118</v>
      </c>
      <c r="I149" s="37">
        <f t="shared" si="58"/>
        <v>964911.49999999907</v>
      </c>
      <c r="J149" s="41">
        <f t="shared" si="52"/>
        <v>7364.2849772916597</v>
      </c>
      <c r="K149" s="37">
        <f t="shared" si="59"/>
        <v>350877.2</v>
      </c>
      <c r="L149" s="37">
        <f t="shared" si="57"/>
        <v>614034.29999999912</v>
      </c>
      <c r="N149" s="9"/>
      <c r="O149" s="164"/>
      <c r="P149" s="177"/>
      <c r="Q149" s="164"/>
      <c r="R149" s="164"/>
      <c r="T149" s="9"/>
      <c r="U149" s="144"/>
      <c r="V149" s="177"/>
      <c r="W149" s="144"/>
      <c r="X149" s="144"/>
    </row>
    <row r="150" spans="2:24">
      <c r="B150" s="9"/>
      <c r="C150" s="164"/>
      <c r="D150" s="177"/>
      <c r="E150" s="177"/>
      <c r="F150" s="164"/>
      <c r="H150" s="27" t="s">
        <v>119</v>
      </c>
      <c r="I150" s="37">
        <f t="shared" si="58"/>
        <v>614034.29999999912</v>
      </c>
      <c r="J150" s="41">
        <f t="shared" si="52"/>
        <v>4686.3609471249938</v>
      </c>
      <c r="K150" s="37">
        <f t="shared" si="59"/>
        <v>350877.2</v>
      </c>
      <c r="L150" s="37">
        <f t="shared" si="57"/>
        <v>263157.0999999991</v>
      </c>
      <c r="N150" s="175"/>
      <c r="O150" s="175"/>
      <c r="P150" s="178"/>
      <c r="Q150" s="176"/>
      <c r="R150" s="175"/>
      <c r="T150" s="9"/>
      <c r="U150" s="144"/>
      <c r="V150" s="177"/>
      <c r="W150" s="144"/>
      <c r="X150" s="144"/>
    </row>
    <row r="151" spans="2:24" ht="15.75" thickBot="1">
      <c r="B151" s="9"/>
      <c r="C151" s="164"/>
      <c r="D151" s="177"/>
      <c r="E151" s="177"/>
      <c r="F151" s="164"/>
      <c r="H151" s="27" t="s">
        <v>106</v>
      </c>
      <c r="I151" s="37">
        <f t="shared" si="58"/>
        <v>263157.0999999991</v>
      </c>
      <c r="J151" s="41">
        <f t="shared" si="52"/>
        <v>2008.4369169583263</v>
      </c>
      <c r="K151" s="37">
        <v>263157</v>
      </c>
      <c r="L151" s="37">
        <f t="shared" si="57"/>
        <v>9.9999999103602022E-2</v>
      </c>
      <c r="N151" s="9"/>
      <c r="O151" s="164"/>
      <c r="P151" s="9"/>
      <c r="Q151" s="164"/>
      <c r="R151" s="164"/>
      <c r="T151" s="175"/>
      <c r="U151" s="175"/>
      <c r="V151" s="178"/>
      <c r="W151" s="178"/>
      <c r="X151" s="175"/>
    </row>
    <row r="152" spans="2:24" ht="15.75" thickBot="1">
      <c r="B152" s="175"/>
      <c r="C152" s="175"/>
      <c r="D152" s="176"/>
      <c r="E152" s="176"/>
      <c r="F152" s="175"/>
      <c r="H152" s="204" t="s">
        <v>128</v>
      </c>
      <c r="I152" s="205"/>
      <c r="J152" s="206">
        <f>SUM(J142:J151)</f>
        <v>140590.95052708325</v>
      </c>
      <c r="K152" s="207">
        <f>SUM(K142:K151)</f>
        <v>3421051.8000000007</v>
      </c>
      <c r="L152" s="208"/>
      <c r="T152" s="9"/>
      <c r="U152" s="9"/>
      <c r="V152" s="9"/>
      <c r="W152" s="9"/>
      <c r="X152" s="9"/>
    </row>
    <row r="153" spans="2:24">
      <c r="B153" s="9"/>
      <c r="C153" s="164"/>
      <c r="D153" s="177"/>
      <c r="E153" s="177"/>
      <c r="F153" s="164"/>
      <c r="I153" s="37"/>
      <c r="K153" s="37"/>
      <c r="L153" s="37"/>
      <c r="T153" s="9"/>
      <c r="U153" s="9"/>
      <c r="V153" s="254"/>
      <c r="W153" s="254"/>
      <c r="X153" s="9"/>
    </row>
    <row r="154" spans="2:24">
      <c r="B154" s="9"/>
      <c r="C154" s="9"/>
      <c r="D154" s="179"/>
      <c r="E154" s="179"/>
      <c r="F154" s="9"/>
      <c r="J154" s="38">
        <f>+J152+J141+J128+J115+J102+J89+J76</f>
        <v>7990255.3548734514</v>
      </c>
      <c r="K154" s="38">
        <f>+K152+K141+K128+K115+K102+K89+K76</f>
        <v>26929824.20000001</v>
      </c>
      <c r="T154" s="9"/>
      <c r="U154" s="9"/>
      <c r="V154" s="9"/>
      <c r="W154" s="9"/>
      <c r="X154" s="9"/>
    </row>
  </sheetData>
  <customSheetViews>
    <customSheetView guid="{DA992D42-88A1-40DD-B0D5-EBD30D5AEF2B}" scale="110" topLeftCell="L1">
      <selection activeCell="L75" sqref="L75"/>
      <pageMargins left="0.7" right="0.7" top="0.75" bottom="0.75" header="0.3" footer="0.3"/>
      <pageSetup orientation="landscape" r:id="rId1"/>
    </customSheetView>
  </customSheetViews>
  <mergeCells count="24">
    <mergeCell ref="W10:Y10"/>
    <mergeCell ref="W7:Y7"/>
    <mergeCell ref="L10:M10"/>
    <mergeCell ref="L9:M9"/>
    <mergeCell ref="B15:F15"/>
    <mergeCell ref="H15:L15"/>
    <mergeCell ref="H6:H7"/>
    <mergeCell ref="L8:M8"/>
    <mergeCell ref="N15:R15"/>
    <mergeCell ref="T15:X15"/>
    <mergeCell ref="L11:M11"/>
    <mergeCell ref="L12:M12"/>
    <mergeCell ref="C2:N3"/>
    <mergeCell ref="C5:N5"/>
    <mergeCell ref="C6:C7"/>
    <mergeCell ref="D6:D7"/>
    <mergeCell ref="E6:E7"/>
    <mergeCell ref="F6:F7"/>
    <mergeCell ref="G6:G7"/>
    <mergeCell ref="I6:I7"/>
    <mergeCell ref="J6:J7"/>
    <mergeCell ref="K6:K7"/>
    <mergeCell ref="L6:M7"/>
    <mergeCell ref="N6:N7"/>
  </mergeCells>
  <pageMargins left="0.7" right="0.7" top="0.75" bottom="0.75" header="0.3" footer="0.3"/>
  <pageSetup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C1:P33"/>
  <sheetViews>
    <sheetView topLeftCell="A13" zoomScale="110" zoomScaleNormal="110" workbookViewId="0">
      <selection activeCell="H27" sqref="H27"/>
    </sheetView>
  </sheetViews>
  <sheetFormatPr baseColWidth="10" defaultColWidth="11.42578125" defaultRowHeight="15"/>
  <cols>
    <col min="1" max="2" width="11.42578125" style="27"/>
    <col min="3" max="3" width="16.7109375" style="27" customWidth="1"/>
    <col min="4" max="4" width="22.140625" style="27" bestFit="1" customWidth="1"/>
    <col min="5" max="5" width="20.5703125" style="27" customWidth="1"/>
    <col min="6" max="6" width="19.5703125" style="27" customWidth="1"/>
    <col min="7" max="7" width="14.42578125" style="27" customWidth="1"/>
    <col min="8" max="8" width="17.85546875" style="27" bestFit="1" customWidth="1"/>
    <col min="9" max="9" width="17.5703125" style="27" customWidth="1"/>
    <col min="10" max="16384" width="11.42578125" style="27"/>
  </cols>
  <sheetData>
    <row r="1" spans="3:16" ht="15.75" thickBot="1">
      <c r="J1" s="9"/>
      <c r="K1" s="9"/>
      <c r="L1" s="9"/>
      <c r="M1" s="9"/>
    </row>
    <row r="2" spans="3:16" ht="15" customHeight="1">
      <c r="C2" s="326" t="s">
        <v>180</v>
      </c>
      <c r="D2" s="327"/>
      <c r="E2" s="327"/>
      <c r="F2" s="327"/>
      <c r="G2" s="327"/>
      <c r="H2" s="327"/>
      <c r="I2" s="328"/>
      <c r="J2" s="153"/>
      <c r="K2" s="153"/>
      <c r="L2" s="153"/>
      <c r="M2" s="153"/>
    </row>
    <row r="3" spans="3:16" ht="15.75" customHeight="1" thickBot="1">
      <c r="C3" s="329"/>
      <c r="D3" s="330"/>
      <c r="E3" s="330"/>
      <c r="F3" s="330"/>
      <c r="G3" s="330"/>
      <c r="H3" s="330"/>
      <c r="I3" s="331"/>
      <c r="J3" s="162"/>
      <c r="K3" s="153"/>
      <c r="L3" s="153"/>
      <c r="M3" s="153"/>
    </row>
    <row r="4" spans="3:16" ht="15.75" thickBot="1">
      <c r="L4" s="9"/>
      <c r="M4" s="9"/>
    </row>
    <row r="5" spans="3:16" ht="19.5" thickBot="1">
      <c r="C5" s="304" t="s">
        <v>82</v>
      </c>
      <c r="D5" s="305"/>
      <c r="E5" s="305"/>
      <c r="F5" s="305"/>
      <c r="G5" s="305"/>
      <c r="H5" s="305"/>
      <c r="I5" s="305"/>
      <c r="J5" s="223"/>
      <c r="K5" s="223"/>
      <c r="L5" s="223"/>
      <c r="M5" s="223"/>
    </row>
    <row r="6" spans="3:16" ht="30">
      <c r="C6" s="229" t="s">
        <v>79</v>
      </c>
      <c r="D6" s="230" t="s">
        <v>80</v>
      </c>
      <c r="E6" s="231" t="s">
        <v>181</v>
      </c>
      <c r="F6" s="230" t="s">
        <v>81</v>
      </c>
      <c r="G6" s="231" t="s">
        <v>182</v>
      </c>
      <c r="H6" s="283"/>
      <c r="I6" s="232" t="s">
        <v>69</v>
      </c>
      <c r="K6" s="9"/>
      <c r="L6" s="9"/>
      <c r="M6" s="9"/>
    </row>
    <row r="7" spans="3:16">
      <c r="C7" s="3">
        <v>42725</v>
      </c>
      <c r="D7" s="4">
        <v>44530</v>
      </c>
      <c r="E7" s="227">
        <v>30000000</v>
      </c>
      <c r="F7" s="5">
        <v>6.5000000000000002E-2</v>
      </c>
      <c r="G7" s="227">
        <v>1542892</v>
      </c>
      <c r="H7" s="227"/>
      <c r="I7" s="6">
        <v>5.1400000000000001E-2</v>
      </c>
    </row>
    <row r="8" spans="3:16">
      <c r="C8" s="3">
        <v>42725</v>
      </c>
      <c r="D8" s="4">
        <v>43360</v>
      </c>
      <c r="E8" s="227">
        <v>7105263.0999999996</v>
      </c>
      <c r="F8" s="5">
        <v>6.5000000000000002E-2</v>
      </c>
      <c r="G8" s="227">
        <v>130499</v>
      </c>
      <c r="H8" s="227"/>
      <c r="I8" s="6">
        <v>1.84E-2</v>
      </c>
    </row>
    <row r="9" spans="3:16">
      <c r="C9" s="3">
        <v>42725</v>
      </c>
      <c r="D9" s="4">
        <v>43353</v>
      </c>
      <c r="E9" s="227">
        <v>10789473.6</v>
      </c>
      <c r="F9" s="5">
        <v>6.5000000000000002E-2</v>
      </c>
      <c r="G9" s="227">
        <v>195435</v>
      </c>
      <c r="H9" s="227"/>
      <c r="I9" s="6">
        <v>1.8100000000000002E-2</v>
      </c>
      <c r="P9" s="9"/>
    </row>
    <row r="10" spans="3:16" ht="15.75" thickBot="1">
      <c r="C10" s="3">
        <v>42725</v>
      </c>
      <c r="D10" s="4">
        <v>54318</v>
      </c>
      <c r="E10" s="227">
        <v>10789473.6</v>
      </c>
      <c r="F10" s="5">
        <v>6.5000000000000002E-2</v>
      </c>
      <c r="G10" s="227">
        <v>198349</v>
      </c>
      <c r="H10" s="227"/>
      <c r="I10" s="6">
        <v>1.84E-2</v>
      </c>
      <c r="J10" s="48"/>
    </row>
    <row r="11" spans="3:16" ht="19.5" thickBot="1">
      <c r="C11" s="224" t="s">
        <v>55</v>
      </c>
      <c r="D11" s="225"/>
      <c r="E11" s="228">
        <f>SUM(E7:E10)</f>
        <v>58684210.300000004</v>
      </c>
      <c r="F11" s="225"/>
      <c r="G11" s="228">
        <f>SUM(G7:G10)</f>
        <v>2067175</v>
      </c>
      <c r="H11" s="228"/>
      <c r="I11" s="226"/>
      <c r="J11" s="9"/>
      <c r="K11" s="9"/>
    </row>
    <row r="12" spans="3:16" ht="15.75" thickBot="1">
      <c r="J12" s="9"/>
    </row>
    <row r="13" spans="3:16" ht="18.75">
      <c r="C13" s="359" t="s">
        <v>150</v>
      </c>
      <c r="D13" s="360"/>
      <c r="E13" s="360"/>
      <c r="F13" s="360"/>
      <c r="G13" s="360"/>
      <c r="H13" s="360"/>
      <c r="I13" s="361"/>
      <c r="J13" s="49"/>
    </row>
    <row r="14" spans="3:16">
      <c r="C14" s="1" t="s">
        <v>146</v>
      </c>
      <c r="D14" s="2" t="s">
        <v>147</v>
      </c>
      <c r="E14" s="2" t="s">
        <v>148</v>
      </c>
      <c r="F14" s="20" t="s">
        <v>81</v>
      </c>
      <c r="G14" s="20" t="s">
        <v>183</v>
      </c>
      <c r="H14" s="284" t="s">
        <v>200</v>
      </c>
      <c r="I14" s="180" t="s">
        <v>149</v>
      </c>
    </row>
    <row r="15" spans="3:16">
      <c r="C15" s="48">
        <v>7000569</v>
      </c>
      <c r="D15" s="46">
        <v>42809</v>
      </c>
      <c r="E15" s="9">
        <v>720.47</v>
      </c>
      <c r="F15" s="236">
        <v>6.5</v>
      </c>
      <c r="G15" s="9">
        <v>6.6050000000000004</v>
      </c>
      <c r="H15" s="9">
        <f>+G15-F15</f>
        <v>0.10500000000000043</v>
      </c>
      <c r="I15" s="235">
        <v>10526315.699999999</v>
      </c>
    </row>
    <row r="16" spans="3:16">
      <c r="C16" s="48">
        <v>7000567</v>
      </c>
      <c r="D16" s="46">
        <v>42811</v>
      </c>
      <c r="E16" s="9">
        <v>512.04</v>
      </c>
      <c r="F16" s="9">
        <v>6.5</v>
      </c>
      <c r="G16" s="9">
        <v>6.6050000000000004</v>
      </c>
      <c r="H16" s="9">
        <f t="shared" ref="H16:H29" si="0">+G16-F16</f>
        <v>0.10500000000000043</v>
      </c>
      <c r="I16" s="235">
        <v>6929824.5</v>
      </c>
      <c r="J16" s="233"/>
      <c r="K16" s="233"/>
      <c r="L16" s="233"/>
    </row>
    <row r="17" spans="3:12">
      <c r="C17" s="48">
        <v>7000566</v>
      </c>
      <c r="D17" s="46">
        <v>42824</v>
      </c>
      <c r="E17" s="47">
        <v>2531.25</v>
      </c>
      <c r="F17" s="9">
        <v>6.5</v>
      </c>
      <c r="G17" s="9">
        <v>6.6050000000000004</v>
      </c>
      <c r="H17" s="9">
        <f t="shared" si="0"/>
        <v>0.10500000000000043</v>
      </c>
      <c r="I17" s="235">
        <v>28928571.420000002</v>
      </c>
      <c r="J17" s="155"/>
      <c r="K17" s="156"/>
      <c r="L17" s="157"/>
    </row>
    <row r="18" spans="3:12">
      <c r="C18" s="48">
        <v>7000568</v>
      </c>
      <c r="D18" s="46">
        <v>42835</v>
      </c>
      <c r="E18" s="47">
        <v>1021.46</v>
      </c>
      <c r="F18" s="9">
        <v>6.5</v>
      </c>
      <c r="G18" s="9">
        <v>6.6795999999999998</v>
      </c>
      <c r="H18" s="9">
        <f t="shared" si="0"/>
        <v>0.17959999999999976</v>
      </c>
      <c r="I18" s="235">
        <v>10394736.75</v>
      </c>
      <c r="J18" s="155"/>
      <c r="K18" s="156"/>
      <c r="L18" s="155"/>
    </row>
    <row r="19" spans="3:12">
      <c r="C19" s="48">
        <v>7000567</v>
      </c>
      <c r="D19" s="46">
        <v>42842</v>
      </c>
      <c r="E19" s="47">
        <v>787.15</v>
      </c>
      <c r="F19" s="9">
        <v>6.5</v>
      </c>
      <c r="G19" s="9">
        <v>6.6795999999999998</v>
      </c>
      <c r="H19" s="9">
        <f t="shared" si="0"/>
        <v>0.17959999999999976</v>
      </c>
      <c r="I19" s="235">
        <v>6842105.2000000002</v>
      </c>
      <c r="J19" s="8"/>
      <c r="K19" s="8"/>
      <c r="L19" s="8"/>
    </row>
    <row r="20" spans="3:12">
      <c r="C20" s="48">
        <v>7000569</v>
      </c>
      <c r="D20" s="46">
        <v>42842</v>
      </c>
      <c r="E20" s="47">
        <v>1143.42</v>
      </c>
      <c r="F20" s="9">
        <v>6.5</v>
      </c>
      <c r="G20" s="9">
        <v>6.6795999999999998</v>
      </c>
      <c r="H20" s="9">
        <f t="shared" si="0"/>
        <v>0.17959999999999976</v>
      </c>
      <c r="I20" s="235">
        <v>10394736.75</v>
      </c>
    </row>
    <row r="21" spans="3:12">
      <c r="C21" s="48">
        <v>7000566</v>
      </c>
      <c r="D21" s="46">
        <v>42857</v>
      </c>
      <c r="E21" s="47">
        <v>4434.05</v>
      </c>
      <c r="F21" s="9">
        <v>6.5</v>
      </c>
      <c r="G21" s="9">
        <v>6.8925000000000001</v>
      </c>
      <c r="H21" s="9">
        <f t="shared" si="0"/>
        <v>0.39250000000000007</v>
      </c>
      <c r="I21" s="235">
        <v>28571428.559999999</v>
      </c>
    </row>
    <row r="22" spans="3:12">
      <c r="C22" s="48">
        <v>7000568</v>
      </c>
      <c r="D22" s="46">
        <v>42863</v>
      </c>
      <c r="E22" s="47">
        <v>2787.47</v>
      </c>
      <c r="F22" s="9">
        <v>6.5</v>
      </c>
      <c r="G22" s="9">
        <f>+G21</f>
        <v>6.8925000000000001</v>
      </c>
      <c r="H22" s="9">
        <f t="shared" si="0"/>
        <v>0.39250000000000007</v>
      </c>
      <c r="I22" s="235">
        <v>10263157.800000001</v>
      </c>
    </row>
    <row r="23" spans="3:12">
      <c r="C23" s="48">
        <v>7000569</v>
      </c>
      <c r="D23" s="46">
        <v>42870</v>
      </c>
      <c r="E23" s="47">
        <v>2873.68</v>
      </c>
      <c r="F23" s="9">
        <v>6.5</v>
      </c>
      <c r="G23" s="9">
        <f>+G22</f>
        <v>6.8925000000000001</v>
      </c>
      <c r="H23" s="9">
        <f t="shared" si="0"/>
        <v>0.39250000000000007</v>
      </c>
      <c r="I23" s="235">
        <v>10263157.800000001</v>
      </c>
    </row>
    <row r="24" spans="3:12">
      <c r="C24" s="48">
        <v>7000567</v>
      </c>
      <c r="D24" s="46">
        <v>42872</v>
      </c>
      <c r="E24" s="47">
        <v>2026.32</v>
      </c>
      <c r="F24" s="266">
        <v>6.5</v>
      </c>
      <c r="G24" s="9">
        <v>6.8925000000000001</v>
      </c>
      <c r="H24" s="9">
        <f t="shared" si="0"/>
        <v>0.39250000000000007</v>
      </c>
      <c r="I24" s="235">
        <v>6754385.9000000004</v>
      </c>
    </row>
    <row r="25" spans="3:12">
      <c r="C25" s="48">
        <v>7000566</v>
      </c>
      <c r="D25" s="46">
        <v>42885</v>
      </c>
      <c r="E25" s="47">
        <v>8635.14</v>
      </c>
      <c r="F25" s="266">
        <v>6.5</v>
      </c>
      <c r="G25" s="9">
        <v>6.8925000000000001</v>
      </c>
      <c r="H25" s="9">
        <f t="shared" si="0"/>
        <v>0.39250000000000007</v>
      </c>
      <c r="I25" s="235">
        <v>28214285.699999999</v>
      </c>
    </row>
    <row r="26" spans="3:12">
      <c r="C26" s="48">
        <v>7000568</v>
      </c>
      <c r="D26" s="46">
        <v>42894</v>
      </c>
      <c r="E26" s="47">
        <v>3443.53</v>
      </c>
      <c r="F26" s="266">
        <v>6.5</v>
      </c>
      <c r="G26" s="9">
        <v>7.1471</v>
      </c>
      <c r="H26" s="9">
        <f t="shared" si="0"/>
        <v>0.64710000000000001</v>
      </c>
      <c r="I26" s="235">
        <v>10131578.85</v>
      </c>
    </row>
    <row r="27" spans="3:12">
      <c r="C27" s="268">
        <v>7000569</v>
      </c>
      <c r="D27" s="269">
        <v>42901</v>
      </c>
      <c r="E27" s="270">
        <v>3407.76</v>
      </c>
      <c r="F27" s="271">
        <v>6.5</v>
      </c>
      <c r="G27" s="272">
        <v>7.1471</v>
      </c>
      <c r="H27" s="272">
        <f t="shared" si="0"/>
        <v>0.64710000000000001</v>
      </c>
      <c r="I27" s="273">
        <v>10131578.85</v>
      </c>
    </row>
    <row r="28" spans="3:12">
      <c r="C28" s="268">
        <v>7000567</v>
      </c>
      <c r="D28" s="269">
        <v>42905</v>
      </c>
      <c r="E28" s="270">
        <v>2368.67</v>
      </c>
      <c r="F28" s="271">
        <v>6.5</v>
      </c>
      <c r="G28" s="272">
        <v>7.1471</v>
      </c>
      <c r="H28" s="272">
        <f t="shared" si="0"/>
        <v>0.64710000000000001</v>
      </c>
      <c r="I28" s="273">
        <v>6666666.5999999996</v>
      </c>
    </row>
    <row r="29" spans="3:12">
      <c r="C29" s="268">
        <v>7000566</v>
      </c>
      <c r="D29" s="269">
        <v>42916</v>
      </c>
      <c r="E29" s="270">
        <v>15472.32</v>
      </c>
      <c r="F29" s="271">
        <v>6.5</v>
      </c>
      <c r="G29" s="272">
        <v>7.1471</v>
      </c>
      <c r="H29" s="272">
        <f t="shared" si="0"/>
        <v>0.64710000000000001</v>
      </c>
      <c r="I29" s="273">
        <v>27857142.84</v>
      </c>
    </row>
    <row r="30" spans="3:12" ht="19.5" thickBot="1">
      <c r="C30" s="267" t="s">
        <v>55</v>
      </c>
      <c r="D30" s="237"/>
      <c r="E30" s="238">
        <f>SUM(E15:E29)</f>
        <v>52164.729999999996</v>
      </c>
      <c r="F30" s="239"/>
      <c r="G30" s="240"/>
      <c r="H30" s="240"/>
      <c r="I30" s="241"/>
    </row>
    <row r="32" spans="3:12">
      <c r="G32" s="234"/>
      <c r="H32" s="234"/>
    </row>
    <row r="33" spans="6:6">
      <c r="F33" s="234"/>
    </row>
  </sheetData>
  <mergeCells count="3">
    <mergeCell ref="C5:I5"/>
    <mergeCell ref="C2:I3"/>
    <mergeCell ref="C13:I1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S40"/>
  <sheetViews>
    <sheetView workbookViewId="0">
      <selection activeCell="E30" sqref="E30"/>
    </sheetView>
  </sheetViews>
  <sheetFormatPr baseColWidth="10" defaultColWidth="11.42578125" defaultRowHeight="15"/>
  <cols>
    <col min="1" max="1" width="11.42578125" style="27" customWidth="1"/>
    <col min="2" max="2" width="15.140625" style="27" customWidth="1"/>
    <col min="3" max="3" width="13.7109375" style="27" customWidth="1"/>
    <col min="4" max="4" width="15.5703125" style="27" customWidth="1"/>
    <col min="5" max="5" width="15.42578125" style="27" customWidth="1"/>
    <col min="6" max="6" width="14.7109375" style="27" customWidth="1"/>
    <col min="7" max="8" width="11.42578125" style="27"/>
    <col min="9" max="9" width="11.42578125" style="27" customWidth="1"/>
    <col min="10" max="10" width="11.42578125" style="27"/>
    <col min="11" max="11" width="11.42578125" style="27" customWidth="1"/>
    <col min="12" max="12" width="15.140625" style="27" customWidth="1"/>
    <col min="13" max="13" width="13.7109375" style="27" customWidth="1"/>
    <col min="14" max="14" width="15.5703125" style="27" customWidth="1"/>
    <col min="15" max="15" width="15.42578125" style="27" customWidth="1"/>
    <col min="16" max="16" width="14.7109375" style="27" customWidth="1"/>
    <col min="17" max="18" width="11.42578125" style="27"/>
    <col min="19" max="19" width="11.42578125" style="27" customWidth="1"/>
    <col min="20" max="16384" width="11.42578125" style="27"/>
  </cols>
  <sheetData>
    <row r="1" spans="2:19">
      <c r="B1" s="363" t="s">
        <v>139</v>
      </c>
      <c r="C1" s="363"/>
      <c r="D1" s="363"/>
      <c r="E1" s="363"/>
      <c r="F1" s="363"/>
      <c r="G1" s="363"/>
      <c r="H1" s="363"/>
      <c r="I1" s="363"/>
      <c r="L1" s="363" t="s">
        <v>139</v>
      </c>
      <c r="M1" s="363"/>
      <c r="N1" s="363"/>
      <c r="O1" s="363"/>
      <c r="P1" s="363"/>
      <c r="Q1" s="363"/>
      <c r="R1" s="363"/>
      <c r="S1" s="363"/>
    </row>
    <row r="25" spans="2:18" ht="26.25">
      <c r="B25" s="23" t="s">
        <v>140</v>
      </c>
      <c r="C25" s="23" t="s">
        <v>100</v>
      </c>
      <c r="D25" s="24" t="s">
        <v>101</v>
      </c>
      <c r="E25" s="23" t="s">
        <v>102</v>
      </c>
      <c r="F25" s="25" t="s">
        <v>103</v>
      </c>
      <c r="G25" s="26" t="s">
        <v>104</v>
      </c>
      <c r="H25" s="26" t="s">
        <v>77</v>
      </c>
      <c r="L25" s="23" t="s">
        <v>140</v>
      </c>
      <c r="M25" s="23" t="s">
        <v>100</v>
      </c>
      <c r="N25" s="24" t="s">
        <v>101</v>
      </c>
      <c r="O25" s="23" t="s">
        <v>102</v>
      </c>
      <c r="P25" s="25" t="s">
        <v>103</v>
      </c>
      <c r="Q25" s="26" t="s">
        <v>104</v>
      </c>
      <c r="R25" s="26" t="s">
        <v>77</v>
      </c>
    </row>
    <row r="26" spans="2:18">
      <c r="B26" s="32">
        <v>2013</v>
      </c>
      <c r="C26" s="33" t="s">
        <v>107</v>
      </c>
      <c r="D26" s="34">
        <v>15752030.68</v>
      </c>
      <c r="E26" s="34">
        <v>71156.3</v>
      </c>
      <c r="F26" s="29">
        <v>131266.92000000001</v>
      </c>
      <c r="G26" s="29">
        <v>15620763.76</v>
      </c>
      <c r="H26" s="36">
        <v>3.75</v>
      </c>
      <c r="L26" s="28">
        <v>2013</v>
      </c>
      <c r="M26" s="27" t="s">
        <v>107</v>
      </c>
      <c r="N26" s="29">
        <v>15752030.68</v>
      </c>
      <c r="O26" s="29">
        <f>'Tabla de amortizacion'!V21</f>
        <v>71156.3</v>
      </c>
      <c r="P26" s="29">
        <v>131266.92000000001</v>
      </c>
      <c r="Q26" s="29">
        <v>15620763.76</v>
      </c>
      <c r="R26" s="35">
        <v>3.75</v>
      </c>
    </row>
    <row r="27" spans="2:18">
      <c r="B27" s="28">
        <v>2014</v>
      </c>
      <c r="C27" s="27" t="s">
        <v>107</v>
      </c>
      <c r="D27" s="29">
        <v>14176827.640000001</v>
      </c>
      <c r="E27" s="29">
        <v>67859.73</v>
      </c>
      <c r="F27" s="29">
        <v>131266.92000000001</v>
      </c>
      <c r="G27" s="29">
        <v>14045560.720000001</v>
      </c>
      <c r="H27" s="35">
        <v>3</v>
      </c>
      <c r="L27" s="28">
        <v>2014</v>
      </c>
      <c r="M27" s="27" t="s">
        <v>107</v>
      </c>
      <c r="N27" s="29">
        <f>+Q26</f>
        <v>15620763.76</v>
      </c>
      <c r="O27" s="29">
        <f>'Tabla de amortizacion'!V34</f>
        <v>893343.11</v>
      </c>
      <c r="P27" s="29">
        <f>'Tabla de amortizacion'!W34</f>
        <v>1575203.0399999998</v>
      </c>
      <c r="Q27" s="29">
        <v>14045560.720000001</v>
      </c>
      <c r="R27" s="35">
        <v>3</v>
      </c>
    </row>
    <row r="28" spans="2:18">
      <c r="B28" s="28">
        <v>2015</v>
      </c>
      <c r="C28" s="27" t="s">
        <v>107</v>
      </c>
      <c r="D28" s="29">
        <v>12601624.600000001</v>
      </c>
      <c r="E28" s="29">
        <v>57079.01</v>
      </c>
      <c r="F28" s="29">
        <v>131266.92000000001</v>
      </c>
      <c r="G28" s="29">
        <v>12470357.680000002</v>
      </c>
      <c r="H28" s="35">
        <v>3.25</v>
      </c>
      <c r="L28" s="32">
        <v>2015</v>
      </c>
      <c r="M28" s="33" t="s">
        <v>107</v>
      </c>
      <c r="N28" s="34">
        <f>+Q27</f>
        <v>14045560.720000001</v>
      </c>
      <c r="O28" s="34">
        <f>'Tabla de amortizacion'!V47</f>
        <v>770370.10000000009</v>
      </c>
      <c r="P28" s="29">
        <f>'Tabla de amortizacion'!W47</f>
        <v>1575203.0399999998</v>
      </c>
      <c r="Q28" s="29">
        <v>12470357.680000002</v>
      </c>
      <c r="R28" s="36">
        <v>3.25</v>
      </c>
    </row>
    <row r="29" spans="2:18">
      <c r="B29" s="32">
        <v>2016</v>
      </c>
      <c r="C29" s="33" t="s">
        <v>107</v>
      </c>
      <c r="D29" s="34">
        <v>11026421.560000002</v>
      </c>
      <c r="E29" s="34">
        <v>73228.55</v>
      </c>
      <c r="F29" s="29">
        <v>131266.92000000001</v>
      </c>
      <c r="G29" s="29">
        <v>10895154.640000002</v>
      </c>
      <c r="H29" s="36">
        <v>4.75</v>
      </c>
      <c r="L29" s="32">
        <v>2016</v>
      </c>
      <c r="M29" s="33" t="s">
        <v>107</v>
      </c>
      <c r="N29" s="34">
        <f>+Q28</f>
        <v>12470357.680000002</v>
      </c>
      <c r="O29" s="34">
        <f>'Tabla de amortizacion'!V60</f>
        <v>798662.53000000014</v>
      </c>
      <c r="P29" s="29">
        <f>'Tabla de amortizacion'!W60</f>
        <v>1575203.0399999998</v>
      </c>
      <c r="Q29" s="29">
        <v>10895154.640000002</v>
      </c>
      <c r="R29" s="36">
        <v>4.75</v>
      </c>
    </row>
    <row r="30" spans="2:18">
      <c r="B30" s="28">
        <v>2017</v>
      </c>
      <c r="C30" s="27" t="s">
        <v>107</v>
      </c>
      <c r="D30" s="29">
        <v>9451218.5200000033</v>
      </c>
      <c r="E30" s="29">
        <v>72301.821678000037</v>
      </c>
      <c r="F30" s="29">
        <v>131266.92000000001</v>
      </c>
      <c r="G30" s="29">
        <v>9319951.6000000034</v>
      </c>
      <c r="H30" s="35">
        <f>6.25+0.5</f>
        <v>6.75</v>
      </c>
      <c r="L30" s="28">
        <v>2017</v>
      </c>
      <c r="M30" s="27" t="s">
        <v>107</v>
      </c>
      <c r="N30" s="29">
        <f>+Q29</f>
        <v>10895154.640000002</v>
      </c>
      <c r="O30" s="29">
        <f>'Tabla de amortizacion'!V74+'Tabla de amortizacion'!V62+'Tabla de amortizacion'!V61</f>
        <v>150059.34999999998</v>
      </c>
      <c r="P30" s="29">
        <f>P29</f>
        <v>1575203.0399999998</v>
      </c>
      <c r="Q30" s="29">
        <v>9319951.6000000034</v>
      </c>
      <c r="R30" s="35">
        <f>6.25+0.5</f>
        <v>6.75</v>
      </c>
    </row>
    <row r="32" spans="2:18">
      <c r="D32" s="364" t="s">
        <v>141</v>
      </c>
      <c r="E32" s="364"/>
      <c r="F32" s="364"/>
      <c r="G32" s="364"/>
      <c r="H32" s="27">
        <v>3.75</v>
      </c>
      <c r="N32" s="364" t="s">
        <v>141</v>
      </c>
      <c r="O32" s="364"/>
      <c r="P32" s="364"/>
      <c r="Q32" s="364"/>
      <c r="R32" s="27">
        <v>3.75</v>
      </c>
    </row>
    <row r="33" spans="4:18">
      <c r="D33" s="364" t="s">
        <v>142</v>
      </c>
      <c r="E33" s="364"/>
      <c r="F33" s="364"/>
      <c r="G33" s="364"/>
      <c r="H33" s="35">
        <f>+H30</f>
        <v>6.75</v>
      </c>
      <c r="N33" s="364" t="s">
        <v>142</v>
      </c>
      <c r="O33" s="364"/>
      <c r="P33" s="364"/>
      <c r="Q33" s="364"/>
      <c r="R33" s="35">
        <f>+R30</f>
        <v>6.75</v>
      </c>
    </row>
    <row r="34" spans="4:18">
      <c r="D34" s="364"/>
      <c r="E34" s="364"/>
      <c r="F34" s="364"/>
      <c r="G34" s="364"/>
      <c r="N34" s="364"/>
      <c r="O34" s="364"/>
      <c r="P34" s="364"/>
      <c r="Q34" s="364"/>
    </row>
    <row r="35" spans="4:18">
      <c r="D35" s="364" t="s">
        <v>143</v>
      </c>
      <c r="E35" s="364"/>
      <c r="F35" s="364"/>
      <c r="G35" s="364"/>
      <c r="H35" s="35">
        <f>+H33-H32</f>
        <v>3</v>
      </c>
      <c r="N35" s="364" t="s">
        <v>143</v>
      </c>
      <c r="O35" s="364"/>
      <c r="P35" s="364"/>
      <c r="Q35" s="364"/>
      <c r="R35" s="35">
        <f>+R33-R32</f>
        <v>3</v>
      </c>
    </row>
    <row r="36" spans="4:18">
      <c r="D36" s="364"/>
      <c r="E36" s="364"/>
      <c r="F36" s="364"/>
      <c r="G36" s="364"/>
      <c r="N36" s="364"/>
      <c r="O36" s="364"/>
      <c r="P36" s="364"/>
      <c r="Q36" s="364"/>
    </row>
    <row r="37" spans="4:18">
      <c r="D37" s="364" t="s">
        <v>144</v>
      </c>
      <c r="E37" s="364"/>
      <c r="F37" s="364"/>
      <c r="G37" s="364"/>
      <c r="H37" s="44">
        <v>5.6</v>
      </c>
      <c r="N37" s="364" t="s">
        <v>144</v>
      </c>
      <c r="O37" s="364"/>
      <c r="P37" s="364"/>
      <c r="Q37" s="364"/>
      <c r="R37" s="44">
        <v>5.6</v>
      </c>
    </row>
    <row r="38" spans="4:18">
      <c r="D38" s="362" t="s">
        <v>145</v>
      </c>
      <c r="E38" s="362"/>
      <c r="F38" s="362"/>
      <c r="G38" s="362"/>
      <c r="H38" s="45">
        <f>+H33-H37</f>
        <v>1.1500000000000004</v>
      </c>
      <c r="N38" s="362" t="s">
        <v>145</v>
      </c>
      <c r="O38" s="362"/>
      <c r="P38" s="362"/>
      <c r="Q38" s="362"/>
      <c r="R38" s="45">
        <f>+R33-R37</f>
        <v>1.1500000000000004</v>
      </c>
    </row>
    <row r="40" spans="4:18">
      <c r="H40" s="35"/>
      <c r="R40" s="35"/>
    </row>
  </sheetData>
  <customSheetViews>
    <customSheetView guid="{DA992D42-88A1-40DD-B0D5-EBD30D5AEF2B}">
      <selection activeCell="U29" sqref="U29"/>
      <pageMargins left="0.7" right="0.7" top="0.75" bottom="0.75" header="0.3" footer="0.3"/>
      <pageSetup scale="75" orientation="portrait" r:id="rId1"/>
    </customSheetView>
  </customSheetViews>
  <mergeCells count="16">
    <mergeCell ref="D38:G38"/>
    <mergeCell ref="L1:S1"/>
    <mergeCell ref="N32:Q32"/>
    <mergeCell ref="N33:Q33"/>
    <mergeCell ref="N34:Q34"/>
    <mergeCell ref="N35:Q35"/>
    <mergeCell ref="N36:Q36"/>
    <mergeCell ref="N37:Q37"/>
    <mergeCell ref="N38:Q38"/>
    <mergeCell ref="B1:I1"/>
    <mergeCell ref="D34:G34"/>
    <mergeCell ref="D35:G35"/>
    <mergeCell ref="D36:G36"/>
    <mergeCell ref="D37:G37"/>
    <mergeCell ref="D32:G32"/>
    <mergeCell ref="D33:G33"/>
  </mergeCells>
  <conditionalFormatting sqref="E26:E30">
    <cfRule type="iconSet" priority="3">
      <iconSet iconSet="3Arrows">
        <cfvo type="percent" val="0"/>
        <cfvo type="percent" val="33"/>
        <cfvo type="percent" val="67"/>
      </iconSet>
    </cfRule>
  </conditionalFormatting>
  <conditionalFormatting sqref="O26:O30">
    <cfRule type="top10" dxfId="0" priority="1" percent="1" rank="10"/>
  </conditionalFormatting>
  <pageMargins left="0.7" right="0.7" top="0.75" bottom="0.75" header="0.3" footer="0.3"/>
  <pageSetup scale="75"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Hoja1</vt:lpstr>
      <vt:lpstr>Tesoreria</vt:lpstr>
      <vt:lpstr>Info. Inversiones</vt:lpstr>
      <vt:lpstr>AFISA</vt:lpstr>
      <vt:lpstr>Pasivos Hipotecarios</vt:lpstr>
      <vt:lpstr>Tabla de amortizacion</vt:lpstr>
      <vt:lpstr>CAPs (Coberturas)</vt:lpstr>
      <vt:lpstr>Analisis SOFICAM</vt:lpstr>
      <vt:lpstr>'Analisis SOFICAM'!Área_de_impresión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argo</dc:creator>
  <cp:lastModifiedBy>Jorge</cp:lastModifiedBy>
  <cp:lastPrinted>2017-05-13T16:11:39Z</cp:lastPrinted>
  <dcterms:created xsi:type="dcterms:W3CDTF">2016-08-03T17:13:10Z</dcterms:created>
  <dcterms:modified xsi:type="dcterms:W3CDTF">2017-06-28T23:06:31Z</dcterms:modified>
</cp:coreProperties>
</file>