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illOfMaterials\"/>
    </mc:Choice>
  </mc:AlternateContent>
  <xr:revisionPtr revIDLastSave="0" documentId="10_ncr:100000_{04935B6F-5C2F-43C1-AE56-1FDAB3335385}" xr6:coauthVersionLast="31" xr6:coauthVersionMax="31" xr10:uidLastSave="{00000000-0000-0000-0000-000000000000}"/>
  <bookViews>
    <workbookView xWindow="0" yWindow="0" windowWidth="7275" windowHeight="7500" activeTab="3" xr2:uid="{00000000-000D-0000-FFFF-FFFF00000000}"/>
  </bookViews>
  <sheets>
    <sheet name="V1" sheetId="1" r:id="rId1"/>
    <sheet name="V3" sheetId="3" r:id="rId2"/>
    <sheet name="V4" sheetId="4" r:id="rId3"/>
    <sheet name="SALES PLAN" sheetId="5" r:id="rId4"/>
    <sheet name="Just One More Build" sheetId="6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5" l="1"/>
  <c r="O37" i="5"/>
  <c r="K40" i="5"/>
  <c r="K41" i="5" s="1"/>
  <c r="I37" i="5"/>
  <c r="I40" i="5" s="1"/>
  <c r="U19" i="5" l="1"/>
  <c r="M10" i="5"/>
  <c r="M35" i="5"/>
  <c r="P35" i="5" s="1"/>
  <c r="S35" i="5" s="1"/>
  <c r="V35" i="5" s="1"/>
  <c r="Y35" i="5" s="1"/>
  <c r="M34" i="5"/>
  <c r="J35" i="5"/>
  <c r="J34" i="5"/>
  <c r="J29" i="5"/>
  <c r="M29" i="5" s="1"/>
  <c r="I29" i="5"/>
  <c r="J27" i="5"/>
  <c r="M27" i="5" s="1"/>
  <c r="J22" i="5"/>
  <c r="M22" i="5"/>
  <c r="I29" i="6" l="1"/>
  <c r="I28" i="6"/>
  <c r="K37" i="6"/>
  <c r="I36" i="6"/>
  <c r="J34" i="6"/>
  <c r="J33" i="6"/>
  <c r="J32" i="6"/>
  <c r="J31" i="6"/>
  <c r="J30" i="6"/>
  <c r="J29" i="6"/>
  <c r="J28" i="6"/>
  <c r="I37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K38" i="6" l="1"/>
  <c r="U28" i="5"/>
  <c r="U26" i="5"/>
  <c r="U39" i="5" s="1"/>
  <c r="U40" i="5" s="1"/>
  <c r="W40" i="5"/>
  <c r="J2" i="5"/>
  <c r="M2" i="5" s="1"/>
  <c r="P2" i="5" s="1"/>
  <c r="S2" i="5" s="1"/>
  <c r="V2" i="5" s="1"/>
  <c r="Y2" i="5" s="1"/>
  <c r="Q40" i="5"/>
  <c r="O39" i="5"/>
  <c r="O40" i="5" s="1"/>
  <c r="I39" i="5"/>
  <c r="P29" i="5"/>
  <c r="S29" i="5" s="1"/>
  <c r="V29" i="5" s="1"/>
  <c r="Y29" i="5" s="1"/>
  <c r="J3" i="5"/>
  <c r="M3" i="5" s="1"/>
  <c r="P3" i="5" s="1"/>
  <c r="S3" i="5" s="1"/>
  <c r="V3" i="5" s="1"/>
  <c r="Y3" i="5" s="1"/>
  <c r="J4" i="5"/>
  <c r="M4" i="5" s="1"/>
  <c r="P4" i="5" s="1"/>
  <c r="S4" i="5" s="1"/>
  <c r="V4" i="5" s="1"/>
  <c r="Y4" i="5" s="1"/>
  <c r="J5" i="5"/>
  <c r="M5" i="5" s="1"/>
  <c r="P5" i="5" s="1"/>
  <c r="S5" i="5" s="1"/>
  <c r="V5" i="5" s="1"/>
  <c r="Y5" i="5" s="1"/>
  <c r="J6" i="5"/>
  <c r="M6" i="5" s="1"/>
  <c r="P6" i="5" s="1"/>
  <c r="S6" i="5" s="1"/>
  <c r="V6" i="5" s="1"/>
  <c r="Y6" i="5" s="1"/>
  <c r="J7" i="5"/>
  <c r="M7" i="5" s="1"/>
  <c r="P7" i="5" s="1"/>
  <c r="S7" i="5" s="1"/>
  <c r="V7" i="5" s="1"/>
  <c r="Y7" i="5" s="1"/>
  <c r="J8" i="5"/>
  <c r="M8" i="5" s="1"/>
  <c r="P8" i="5" s="1"/>
  <c r="S8" i="5" s="1"/>
  <c r="V8" i="5" s="1"/>
  <c r="Y8" i="5" s="1"/>
  <c r="J9" i="5"/>
  <c r="M9" i="5" s="1"/>
  <c r="P9" i="5" s="1"/>
  <c r="S9" i="5" s="1"/>
  <c r="V9" i="5" s="1"/>
  <c r="Y9" i="5" s="1"/>
  <c r="J10" i="5"/>
  <c r="P10" i="5" s="1"/>
  <c r="S10" i="5" s="1"/>
  <c r="V10" i="5" s="1"/>
  <c r="Y10" i="5" s="1"/>
  <c r="J11" i="5"/>
  <c r="M11" i="5" s="1"/>
  <c r="P11" i="5" s="1"/>
  <c r="S11" i="5" s="1"/>
  <c r="V11" i="5" s="1"/>
  <c r="Y11" i="5" s="1"/>
  <c r="J12" i="5"/>
  <c r="M12" i="5" s="1"/>
  <c r="P12" i="5" s="1"/>
  <c r="S12" i="5" s="1"/>
  <c r="V12" i="5" s="1"/>
  <c r="Y12" i="5" s="1"/>
  <c r="J13" i="5"/>
  <c r="M13" i="5" s="1"/>
  <c r="P13" i="5" s="1"/>
  <c r="S13" i="5" s="1"/>
  <c r="V13" i="5" s="1"/>
  <c r="Y13" i="5" s="1"/>
  <c r="J14" i="5"/>
  <c r="M14" i="5" s="1"/>
  <c r="P14" i="5" s="1"/>
  <c r="S14" i="5" s="1"/>
  <c r="V14" i="5" s="1"/>
  <c r="Y14" i="5" s="1"/>
  <c r="J15" i="5"/>
  <c r="M15" i="5" s="1"/>
  <c r="P15" i="5" s="1"/>
  <c r="S15" i="5" s="1"/>
  <c r="V15" i="5" s="1"/>
  <c r="Y15" i="5" s="1"/>
  <c r="J16" i="5"/>
  <c r="M16" i="5" s="1"/>
  <c r="P16" i="5" s="1"/>
  <c r="S16" i="5" s="1"/>
  <c r="V16" i="5" s="1"/>
  <c r="Y16" i="5" s="1"/>
  <c r="J17" i="5"/>
  <c r="M17" i="5" s="1"/>
  <c r="P17" i="5" s="1"/>
  <c r="S17" i="5" s="1"/>
  <c r="V17" i="5" s="1"/>
  <c r="Y17" i="5" s="1"/>
  <c r="J18" i="5"/>
  <c r="M18" i="5" s="1"/>
  <c r="P18" i="5" s="1"/>
  <c r="S18" i="5" s="1"/>
  <c r="V18" i="5" s="1"/>
  <c r="Y18" i="5" s="1"/>
  <c r="J19" i="5"/>
  <c r="M19" i="5" s="1"/>
  <c r="P19" i="5" s="1"/>
  <c r="S19" i="5" s="1"/>
  <c r="V19" i="5" s="1"/>
  <c r="Y19" i="5" s="1"/>
  <c r="J20" i="5"/>
  <c r="M20" i="5" s="1"/>
  <c r="P20" i="5" s="1"/>
  <c r="S20" i="5" s="1"/>
  <c r="V20" i="5" s="1"/>
  <c r="Y20" i="5" s="1"/>
  <c r="J21" i="5"/>
  <c r="M21" i="5" s="1"/>
  <c r="P21" i="5" s="1"/>
  <c r="S21" i="5" s="1"/>
  <c r="V21" i="5" s="1"/>
  <c r="Y21" i="5" s="1"/>
  <c r="P22" i="5"/>
  <c r="S22" i="5" s="1"/>
  <c r="V22" i="5" s="1"/>
  <c r="Y22" i="5" s="1"/>
  <c r="J23" i="5"/>
  <c r="M23" i="5" s="1"/>
  <c r="P23" i="5" s="1"/>
  <c r="S23" i="5" s="1"/>
  <c r="V23" i="5" s="1"/>
  <c r="Y23" i="5" s="1"/>
  <c r="J24" i="5"/>
  <c r="J25" i="5"/>
  <c r="M25" i="5" s="1"/>
  <c r="P25" i="5" s="1"/>
  <c r="S25" i="5" s="1"/>
  <c r="V25" i="5" s="1"/>
  <c r="Y25" i="5" s="1"/>
  <c r="J26" i="5"/>
  <c r="M26" i="5" s="1"/>
  <c r="P26" i="5" s="1"/>
  <c r="S26" i="5" s="1"/>
  <c r="V26" i="5" s="1"/>
  <c r="Y26" i="5" s="1"/>
  <c r="P27" i="5"/>
  <c r="S27" i="5" s="1"/>
  <c r="V27" i="5" s="1"/>
  <c r="Y27" i="5" s="1"/>
  <c r="J28" i="5"/>
  <c r="J30" i="5"/>
  <c r="M30" i="5" s="1"/>
  <c r="P30" i="5" s="1"/>
  <c r="S30" i="5" s="1"/>
  <c r="V30" i="5" s="1"/>
  <c r="Y30" i="5" s="1"/>
  <c r="J31" i="5"/>
  <c r="M31" i="5" s="1"/>
  <c r="P31" i="5" s="1"/>
  <c r="S31" i="5" s="1"/>
  <c r="V31" i="5" s="1"/>
  <c r="Y31" i="5" s="1"/>
  <c r="J32" i="5"/>
  <c r="M32" i="5" s="1"/>
  <c r="P32" i="5" s="1"/>
  <c r="S32" i="5" s="1"/>
  <c r="V32" i="5" s="1"/>
  <c r="Y32" i="5" s="1"/>
  <c r="J33" i="5"/>
  <c r="M33" i="5" s="1"/>
  <c r="P33" i="5" s="1"/>
  <c r="S33" i="5" s="1"/>
  <c r="V33" i="5" s="1"/>
  <c r="Y33" i="5" s="1"/>
  <c r="P34" i="5"/>
  <c r="S34" i="5" s="1"/>
  <c r="V34" i="5" s="1"/>
  <c r="Y34" i="5" s="1"/>
  <c r="I28" i="5"/>
  <c r="M28" i="5" l="1"/>
  <c r="P28" i="5" s="1"/>
  <c r="S28" i="5" s="1"/>
  <c r="V28" i="5" s="1"/>
  <c r="Y28" i="5" s="1"/>
  <c r="M24" i="5"/>
  <c r="P24" i="5" s="1"/>
  <c r="S24" i="5" s="1"/>
  <c r="V24" i="5" s="1"/>
  <c r="Y24" i="5" s="1"/>
  <c r="W41" i="5"/>
  <c r="Q41" i="5"/>
  <c r="L35" i="4"/>
  <c r="K33" i="4" l="1"/>
  <c r="L33" i="4" s="1"/>
  <c r="K27" i="4" l="1"/>
  <c r="K18" i="4"/>
  <c r="K2" i="4"/>
  <c r="K16" i="4" l="1"/>
  <c r="K15" i="4"/>
  <c r="K14" i="4"/>
  <c r="L14" i="4" s="1"/>
  <c r="K5" i="4"/>
  <c r="L5" i="4" s="1"/>
  <c r="K4" i="4"/>
  <c r="L4" i="4" s="1"/>
  <c r="L2" i="4"/>
  <c r="L39" i="4"/>
  <c r="L42" i="4" s="1"/>
  <c r="K32" i="4"/>
  <c r="L32" i="4" s="1"/>
  <c r="L34" i="4"/>
  <c r="L15" i="4"/>
  <c r="L16" i="4"/>
  <c r="L27" i="4"/>
  <c r="K30" i="4"/>
  <c r="L30" i="4" s="1"/>
  <c r="K31" i="4"/>
  <c r="L31" i="4" s="1"/>
  <c r="K29" i="4"/>
  <c r="L29" i="4" s="1"/>
  <c r="K28" i="4"/>
  <c r="L28" i="4" s="1"/>
  <c r="K26" i="4"/>
  <c r="L26" i="4" s="1"/>
  <c r="K25" i="4"/>
  <c r="L25" i="4" s="1"/>
  <c r="K24" i="4"/>
  <c r="L24" i="4" s="1"/>
  <c r="K23" i="4"/>
  <c r="L23" i="4" s="1"/>
  <c r="K22" i="4"/>
  <c r="L22" i="4" s="1"/>
  <c r="K21" i="4"/>
  <c r="L21" i="4" s="1"/>
  <c r="K20" i="4"/>
  <c r="L20" i="4" s="1"/>
  <c r="K19" i="4"/>
  <c r="L19" i="4" s="1"/>
  <c r="L18" i="4"/>
  <c r="K17" i="4"/>
  <c r="L17" i="4" s="1"/>
  <c r="K13" i="4"/>
  <c r="L13" i="4" s="1"/>
  <c r="K12" i="4"/>
  <c r="L12" i="4" s="1"/>
  <c r="K11" i="4"/>
  <c r="L11" i="4" s="1"/>
  <c r="K10" i="4"/>
  <c r="L10" i="4" s="1"/>
  <c r="K9" i="4"/>
  <c r="L9" i="4" s="1"/>
  <c r="K8" i="4"/>
  <c r="L8" i="4" s="1"/>
  <c r="K7" i="4"/>
  <c r="L7" i="4" s="1"/>
  <c r="K6" i="4"/>
  <c r="L6" i="4" s="1"/>
  <c r="K3" i="4"/>
  <c r="L3" i="4" s="1"/>
  <c r="J29" i="4"/>
  <c r="J28" i="4"/>
  <c r="I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L41" i="4" l="1"/>
  <c r="L43" i="4" s="1"/>
  <c r="L37" i="4"/>
  <c r="L40" i="4"/>
  <c r="J37" i="4"/>
  <c r="K13" i="3"/>
  <c r="K3" i="3"/>
  <c r="K14" i="3"/>
  <c r="K17" i="3"/>
  <c r="K5" i="3"/>
  <c r="K15" i="3"/>
  <c r="K2" i="3"/>
  <c r="K16" i="3"/>
  <c r="K4" i="3"/>
  <c r="K26" i="3"/>
  <c r="K28" i="3"/>
  <c r="K22" i="3"/>
  <c r="K20" i="3"/>
  <c r="K9" i="3"/>
  <c r="K18" i="3"/>
  <c r="K25" i="3"/>
  <c r="K7" i="3"/>
  <c r="K21" i="3"/>
  <c r="K24" i="3"/>
  <c r="K11" i="3"/>
  <c r="K6" i="3"/>
  <c r="K8" i="3"/>
  <c r="K12" i="3"/>
  <c r="K19" i="3"/>
  <c r="K23" i="3"/>
  <c r="K10" i="3"/>
  <c r="K27" i="3"/>
  <c r="K30" i="3"/>
  <c r="J3" i="3"/>
  <c r="J14" i="3"/>
  <c r="J17" i="3"/>
  <c r="J5" i="3"/>
  <c r="J15" i="3"/>
  <c r="J2" i="3"/>
  <c r="J16" i="3"/>
  <c r="J4" i="3"/>
  <c r="J26" i="3"/>
  <c r="J28" i="3"/>
  <c r="J22" i="3"/>
  <c r="J20" i="3"/>
  <c r="J9" i="3"/>
  <c r="J18" i="3"/>
  <c r="J25" i="3"/>
  <c r="J7" i="3"/>
  <c r="J21" i="3"/>
  <c r="J24" i="3"/>
  <c r="J11" i="3"/>
  <c r="J6" i="3"/>
  <c r="J8" i="3"/>
  <c r="J12" i="3"/>
  <c r="J19" i="3"/>
  <c r="J23" i="3"/>
  <c r="J10" i="3"/>
  <c r="J27" i="3"/>
  <c r="J29" i="3"/>
  <c r="J30" i="3"/>
  <c r="J13" i="3"/>
  <c r="J31" i="3" l="1"/>
  <c r="I29" i="3"/>
  <c r="K29" i="3" s="1"/>
  <c r="K31" i="3" s="1"/>
  <c r="H30" i="1" l="1"/>
  <c r="I28" i="1"/>
  <c r="I30" i="1" s="1"/>
</calcChain>
</file>

<file path=xl/sharedStrings.xml><?xml version="1.0" encoding="utf-8"?>
<sst xmlns="http://schemas.openxmlformats.org/spreadsheetml/2006/main" count="772" uniqueCount="144">
  <si>
    <t>C10</t>
  </si>
  <si>
    <t>CHG</t>
  </si>
  <si>
    <t>D1</t>
  </si>
  <si>
    <t>D3</t>
  </si>
  <si>
    <t>IC1</t>
  </si>
  <si>
    <t>IC2</t>
  </si>
  <si>
    <t>LS1</t>
  </si>
  <si>
    <t>SMT-1127-S-R</t>
  </si>
  <si>
    <t>Q1</t>
  </si>
  <si>
    <t>R8</t>
  </si>
  <si>
    <t>S1</t>
  </si>
  <si>
    <t>JS202011SCQN</t>
  </si>
  <si>
    <t>U$4</t>
  </si>
  <si>
    <t>ATSAMD21G18_QFN</t>
  </si>
  <si>
    <t>U1</t>
  </si>
  <si>
    <t>U2</t>
  </si>
  <si>
    <t>U3</t>
  </si>
  <si>
    <t>MCP73831T-2ACI/OT</t>
  </si>
  <si>
    <t>X1</t>
  </si>
  <si>
    <t>JSTPH</t>
  </si>
  <si>
    <t>X2</t>
  </si>
  <si>
    <t>XTAL3215</t>
  </si>
  <si>
    <t>X3</t>
  </si>
  <si>
    <t>microUSB</t>
  </si>
  <si>
    <t>X5</t>
  </si>
  <si>
    <t>Parts</t>
  </si>
  <si>
    <t>C1, C7, C14</t>
  </si>
  <si>
    <t>R4, R7, R10</t>
  </si>
  <si>
    <t>C2, C4</t>
  </si>
  <si>
    <t>D2, L</t>
  </si>
  <si>
    <t>SW1, SW2, SW3</t>
  </si>
  <si>
    <t>MPN</t>
  </si>
  <si>
    <t>REQUIRED QTY</t>
  </si>
  <si>
    <t>C3, C5, C6, C8, C9</t>
  </si>
  <si>
    <t>R1, R3, R6</t>
  </si>
  <si>
    <t>CAP 0.1uF 0805</t>
  </si>
  <si>
    <t>RES 100K 0603</t>
  </si>
  <si>
    <t>RES 10K 0603</t>
  </si>
  <si>
    <t>CAP 10uF 0805</t>
  </si>
  <si>
    <t>RES 1K 0603</t>
  </si>
  <si>
    <t>CAP 1uF 0603</t>
  </si>
  <si>
    <t>RES 2.2K 0603</t>
  </si>
  <si>
    <t>CAP 22pF 0603</t>
  </si>
  <si>
    <t>NPN SOT23</t>
  </si>
  <si>
    <t>INSTOCK</t>
  </si>
  <si>
    <t>10118194-0001LF</t>
  </si>
  <si>
    <t>X9313ZSZ</t>
  </si>
  <si>
    <t>DIGIPOT 1K SOIC8</t>
  </si>
  <si>
    <t>S2B-PH-SM4-TB(LF)(SN)</t>
  </si>
  <si>
    <t>MMBT2222LT1G</t>
  </si>
  <si>
    <t>DESCRIPTION</t>
  </si>
  <si>
    <t>DISTRIBUTER</t>
  </si>
  <si>
    <t>DIGIKEY</t>
  </si>
  <si>
    <t>EBAY</t>
  </si>
  <si>
    <t>3220-10-0300-00</t>
  </si>
  <si>
    <t>LIPO CHARGER</t>
  </si>
  <si>
    <t>AP2112K-3.3TRG1</t>
  </si>
  <si>
    <t>VOLTAGE REGULATOR</t>
  </si>
  <si>
    <t>MBR120LSFT3G</t>
  </si>
  <si>
    <t>DIODE</t>
  </si>
  <si>
    <t>SWD 10PIN CONNECTOR</t>
  </si>
  <si>
    <t>ATSAMD21G18A-MU</t>
  </si>
  <si>
    <t>SLIDE SWITCH</t>
  </si>
  <si>
    <t>NRF51822 BLE MODULE</t>
  </si>
  <si>
    <t>LED BLUE 0805</t>
  </si>
  <si>
    <t>LED RED 0805</t>
  </si>
  <si>
    <t>LED ORANGE 0805</t>
  </si>
  <si>
    <t>MS5611</t>
  </si>
  <si>
    <t>PRESSURE SENSOR</t>
  </si>
  <si>
    <t>KMR231NG LFS</t>
  </si>
  <si>
    <t>TACT SWITCH</t>
  </si>
  <si>
    <t>XZMOK54W-1</t>
  </si>
  <si>
    <t>XZCBD54W-1</t>
  </si>
  <si>
    <t>XZMDK54W-1</t>
  </si>
  <si>
    <t>CL21B104KOANNNC</t>
  </si>
  <si>
    <t>CL21A106KQCLRNC</t>
  </si>
  <si>
    <t>CL10A105KQ8NNNC</t>
  </si>
  <si>
    <t>CL10C220JB8NCNC</t>
  </si>
  <si>
    <t>CRYSTAL 32.768KHz</t>
  </si>
  <si>
    <t>RC0603JR-07100KL</t>
  </si>
  <si>
    <t>RC0603JR-0710KL</t>
  </si>
  <si>
    <t>RC0603JR-071KL</t>
  </si>
  <si>
    <t>RC0603JR-072K2L</t>
  </si>
  <si>
    <t>R2, R9</t>
  </si>
  <si>
    <t>PRICE @ QTY 10 VARIOS</t>
  </si>
  <si>
    <t>PRICE @ QTY 1 VARIO</t>
  </si>
  <si>
    <t>MDBT40</t>
  </si>
  <si>
    <t>1, 10</t>
  </si>
  <si>
    <t>10, 100</t>
  </si>
  <si>
    <t>10, 10</t>
  </si>
  <si>
    <t>1, 1</t>
  </si>
  <si>
    <t>1, 25</t>
  </si>
  <si>
    <t>PRICE BREAKS</t>
  </si>
  <si>
    <t>10, 25</t>
  </si>
  <si>
    <t>10, 50</t>
  </si>
  <si>
    <t>SEEED</t>
  </si>
  <si>
    <t>PCB AND STENCIL</t>
  </si>
  <si>
    <t>100 mAh LIPO</t>
  </si>
  <si>
    <t>SW1</t>
  </si>
  <si>
    <t>EVQ-P7A01P</t>
  </si>
  <si>
    <t>S2</t>
  </si>
  <si>
    <t>U25, U41</t>
  </si>
  <si>
    <t>TACT SWITCH RA</t>
  </si>
  <si>
    <t>FC-135 32.7680KA-A5</t>
  </si>
  <si>
    <t>R2, R5, R9, R11</t>
  </si>
  <si>
    <t>EXTENDED PRICE</t>
  </si>
  <si>
    <t>DIGIKEY SHIPPING</t>
  </si>
  <si>
    <t>MOUNTING LEASH</t>
  </si>
  <si>
    <t>SELL PRICE</t>
  </si>
  <si>
    <t>PROFIT</t>
  </si>
  <si>
    <t>VELCRO WRAP</t>
  </si>
  <si>
    <t>VELCRO STICKY</t>
  </si>
  <si>
    <t>INVESTMENT</t>
  </si>
  <si>
    <t>QTY PURCHASED</t>
  </si>
  <si>
    <t>PRICE @ QTY PURCHASED</t>
  </si>
  <si>
    <t>QTY REQUIRED</t>
  </si>
  <si>
    <t>PRICE PER VARIO</t>
  </si>
  <si>
    <t>GROSS</t>
  </si>
  <si>
    <t>NET</t>
  </si>
  <si>
    <t>PRODUCTION</t>
  </si>
  <si>
    <t>LISTING FEES</t>
  </si>
  <si>
    <t>PCM12SMTR</t>
  </si>
  <si>
    <t>10118193-0001LF</t>
  </si>
  <si>
    <t>USB CABLE</t>
  </si>
  <si>
    <t>DIGIKEY SALES TAX</t>
  </si>
  <si>
    <t>INVENTORY</t>
  </si>
  <si>
    <t>150 mAh LIPO</t>
  </si>
  <si>
    <t>IPA WIPES</t>
  </si>
  <si>
    <t>INVEST</t>
  </si>
  <si>
    <t>NEED</t>
  </si>
  <si>
    <t>NEW INVENTORY</t>
  </si>
  <si>
    <t>SELL</t>
  </si>
  <si>
    <t>SPENDINGS/EARNINGS</t>
  </si>
  <si>
    <t>PHASE 1</t>
  </si>
  <si>
    <t>PHASE 2</t>
  </si>
  <si>
    <t>PHASE 3</t>
  </si>
  <si>
    <t>SHIPPING</t>
  </si>
  <si>
    <t>SALES TAX</t>
  </si>
  <si>
    <t>INCOME</t>
  </si>
  <si>
    <t>EXPENSES</t>
  </si>
  <si>
    <t>M2 X 8 BOLTS</t>
  </si>
  <si>
    <t>EBAY LISTING FEE</t>
  </si>
  <si>
    <t>FIRST CLASS SHIPPING</t>
  </si>
  <si>
    <t>SELL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</si>
</sst>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9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sz val="10"/>
      <color theme="1"/>
      <name val="Courier New"/>
      <family val="3"/>
    </font>
    <font>
      <u/>
      <sz val="11"/>
      <color theme="10"/>
      <name val="Consolas"/>
      <family val="2"/>
    </font>
    <font>
      <b/>
      <sz val="11"/>
      <color theme="1"/>
      <name val="Consolas"/>
      <family val="3"/>
    </font>
    <font>
      <sz val="11"/>
      <color theme="0" tint="-0.249977111117893"/>
      <name val="Consolas"/>
      <family val="2"/>
    </font>
    <font>
      <sz val="11"/>
      <color theme="0" tint="-0.249977111117893"/>
      <name val="Consolas"/>
      <family val="3"/>
    </font>
    <font>
      <sz val="11"/>
      <name val="Consolas"/>
      <family val="3"/>
    </font>
    <font>
      <b/>
      <sz val="1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2"/>
    <xf numFmtId="164" fontId="0" fillId="0" borderId="0" xfId="1" applyNumberFormat="1" applyFont="1" applyAlignment="1">
      <alignment wrapText="1"/>
    </xf>
    <xf numFmtId="3" fontId="2" fillId="0" borderId="0" xfId="0" applyNumberFormat="1" applyFont="1" applyAlignment="1">
      <alignment vertical="center" wrapText="1"/>
    </xf>
    <xf numFmtId="164" fontId="4" fillId="0" borderId="0" xfId="0" applyNumberFormat="1" applyFont="1" applyAlignment="1">
      <alignment wrapText="1"/>
    </xf>
    <xf numFmtId="4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64" fontId="5" fillId="0" borderId="0" xfId="1" applyNumberFormat="1" applyFont="1" applyAlignment="1">
      <alignment wrapText="1"/>
    </xf>
    <xf numFmtId="0" fontId="6" fillId="0" borderId="1" xfId="0" applyFont="1" applyBorder="1" applyAlignment="1">
      <alignment vertical="center" wrapText="1"/>
    </xf>
    <xf numFmtId="44" fontId="6" fillId="0" borderId="0" xfId="0" applyNumberFormat="1" applyFont="1" applyAlignment="1">
      <alignment wrapText="1"/>
    </xf>
    <xf numFmtId="164" fontId="6" fillId="0" borderId="0" xfId="0" applyNumberFormat="1" applyFont="1" applyAlignment="1">
      <alignment wrapText="1"/>
    </xf>
    <xf numFmtId="0" fontId="3" fillId="0" borderId="0" xfId="2" applyAlignment="1">
      <alignment vertical="center"/>
    </xf>
    <xf numFmtId="0" fontId="0" fillId="4" borderId="0" xfId="0" applyFill="1" applyAlignment="1">
      <alignment vertical="center" wrapText="1"/>
    </xf>
    <xf numFmtId="164" fontId="5" fillId="0" borderId="0" xfId="1" applyNumberFormat="1" applyFont="1" applyAlignment="1">
      <alignment vertical="center" wrapText="1"/>
    </xf>
    <xf numFmtId="44" fontId="6" fillId="0" borderId="0" xfId="0" applyNumberFormat="1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4" fontId="7" fillId="0" borderId="0" xfId="0" applyNumberFormat="1" applyFont="1" applyAlignment="1">
      <alignment wrapText="1"/>
    </xf>
    <xf numFmtId="164" fontId="8" fillId="0" borderId="2" xfId="0" applyNumberFormat="1" applyFont="1" applyBorder="1" applyAlignment="1">
      <alignment horizontal="right" wrapText="1"/>
    </xf>
    <xf numFmtId="164" fontId="4" fillId="0" borderId="3" xfId="0" applyNumberFormat="1" applyFont="1" applyBorder="1" applyAlignment="1">
      <alignment wrapText="1"/>
    </xf>
    <xf numFmtId="0" fontId="4" fillId="0" borderId="4" xfId="0" applyNumberFormat="1" applyFont="1" applyBorder="1" applyAlignment="1">
      <alignment horizontal="right" wrapText="1"/>
    </xf>
    <xf numFmtId="44" fontId="4" fillId="0" borderId="5" xfId="0" applyNumberFormat="1" applyFont="1" applyBorder="1" applyAlignment="1">
      <alignment wrapText="1"/>
    </xf>
    <xf numFmtId="0" fontId="4" fillId="0" borderId="4" xfId="0" applyFont="1" applyBorder="1" applyAlignment="1">
      <alignment horizontal="right" wrapText="1"/>
    </xf>
    <xf numFmtId="0" fontId="4" fillId="0" borderId="6" xfId="0" applyFont="1" applyBorder="1" applyAlignment="1">
      <alignment horizontal="right" wrapText="1"/>
    </xf>
    <xf numFmtId="44" fontId="4" fillId="0" borderId="7" xfId="0" applyNumberFormat="1" applyFont="1" applyBorder="1" applyAlignment="1">
      <alignment wrapText="1"/>
    </xf>
    <xf numFmtId="44" fontId="4" fillId="0" borderId="5" xfId="1" applyFont="1" applyBorder="1" applyAlignment="1">
      <alignment wrapText="1"/>
    </xf>
    <xf numFmtId="0" fontId="8" fillId="0" borderId="4" xfId="0" applyFont="1" applyBorder="1" applyAlignment="1">
      <alignment horizontal="right" wrapText="1"/>
    </xf>
    <xf numFmtId="44" fontId="8" fillId="0" borderId="5" xfId="0" applyNumberFormat="1" applyFont="1" applyBorder="1" applyAlignment="1">
      <alignment wrapText="1"/>
    </xf>
    <xf numFmtId="164" fontId="7" fillId="0" borderId="0" xfId="0" applyNumberFormat="1" applyFont="1" applyFill="1" applyAlignment="1">
      <alignment wrapText="1"/>
    </xf>
    <xf numFmtId="164" fontId="7" fillId="0" borderId="0" xfId="0" applyNumberFormat="1" applyFont="1" applyFill="1" applyAlignment="1">
      <alignment vertical="center"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3" fillId="0" borderId="0" xfId="2" applyAlignment="1">
      <alignment horizontal="left"/>
    </xf>
    <xf numFmtId="10" fontId="0" fillId="0" borderId="0" xfId="3" applyNumberFormat="1" applyFon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/>
    <xf numFmtId="0" fontId="0" fillId="0" borderId="8" xfId="0" applyBorder="1"/>
    <xf numFmtId="44" fontId="0" fillId="0" borderId="8" xfId="1" applyFont="1" applyBorder="1"/>
    <xf numFmtId="44" fontId="0" fillId="0" borderId="8" xfId="0" applyNumberFormat="1" applyBorder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8" xfId="0" applyFill="1" applyBorder="1"/>
    <xf numFmtId="0" fontId="0" fillId="5" borderId="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 vertical="center" wrapText="1"/>
    </xf>
    <xf numFmtId="0" fontId="0" fillId="6" borderId="0" xfId="0" applyFill="1"/>
    <xf numFmtId="10" fontId="0" fillId="6" borderId="0" xfId="3" applyNumberFormat="1" applyFont="1" applyFill="1" applyAlignment="1">
      <alignment horizontal="center"/>
    </xf>
    <xf numFmtId="0" fontId="0" fillId="6" borderId="8" xfId="0" applyFill="1" applyBorder="1"/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44" fontId="0" fillId="6" borderId="8" xfId="1" applyFont="1" applyFill="1" applyBorder="1"/>
    <xf numFmtId="44" fontId="0" fillId="6" borderId="8" xfId="0" applyNumberFormat="1" applyFill="1" applyBorder="1"/>
    <xf numFmtId="0" fontId="0" fillId="5" borderId="8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5" borderId="0" xfId="1" applyFont="1" applyFill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18">
    <dxf>
      <fill>
        <patternFill>
          <bgColor rgb="FF99FFCC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99FFCC"/>
        </patternFill>
      </fill>
    </dxf>
  </dxfs>
  <tableStyles count="0" defaultTableStyle="TableStyleMedium2" defaultPivotStyle="PivotStyleLight16"/>
  <colors>
    <mruColors>
      <color rgb="FFFFCCCC"/>
      <color rgb="FF99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scripts/DkSearch/dksus.dll?Detail&amp;itemSeq=255007915&amp;uq=636573292806059726" TargetMode="External"/><Relationship Id="rId13" Type="http://schemas.openxmlformats.org/officeDocument/2006/relationships/hyperlink" Target="https://www.digikey.com/scripts/DkSearch/dksus.dll?Detail&amp;itemSeq=255685923&amp;uq=636573315130419726" TargetMode="External"/><Relationship Id="rId18" Type="http://schemas.openxmlformats.org/officeDocument/2006/relationships/hyperlink" Target="https://www.digikey.com/scripts/DkSearch/dksus.dll?Detail&amp;itemSeq=255687743&amp;uq=636573321888037133" TargetMode="External"/><Relationship Id="rId3" Type="http://schemas.openxmlformats.org/officeDocument/2006/relationships/hyperlink" Target="https://www.digikey.com/scripts/DkSearch/dksus.dll?Detail&amp;itemSeq=255006885&amp;uq=636573277011671173" TargetMode="External"/><Relationship Id="rId21" Type="http://schemas.openxmlformats.org/officeDocument/2006/relationships/hyperlink" Target="https://www.digikey.com/scripts/DkSearch/dksus.dll?Detail&amp;itemSeq=255688956&amp;uq=636573328681559713" TargetMode="External"/><Relationship Id="rId7" Type="http://schemas.openxmlformats.org/officeDocument/2006/relationships/hyperlink" Target="https://www.digikey.com/scripts/DkSearch/dksus.dll?Detail&amp;itemSeq=255007807&amp;uq=636573292806059726" TargetMode="External"/><Relationship Id="rId12" Type="http://schemas.openxmlformats.org/officeDocument/2006/relationships/hyperlink" Target="https://www.digikey.com/scripts/DkSearch/dksus.dll?Detail&amp;itemSeq=255008508&amp;uq=636573292806069726" TargetMode="External"/><Relationship Id="rId17" Type="http://schemas.openxmlformats.org/officeDocument/2006/relationships/hyperlink" Target="https://www.digikey.com/scripts/DkSearch/dksus.dll?Detail&amp;itemSeq=255687461&amp;uq=636573320529169726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scripts/DkSearch/dksus.dll?Detail&amp;itemSeq=255582543&amp;uq=636573277011711177" TargetMode="External"/><Relationship Id="rId16" Type="http://schemas.openxmlformats.org/officeDocument/2006/relationships/hyperlink" Target="https://www.digikey.com/scripts/DkSearch/dksus.dll?Detail&amp;itemSeq=255687110&amp;uq=636573319776344879" TargetMode="External"/><Relationship Id="rId20" Type="http://schemas.openxmlformats.org/officeDocument/2006/relationships/hyperlink" Target="https://www.digikey.com/scripts/DkSearch/dksus.dll?Detail&amp;itemSeq=255688809&amp;uq=636573327832494815" TargetMode="External"/><Relationship Id="rId1" Type="http://schemas.openxmlformats.org/officeDocument/2006/relationships/hyperlink" Target="https://www.digikey.com/scripts/DkSearch/dksus.dll?Detail&amp;itemSeq=255006924&amp;uq=636573277011681174" TargetMode="External"/><Relationship Id="rId6" Type="http://schemas.openxmlformats.org/officeDocument/2006/relationships/hyperlink" Target="https://www.digikey.com/scripts/DkSearch/dksus.dll?Detail&amp;itemSeq=255007731&amp;uq=636573292806049726" TargetMode="External"/><Relationship Id="rId11" Type="http://schemas.openxmlformats.org/officeDocument/2006/relationships/hyperlink" Target="https://www.digikey.com/scripts/DkSearch/dksus.dll?Detail&amp;itemSeq=255683609&amp;uq=636573305216640966" TargetMode="External"/><Relationship Id="rId24" Type="http://schemas.openxmlformats.org/officeDocument/2006/relationships/hyperlink" Target="https://www.digikey.com/scripts/DkSearch/dksus.dll?Detail&amp;itemSeq=255712800&amp;uq=636573577435916489" TargetMode="External"/><Relationship Id="rId5" Type="http://schemas.openxmlformats.org/officeDocument/2006/relationships/hyperlink" Target="https://www.digikey.com/scripts/DkSearch/dksus.dll?Detail&amp;itemSeq=255577954&amp;uq=636573292806079726" TargetMode="External"/><Relationship Id="rId15" Type="http://schemas.openxmlformats.org/officeDocument/2006/relationships/hyperlink" Target="https://www.digikey.com/scripts/DkSearch/dksus.dll?Detail&amp;itemSeq=255686232&amp;uq=636573317079069726" TargetMode="External"/><Relationship Id="rId23" Type="http://schemas.openxmlformats.org/officeDocument/2006/relationships/hyperlink" Target="https://www.digikey.com/scripts/DkSearch/dksus.dll?Detail&amp;itemSeq=255689221&amp;uq=636573330063847928" TargetMode="External"/><Relationship Id="rId10" Type="http://schemas.openxmlformats.org/officeDocument/2006/relationships/hyperlink" Target="https://www.digikey.com/scripts/DkSearch/dksus.dll?Detail&amp;itemSeq=255287263&amp;uq=636573292806069726" TargetMode="External"/><Relationship Id="rId19" Type="http://schemas.openxmlformats.org/officeDocument/2006/relationships/hyperlink" Target="https://www.digikey.com/scripts/DkSearch/dksus.dll?Detail&amp;itemSeq=255687905&amp;uq=636573322862249726" TargetMode="External"/><Relationship Id="rId4" Type="http://schemas.openxmlformats.org/officeDocument/2006/relationships/hyperlink" Target="https://www.digikey.com/product-detail/en/on-semiconductor/MMBT2222LT1G/MMBT2222LT1GOSCT-ND/1139808" TargetMode="External"/><Relationship Id="rId9" Type="http://schemas.openxmlformats.org/officeDocument/2006/relationships/hyperlink" Target="https://www.digikey.com/scripts/DkSearch/dksus.dll?Detail&amp;itemSeq=255008032&amp;uq=636573292806069726" TargetMode="External"/><Relationship Id="rId14" Type="http://schemas.openxmlformats.org/officeDocument/2006/relationships/hyperlink" Target="https://www.digikey.com/scripts/DkSearch/dksus.dll?Detail&amp;itemSeq=255686028&amp;uq=636573315948419447" TargetMode="External"/><Relationship Id="rId22" Type="http://schemas.openxmlformats.org/officeDocument/2006/relationships/hyperlink" Target="https://www.digikey.com/scripts/DkSearch/dksus.dll?Detail&amp;itemSeq=255689053&amp;uq=63657332931091972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scripts/DkSearch/dksus.dll?Detail&amp;itemSeq=255007915&amp;uq=636573292806059726" TargetMode="External"/><Relationship Id="rId13" Type="http://schemas.openxmlformats.org/officeDocument/2006/relationships/hyperlink" Target="https://www.digikey.com/scripts/DkSearch/dksus.dll?Detail&amp;itemSeq=255685923&amp;uq=636573315130419726" TargetMode="External"/><Relationship Id="rId18" Type="http://schemas.openxmlformats.org/officeDocument/2006/relationships/hyperlink" Target="https://www.digikey.com/scripts/DkSearch/dksus.dll?Detail&amp;itemSeq=255687743&amp;uq=636573321888037133" TargetMode="External"/><Relationship Id="rId26" Type="http://schemas.openxmlformats.org/officeDocument/2006/relationships/hyperlink" Target="https://www.digikey.com/scripts/DkSearch/dksus.dll?Detail&amp;itemSeq=256670207&amp;uq=636583008495177308" TargetMode="External"/><Relationship Id="rId3" Type="http://schemas.openxmlformats.org/officeDocument/2006/relationships/hyperlink" Target="https://www.digikey.com/scripts/DkSearch/dksus.dll?Detail&amp;itemSeq=255006885&amp;uq=636573277011671173" TargetMode="External"/><Relationship Id="rId21" Type="http://schemas.openxmlformats.org/officeDocument/2006/relationships/hyperlink" Target="https://www.digikey.com/scripts/DkSearch/dksus.dll?Detail&amp;itemSeq=255688956&amp;uq=636573328681559713" TargetMode="External"/><Relationship Id="rId7" Type="http://schemas.openxmlformats.org/officeDocument/2006/relationships/hyperlink" Target="https://www.digikey.com/scripts/DkSearch/dksus.dll?Detail&amp;itemSeq=255007807&amp;uq=636573292806059726" TargetMode="External"/><Relationship Id="rId12" Type="http://schemas.openxmlformats.org/officeDocument/2006/relationships/hyperlink" Target="https://www.digikey.com/scripts/DkSearch/dksus.dll?Detail&amp;itemSeq=255008508&amp;uq=636573292806069726" TargetMode="External"/><Relationship Id="rId17" Type="http://schemas.openxmlformats.org/officeDocument/2006/relationships/hyperlink" Target="https://www.digikey.com/scripts/DkSearch/dksus.dll?Detail&amp;itemSeq=255687461&amp;uq=636573320529169726" TargetMode="External"/><Relationship Id="rId25" Type="http://schemas.openxmlformats.org/officeDocument/2006/relationships/hyperlink" Target="https://www.digikey.com/scripts/DkSearch/dksus.dll?Detail&amp;itemSeq=255882403&amp;uq=636583008495157306" TargetMode="External"/><Relationship Id="rId2" Type="http://schemas.openxmlformats.org/officeDocument/2006/relationships/hyperlink" Target="https://www.digikey.com/scripts/DkSearch/dksus.dll?Detail&amp;itemSeq=255582543&amp;uq=636573277011711177" TargetMode="External"/><Relationship Id="rId16" Type="http://schemas.openxmlformats.org/officeDocument/2006/relationships/hyperlink" Target="https://www.digikey.com/scripts/DkSearch/dksus.dll?Detail&amp;itemSeq=255687110&amp;uq=636573319776344879" TargetMode="External"/><Relationship Id="rId20" Type="http://schemas.openxmlformats.org/officeDocument/2006/relationships/hyperlink" Target="https://www.digikey.com/scripts/DkSearch/dksus.dll?Detail&amp;itemSeq=255688809&amp;uq=636573327832494815" TargetMode="External"/><Relationship Id="rId1" Type="http://schemas.openxmlformats.org/officeDocument/2006/relationships/hyperlink" Target="https://www.digikey.com/scripts/DkSearch/dksus.dll?Detail&amp;itemSeq=255006924&amp;uq=636573277011681174" TargetMode="External"/><Relationship Id="rId6" Type="http://schemas.openxmlformats.org/officeDocument/2006/relationships/hyperlink" Target="https://www.digikey.com/scripts/DkSearch/dksus.dll?Detail&amp;itemSeq=255007731&amp;uq=636573292806049726" TargetMode="External"/><Relationship Id="rId11" Type="http://schemas.openxmlformats.org/officeDocument/2006/relationships/hyperlink" Target="https://www.digikey.com/scripts/DkSearch/dksus.dll?Detail&amp;itemSeq=255683609&amp;uq=636573305216640966" TargetMode="External"/><Relationship Id="rId24" Type="http://schemas.openxmlformats.org/officeDocument/2006/relationships/hyperlink" Target="https://www.digikey.com/scripts/DkSearch/dksus.dll?Detail&amp;itemSeq=255712800&amp;uq=636573577435916489" TargetMode="External"/><Relationship Id="rId5" Type="http://schemas.openxmlformats.org/officeDocument/2006/relationships/hyperlink" Target="https://www.digikey.com/scripts/DkSearch/dksus.dll?Detail&amp;itemSeq=255577954&amp;uq=636573292806079726" TargetMode="External"/><Relationship Id="rId15" Type="http://schemas.openxmlformats.org/officeDocument/2006/relationships/hyperlink" Target="https://www.digikey.com/scripts/DkSearch/dksus.dll?Detail&amp;itemSeq=255686232&amp;uq=636573317079069726" TargetMode="External"/><Relationship Id="rId23" Type="http://schemas.openxmlformats.org/officeDocument/2006/relationships/hyperlink" Target="https://www.digikey.com/scripts/DkSearch/dksus.dll?Detail&amp;itemSeq=255689221&amp;uq=636573330063847928" TargetMode="External"/><Relationship Id="rId10" Type="http://schemas.openxmlformats.org/officeDocument/2006/relationships/hyperlink" Target="https://www.digikey.com/scripts/DkSearch/dksus.dll?Detail&amp;itemSeq=255287263&amp;uq=636573292806069726" TargetMode="External"/><Relationship Id="rId19" Type="http://schemas.openxmlformats.org/officeDocument/2006/relationships/hyperlink" Target="https://www.digikey.com/scripts/DkSearch/dksus.dll?Detail&amp;itemSeq=255687905&amp;uq=636573322862249726" TargetMode="External"/><Relationship Id="rId4" Type="http://schemas.openxmlformats.org/officeDocument/2006/relationships/hyperlink" Target="https://www.digikey.com/product-detail/en/on-semiconductor/MMBT2222LT1G/MMBT2222LT1GOSCT-ND/1139808" TargetMode="External"/><Relationship Id="rId9" Type="http://schemas.openxmlformats.org/officeDocument/2006/relationships/hyperlink" Target="https://www.digikey.com/scripts/DkSearch/dksus.dll?Detail&amp;itemSeq=255008032&amp;uq=636573292806069726" TargetMode="External"/><Relationship Id="rId14" Type="http://schemas.openxmlformats.org/officeDocument/2006/relationships/hyperlink" Target="https://www.digikey.com/scripts/DkSearch/dksus.dll?Detail&amp;itemSeq=255686028&amp;uq=636573315948419447" TargetMode="External"/><Relationship Id="rId22" Type="http://schemas.openxmlformats.org/officeDocument/2006/relationships/hyperlink" Target="https://www.digikey.com/scripts/DkSearch/dksus.dll?Detail&amp;itemSeq=255689053&amp;uq=636573329310919726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scripts/DkSearch/dksus.dll?Detail&amp;itemSeq=255683609&amp;uq=636573305216640966" TargetMode="External"/><Relationship Id="rId13" Type="http://schemas.openxmlformats.org/officeDocument/2006/relationships/hyperlink" Target="https://www.digikey.com/scripts/DkSearch/dksus.dll?Detail&amp;itemSeq=255687110&amp;uq=636573319776344879" TargetMode="External"/><Relationship Id="rId18" Type="http://schemas.openxmlformats.org/officeDocument/2006/relationships/hyperlink" Target="https://www.digikey.com/scripts/DkSearch/dksus.dll?Detail&amp;itemSeq=255688956&amp;uq=636573328681559713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s://www.digikey.com/product-detail/en/on-semiconductor/MMBT2222LT1G/MMBT2222LT1GOSCT-ND/1139808" TargetMode="External"/><Relationship Id="rId21" Type="http://schemas.openxmlformats.org/officeDocument/2006/relationships/hyperlink" Target="https://www.digikey.com/scripts/DkSearch/dksus.dll?Detail&amp;itemSeq=255712800&amp;uq=636573577435916489" TargetMode="External"/><Relationship Id="rId7" Type="http://schemas.openxmlformats.org/officeDocument/2006/relationships/hyperlink" Target="https://www.digikey.com/scripts/DkSearch/dksus.dll?Detail&amp;itemSeq=255008032&amp;uq=636573292806069726" TargetMode="External"/><Relationship Id="rId12" Type="http://schemas.openxmlformats.org/officeDocument/2006/relationships/hyperlink" Target="https://www.digikey.com/scripts/DkSearch/dksus.dll?Detail&amp;itemSeq=255686232&amp;uq=636573317079069726" TargetMode="External"/><Relationship Id="rId17" Type="http://schemas.openxmlformats.org/officeDocument/2006/relationships/hyperlink" Target="https://www.digikey.com/scripts/DkSearch/dksus.dll?Detail&amp;itemSeq=255688809&amp;uq=636573327832494815" TargetMode="External"/><Relationship Id="rId25" Type="http://schemas.openxmlformats.org/officeDocument/2006/relationships/hyperlink" Target="https://www.digikey.com/scripts/DkSearch/dksus.dll?Detail&amp;itemSeq=260619861&amp;uq=636617232035274916" TargetMode="External"/><Relationship Id="rId2" Type="http://schemas.openxmlformats.org/officeDocument/2006/relationships/hyperlink" Target="https://www.digikey.com/scripts/DkSearch/dksus.dll?Detail&amp;itemSeq=255006885&amp;uq=636573277011671173" TargetMode="External"/><Relationship Id="rId16" Type="http://schemas.openxmlformats.org/officeDocument/2006/relationships/hyperlink" Target="https://www.digikey.com/scripts/DkSearch/dksus.dll?Detail&amp;itemSeq=255687905&amp;uq=636573322862249726" TargetMode="External"/><Relationship Id="rId20" Type="http://schemas.openxmlformats.org/officeDocument/2006/relationships/hyperlink" Target="https://www.digikey.com/scripts/DkSearch/dksus.dll?Detail&amp;itemSeq=255689221&amp;uq=636573330063847928" TargetMode="External"/><Relationship Id="rId1" Type="http://schemas.openxmlformats.org/officeDocument/2006/relationships/hyperlink" Target="https://www.digikey.com/scripts/DkSearch/dksus.dll?Detail&amp;itemSeq=255582543&amp;uq=636573277011711177" TargetMode="External"/><Relationship Id="rId6" Type="http://schemas.openxmlformats.org/officeDocument/2006/relationships/hyperlink" Target="https://www.digikey.com/scripts/DkSearch/dksus.dll?Detail&amp;itemSeq=255007915&amp;uq=636573292806059726" TargetMode="External"/><Relationship Id="rId11" Type="http://schemas.openxmlformats.org/officeDocument/2006/relationships/hyperlink" Target="https://www.digikey.com/scripts/DkSearch/dksus.dll?Detail&amp;itemSeq=255686028&amp;uq=636573315948419447" TargetMode="External"/><Relationship Id="rId24" Type="http://schemas.openxmlformats.org/officeDocument/2006/relationships/hyperlink" Target="https://www.digikey.com/scripts/DkSearch/dksus.dll?Detail&amp;itemSeq=255287263&amp;uq=636573292806069726" TargetMode="External"/><Relationship Id="rId5" Type="http://schemas.openxmlformats.org/officeDocument/2006/relationships/hyperlink" Target="https://www.digikey.com/scripts/DkSearch/dksus.dll?Detail&amp;itemSeq=255007807&amp;uq=636573292806059726" TargetMode="External"/><Relationship Id="rId15" Type="http://schemas.openxmlformats.org/officeDocument/2006/relationships/hyperlink" Target="https://www.digikey.com/scripts/DkSearch/dksus.dll?Detail&amp;itemSeq=255687743&amp;uq=636573321888037133" TargetMode="External"/><Relationship Id="rId23" Type="http://schemas.openxmlformats.org/officeDocument/2006/relationships/hyperlink" Target="https://www.digikey.com/scripts/DkSearch/dksus.dll?Detail&amp;itemSeq=256670207&amp;uq=636583008495177308" TargetMode="External"/><Relationship Id="rId10" Type="http://schemas.openxmlformats.org/officeDocument/2006/relationships/hyperlink" Target="https://www.digikey.com/scripts/DkSearch/dksus.dll?Detail&amp;itemSeq=255685923&amp;uq=636573315130419726" TargetMode="External"/><Relationship Id="rId19" Type="http://schemas.openxmlformats.org/officeDocument/2006/relationships/hyperlink" Target="https://www.digikey.com/scripts/DkSearch/dksus.dll?Detail&amp;itemSeq=255689053&amp;uq=636573329310919726" TargetMode="External"/><Relationship Id="rId4" Type="http://schemas.openxmlformats.org/officeDocument/2006/relationships/hyperlink" Target="https://www.digikey.com/scripts/DkSearch/dksus.dll?Detail&amp;itemSeq=255007731&amp;uq=636573292806049726" TargetMode="External"/><Relationship Id="rId9" Type="http://schemas.openxmlformats.org/officeDocument/2006/relationships/hyperlink" Target="https://www.digikey.com/scripts/DkSearch/dksus.dll?Detail&amp;itemSeq=255008508&amp;uq=636573292806069726" TargetMode="External"/><Relationship Id="rId14" Type="http://schemas.openxmlformats.org/officeDocument/2006/relationships/hyperlink" Target="https://www.digikey.com/scripts/DkSearch/dksus.dll?Detail&amp;itemSeq=255687461&amp;uq=636573320529169726" TargetMode="External"/><Relationship Id="rId22" Type="http://schemas.openxmlformats.org/officeDocument/2006/relationships/hyperlink" Target="https://www.digikey.com/scripts/DkSearch/dksus.dll?Detail&amp;itemSeq=255882403&amp;uq=63658300849515730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scripts/DkSearch/dksus.dll?Detail&amp;itemSeq=255683609&amp;uq=636573305216640966" TargetMode="External"/><Relationship Id="rId13" Type="http://schemas.openxmlformats.org/officeDocument/2006/relationships/hyperlink" Target="https://www.digikey.com/scripts/DkSearch/dksus.dll?Detail&amp;itemSeq=255687110&amp;uq=636573319776344879" TargetMode="External"/><Relationship Id="rId18" Type="http://schemas.openxmlformats.org/officeDocument/2006/relationships/hyperlink" Target="https://www.digikey.com/scripts/DkSearch/dksus.dll?Detail&amp;itemSeq=255688956&amp;uq=636573328681559713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www.digikey.com/product-detail/en/on-semiconductor/MMBT2222LT1G/MMBT2222LT1GOSCT-ND/1139808" TargetMode="External"/><Relationship Id="rId21" Type="http://schemas.openxmlformats.org/officeDocument/2006/relationships/hyperlink" Target="https://www.digikey.com/scripts/DkSearch/dksus.dll?Detail&amp;itemSeq=255712800&amp;uq=636573577435916489" TargetMode="External"/><Relationship Id="rId7" Type="http://schemas.openxmlformats.org/officeDocument/2006/relationships/hyperlink" Target="https://www.digikey.com/scripts/DkSearch/dksus.dll?Detail&amp;itemSeq=255008032&amp;uq=636573292806069726" TargetMode="External"/><Relationship Id="rId12" Type="http://schemas.openxmlformats.org/officeDocument/2006/relationships/hyperlink" Target="https://www.digikey.com/scripts/DkSearch/dksus.dll?Detail&amp;itemSeq=255686232&amp;uq=636573317079069726" TargetMode="External"/><Relationship Id="rId17" Type="http://schemas.openxmlformats.org/officeDocument/2006/relationships/hyperlink" Target="https://www.digikey.com/scripts/DkSearch/dksus.dll?Detail&amp;itemSeq=255688809&amp;uq=636573327832494815" TargetMode="External"/><Relationship Id="rId25" Type="http://schemas.openxmlformats.org/officeDocument/2006/relationships/hyperlink" Target="https://www.digikey.com/scripts/DkSearch/dksus.dll?Detail&amp;itemSeq=260619861&amp;uq=636617232035274916" TargetMode="External"/><Relationship Id="rId2" Type="http://schemas.openxmlformats.org/officeDocument/2006/relationships/hyperlink" Target="https://www.digikey.com/scripts/DkSearch/dksus.dll?Detail&amp;itemSeq=255006885&amp;uq=636573277011671173" TargetMode="External"/><Relationship Id="rId16" Type="http://schemas.openxmlformats.org/officeDocument/2006/relationships/hyperlink" Target="https://www.digikey.com/scripts/DkSearch/dksus.dll?Detail&amp;itemSeq=255687905&amp;uq=636573322862249726" TargetMode="External"/><Relationship Id="rId20" Type="http://schemas.openxmlformats.org/officeDocument/2006/relationships/hyperlink" Target="https://www.digikey.com/scripts/DkSearch/dksus.dll?Detail&amp;itemSeq=255689221&amp;uq=636573330063847928" TargetMode="External"/><Relationship Id="rId1" Type="http://schemas.openxmlformats.org/officeDocument/2006/relationships/hyperlink" Target="https://www.digikey.com/scripts/DkSearch/dksus.dll?Detail&amp;itemSeq=255582543&amp;uq=636573277011711177" TargetMode="External"/><Relationship Id="rId6" Type="http://schemas.openxmlformats.org/officeDocument/2006/relationships/hyperlink" Target="https://www.digikey.com/scripts/DkSearch/dksus.dll?Detail&amp;itemSeq=255007915&amp;uq=636573292806059726" TargetMode="External"/><Relationship Id="rId11" Type="http://schemas.openxmlformats.org/officeDocument/2006/relationships/hyperlink" Target="https://www.digikey.com/scripts/DkSearch/dksus.dll?Detail&amp;itemSeq=255686028&amp;uq=636573315948419447" TargetMode="External"/><Relationship Id="rId24" Type="http://schemas.openxmlformats.org/officeDocument/2006/relationships/hyperlink" Target="https://www.digikey.com/scripts/DkSearch/dksus.dll?Detail&amp;itemSeq=255287263&amp;uq=636573292806069726" TargetMode="External"/><Relationship Id="rId5" Type="http://schemas.openxmlformats.org/officeDocument/2006/relationships/hyperlink" Target="https://www.digikey.com/scripts/DkSearch/dksus.dll?Detail&amp;itemSeq=255007807&amp;uq=636573292806059726" TargetMode="External"/><Relationship Id="rId15" Type="http://schemas.openxmlformats.org/officeDocument/2006/relationships/hyperlink" Target="https://www.digikey.com/scripts/DkSearch/dksus.dll?Detail&amp;itemSeq=255687743&amp;uq=636573321888037133" TargetMode="External"/><Relationship Id="rId23" Type="http://schemas.openxmlformats.org/officeDocument/2006/relationships/hyperlink" Target="https://www.digikey.com/scripts/DkSearch/dksus.dll?Detail&amp;itemSeq=256670207&amp;uq=636583008495177308" TargetMode="External"/><Relationship Id="rId10" Type="http://schemas.openxmlformats.org/officeDocument/2006/relationships/hyperlink" Target="https://www.digikey.com/scripts/DkSearch/dksus.dll?Detail&amp;itemSeq=255685923&amp;uq=636573315130419726" TargetMode="External"/><Relationship Id="rId19" Type="http://schemas.openxmlformats.org/officeDocument/2006/relationships/hyperlink" Target="https://www.digikey.com/scripts/DkSearch/dksus.dll?Detail&amp;itemSeq=255689053&amp;uq=636573329310919726" TargetMode="External"/><Relationship Id="rId4" Type="http://schemas.openxmlformats.org/officeDocument/2006/relationships/hyperlink" Target="https://www.digikey.com/scripts/DkSearch/dksus.dll?Detail&amp;itemSeq=255007731&amp;uq=636573292806049726" TargetMode="External"/><Relationship Id="rId9" Type="http://schemas.openxmlformats.org/officeDocument/2006/relationships/hyperlink" Target="https://www.digikey.com/scripts/DkSearch/dksus.dll?Detail&amp;itemSeq=255008508&amp;uq=636573292806069726" TargetMode="External"/><Relationship Id="rId14" Type="http://schemas.openxmlformats.org/officeDocument/2006/relationships/hyperlink" Target="https://www.digikey.com/scripts/DkSearch/dksus.dll?Detail&amp;itemSeq=255687461&amp;uq=636573320529169726" TargetMode="External"/><Relationship Id="rId22" Type="http://schemas.openxmlformats.org/officeDocument/2006/relationships/hyperlink" Target="https://www.digikey.com/scripts/DkSearch/dksus.dll?Detail&amp;itemSeq=255882403&amp;uq=636583008495157306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scripts/DkSearch/dksus.dll?Detail&amp;itemSeq=255683609&amp;uq=636573305216640966" TargetMode="External"/><Relationship Id="rId13" Type="http://schemas.openxmlformats.org/officeDocument/2006/relationships/hyperlink" Target="https://www.digikey.com/scripts/DkSearch/dksus.dll?Detail&amp;itemSeq=255687110&amp;uq=636573319776344879" TargetMode="External"/><Relationship Id="rId18" Type="http://schemas.openxmlformats.org/officeDocument/2006/relationships/hyperlink" Target="https://www.digikey.com/scripts/DkSearch/dksus.dll?Detail&amp;itemSeq=255688956&amp;uq=636573328681559713" TargetMode="External"/><Relationship Id="rId3" Type="http://schemas.openxmlformats.org/officeDocument/2006/relationships/hyperlink" Target="https://www.digikey.com/product-detail/en/on-semiconductor/MMBT2222LT1G/MMBT2222LT1GOSCT-ND/1139808" TargetMode="External"/><Relationship Id="rId21" Type="http://schemas.openxmlformats.org/officeDocument/2006/relationships/hyperlink" Target="https://www.digikey.com/scripts/DkSearch/dksus.dll?Detail&amp;itemSeq=255712800&amp;uq=636573577435916489" TargetMode="External"/><Relationship Id="rId7" Type="http://schemas.openxmlformats.org/officeDocument/2006/relationships/hyperlink" Target="https://www.digikey.com/scripts/DkSearch/dksus.dll?Detail&amp;itemSeq=255008032&amp;uq=636573292806069726" TargetMode="External"/><Relationship Id="rId12" Type="http://schemas.openxmlformats.org/officeDocument/2006/relationships/hyperlink" Target="https://www.digikey.com/scripts/DkSearch/dksus.dll?Detail&amp;itemSeq=255686232&amp;uq=636573317079069726" TargetMode="External"/><Relationship Id="rId17" Type="http://schemas.openxmlformats.org/officeDocument/2006/relationships/hyperlink" Target="https://www.digikey.com/scripts/DkSearch/dksus.dll?Detail&amp;itemSeq=255688809&amp;uq=636573327832494815" TargetMode="External"/><Relationship Id="rId25" Type="http://schemas.openxmlformats.org/officeDocument/2006/relationships/hyperlink" Target="https://www.digikey.com/scripts/DkSearch/dksus.dll?Detail&amp;itemSeq=260619861&amp;uq=636617232035274916" TargetMode="External"/><Relationship Id="rId2" Type="http://schemas.openxmlformats.org/officeDocument/2006/relationships/hyperlink" Target="https://www.digikey.com/scripts/DkSearch/dksus.dll?Detail&amp;itemSeq=255006885&amp;uq=636573277011671173" TargetMode="External"/><Relationship Id="rId16" Type="http://schemas.openxmlformats.org/officeDocument/2006/relationships/hyperlink" Target="https://www.digikey.com/scripts/DkSearch/dksus.dll?Detail&amp;itemSeq=255687905&amp;uq=636573322862249726" TargetMode="External"/><Relationship Id="rId20" Type="http://schemas.openxmlformats.org/officeDocument/2006/relationships/hyperlink" Target="https://www.digikey.com/scripts/DkSearch/dksus.dll?Detail&amp;itemSeq=255689221&amp;uq=636573330063847928" TargetMode="External"/><Relationship Id="rId1" Type="http://schemas.openxmlformats.org/officeDocument/2006/relationships/hyperlink" Target="https://www.digikey.com/scripts/DkSearch/dksus.dll?Detail&amp;itemSeq=255582543&amp;uq=636573277011711177" TargetMode="External"/><Relationship Id="rId6" Type="http://schemas.openxmlformats.org/officeDocument/2006/relationships/hyperlink" Target="https://www.digikey.com/scripts/DkSearch/dksus.dll?Detail&amp;itemSeq=255007915&amp;uq=636573292806059726" TargetMode="External"/><Relationship Id="rId11" Type="http://schemas.openxmlformats.org/officeDocument/2006/relationships/hyperlink" Target="https://www.digikey.com/scripts/DkSearch/dksus.dll?Detail&amp;itemSeq=255686028&amp;uq=636573315948419447" TargetMode="External"/><Relationship Id="rId24" Type="http://schemas.openxmlformats.org/officeDocument/2006/relationships/hyperlink" Target="https://www.digikey.com/scripts/DkSearch/dksus.dll?Detail&amp;itemSeq=255287263&amp;uq=636573292806069726" TargetMode="External"/><Relationship Id="rId5" Type="http://schemas.openxmlformats.org/officeDocument/2006/relationships/hyperlink" Target="https://www.digikey.com/scripts/DkSearch/dksus.dll?Detail&amp;itemSeq=255007807&amp;uq=636573292806059726" TargetMode="External"/><Relationship Id="rId15" Type="http://schemas.openxmlformats.org/officeDocument/2006/relationships/hyperlink" Target="https://www.digikey.com/scripts/DkSearch/dksus.dll?Detail&amp;itemSeq=255687743&amp;uq=636573321888037133" TargetMode="External"/><Relationship Id="rId23" Type="http://schemas.openxmlformats.org/officeDocument/2006/relationships/hyperlink" Target="https://www.digikey.com/scripts/DkSearch/dksus.dll?Detail&amp;itemSeq=256670207&amp;uq=636583008495177308" TargetMode="External"/><Relationship Id="rId10" Type="http://schemas.openxmlformats.org/officeDocument/2006/relationships/hyperlink" Target="https://www.digikey.com/scripts/DkSearch/dksus.dll?Detail&amp;itemSeq=255685923&amp;uq=636573315130419726" TargetMode="External"/><Relationship Id="rId19" Type="http://schemas.openxmlformats.org/officeDocument/2006/relationships/hyperlink" Target="https://www.digikey.com/scripts/DkSearch/dksus.dll?Detail&amp;itemSeq=255689053&amp;uq=636573329310919726" TargetMode="External"/><Relationship Id="rId4" Type="http://schemas.openxmlformats.org/officeDocument/2006/relationships/hyperlink" Target="https://www.digikey.com/scripts/DkSearch/dksus.dll?Detail&amp;itemSeq=255007731&amp;uq=636573292806049726" TargetMode="External"/><Relationship Id="rId9" Type="http://schemas.openxmlformats.org/officeDocument/2006/relationships/hyperlink" Target="https://www.digikey.com/scripts/DkSearch/dksus.dll?Detail&amp;itemSeq=255008508&amp;uq=636573292806069726" TargetMode="External"/><Relationship Id="rId14" Type="http://schemas.openxmlformats.org/officeDocument/2006/relationships/hyperlink" Target="https://www.digikey.com/scripts/DkSearch/dksus.dll?Detail&amp;itemSeq=255687461&amp;uq=636573320529169726" TargetMode="External"/><Relationship Id="rId22" Type="http://schemas.openxmlformats.org/officeDocument/2006/relationships/hyperlink" Target="https://www.digikey.com/scripts/DkSearch/dksus.dll?Detail&amp;itemSeq=255882403&amp;uq=6365830084951573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zoomScale="70" zoomScaleNormal="70" workbookViewId="0">
      <selection activeCell="B25" sqref="B25"/>
    </sheetView>
  </sheetViews>
  <sheetFormatPr defaultRowHeight="15" x14ac:dyDescent="0.25"/>
  <cols>
    <col min="1" max="1" width="8.5" style="1" bestFit="1" customWidth="1"/>
    <col min="2" max="2" width="9.75" style="1" customWidth="1"/>
    <col min="3" max="3" width="8" style="1" customWidth="1"/>
    <col min="4" max="4" width="17.5" style="1" customWidth="1"/>
    <col min="5" max="5" width="14.625" style="1" customWidth="1"/>
    <col min="6" max="6" width="22.25" style="1" bestFit="1" customWidth="1"/>
    <col min="7" max="7" width="12.625" style="1" bestFit="1" customWidth="1"/>
    <col min="8" max="9" width="16.25" style="1" customWidth="1"/>
    <col min="10" max="10" width="25.375" style="1" bestFit="1" customWidth="1"/>
    <col min="11" max="11" width="27.75" style="1" customWidth="1"/>
    <col min="12" max="16384" width="9" style="1"/>
  </cols>
  <sheetData>
    <row r="1" spans="1:9" ht="30" x14ac:dyDescent="0.25">
      <c r="A1" s="2" t="s">
        <v>44</v>
      </c>
      <c r="B1" s="2" t="s">
        <v>32</v>
      </c>
      <c r="C1" s="2" t="s">
        <v>92</v>
      </c>
      <c r="D1" s="1" t="s">
        <v>25</v>
      </c>
      <c r="E1" s="1" t="s">
        <v>31</v>
      </c>
      <c r="F1" s="1" t="s">
        <v>50</v>
      </c>
      <c r="G1" s="1" t="s">
        <v>51</v>
      </c>
      <c r="H1" s="1" t="s">
        <v>85</v>
      </c>
      <c r="I1" s="1" t="s">
        <v>84</v>
      </c>
    </row>
    <row r="2" spans="1:9" x14ac:dyDescent="0.25">
      <c r="A2" s="2">
        <v>0</v>
      </c>
      <c r="B2" s="2">
        <v>1</v>
      </c>
      <c r="C2" s="2" t="s">
        <v>87</v>
      </c>
      <c r="D2" s="1" t="s">
        <v>8</v>
      </c>
      <c r="E2" s="4" t="s">
        <v>49</v>
      </c>
      <c r="F2" s="1" t="s">
        <v>43</v>
      </c>
      <c r="G2" s="1" t="s">
        <v>52</v>
      </c>
      <c r="H2" s="5">
        <v>0.13</v>
      </c>
      <c r="I2" s="5">
        <v>0.115</v>
      </c>
    </row>
    <row r="3" spans="1:9" x14ac:dyDescent="0.25">
      <c r="A3" s="2">
        <v>9</v>
      </c>
      <c r="B3" s="2">
        <v>1</v>
      </c>
      <c r="C3" s="2" t="s">
        <v>87</v>
      </c>
      <c r="D3" s="1" t="s">
        <v>0</v>
      </c>
      <c r="E3" s="4" t="s">
        <v>74</v>
      </c>
      <c r="F3" s="1" t="s">
        <v>35</v>
      </c>
      <c r="G3" s="1" t="s">
        <v>52</v>
      </c>
      <c r="H3" s="5">
        <v>0.1</v>
      </c>
      <c r="I3" s="5">
        <v>2.9000000000000001E-2</v>
      </c>
    </row>
    <row r="4" spans="1:9" x14ac:dyDescent="0.25">
      <c r="A4" s="2">
        <v>0</v>
      </c>
      <c r="B4" s="2">
        <v>3</v>
      </c>
      <c r="C4" s="2" t="s">
        <v>88</v>
      </c>
      <c r="D4" s="1" t="s">
        <v>34</v>
      </c>
      <c r="E4" s="4" t="s">
        <v>79</v>
      </c>
      <c r="F4" s="1" t="s">
        <v>36</v>
      </c>
      <c r="G4" s="1" t="s">
        <v>52</v>
      </c>
      <c r="H4" s="5">
        <v>1.0999999999999999E-2</v>
      </c>
      <c r="I4" s="5">
        <v>4.5999999999999999E-3</v>
      </c>
    </row>
    <row r="5" spans="1:9" x14ac:dyDescent="0.25">
      <c r="A5" s="2">
        <v>0</v>
      </c>
      <c r="B5" s="2">
        <v>1</v>
      </c>
      <c r="C5" s="2" t="s">
        <v>87</v>
      </c>
      <c r="D5" s="1" t="s">
        <v>9</v>
      </c>
      <c r="E5" s="4" t="s">
        <v>80</v>
      </c>
      <c r="F5" s="1" t="s">
        <v>37</v>
      </c>
      <c r="G5" s="1" t="s">
        <v>52</v>
      </c>
      <c r="H5" s="5">
        <v>0.1</v>
      </c>
      <c r="I5" s="5">
        <v>1.0999999999999999E-2</v>
      </c>
    </row>
    <row r="6" spans="1:9" ht="13.5" customHeight="1" x14ac:dyDescent="0.25">
      <c r="A6" s="2">
        <v>0</v>
      </c>
      <c r="B6" s="2">
        <v>5</v>
      </c>
      <c r="C6" s="6" t="s">
        <v>88</v>
      </c>
      <c r="D6" s="1" t="s">
        <v>33</v>
      </c>
      <c r="E6" s="4" t="s">
        <v>75</v>
      </c>
      <c r="F6" s="1" t="s">
        <v>38</v>
      </c>
      <c r="G6" s="1" t="s">
        <v>52</v>
      </c>
      <c r="H6" s="5">
        <v>7.0000000000000007E-2</v>
      </c>
      <c r="I6" s="5">
        <v>3.1300000000000001E-2</v>
      </c>
    </row>
    <row r="7" spans="1:9" ht="16.5" customHeight="1" x14ac:dyDescent="0.25">
      <c r="A7" s="2">
        <v>0</v>
      </c>
      <c r="B7" s="2">
        <v>2</v>
      </c>
      <c r="C7" s="2" t="s">
        <v>88</v>
      </c>
      <c r="D7" s="1" t="s">
        <v>83</v>
      </c>
      <c r="E7" s="4" t="s">
        <v>81</v>
      </c>
      <c r="F7" s="1" t="s">
        <v>39</v>
      </c>
      <c r="G7" s="1" t="s">
        <v>52</v>
      </c>
      <c r="H7" s="5">
        <v>1.0999999999999999E-2</v>
      </c>
      <c r="I7" s="5">
        <v>4.5999999999999999E-3</v>
      </c>
    </row>
    <row r="8" spans="1:9" ht="16.5" customHeight="1" x14ac:dyDescent="0.25">
      <c r="A8" s="2">
        <v>0</v>
      </c>
      <c r="B8" s="2">
        <v>3</v>
      </c>
      <c r="C8" s="2" t="s">
        <v>88</v>
      </c>
      <c r="D8" s="1" t="s">
        <v>26</v>
      </c>
      <c r="E8" s="4" t="s">
        <v>76</v>
      </c>
      <c r="F8" s="1" t="s">
        <v>40</v>
      </c>
      <c r="G8" s="1" t="s">
        <v>52</v>
      </c>
      <c r="H8" s="5">
        <v>3.2000000000000001E-2</v>
      </c>
      <c r="I8" s="5">
        <v>1.43E-2</v>
      </c>
    </row>
    <row r="9" spans="1:9" ht="16.5" customHeight="1" x14ac:dyDescent="0.25">
      <c r="A9" s="2">
        <v>0</v>
      </c>
      <c r="B9" s="2">
        <v>3</v>
      </c>
      <c r="C9" s="2" t="s">
        <v>88</v>
      </c>
      <c r="D9" s="1" t="s">
        <v>27</v>
      </c>
      <c r="E9" s="4" t="s">
        <v>82</v>
      </c>
      <c r="F9" s="1" t="s">
        <v>41</v>
      </c>
      <c r="G9" s="1" t="s">
        <v>52</v>
      </c>
      <c r="H9" s="5">
        <v>1.0999999999999999E-2</v>
      </c>
      <c r="I9" s="5">
        <v>4.5999999999999999E-3</v>
      </c>
    </row>
    <row r="10" spans="1:9" ht="15" customHeight="1" x14ac:dyDescent="0.25">
      <c r="A10" s="2">
        <v>0</v>
      </c>
      <c r="B10" s="2">
        <v>2</v>
      </c>
      <c r="C10" s="2" t="s">
        <v>88</v>
      </c>
      <c r="D10" s="1" t="s">
        <v>28</v>
      </c>
      <c r="E10" s="4" t="s">
        <v>77</v>
      </c>
      <c r="F10" s="1" t="s">
        <v>42</v>
      </c>
      <c r="G10" s="1" t="s">
        <v>52</v>
      </c>
      <c r="H10" s="5">
        <v>3.2000000000000001E-2</v>
      </c>
      <c r="I10" s="5">
        <v>1.43E-2</v>
      </c>
    </row>
    <row r="11" spans="1:9" ht="14.25" customHeight="1" x14ac:dyDescent="0.25">
      <c r="A11" s="2">
        <v>0</v>
      </c>
      <c r="B11" s="2">
        <v>1</v>
      </c>
      <c r="C11" s="2" t="s">
        <v>89</v>
      </c>
      <c r="D11" s="1" t="s">
        <v>20</v>
      </c>
      <c r="E11" s="1" t="s">
        <v>21</v>
      </c>
      <c r="F11" s="1" t="s">
        <v>78</v>
      </c>
      <c r="G11" s="1" t="s">
        <v>53</v>
      </c>
      <c r="H11" s="5">
        <v>2.16</v>
      </c>
      <c r="I11" s="5">
        <v>2.16</v>
      </c>
    </row>
    <row r="12" spans="1:9" ht="15" customHeight="1" x14ac:dyDescent="0.25">
      <c r="A12" s="2">
        <v>0</v>
      </c>
      <c r="B12" s="2">
        <v>1</v>
      </c>
      <c r="C12" s="2" t="s">
        <v>87</v>
      </c>
      <c r="D12" s="1" t="s">
        <v>24</v>
      </c>
      <c r="E12" s="4" t="s">
        <v>54</v>
      </c>
      <c r="F12" s="1" t="s">
        <v>60</v>
      </c>
      <c r="G12" s="1" t="s">
        <v>52</v>
      </c>
      <c r="H12" s="5">
        <v>0.61</v>
      </c>
      <c r="I12" s="5">
        <v>0.56999999999999995</v>
      </c>
    </row>
    <row r="13" spans="1:9" ht="17.25" customHeight="1" x14ac:dyDescent="0.25">
      <c r="A13" s="2">
        <v>0</v>
      </c>
      <c r="B13" s="2">
        <v>1</v>
      </c>
      <c r="C13" s="2" t="s">
        <v>87</v>
      </c>
      <c r="D13" s="1" t="s">
        <v>15</v>
      </c>
      <c r="E13" s="4" t="s">
        <v>56</v>
      </c>
      <c r="F13" s="1" t="s">
        <v>57</v>
      </c>
      <c r="G13" s="1" t="s">
        <v>52</v>
      </c>
      <c r="H13" s="5">
        <v>0.48</v>
      </c>
      <c r="I13" s="5">
        <v>0.36199999999999999</v>
      </c>
    </row>
    <row r="14" spans="1:9" x14ac:dyDescent="0.25">
      <c r="A14" s="2">
        <v>0</v>
      </c>
      <c r="B14" s="2">
        <v>1</v>
      </c>
      <c r="C14" s="2" t="s">
        <v>91</v>
      </c>
      <c r="D14" s="1" t="s">
        <v>12</v>
      </c>
      <c r="E14" s="4" t="s">
        <v>61</v>
      </c>
      <c r="F14" s="1" t="s">
        <v>13</v>
      </c>
      <c r="G14" s="1" t="s">
        <v>52</v>
      </c>
      <c r="H14" s="5">
        <v>3.18</v>
      </c>
      <c r="I14" s="5">
        <v>2.8832</v>
      </c>
    </row>
    <row r="15" spans="1:9" x14ac:dyDescent="0.25">
      <c r="A15" s="2">
        <v>0</v>
      </c>
      <c r="B15" s="2">
        <v>1</v>
      </c>
      <c r="C15" s="2" t="s">
        <v>87</v>
      </c>
      <c r="D15" s="1" t="s">
        <v>3</v>
      </c>
      <c r="E15" s="4" t="s">
        <v>72</v>
      </c>
      <c r="F15" s="1" t="s">
        <v>64</v>
      </c>
      <c r="G15" s="1" t="s">
        <v>52</v>
      </c>
      <c r="H15" s="5">
        <v>0.5</v>
      </c>
      <c r="I15" s="5">
        <v>0.35599999999999998</v>
      </c>
    </row>
    <row r="16" spans="1:9" ht="15" customHeight="1" x14ac:dyDescent="0.25">
      <c r="A16" s="2">
        <v>0</v>
      </c>
      <c r="B16" s="2">
        <v>1</v>
      </c>
      <c r="C16" s="2" t="s">
        <v>87</v>
      </c>
      <c r="D16" s="1" t="s">
        <v>10</v>
      </c>
      <c r="E16" s="4" t="s">
        <v>11</v>
      </c>
      <c r="F16" s="1" t="s">
        <v>62</v>
      </c>
      <c r="G16" s="1" t="s">
        <v>52</v>
      </c>
      <c r="H16" s="5">
        <v>0.48</v>
      </c>
      <c r="I16" s="5">
        <v>0.46300000000000002</v>
      </c>
    </row>
    <row r="17" spans="1:9" ht="16.5" customHeight="1" x14ac:dyDescent="0.25">
      <c r="A17" s="2">
        <v>1</v>
      </c>
      <c r="B17" s="2">
        <v>1</v>
      </c>
      <c r="C17" s="2" t="s">
        <v>87</v>
      </c>
      <c r="D17" s="1" t="s">
        <v>18</v>
      </c>
      <c r="E17" s="4" t="s">
        <v>48</v>
      </c>
      <c r="F17" s="1" t="s">
        <v>19</v>
      </c>
      <c r="G17" s="1" t="s">
        <v>52</v>
      </c>
      <c r="H17" s="5">
        <v>0.57999999999999996</v>
      </c>
      <c r="I17" s="5">
        <v>0.54700000000000004</v>
      </c>
    </row>
    <row r="18" spans="1:9" x14ac:dyDescent="0.25">
      <c r="A18" s="2">
        <v>0</v>
      </c>
      <c r="B18" s="2">
        <v>1</v>
      </c>
      <c r="C18" s="2" t="s">
        <v>87</v>
      </c>
      <c r="D18" s="1" t="s">
        <v>2</v>
      </c>
      <c r="E18" s="4" t="s">
        <v>58</v>
      </c>
      <c r="F18" s="1" t="s">
        <v>59</v>
      </c>
      <c r="G18" s="1" t="s">
        <v>52</v>
      </c>
      <c r="H18" s="5">
        <v>0.43</v>
      </c>
      <c r="I18" s="5">
        <v>0.32100000000000001</v>
      </c>
    </row>
    <row r="19" spans="1:9" ht="17.25" customHeight="1" x14ac:dyDescent="0.25">
      <c r="A19" s="2">
        <v>0</v>
      </c>
      <c r="B19" s="2">
        <v>1</v>
      </c>
      <c r="C19" s="2" t="s">
        <v>87</v>
      </c>
      <c r="D19" s="1" t="s">
        <v>14</v>
      </c>
      <c r="E19" s="1" t="s">
        <v>86</v>
      </c>
      <c r="F19" s="1" t="s">
        <v>63</v>
      </c>
      <c r="G19" s="1" t="s">
        <v>53</v>
      </c>
      <c r="H19" s="5">
        <v>10.5</v>
      </c>
      <c r="I19" s="5">
        <v>6.5250000000000004</v>
      </c>
    </row>
    <row r="20" spans="1:9" x14ac:dyDescent="0.25">
      <c r="A20" s="2">
        <v>0</v>
      </c>
      <c r="B20" s="2">
        <v>1</v>
      </c>
      <c r="C20" s="2" t="s">
        <v>91</v>
      </c>
      <c r="D20" s="1" t="s">
        <v>16</v>
      </c>
      <c r="E20" s="4" t="s">
        <v>17</v>
      </c>
      <c r="F20" s="1" t="s">
        <v>55</v>
      </c>
      <c r="G20" s="1" t="s">
        <v>52</v>
      </c>
      <c r="H20" s="5">
        <v>0.59</v>
      </c>
      <c r="I20" s="5">
        <v>0.49840000000000001</v>
      </c>
    </row>
    <row r="21" spans="1:9" ht="15.75" customHeight="1" x14ac:dyDescent="0.25">
      <c r="A21" s="2">
        <v>0</v>
      </c>
      <c r="B21" s="2">
        <v>1</v>
      </c>
      <c r="C21" s="2" t="s">
        <v>90</v>
      </c>
      <c r="D21" s="1" t="s">
        <v>5</v>
      </c>
      <c r="E21" s="1" t="s">
        <v>67</v>
      </c>
      <c r="F21" s="1" t="s">
        <v>68</v>
      </c>
      <c r="G21" s="1" t="s">
        <v>53</v>
      </c>
      <c r="H21" s="5">
        <v>7.43</v>
      </c>
      <c r="I21" s="5">
        <v>7.43</v>
      </c>
    </row>
    <row r="22" spans="1:9" x14ac:dyDescent="0.25">
      <c r="A22" s="2">
        <v>0</v>
      </c>
      <c r="B22" s="2">
        <v>1</v>
      </c>
      <c r="C22" s="2" t="s">
        <v>87</v>
      </c>
      <c r="D22" s="1" t="s">
        <v>1</v>
      </c>
      <c r="E22" s="4" t="s">
        <v>71</v>
      </c>
      <c r="F22" s="1" t="s">
        <v>66</v>
      </c>
      <c r="G22" s="1" t="s">
        <v>52</v>
      </c>
      <c r="H22" s="5">
        <v>0.44</v>
      </c>
      <c r="I22" s="5">
        <v>0.317</v>
      </c>
    </row>
    <row r="23" spans="1:9" x14ac:dyDescent="0.25">
      <c r="A23" s="2">
        <v>0</v>
      </c>
      <c r="B23" s="2">
        <v>2</v>
      </c>
      <c r="C23" s="2" t="s">
        <v>93</v>
      </c>
      <c r="D23" s="1" t="s">
        <v>29</v>
      </c>
      <c r="E23" s="4" t="s">
        <v>73</v>
      </c>
      <c r="F23" s="1" t="s">
        <v>65</v>
      </c>
      <c r="G23" s="1" t="s">
        <v>52</v>
      </c>
      <c r="H23" s="5">
        <v>0.317</v>
      </c>
      <c r="I23" s="5">
        <v>0.24279999999999999</v>
      </c>
    </row>
    <row r="24" spans="1:9" ht="15.75" customHeight="1" x14ac:dyDescent="0.25">
      <c r="A24" s="2">
        <v>13</v>
      </c>
      <c r="B24" s="2">
        <v>1</v>
      </c>
      <c r="C24" s="2" t="s">
        <v>87</v>
      </c>
      <c r="D24" s="1" t="s">
        <v>6</v>
      </c>
      <c r="E24" s="4" t="s">
        <v>7</v>
      </c>
      <c r="F24" s="1" t="s">
        <v>7</v>
      </c>
      <c r="G24" s="1" t="s">
        <v>52</v>
      </c>
      <c r="H24" s="5">
        <v>2.27</v>
      </c>
      <c r="I24" s="5">
        <v>2.0630000000000002</v>
      </c>
    </row>
    <row r="25" spans="1:9" ht="15" customHeight="1" x14ac:dyDescent="0.25">
      <c r="A25" s="2">
        <v>0</v>
      </c>
      <c r="B25" s="2">
        <v>3</v>
      </c>
      <c r="C25" s="2" t="s">
        <v>94</v>
      </c>
      <c r="D25" s="1" t="s">
        <v>30</v>
      </c>
      <c r="E25" s="4" t="s">
        <v>69</v>
      </c>
      <c r="F25" s="1" t="s">
        <v>70</v>
      </c>
      <c r="G25" s="1" t="s">
        <v>52</v>
      </c>
      <c r="H25" s="5">
        <v>0.499</v>
      </c>
      <c r="I25" s="5">
        <v>0.47120000000000001</v>
      </c>
    </row>
    <row r="26" spans="1:9" x14ac:dyDescent="0.25">
      <c r="A26" s="2">
        <v>0</v>
      </c>
      <c r="B26" s="2">
        <v>1</v>
      </c>
      <c r="C26" s="2" t="s">
        <v>87</v>
      </c>
      <c r="D26" s="1" t="s">
        <v>4</v>
      </c>
      <c r="E26" s="4" t="s">
        <v>46</v>
      </c>
      <c r="F26" s="1" t="s">
        <v>47</v>
      </c>
      <c r="G26" s="1" t="s">
        <v>52</v>
      </c>
      <c r="H26" s="5">
        <v>3.6</v>
      </c>
      <c r="I26" s="5">
        <v>3.2370000000000001</v>
      </c>
    </row>
    <row r="27" spans="1:9" x14ac:dyDescent="0.25">
      <c r="A27" s="3">
        <v>0</v>
      </c>
      <c r="B27" s="3">
        <v>1</v>
      </c>
      <c r="C27" s="3" t="s">
        <v>87</v>
      </c>
      <c r="D27" s="1" t="s">
        <v>22</v>
      </c>
      <c r="E27" s="4" t="s">
        <v>45</v>
      </c>
      <c r="F27" s="1" t="s">
        <v>23</v>
      </c>
      <c r="G27" s="1" t="s">
        <v>52</v>
      </c>
      <c r="H27" s="5">
        <v>0.46</v>
      </c>
      <c r="I27" s="5">
        <v>0.437</v>
      </c>
    </row>
    <row r="28" spans="1:9" x14ac:dyDescent="0.25">
      <c r="A28" s="3">
        <v>0</v>
      </c>
      <c r="B28" s="3">
        <v>1</v>
      </c>
      <c r="C28" s="3" t="s">
        <v>89</v>
      </c>
      <c r="E28" s="4"/>
      <c r="F28" s="1" t="s">
        <v>96</v>
      </c>
      <c r="G28" s="1" t="s">
        <v>95</v>
      </c>
      <c r="H28" s="5">
        <v>29.35</v>
      </c>
      <c r="I28" s="5">
        <f>29.35/10</f>
        <v>2.9350000000000001</v>
      </c>
    </row>
    <row r="29" spans="1:9" x14ac:dyDescent="0.25">
      <c r="A29" s="3"/>
      <c r="B29" s="3"/>
      <c r="C29" s="3"/>
      <c r="E29" s="4">
        <v>1570</v>
      </c>
      <c r="F29" s="1" t="s">
        <v>97</v>
      </c>
      <c r="G29" s="1" t="s">
        <v>52</v>
      </c>
      <c r="H29" s="5">
        <v>5.95</v>
      </c>
      <c r="I29" s="5">
        <v>5.95</v>
      </c>
    </row>
    <row r="30" spans="1:9" x14ac:dyDescent="0.25">
      <c r="A30" s="2"/>
      <c r="B30" s="2"/>
      <c r="C30" s="2"/>
      <c r="H30" s="7">
        <f>SUM(H2:H29)</f>
        <v>70.323000000000008</v>
      </c>
      <c r="I30" s="7">
        <f>SUM(I2:I29)</f>
        <v>37.997300000000003</v>
      </c>
    </row>
    <row r="31" spans="1:9" x14ac:dyDescent="0.25">
      <c r="A31" s="2"/>
      <c r="B31" s="2"/>
      <c r="C31" s="2"/>
    </row>
    <row r="32" spans="1:9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3"/>
      <c r="B44" s="3"/>
      <c r="C44" s="3"/>
    </row>
    <row r="45" spans="1:3" x14ac:dyDescent="0.25">
      <c r="A45" s="2"/>
      <c r="B45" s="2"/>
      <c r="C45" s="2"/>
    </row>
    <row r="46" spans="1:3" x14ac:dyDescent="0.25">
      <c r="A46" s="3"/>
      <c r="B46" s="3"/>
      <c r="C46" s="3"/>
    </row>
  </sheetData>
  <hyperlinks>
    <hyperlink ref="E27" r:id="rId1" display="https://www.digikey.com/scripts/DkSearch/dksus.dll?Detail&amp;itemSeq=255006924&amp;uq=636573277011681174" xr:uid="{00000000-0004-0000-0000-000000000000}"/>
    <hyperlink ref="E26" r:id="rId2" display="https://www.digikey.com/scripts/DkSearch/dksus.dll?Detail&amp;itemSeq=255582543&amp;uq=636573277011711177" xr:uid="{00000000-0004-0000-0000-000001000000}"/>
    <hyperlink ref="E17" r:id="rId3" display="https://www.digikey.com/scripts/DkSearch/dksus.dll?Detail&amp;itemSeq=255006885&amp;uq=636573277011671173" xr:uid="{00000000-0004-0000-0000-000002000000}"/>
    <hyperlink ref="E2" r:id="rId4" display="https://www.digikey.com/product-detail/en/on-semiconductor/MMBT2222LT1G/MMBT2222LT1GOSCT-ND/1139808" xr:uid="{00000000-0004-0000-0000-000003000000}"/>
    <hyperlink ref="E12" r:id="rId5" display="https://www.digikey.com/scripts/DkSearch/dksus.dll?Detail&amp;itemSeq=255577954&amp;uq=636573292806079726" xr:uid="{00000000-0004-0000-0000-000004000000}"/>
    <hyperlink ref="E20" r:id="rId6" display="https://www.digikey.com/scripts/DkSearch/dksus.dll?Detail&amp;itemSeq=255007731&amp;uq=636573292806049726" xr:uid="{00000000-0004-0000-0000-000005000000}"/>
    <hyperlink ref="E13" r:id="rId7" display="https://www.digikey.com/scripts/DkSearch/dksus.dll?Detail&amp;itemSeq=255007807&amp;uq=636573292806059726" xr:uid="{00000000-0004-0000-0000-000006000000}"/>
    <hyperlink ref="E18" r:id="rId8" display="https://www.digikey.com/scripts/DkSearch/dksus.dll?Detail&amp;itemSeq=255007915&amp;uq=636573292806059726" xr:uid="{00000000-0004-0000-0000-000007000000}"/>
    <hyperlink ref="E14" r:id="rId9" display="https://www.digikey.com/scripts/DkSearch/dksus.dll?Detail&amp;itemSeq=255008032&amp;uq=636573292806069726" xr:uid="{00000000-0004-0000-0000-000008000000}"/>
    <hyperlink ref="E16" r:id="rId10" display="https://www.digikey.com/scripts/DkSearch/dksus.dll?Detail&amp;itemSeq=255287263&amp;uq=636573292806069726" xr:uid="{00000000-0004-0000-0000-000009000000}"/>
    <hyperlink ref="E24" r:id="rId11" display="https://www.digikey.com/scripts/DkSearch/dksus.dll?Detail&amp;itemSeq=255683609&amp;uq=636573305216640966" xr:uid="{00000000-0004-0000-0000-00000A000000}"/>
    <hyperlink ref="E25" r:id="rId12" display="https://www.digikey.com/scripts/DkSearch/dksus.dll?Detail&amp;itemSeq=255008508&amp;uq=636573292806069726" xr:uid="{00000000-0004-0000-0000-00000B000000}"/>
    <hyperlink ref="E22" r:id="rId13" display="https://www.digikey.com/scripts/DkSearch/dksus.dll?Detail&amp;itemSeq=255685923&amp;uq=636573315130419726" xr:uid="{00000000-0004-0000-0000-00000C000000}"/>
    <hyperlink ref="E15" r:id="rId14" display="https://www.digikey.com/scripts/DkSearch/dksus.dll?Detail&amp;itemSeq=255686028&amp;uq=636573315948419447" xr:uid="{00000000-0004-0000-0000-00000D000000}"/>
    <hyperlink ref="E23" r:id="rId15" display="https://www.digikey.com/scripts/DkSearch/dksus.dll?Detail&amp;itemSeq=255686232&amp;uq=636573317079069726" xr:uid="{00000000-0004-0000-0000-00000E000000}"/>
    <hyperlink ref="E3" r:id="rId16" display="https://www.digikey.com/scripts/DkSearch/dksus.dll?Detail&amp;itemSeq=255687110&amp;uq=636573319776344879" xr:uid="{00000000-0004-0000-0000-00000F000000}"/>
    <hyperlink ref="E6" r:id="rId17" display="https://www.digikey.com/scripts/DkSearch/dksus.dll?Detail&amp;itemSeq=255687461&amp;uq=636573320529169726" xr:uid="{00000000-0004-0000-0000-000010000000}"/>
    <hyperlink ref="E8" r:id="rId18" display="https://www.digikey.com/scripts/DkSearch/dksus.dll?Detail&amp;itemSeq=255687743&amp;uq=636573321888037133" xr:uid="{00000000-0004-0000-0000-000011000000}"/>
    <hyperlink ref="E10" r:id="rId19" display="https://www.digikey.com/scripts/DkSearch/dksus.dll?Detail&amp;itemSeq=255687905&amp;uq=636573322862249726" xr:uid="{00000000-0004-0000-0000-000012000000}"/>
    <hyperlink ref="E4" r:id="rId20" display="https://www.digikey.com/scripts/DkSearch/dksus.dll?Detail&amp;itemSeq=255688809&amp;uq=636573327832494815" xr:uid="{00000000-0004-0000-0000-000013000000}"/>
    <hyperlink ref="E5" r:id="rId21" display="https://www.digikey.com/scripts/DkSearch/dksus.dll?Detail&amp;itemSeq=255688956&amp;uq=636573328681559713" xr:uid="{00000000-0004-0000-0000-000014000000}"/>
    <hyperlink ref="E7" r:id="rId22" display="https://www.digikey.com/scripts/DkSearch/dksus.dll?Detail&amp;itemSeq=255689053&amp;uq=636573329310919726" xr:uid="{00000000-0004-0000-0000-000015000000}"/>
    <hyperlink ref="E9" r:id="rId23" display="https://www.digikey.com/scripts/DkSearch/dksus.dll?Detail&amp;itemSeq=255689221&amp;uq=636573330063847928" xr:uid="{00000000-0004-0000-0000-000016000000}"/>
    <hyperlink ref="E29" r:id="rId24" display="https://www.digikey.com/scripts/DkSearch/dksus.dll?Detail&amp;itemSeq=255712800&amp;uq=636573577435916489" xr:uid="{00000000-0004-0000-0000-000017000000}"/>
  </hyperlinks>
  <pageMargins left="0.7" right="0.7" top="0.75" bottom="0.75" header="0.3" footer="0.3"/>
  <pageSetup orientation="portrait" horizontalDpi="4294967293" verticalDpi="0" r:id="rId25"/>
  <ignoredErrors>
    <ignoredError sqref="C2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7"/>
  <sheetViews>
    <sheetView topLeftCell="A5" zoomScale="70" zoomScaleNormal="70" workbookViewId="0">
      <selection activeCell="E18" sqref="E18"/>
    </sheetView>
  </sheetViews>
  <sheetFormatPr defaultRowHeight="15" x14ac:dyDescent="0.25"/>
  <cols>
    <col min="1" max="1" width="8.5" style="1" bestFit="1" customWidth="1"/>
    <col min="2" max="2" width="9.75" style="1" customWidth="1"/>
    <col min="3" max="3" width="8" style="1" customWidth="1"/>
    <col min="4" max="4" width="17.5" style="1" customWidth="1"/>
    <col min="5" max="5" width="14.625" style="1" customWidth="1"/>
    <col min="6" max="6" width="22.25" style="1" bestFit="1" customWidth="1"/>
    <col min="7" max="7" width="12.625" style="1" bestFit="1" customWidth="1"/>
    <col min="8" max="9" width="16.25" style="1" customWidth="1"/>
    <col min="10" max="10" width="13.125" style="1" customWidth="1"/>
    <col min="11" max="11" width="11.875" style="1" bestFit="1" customWidth="1"/>
    <col min="12" max="16384" width="9" style="1"/>
  </cols>
  <sheetData>
    <row r="1" spans="1:11" ht="30" x14ac:dyDescent="0.25">
      <c r="A1" s="2" t="s">
        <v>44</v>
      </c>
      <c r="B1" s="2" t="s">
        <v>32</v>
      </c>
      <c r="C1" s="2" t="s">
        <v>92</v>
      </c>
      <c r="D1" s="1" t="s">
        <v>25</v>
      </c>
      <c r="E1" s="1" t="s">
        <v>31</v>
      </c>
      <c r="F1" s="1" t="s">
        <v>50</v>
      </c>
      <c r="G1" s="1" t="s">
        <v>51</v>
      </c>
      <c r="H1" s="1" t="s">
        <v>85</v>
      </c>
      <c r="I1" s="1" t="s">
        <v>84</v>
      </c>
      <c r="J1" s="1" t="s">
        <v>105</v>
      </c>
      <c r="K1" s="1" t="s">
        <v>105</v>
      </c>
    </row>
    <row r="2" spans="1:11" x14ac:dyDescent="0.25">
      <c r="A2" s="2">
        <v>0</v>
      </c>
      <c r="B2" s="2">
        <v>3</v>
      </c>
      <c r="C2" s="2" t="s">
        <v>88</v>
      </c>
      <c r="D2" s="1" t="s">
        <v>26</v>
      </c>
      <c r="E2" s="4" t="s">
        <v>76</v>
      </c>
      <c r="F2" s="1" t="s">
        <v>40</v>
      </c>
      <c r="G2" s="1" t="s">
        <v>52</v>
      </c>
      <c r="H2" s="5">
        <v>3.2000000000000001E-2</v>
      </c>
      <c r="I2" s="5">
        <v>1.43E-2</v>
      </c>
      <c r="J2" s="8">
        <f t="shared" ref="J2:J30" si="0">H2*$B2</f>
        <v>9.6000000000000002E-2</v>
      </c>
      <c r="K2" s="8">
        <f t="shared" ref="K2:K30" si="1">I2*$B2</f>
        <v>4.2900000000000001E-2</v>
      </c>
    </row>
    <row r="3" spans="1:11" x14ac:dyDescent="0.25">
      <c r="A3" s="2">
        <v>9</v>
      </c>
      <c r="B3" s="2">
        <v>1</v>
      </c>
      <c r="C3" s="2" t="s">
        <v>87</v>
      </c>
      <c r="D3" s="1" t="s">
        <v>0</v>
      </c>
      <c r="E3" s="4" t="s">
        <v>74</v>
      </c>
      <c r="F3" s="1" t="s">
        <v>35</v>
      </c>
      <c r="G3" s="1" t="s">
        <v>52</v>
      </c>
      <c r="H3" s="5">
        <v>0.1</v>
      </c>
      <c r="I3" s="5">
        <v>2.9000000000000001E-2</v>
      </c>
      <c r="J3" s="8">
        <f t="shared" si="0"/>
        <v>0.1</v>
      </c>
      <c r="K3" s="8">
        <f t="shared" si="1"/>
        <v>2.9000000000000001E-2</v>
      </c>
    </row>
    <row r="4" spans="1:11" x14ac:dyDescent="0.25">
      <c r="A4" s="2">
        <v>0</v>
      </c>
      <c r="B4" s="2">
        <v>2</v>
      </c>
      <c r="C4" s="2" t="s">
        <v>88</v>
      </c>
      <c r="D4" s="1" t="s">
        <v>28</v>
      </c>
      <c r="E4" s="4" t="s">
        <v>77</v>
      </c>
      <c r="F4" s="1" t="s">
        <v>42</v>
      </c>
      <c r="G4" s="1" t="s">
        <v>52</v>
      </c>
      <c r="H4" s="5">
        <v>3.2000000000000001E-2</v>
      </c>
      <c r="I4" s="5">
        <v>1.43E-2</v>
      </c>
      <c r="J4" s="8">
        <f t="shared" si="0"/>
        <v>6.4000000000000001E-2</v>
      </c>
      <c r="K4" s="8">
        <f t="shared" si="1"/>
        <v>2.86E-2</v>
      </c>
    </row>
    <row r="5" spans="1:11" ht="30" x14ac:dyDescent="0.25">
      <c r="A5" s="2">
        <v>0</v>
      </c>
      <c r="B5" s="2">
        <v>5</v>
      </c>
      <c r="C5" s="6" t="s">
        <v>88</v>
      </c>
      <c r="D5" s="1" t="s">
        <v>33</v>
      </c>
      <c r="E5" s="4" t="s">
        <v>75</v>
      </c>
      <c r="F5" s="1" t="s">
        <v>38</v>
      </c>
      <c r="G5" s="1" t="s">
        <v>52</v>
      </c>
      <c r="H5" s="5">
        <v>7.0000000000000007E-2</v>
      </c>
      <c r="I5" s="5">
        <v>3.1300000000000001E-2</v>
      </c>
      <c r="J5" s="8">
        <f t="shared" si="0"/>
        <v>0.35000000000000003</v>
      </c>
      <c r="K5" s="8">
        <f t="shared" si="1"/>
        <v>0.1565</v>
      </c>
    </row>
    <row r="6" spans="1:11" ht="13.5" customHeight="1" x14ac:dyDescent="0.25">
      <c r="A6" s="2">
        <v>0</v>
      </c>
      <c r="B6" s="2">
        <v>1</v>
      </c>
      <c r="C6" s="2" t="s">
        <v>87</v>
      </c>
      <c r="D6" s="1" t="s">
        <v>1</v>
      </c>
      <c r="E6" s="4" t="s">
        <v>71</v>
      </c>
      <c r="F6" s="1" t="s">
        <v>66</v>
      </c>
      <c r="G6" s="1" t="s">
        <v>52</v>
      </c>
      <c r="H6" s="5">
        <v>0.44</v>
      </c>
      <c r="I6" s="5">
        <v>0.317</v>
      </c>
      <c r="J6" s="8">
        <f t="shared" si="0"/>
        <v>0.44</v>
      </c>
      <c r="K6" s="8">
        <f t="shared" si="1"/>
        <v>0.317</v>
      </c>
    </row>
    <row r="7" spans="1:11" ht="16.5" customHeight="1" x14ac:dyDescent="0.25">
      <c r="A7" s="2">
        <v>0</v>
      </c>
      <c r="B7" s="2">
        <v>1</v>
      </c>
      <c r="C7" s="2" t="s">
        <v>87</v>
      </c>
      <c r="D7" s="1" t="s">
        <v>2</v>
      </c>
      <c r="E7" s="4" t="s">
        <v>58</v>
      </c>
      <c r="F7" s="1" t="s">
        <v>59</v>
      </c>
      <c r="G7" s="1" t="s">
        <v>52</v>
      </c>
      <c r="H7" s="5">
        <v>0.43</v>
      </c>
      <c r="I7" s="5">
        <v>0.32100000000000001</v>
      </c>
      <c r="J7" s="8">
        <f t="shared" si="0"/>
        <v>0.43</v>
      </c>
      <c r="K7" s="8">
        <f t="shared" si="1"/>
        <v>0.32100000000000001</v>
      </c>
    </row>
    <row r="8" spans="1:11" ht="16.5" customHeight="1" x14ac:dyDescent="0.25">
      <c r="A8" s="2">
        <v>0</v>
      </c>
      <c r="B8" s="2">
        <v>2</v>
      </c>
      <c r="C8" s="2" t="s">
        <v>93</v>
      </c>
      <c r="D8" s="1" t="s">
        <v>29</v>
      </c>
      <c r="E8" s="4" t="s">
        <v>73</v>
      </c>
      <c r="F8" s="1" t="s">
        <v>65</v>
      </c>
      <c r="G8" s="1" t="s">
        <v>52</v>
      </c>
      <c r="H8" s="5">
        <v>0.317</v>
      </c>
      <c r="I8" s="5">
        <v>0.24279999999999999</v>
      </c>
      <c r="J8" s="8">
        <f t="shared" si="0"/>
        <v>0.63400000000000001</v>
      </c>
      <c r="K8" s="8">
        <f t="shared" si="1"/>
        <v>0.48559999999999998</v>
      </c>
    </row>
    <row r="9" spans="1:11" ht="16.5" customHeight="1" x14ac:dyDescent="0.25">
      <c r="A9" s="2">
        <v>0</v>
      </c>
      <c r="B9" s="2">
        <v>1</v>
      </c>
      <c r="C9" s="2" t="s">
        <v>87</v>
      </c>
      <c r="D9" s="1" t="s">
        <v>3</v>
      </c>
      <c r="E9" s="4" t="s">
        <v>72</v>
      </c>
      <c r="F9" s="1" t="s">
        <v>64</v>
      </c>
      <c r="G9" s="1" t="s">
        <v>52</v>
      </c>
      <c r="H9" s="5">
        <v>0.5</v>
      </c>
      <c r="I9" s="5">
        <v>0.35599999999999998</v>
      </c>
      <c r="J9" s="8">
        <f t="shared" si="0"/>
        <v>0.5</v>
      </c>
      <c r="K9" s="8">
        <f t="shared" si="1"/>
        <v>0.35599999999999998</v>
      </c>
    </row>
    <row r="10" spans="1:11" ht="15" customHeight="1" x14ac:dyDescent="0.25">
      <c r="A10" s="2">
        <v>0</v>
      </c>
      <c r="B10" s="2">
        <v>1</v>
      </c>
      <c r="C10" s="2" t="s">
        <v>87</v>
      </c>
      <c r="D10" s="1" t="s">
        <v>4</v>
      </c>
      <c r="E10" s="4" t="s">
        <v>46</v>
      </c>
      <c r="F10" s="1" t="s">
        <v>47</v>
      </c>
      <c r="G10" s="1" t="s">
        <v>52</v>
      </c>
      <c r="H10" s="5">
        <v>3.6</v>
      </c>
      <c r="I10" s="5">
        <v>3.2370000000000001</v>
      </c>
      <c r="J10" s="8">
        <f t="shared" si="0"/>
        <v>3.6</v>
      </c>
      <c r="K10" s="8">
        <f t="shared" si="1"/>
        <v>3.2370000000000001</v>
      </c>
    </row>
    <row r="11" spans="1:11" ht="14.25" customHeight="1" x14ac:dyDescent="0.25">
      <c r="A11" s="2">
        <v>0</v>
      </c>
      <c r="B11" s="2">
        <v>1</v>
      </c>
      <c r="C11" s="2" t="s">
        <v>90</v>
      </c>
      <c r="D11" s="1" t="s">
        <v>5</v>
      </c>
      <c r="E11" s="1" t="s">
        <v>67</v>
      </c>
      <c r="F11" s="1" t="s">
        <v>68</v>
      </c>
      <c r="G11" s="1" t="s">
        <v>53</v>
      </c>
      <c r="H11" s="5">
        <v>7.43</v>
      </c>
      <c r="I11" s="5">
        <v>7.43</v>
      </c>
      <c r="J11" s="8">
        <f t="shared" si="0"/>
        <v>7.43</v>
      </c>
      <c r="K11" s="8">
        <f t="shared" si="1"/>
        <v>7.43</v>
      </c>
    </row>
    <row r="12" spans="1:11" ht="15" customHeight="1" x14ac:dyDescent="0.25">
      <c r="A12" s="2">
        <v>13</v>
      </c>
      <c r="B12" s="2">
        <v>1</v>
      </c>
      <c r="C12" s="2" t="s">
        <v>87</v>
      </c>
      <c r="D12" s="1" t="s">
        <v>6</v>
      </c>
      <c r="E12" s="4" t="s">
        <v>7</v>
      </c>
      <c r="F12" s="1" t="s">
        <v>7</v>
      </c>
      <c r="G12" s="1" t="s">
        <v>52</v>
      </c>
      <c r="H12" s="5">
        <v>2.27</v>
      </c>
      <c r="I12" s="5">
        <v>2.0630000000000002</v>
      </c>
      <c r="J12" s="8">
        <f t="shared" si="0"/>
        <v>2.27</v>
      </c>
      <c r="K12" s="8">
        <f t="shared" si="1"/>
        <v>2.0630000000000002</v>
      </c>
    </row>
    <row r="13" spans="1:11" ht="17.25" customHeight="1" x14ac:dyDescent="0.25">
      <c r="A13" s="2">
        <v>0</v>
      </c>
      <c r="B13" s="2">
        <v>1</v>
      </c>
      <c r="C13" s="2" t="s">
        <v>87</v>
      </c>
      <c r="D13" s="1" t="s">
        <v>8</v>
      </c>
      <c r="E13" s="4" t="s">
        <v>49</v>
      </c>
      <c r="F13" s="1" t="s">
        <v>43</v>
      </c>
      <c r="G13" s="1" t="s">
        <v>52</v>
      </c>
      <c r="H13" s="5">
        <v>0.13</v>
      </c>
      <c r="I13" s="5">
        <v>0.115</v>
      </c>
      <c r="J13" s="8">
        <f t="shared" si="0"/>
        <v>0.13</v>
      </c>
      <c r="K13" s="8">
        <f t="shared" si="1"/>
        <v>0.115</v>
      </c>
    </row>
    <row r="14" spans="1:11" x14ac:dyDescent="0.25">
      <c r="A14" s="2">
        <v>0</v>
      </c>
      <c r="B14" s="2">
        <v>3</v>
      </c>
      <c r="C14" s="2" t="s">
        <v>88</v>
      </c>
      <c r="D14" s="1" t="s">
        <v>34</v>
      </c>
      <c r="E14" s="4" t="s">
        <v>79</v>
      </c>
      <c r="F14" s="1" t="s">
        <v>36</v>
      </c>
      <c r="G14" s="1" t="s">
        <v>52</v>
      </c>
      <c r="H14" s="5">
        <v>1.0999999999999999E-2</v>
      </c>
      <c r="I14" s="5">
        <v>4.5999999999999999E-3</v>
      </c>
      <c r="J14" s="8">
        <f t="shared" si="0"/>
        <v>3.3000000000000002E-2</v>
      </c>
      <c r="K14" s="8">
        <f t="shared" si="1"/>
        <v>1.38E-2</v>
      </c>
    </row>
    <row r="15" spans="1:11" x14ac:dyDescent="0.25">
      <c r="A15" s="2">
        <v>0</v>
      </c>
      <c r="B15" s="2">
        <v>4</v>
      </c>
      <c r="C15" s="2" t="s">
        <v>88</v>
      </c>
      <c r="D15" s="1" t="s">
        <v>104</v>
      </c>
      <c r="E15" s="4" t="s">
        <v>81</v>
      </c>
      <c r="F15" s="1" t="s">
        <v>39</v>
      </c>
      <c r="G15" s="1" t="s">
        <v>52</v>
      </c>
      <c r="H15" s="5">
        <v>1.0999999999999999E-2</v>
      </c>
      <c r="I15" s="5">
        <v>4.5999999999999999E-3</v>
      </c>
      <c r="J15" s="8">
        <f t="shared" si="0"/>
        <v>4.3999999999999997E-2</v>
      </c>
      <c r="K15" s="8">
        <f t="shared" si="1"/>
        <v>1.84E-2</v>
      </c>
    </row>
    <row r="16" spans="1:11" ht="15" customHeight="1" x14ac:dyDescent="0.25">
      <c r="A16" s="2">
        <v>0</v>
      </c>
      <c r="B16" s="2">
        <v>3</v>
      </c>
      <c r="C16" s="2" t="s">
        <v>88</v>
      </c>
      <c r="D16" s="1" t="s">
        <v>27</v>
      </c>
      <c r="E16" s="4" t="s">
        <v>82</v>
      </c>
      <c r="F16" s="1" t="s">
        <v>41</v>
      </c>
      <c r="G16" s="1" t="s">
        <v>52</v>
      </c>
      <c r="H16" s="5">
        <v>1.0999999999999999E-2</v>
      </c>
      <c r="I16" s="5">
        <v>4.5999999999999999E-3</v>
      </c>
      <c r="J16" s="8">
        <f t="shared" si="0"/>
        <v>3.3000000000000002E-2</v>
      </c>
      <c r="K16" s="8">
        <f t="shared" si="1"/>
        <v>1.38E-2</v>
      </c>
    </row>
    <row r="17" spans="1:11" ht="16.5" customHeight="1" x14ac:dyDescent="0.25">
      <c r="A17" s="2">
        <v>0</v>
      </c>
      <c r="B17" s="2">
        <v>1</v>
      </c>
      <c r="C17" s="2" t="s">
        <v>87</v>
      </c>
      <c r="D17" s="1" t="s">
        <v>9</v>
      </c>
      <c r="E17" s="4" t="s">
        <v>80</v>
      </c>
      <c r="F17" s="1" t="s">
        <v>37</v>
      </c>
      <c r="G17" s="1" t="s">
        <v>52</v>
      </c>
      <c r="H17" s="5">
        <v>0.1</v>
      </c>
      <c r="I17" s="5">
        <v>1.0999999999999999E-2</v>
      </c>
      <c r="J17" s="8">
        <f t="shared" si="0"/>
        <v>0.1</v>
      </c>
      <c r="K17" s="8">
        <f t="shared" si="1"/>
        <v>1.0999999999999999E-2</v>
      </c>
    </row>
    <row r="18" spans="1:11" x14ac:dyDescent="0.25">
      <c r="A18" s="2">
        <v>0</v>
      </c>
      <c r="B18" s="2">
        <v>1</v>
      </c>
      <c r="C18" s="2" t="s">
        <v>87</v>
      </c>
      <c r="D18" s="1" t="s">
        <v>100</v>
      </c>
      <c r="E18" s="4" t="s">
        <v>121</v>
      </c>
      <c r="F18" s="1" t="s">
        <v>62</v>
      </c>
      <c r="G18" s="1" t="s">
        <v>52</v>
      </c>
      <c r="H18" s="5">
        <v>0.91</v>
      </c>
      <c r="I18" s="5">
        <v>0.87</v>
      </c>
      <c r="J18" s="8">
        <f t="shared" si="0"/>
        <v>0.91</v>
      </c>
      <c r="K18" s="8">
        <f t="shared" si="1"/>
        <v>0.87</v>
      </c>
    </row>
    <row r="19" spans="1:11" ht="17.25" customHeight="1" x14ac:dyDescent="0.25">
      <c r="A19" s="2">
        <v>0</v>
      </c>
      <c r="B19" s="2">
        <v>1</v>
      </c>
      <c r="C19" s="2" t="s">
        <v>87</v>
      </c>
      <c r="D19" s="1" t="s">
        <v>98</v>
      </c>
      <c r="E19" s="4" t="s">
        <v>69</v>
      </c>
      <c r="F19" s="1" t="s">
        <v>70</v>
      </c>
      <c r="G19" s="1" t="s">
        <v>52</v>
      </c>
      <c r="H19" s="5">
        <v>0.52</v>
      </c>
      <c r="I19" s="5">
        <v>0.499</v>
      </c>
      <c r="J19" s="8">
        <f t="shared" si="0"/>
        <v>0.52</v>
      </c>
      <c r="K19" s="8">
        <f t="shared" si="1"/>
        <v>0.499</v>
      </c>
    </row>
    <row r="20" spans="1:11" x14ac:dyDescent="0.25">
      <c r="A20" s="2">
        <v>0</v>
      </c>
      <c r="B20" s="2">
        <v>1</v>
      </c>
      <c r="C20" s="2" t="s">
        <v>91</v>
      </c>
      <c r="D20" s="1" t="s">
        <v>12</v>
      </c>
      <c r="E20" s="4" t="s">
        <v>61</v>
      </c>
      <c r="F20" s="1" t="s">
        <v>13</v>
      </c>
      <c r="G20" s="1" t="s">
        <v>52</v>
      </c>
      <c r="H20" s="5">
        <v>3.18</v>
      </c>
      <c r="I20" s="5">
        <v>2.8832</v>
      </c>
      <c r="J20" s="8">
        <f t="shared" si="0"/>
        <v>3.18</v>
      </c>
      <c r="K20" s="8">
        <f t="shared" si="1"/>
        <v>2.8832</v>
      </c>
    </row>
    <row r="21" spans="1:11" ht="15.75" customHeight="1" x14ac:dyDescent="0.25">
      <c r="A21" s="2">
        <v>0</v>
      </c>
      <c r="B21" s="2">
        <v>1</v>
      </c>
      <c r="C21" s="2" t="s">
        <v>87</v>
      </c>
      <c r="D21" s="1" t="s">
        <v>14</v>
      </c>
      <c r="E21" s="1" t="s">
        <v>86</v>
      </c>
      <c r="F21" s="1" t="s">
        <v>63</v>
      </c>
      <c r="G21" s="1" t="s">
        <v>53</v>
      </c>
      <c r="H21" s="5">
        <v>10.5</v>
      </c>
      <c r="I21" s="5">
        <v>6.5250000000000004</v>
      </c>
      <c r="J21" s="8">
        <f t="shared" si="0"/>
        <v>10.5</v>
      </c>
      <c r="K21" s="8">
        <f t="shared" si="1"/>
        <v>6.5250000000000004</v>
      </c>
    </row>
    <row r="22" spans="1:11" x14ac:dyDescent="0.25">
      <c r="A22" s="2">
        <v>0</v>
      </c>
      <c r="B22" s="2">
        <v>1</v>
      </c>
      <c r="C22" s="2" t="s">
        <v>87</v>
      </c>
      <c r="D22" s="1" t="s">
        <v>15</v>
      </c>
      <c r="E22" s="4" t="s">
        <v>56</v>
      </c>
      <c r="F22" s="1" t="s">
        <v>57</v>
      </c>
      <c r="G22" s="1" t="s">
        <v>52</v>
      </c>
      <c r="H22" s="5">
        <v>0.48</v>
      </c>
      <c r="I22" s="5">
        <v>0.36199999999999999</v>
      </c>
      <c r="J22" s="8">
        <f t="shared" si="0"/>
        <v>0.48</v>
      </c>
      <c r="K22" s="8">
        <f t="shared" si="1"/>
        <v>0.36199999999999999</v>
      </c>
    </row>
    <row r="23" spans="1:11" x14ac:dyDescent="0.25">
      <c r="A23" s="2">
        <v>0</v>
      </c>
      <c r="B23" s="2">
        <v>2</v>
      </c>
      <c r="C23" s="2" t="s">
        <v>93</v>
      </c>
      <c r="D23" s="1" t="s">
        <v>101</v>
      </c>
      <c r="E23" s="4" t="s">
        <v>99</v>
      </c>
      <c r="F23" s="1" t="s">
        <v>102</v>
      </c>
      <c r="G23" s="1" t="s">
        <v>52</v>
      </c>
      <c r="H23" s="5">
        <v>0.28499999999999998</v>
      </c>
      <c r="I23" s="5">
        <v>0.27479999999999999</v>
      </c>
      <c r="J23" s="8">
        <f t="shared" si="0"/>
        <v>0.56999999999999995</v>
      </c>
      <c r="K23" s="8">
        <f t="shared" si="1"/>
        <v>0.54959999999999998</v>
      </c>
    </row>
    <row r="24" spans="1:11" ht="15.75" customHeight="1" x14ac:dyDescent="0.25">
      <c r="A24" s="2">
        <v>0</v>
      </c>
      <c r="B24" s="2">
        <v>1</v>
      </c>
      <c r="C24" s="2" t="s">
        <v>91</v>
      </c>
      <c r="D24" s="1" t="s">
        <v>16</v>
      </c>
      <c r="E24" s="4" t="s">
        <v>17</v>
      </c>
      <c r="F24" s="1" t="s">
        <v>55</v>
      </c>
      <c r="G24" s="1" t="s">
        <v>52</v>
      </c>
      <c r="H24" s="5">
        <v>0.59</v>
      </c>
      <c r="I24" s="5">
        <v>0.49840000000000001</v>
      </c>
      <c r="J24" s="8">
        <f t="shared" si="0"/>
        <v>0.59</v>
      </c>
      <c r="K24" s="8">
        <f t="shared" si="1"/>
        <v>0.49840000000000001</v>
      </c>
    </row>
    <row r="25" spans="1:11" ht="15" customHeight="1" x14ac:dyDescent="0.25">
      <c r="A25" s="2">
        <v>1</v>
      </c>
      <c r="B25" s="2">
        <v>1</v>
      </c>
      <c r="C25" s="2" t="s">
        <v>87</v>
      </c>
      <c r="D25" s="1" t="s">
        <v>18</v>
      </c>
      <c r="E25" s="4" t="s">
        <v>48</v>
      </c>
      <c r="F25" s="1" t="s">
        <v>19</v>
      </c>
      <c r="G25" s="1" t="s">
        <v>52</v>
      </c>
      <c r="H25" s="5">
        <v>0.57999999999999996</v>
      </c>
      <c r="I25" s="5">
        <v>0.54700000000000004</v>
      </c>
      <c r="J25" s="8">
        <f t="shared" si="0"/>
        <v>0.57999999999999996</v>
      </c>
      <c r="K25" s="8">
        <f t="shared" si="1"/>
        <v>0.54700000000000004</v>
      </c>
    </row>
    <row r="26" spans="1:11" ht="15" customHeight="1" x14ac:dyDescent="0.25">
      <c r="A26" s="2">
        <v>0</v>
      </c>
      <c r="B26" s="2">
        <v>1</v>
      </c>
      <c r="C26" s="2" t="s">
        <v>89</v>
      </c>
      <c r="D26" s="1" t="s">
        <v>20</v>
      </c>
      <c r="E26" s="4" t="s">
        <v>103</v>
      </c>
      <c r="F26" s="1" t="s">
        <v>78</v>
      </c>
      <c r="G26" s="1" t="s">
        <v>52</v>
      </c>
      <c r="H26" s="5">
        <v>0.59</v>
      </c>
      <c r="I26" s="5">
        <v>0.495</v>
      </c>
      <c r="J26" s="8">
        <f t="shared" si="0"/>
        <v>0.59</v>
      </c>
      <c r="K26" s="8">
        <f t="shared" si="1"/>
        <v>0.495</v>
      </c>
    </row>
    <row r="27" spans="1:11" x14ac:dyDescent="0.25">
      <c r="A27" s="3">
        <v>0</v>
      </c>
      <c r="B27" s="3">
        <v>1</v>
      </c>
      <c r="C27" s="3" t="s">
        <v>87</v>
      </c>
      <c r="D27" s="1" t="s">
        <v>22</v>
      </c>
      <c r="E27" s="4" t="s">
        <v>45</v>
      </c>
      <c r="F27" s="1" t="s">
        <v>23</v>
      </c>
      <c r="G27" s="1" t="s">
        <v>52</v>
      </c>
      <c r="H27" s="5">
        <v>0.46</v>
      </c>
      <c r="I27" s="5">
        <v>0.437</v>
      </c>
      <c r="J27" s="8">
        <f t="shared" si="0"/>
        <v>0.46</v>
      </c>
      <c r="K27" s="8">
        <f t="shared" si="1"/>
        <v>0.437</v>
      </c>
    </row>
    <row r="28" spans="1:11" x14ac:dyDescent="0.25">
      <c r="A28" s="2">
        <v>0</v>
      </c>
      <c r="B28" s="2">
        <v>1</v>
      </c>
      <c r="C28" s="2" t="s">
        <v>87</v>
      </c>
      <c r="D28" s="1" t="s">
        <v>24</v>
      </c>
      <c r="E28" s="4" t="s">
        <v>54</v>
      </c>
      <c r="F28" s="1" t="s">
        <v>60</v>
      </c>
      <c r="G28" s="1" t="s">
        <v>52</v>
      </c>
      <c r="H28" s="5">
        <v>0.61</v>
      </c>
      <c r="I28" s="5">
        <v>0.56999999999999995</v>
      </c>
      <c r="J28" s="8">
        <f t="shared" si="0"/>
        <v>0.61</v>
      </c>
      <c r="K28" s="8">
        <f t="shared" si="1"/>
        <v>0.56999999999999995</v>
      </c>
    </row>
    <row r="29" spans="1:11" x14ac:dyDescent="0.25">
      <c r="A29" s="3">
        <v>0</v>
      </c>
      <c r="B29" s="3">
        <v>1</v>
      </c>
      <c r="C29" s="3" t="s">
        <v>89</v>
      </c>
      <c r="E29" s="4"/>
      <c r="F29" s="1" t="s">
        <v>96</v>
      </c>
      <c r="G29" s="1" t="s">
        <v>95</v>
      </c>
      <c r="H29" s="5">
        <v>29.35</v>
      </c>
      <c r="I29" s="5">
        <f>29.35/10</f>
        <v>2.9350000000000001</v>
      </c>
      <c r="J29" s="8">
        <f t="shared" si="0"/>
        <v>29.35</v>
      </c>
      <c r="K29" s="8">
        <f t="shared" si="1"/>
        <v>2.9350000000000001</v>
      </c>
    </row>
    <row r="30" spans="1:11" x14ac:dyDescent="0.25">
      <c r="A30" s="3">
        <v>0</v>
      </c>
      <c r="B30" s="3">
        <v>1</v>
      </c>
      <c r="C30" s="3" t="s">
        <v>90</v>
      </c>
      <c r="E30" s="4">
        <v>1570</v>
      </c>
      <c r="F30" s="1" t="s">
        <v>97</v>
      </c>
      <c r="G30" s="1" t="s">
        <v>52</v>
      </c>
      <c r="H30" s="5">
        <v>5.95</v>
      </c>
      <c r="I30" s="5">
        <v>5.95</v>
      </c>
      <c r="J30" s="8">
        <f t="shared" si="0"/>
        <v>5.95</v>
      </c>
      <c r="K30" s="8">
        <f t="shared" si="1"/>
        <v>5.95</v>
      </c>
    </row>
    <row r="31" spans="1:11" x14ac:dyDescent="0.25">
      <c r="A31" s="2"/>
      <c r="B31" s="2"/>
      <c r="C31" s="2"/>
      <c r="J31" s="7">
        <f>SUM(J2:J30)</f>
        <v>70.544000000000011</v>
      </c>
      <c r="K31" s="7">
        <f>SUM(K2:K30)</f>
        <v>37.759799999999998</v>
      </c>
    </row>
    <row r="32" spans="1:11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3"/>
      <c r="B45" s="3"/>
      <c r="C45" s="3"/>
    </row>
    <row r="46" spans="1:3" x14ac:dyDescent="0.25">
      <c r="A46" s="2"/>
      <c r="B46" s="2"/>
      <c r="C46" s="2"/>
    </row>
    <row r="47" spans="1:3" x14ac:dyDescent="0.25">
      <c r="A47" s="3"/>
      <c r="B47" s="3"/>
      <c r="C47" s="3"/>
    </row>
  </sheetData>
  <sortState ref="A2:K30">
    <sortCondition ref="D2:D30"/>
  </sortState>
  <hyperlinks>
    <hyperlink ref="E27" r:id="rId1" display="https://www.digikey.com/scripts/DkSearch/dksus.dll?Detail&amp;itemSeq=255006924&amp;uq=636573277011681174" xr:uid="{00000000-0004-0000-0100-000000000000}"/>
    <hyperlink ref="E10" r:id="rId2" display="https://www.digikey.com/scripts/DkSearch/dksus.dll?Detail&amp;itemSeq=255582543&amp;uq=636573277011711177" xr:uid="{00000000-0004-0000-0100-000001000000}"/>
    <hyperlink ref="E25" r:id="rId3" display="https://www.digikey.com/scripts/DkSearch/dksus.dll?Detail&amp;itemSeq=255006885&amp;uq=636573277011671173" xr:uid="{00000000-0004-0000-0100-000002000000}"/>
    <hyperlink ref="E13" r:id="rId4" display="https://www.digikey.com/product-detail/en/on-semiconductor/MMBT2222LT1G/MMBT2222LT1GOSCT-ND/1139808" xr:uid="{00000000-0004-0000-0100-000003000000}"/>
    <hyperlink ref="E28" r:id="rId5" display="https://www.digikey.com/scripts/DkSearch/dksus.dll?Detail&amp;itemSeq=255577954&amp;uq=636573292806079726" xr:uid="{00000000-0004-0000-0100-000004000000}"/>
    <hyperlink ref="E24" r:id="rId6" display="https://www.digikey.com/scripts/DkSearch/dksus.dll?Detail&amp;itemSeq=255007731&amp;uq=636573292806049726" xr:uid="{00000000-0004-0000-0100-000005000000}"/>
    <hyperlink ref="E22" r:id="rId7" display="https://www.digikey.com/scripts/DkSearch/dksus.dll?Detail&amp;itemSeq=255007807&amp;uq=636573292806059726" xr:uid="{00000000-0004-0000-0100-000006000000}"/>
    <hyperlink ref="E7" r:id="rId8" display="https://www.digikey.com/scripts/DkSearch/dksus.dll?Detail&amp;itemSeq=255007915&amp;uq=636573292806059726" xr:uid="{00000000-0004-0000-0100-000007000000}"/>
    <hyperlink ref="E20" r:id="rId9" display="https://www.digikey.com/scripts/DkSearch/dksus.dll?Detail&amp;itemSeq=255008032&amp;uq=636573292806069726" xr:uid="{00000000-0004-0000-0100-000008000000}"/>
    <hyperlink ref="E18" r:id="rId10" display="https://www.digikey.com/scripts/DkSearch/dksus.dll?Detail&amp;itemSeq=255287263&amp;uq=636573292806069726" xr:uid="{00000000-0004-0000-0100-000009000000}"/>
    <hyperlink ref="E12" r:id="rId11" display="https://www.digikey.com/scripts/DkSearch/dksus.dll?Detail&amp;itemSeq=255683609&amp;uq=636573305216640966" xr:uid="{00000000-0004-0000-0100-00000A000000}"/>
    <hyperlink ref="E19" r:id="rId12" display="https://www.digikey.com/scripts/DkSearch/dksus.dll?Detail&amp;itemSeq=255008508&amp;uq=636573292806069726" xr:uid="{00000000-0004-0000-0100-00000B000000}"/>
    <hyperlink ref="E6" r:id="rId13" display="https://www.digikey.com/scripts/DkSearch/dksus.dll?Detail&amp;itemSeq=255685923&amp;uq=636573315130419726" xr:uid="{00000000-0004-0000-0100-00000C000000}"/>
    <hyperlink ref="E9" r:id="rId14" display="https://www.digikey.com/scripts/DkSearch/dksus.dll?Detail&amp;itemSeq=255686028&amp;uq=636573315948419447" xr:uid="{00000000-0004-0000-0100-00000D000000}"/>
    <hyperlink ref="E8" r:id="rId15" display="https://www.digikey.com/scripts/DkSearch/dksus.dll?Detail&amp;itemSeq=255686232&amp;uq=636573317079069726" xr:uid="{00000000-0004-0000-0100-00000E000000}"/>
    <hyperlink ref="E3" r:id="rId16" display="https://www.digikey.com/scripts/DkSearch/dksus.dll?Detail&amp;itemSeq=255687110&amp;uq=636573319776344879" xr:uid="{00000000-0004-0000-0100-00000F000000}"/>
    <hyperlink ref="E5" r:id="rId17" display="https://www.digikey.com/scripts/DkSearch/dksus.dll?Detail&amp;itemSeq=255687461&amp;uq=636573320529169726" xr:uid="{00000000-0004-0000-0100-000010000000}"/>
    <hyperlink ref="E2" r:id="rId18" display="https://www.digikey.com/scripts/DkSearch/dksus.dll?Detail&amp;itemSeq=255687743&amp;uq=636573321888037133" xr:uid="{00000000-0004-0000-0100-000011000000}"/>
    <hyperlink ref="E4" r:id="rId19" display="https://www.digikey.com/scripts/DkSearch/dksus.dll?Detail&amp;itemSeq=255687905&amp;uq=636573322862249726" xr:uid="{00000000-0004-0000-0100-000012000000}"/>
    <hyperlink ref="E14" r:id="rId20" display="https://www.digikey.com/scripts/DkSearch/dksus.dll?Detail&amp;itemSeq=255688809&amp;uq=636573327832494815" xr:uid="{00000000-0004-0000-0100-000013000000}"/>
    <hyperlink ref="E17" r:id="rId21" display="https://www.digikey.com/scripts/DkSearch/dksus.dll?Detail&amp;itemSeq=255688956&amp;uq=636573328681559713" xr:uid="{00000000-0004-0000-0100-000014000000}"/>
    <hyperlink ref="E15" r:id="rId22" display="https://www.digikey.com/scripts/DkSearch/dksus.dll?Detail&amp;itemSeq=255689053&amp;uq=636573329310919726" xr:uid="{00000000-0004-0000-0100-000015000000}"/>
    <hyperlink ref="E16" r:id="rId23" display="https://www.digikey.com/scripts/DkSearch/dksus.dll?Detail&amp;itemSeq=255689221&amp;uq=636573330063847928" xr:uid="{00000000-0004-0000-0100-000016000000}"/>
    <hyperlink ref="E30" r:id="rId24" display="https://www.digikey.com/scripts/DkSearch/dksus.dll?Detail&amp;itemSeq=255712800&amp;uq=636573577435916489" xr:uid="{00000000-0004-0000-0100-000017000000}"/>
    <hyperlink ref="E23" r:id="rId25" display="https://www.digikey.com/scripts/DkSearch/dksus.dll?Detail&amp;itemSeq=255882403&amp;uq=636583008495157306" xr:uid="{00000000-0004-0000-0100-000018000000}"/>
    <hyperlink ref="E26" r:id="rId26" display="https://www.digikey.com/scripts/DkSearch/dksus.dll?Detail&amp;itemSeq=256670207&amp;uq=636583008495177308" xr:uid="{00000000-0004-0000-0100-000019000000}"/>
  </hyperlinks>
  <pageMargins left="0.7" right="0.7" top="0.75" bottom="0.75" header="0.3" footer="0.3"/>
  <pageSetup orientation="portrait" horizontalDpi="4294967293" verticalDpi="0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3"/>
  <sheetViews>
    <sheetView topLeftCell="A13" zoomScale="70" zoomScaleNormal="70" workbookViewId="0">
      <selection activeCell="L39" sqref="L39"/>
    </sheetView>
  </sheetViews>
  <sheetFormatPr defaultRowHeight="15" x14ac:dyDescent="0.25"/>
  <cols>
    <col min="1" max="1" width="9.75" style="1" customWidth="1"/>
    <col min="2" max="2" width="11.875" style="1" bestFit="1" customWidth="1"/>
    <col min="3" max="3" width="8" style="1" customWidth="1"/>
    <col min="4" max="4" width="17.5" style="1" customWidth="1"/>
    <col min="5" max="5" width="23.375" style="1" bestFit="1" customWidth="1"/>
    <col min="6" max="6" width="22.25" style="1" bestFit="1" customWidth="1"/>
    <col min="7" max="7" width="12.625" style="1" bestFit="1" customWidth="1"/>
    <col min="8" max="9" width="16.25" style="1" customWidth="1"/>
    <col min="10" max="10" width="16.25" style="1" bestFit="1" customWidth="1"/>
    <col min="11" max="11" width="16.25" style="1" customWidth="1"/>
    <col min="12" max="12" width="11.875" style="1" bestFit="1" customWidth="1"/>
    <col min="13" max="13" width="9.875" style="1" bestFit="1" customWidth="1"/>
    <col min="14" max="16384" width="9" style="1"/>
  </cols>
  <sheetData>
    <row r="1" spans="1:12" s="12" customFormat="1" ht="30" x14ac:dyDescent="0.25">
      <c r="A1" s="13" t="s">
        <v>115</v>
      </c>
      <c r="B1" s="13" t="s">
        <v>113</v>
      </c>
      <c r="C1" s="13" t="s">
        <v>92</v>
      </c>
      <c r="D1" s="14" t="s">
        <v>25</v>
      </c>
      <c r="E1" s="14" t="s">
        <v>31</v>
      </c>
      <c r="F1" s="14" t="s">
        <v>50</v>
      </c>
      <c r="G1" s="14" t="s">
        <v>51</v>
      </c>
      <c r="H1" s="15" t="s">
        <v>85</v>
      </c>
      <c r="I1" s="15" t="s">
        <v>84</v>
      </c>
      <c r="J1" s="17" t="s">
        <v>105</v>
      </c>
      <c r="K1" s="24" t="s">
        <v>114</v>
      </c>
      <c r="L1" s="14" t="s">
        <v>116</v>
      </c>
    </row>
    <row r="2" spans="1:12" x14ac:dyDescent="0.25">
      <c r="A2" s="25">
        <v>3</v>
      </c>
      <c r="B2" s="25">
        <v>30</v>
      </c>
      <c r="C2" s="25" t="s">
        <v>88</v>
      </c>
      <c r="D2" s="1" t="s">
        <v>26</v>
      </c>
      <c r="E2" s="4" t="s">
        <v>76</v>
      </c>
      <c r="F2" s="1" t="s">
        <v>40</v>
      </c>
      <c r="G2" s="11" t="s">
        <v>52</v>
      </c>
      <c r="H2" s="16">
        <v>3.2000000000000001E-2</v>
      </c>
      <c r="I2" s="16">
        <v>1.43E-2</v>
      </c>
      <c r="J2" s="18">
        <f t="shared" ref="J2:J29" si="0">H2*$A2</f>
        <v>9.6000000000000002E-2</v>
      </c>
      <c r="K2" s="40">
        <f>0.032*30</f>
        <v>0.96</v>
      </c>
      <c r="L2" s="8">
        <f>K2/10</f>
        <v>9.6000000000000002E-2</v>
      </c>
    </row>
    <row r="3" spans="1:12" x14ac:dyDescent="0.25">
      <c r="A3" s="25">
        <v>1</v>
      </c>
      <c r="B3" s="25">
        <v>10</v>
      </c>
      <c r="C3" s="25" t="s">
        <v>87</v>
      </c>
      <c r="D3" s="1" t="s">
        <v>0</v>
      </c>
      <c r="E3" s="4" t="s">
        <v>74</v>
      </c>
      <c r="F3" s="1" t="s">
        <v>35</v>
      </c>
      <c r="G3" s="11" t="s">
        <v>52</v>
      </c>
      <c r="H3" s="16">
        <v>0.1</v>
      </c>
      <c r="I3" s="16">
        <v>2.9000000000000001E-2</v>
      </c>
      <c r="J3" s="18">
        <f t="shared" si="0"/>
        <v>0.1</v>
      </c>
      <c r="K3" s="29">
        <f>0.029*10</f>
        <v>0.29000000000000004</v>
      </c>
      <c r="L3" s="8">
        <f t="shared" ref="L3:L33" si="1">K3/10</f>
        <v>2.9000000000000005E-2</v>
      </c>
    </row>
    <row r="4" spans="1:12" x14ac:dyDescent="0.25">
      <c r="A4" s="25">
        <v>2</v>
      </c>
      <c r="B4" s="25">
        <v>20</v>
      </c>
      <c r="C4" s="25" t="s">
        <v>88</v>
      </c>
      <c r="D4" s="1" t="s">
        <v>28</v>
      </c>
      <c r="E4" s="4" t="s">
        <v>77</v>
      </c>
      <c r="F4" s="1" t="s">
        <v>42</v>
      </c>
      <c r="G4" s="11" t="s">
        <v>52</v>
      </c>
      <c r="H4" s="16">
        <v>3.2000000000000001E-2</v>
      </c>
      <c r="I4" s="16">
        <v>1.43E-2</v>
      </c>
      <c r="J4" s="18">
        <f t="shared" si="0"/>
        <v>6.4000000000000001E-2</v>
      </c>
      <c r="K4" s="40">
        <f>0.032*20</f>
        <v>0.64</v>
      </c>
      <c r="L4" s="8">
        <f t="shared" si="1"/>
        <v>6.4000000000000001E-2</v>
      </c>
    </row>
    <row r="5" spans="1:12" ht="15" customHeight="1" x14ac:dyDescent="0.25">
      <c r="A5" s="25">
        <v>5</v>
      </c>
      <c r="B5" s="25">
        <v>50</v>
      </c>
      <c r="C5" s="26" t="s">
        <v>88</v>
      </c>
      <c r="D5" s="12" t="s">
        <v>33</v>
      </c>
      <c r="E5" s="20" t="s">
        <v>75</v>
      </c>
      <c r="F5" s="12" t="s">
        <v>38</v>
      </c>
      <c r="G5" s="21" t="s">
        <v>52</v>
      </c>
      <c r="H5" s="22">
        <v>7.0000000000000007E-2</v>
      </c>
      <c r="I5" s="22">
        <v>3.1300000000000001E-2</v>
      </c>
      <c r="J5" s="23">
        <f t="shared" si="0"/>
        <v>0.35000000000000003</v>
      </c>
      <c r="K5" s="41">
        <f>0.07*50</f>
        <v>3.5000000000000004</v>
      </c>
      <c r="L5" s="8">
        <f t="shared" si="1"/>
        <v>0.35000000000000003</v>
      </c>
    </row>
    <row r="6" spans="1:12" ht="13.5" customHeight="1" x14ac:dyDescent="0.25">
      <c r="A6" s="25">
        <v>1</v>
      </c>
      <c r="B6" s="25">
        <v>10</v>
      </c>
      <c r="C6" s="25" t="s">
        <v>87</v>
      </c>
      <c r="D6" s="1" t="s">
        <v>1</v>
      </c>
      <c r="E6" s="4" t="s">
        <v>71</v>
      </c>
      <c r="F6" s="1" t="s">
        <v>66</v>
      </c>
      <c r="G6" s="11" t="s">
        <v>52</v>
      </c>
      <c r="H6" s="16">
        <v>0.44</v>
      </c>
      <c r="I6" s="16">
        <v>0.317</v>
      </c>
      <c r="J6" s="18">
        <f t="shared" si="0"/>
        <v>0.44</v>
      </c>
      <c r="K6" s="29">
        <f>0.317*10</f>
        <v>3.17</v>
      </c>
      <c r="L6" s="8">
        <f t="shared" si="1"/>
        <v>0.317</v>
      </c>
    </row>
    <row r="7" spans="1:12" ht="16.5" customHeight="1" x14ac:dyDescent="0.25">
      <c r="A7" s="25">
        <v>1</v>
      </c>
      <c r="B7" s="25">
        <v>10</v>
      </c>
      <c r="C7" s="25" t="s">
        <v>87</v>
      </c>
      <c r="D7" s="1" t="s">
        <v>2</v>
      </c>
      <c r="E7" s="4" t="s">
        <v>58</v>
      </c>
      <c r="F7" s="1" t="s">
        <v>59</v>
      </c>
      <c r="G7" s="11" t="s">
        <v>52</v>
      </c>
      <c r="H7" s="16">
        <v>0.43</v>
      </c>
      <c r="I7" s="16">
        <v>0.32100000000000001</v>
      </c>
      <c r="J7" s="18">
        <f t="shared" si="0"/>
        <v>0.43</v>
      </c>
      <c r="K7" s="29">
        <f>0.321*10</f>
        <v>3.21</v>
      </c>
      <c r="L7" s="8">
        <f t="shared" si="1"/>
        <v>0.32100000000000001</v>
      </c>
    </row>
    <row r="8" spans="1:12" ht="16.5" customHeight="1" x14ac:dyDescent="0.25">
      <c r="A8" s="25">
        <v>2</v>
      </c>
      <c r="B8" s="25">
        <v>25</v>
      </c>
      <c r="C8" s="25" t="s">
        <v>93</v>
      </c>
      <c r="D8" s="1" t="s">
        <v>29</v>
      </c>
      <c r="E8" s="4" t="s">
        <v>73</v>
      </c>
      <c r="F8" s="1" t="s">
        <v>65</v>
      </c>
      <c r="G8" s="11" t="s">
        <v>52</v>
      </c>
      <c r="H8" s="16">
        <v>0.317</v>
      </c>
      <c r="I8" s="16">
        <v>0.24279999999999999</v>
      </c>
      <c r="J8" s="18">
        <f t="shared" si="0"/>
        <v>0.63400000000000001</v>
      </c>
      <c r="K8" s="40">
        <f>0.2428*25</f>
        <v>6.0699999999999994</v>
      </c>
      <c r="L8" s="8">
        <f t="shared" si="1"/>
        <v>0.60699999999999998</v>
      </c>
    </row>
    <row r="9" spans="1:12" ht="16.5" customHeight="1" x14ac:dyDescent="0.25">
      <c r="A9" s="25">
        <v>1</v>
      </c>
      <c r="B9" s="25">
        <v>10</v>
      </c>
      <c r="C9" s="25" t="s">
        <v>87</v>
      </c>
      <c r="D9" s="1" t="s">
        <v>3</v>
      </c>
      <c r="E9" s="4" t="s">
        <v>72</v>
      </c>
      <c r="F9" s="1" t="s">
        <v>64</v>
      </c>
      <c r="G9" s="11" t="s">
        <v>52</v>
      </c>
      <c r="H9" s="16">
        <v>0.5</v>
      </c>
      <c r="I9" s="16">
        <v>0.35599999999999998</v>
      </c>
      <c r="J9" s="18">
        <f t="shared" si="0"/>
        <v>0.5</v>
      </c>
      <c r="K9" s="29">
        <f>0.356*10</f>
        <v>3.5599999999999996</v>
      </c>
      <c r="L9" s="8">
        <f t="shared" si="1"/>
        <v>0.35599999999999998</v>
      </c>
    </row>
    <row r="10" spans="1:12" ht="15" customHeight="1" x14ac:dyDescent="0.25">
      <c r="A10" s="25">
        <v>1</v>
      </c>
      <c r="B10" s="25">
        <v>10</v>
      </c>
      <c r="C10" s="25" t="s">
        <v>87</v>
      </c>
      <c r="D10" s="1" t="s">
        <v>4</v>
      </c>
      <c r="E10" s="4" t="s">
        <v>46</v>
      </c>
      <c r="F10" s="1" t="s">
        <v>47</v>
      </c>
      <c r="G10" s="11" t="s">
        <v>52</v>
      </c>
      <c r="H10" s="16">
        <v>3.6</v>
      </c>
      <c r="I10" s="16">
        <v>3.2370000000000001</v>
      </c>
      <c r="J10" s="18">
        <f t="shared" si="0"/>
        <v>3.6</v>
      </c>
      <c r="K10" s="29">
        <f>3.237*10</f>
        <v>32.370000000000005</v>
      </c>
      <c r="L10" s="8">
        <f t="shared" si="1"/>
        <v>3.2370000000000005</v>
      </c>
    </row>
    <row r="11" spans="1:12" ht="14.25" customHeight="1" x14ac:dyDescent="0.25">
      <c r="A11" s="25">
        <v>1</v>
      </c>
      <c r="B11" s="25">
        <v>10</v>
      </c>
      <c r="C11" s="25" t="s">
        <v>90</v>
      </c>
      <c r="D11" s="1" t="s">
        <v>5</v>
      </c>
      <c r="E11" s="1" t="s">
        <v>67</v>
      </c>
      <c r="F11" s="1" t="s">
        <v>68</v>
      </c>
      <c r="G11" s="9" t="s">
        <v>53</v>
      </c>
      <c r="H11" s="16">
        <v>7.43</v>
      </c>
      <c r="I11" s="16">
        <v>7.43</v>
      </c>
      <c r="J11" s="18">
        <f t="shared" si="0"/>
        <v>7.43</v>
      </c>
      <c r="K11" s="29">
        <f>7.43*10</f>
        <v>74.3</v>
      </c>
      <c r="L11" s="8">
        <f t="shared" si="1"/>
        <v>7.43</v>
      </c>
    </row>
    <row r="12" spans="1:12" ht="15" customHeight="1" x14ac:dyDescent="0.25">
      <c r="A12" s="25">
        <v>1</v>
      </c>
      <c r="B12" s="25">
        <v>10</v>
      </c>
      <c r="C12" s="25" t="s">
        <v>87</v>
      </c>
      <c r="D12" s="1" t="s">
        <v>6</v>
      </c>
      <c r="E12" s="4" t="s">
        <v>7</v>
      </c>
      <c r="F12" s="1" t="s">
        <v>7</v>
      </c>
      <c r="G12" s="11" t="s">
        <v>52</v>
      </c>
      <c r="H12" s="16">
        <v>2.27</v>
      </c>
      <c r="I12" s="16">
        <v>2.0630000000000002</v>
      </c>
      <c r="J12" s="18">
        <f t="shared" si="0"/>
        <v>2.27</v>
      </c>
      <c r="K12" s="29">
        <f>2.063*10</f>
        <v>20.630000000000003</v>
      </c>
      <c r="L12" s="8">
        <f t="shared" si="1"/>
        <v>2.0630000000000002</v>
      </c>
    </row>
    <row r="13" spans="1:12" ht="17.25" customHeight="1" x14ac:dyDescent="0.25">
      <c r="A13" s="25">
        <v>1</v>
      </c>
      <c r="B13" s="25">
        <v>10</v>
      </c>
      <c r="C13" s="25" t="s">
        <v>87</v>
      </c>
      <c r="D13" s="1" t="s">
        <v>8</v>
      </c>
      <c r="E13" s="4" t="s">
        <v>49</v>
      </c>
      <c r="F13" s="1" t="s">
        <v>43</v>
      </c>
      <c r="G13" s="11" t="s">
        <v>52</v>
      </c>
      <c r="H13" s="16">
        <v>0.13</v>
      </c>
      <c r="I13" s="16">
        <v>0.115</v>
      </c>
      <c r="J13" s="18">
        <f t="shared" si="0"/>
        <v>0.13</v>
      </c>
      <c r="K13" s="29">
        <f>0.115*10</f>
        <v>1.1500000000000001</v>
      </c>
      <c r="L13" s="8">
        <f t="shared" si="1"/>
        <v>0.11500000000000002</v>
      </c>
    </row>
    <row r="14" spans="1:12" x14ac:dyDescent="0.25">
      <c r="A14" s="25">
        <v>3</v>
      </c>
      <c r="B14" s="25">
        <v>30</v>
      </c>
      <c r="C14" s="25" t="s">
        <v>88</v>
      </c>
      <c r="D14" s="1" t="s">
        <v>34</v>
      </c>
      <c r="E14" s="4" t="s">
        <v>79</v>
      </c>
      <c r="F14" s="1" t="s">
        <v>36</v>
      </c>
      <c r="G14" s="11" t="s">
        <v>52</v>
      </c>
      <c r="H14" s="16">
        <v>1.0999999999999999E-2</v>
      </c>
      <c r="I14" s="16">
        <v>4.5999999999999999E-3</v>
      </c>
      <c r="J14" s="18">
        <f t="shared" si="0"/>
        <v>3.3000000000000002E-2</v>
      </c>
      <c r="K14" s="40">
        <f>0.011*30</f>
        <v>0.32999999999999996</v>
      </c>
      <c r="L14" s="8">
        <f t="shared" si="1"/>
        <v>3.2999999999999995E-2</v>
      </c>
    </row>
    <row r="15" spans="1:12" x14ac:dyDescent="0.25">
      <c r="A15" s="25">
        <v>4</v>
      </c>
      <c r="B15" s="25">
        <v>40</v>
      </c>
      <c r="C15" s="25" t="s">
        <v>88</v>
      </c>
      <c r="D15" s="1" t="s">
        <v>104</v>
      </c>
      <c r="E15" s="4" t="s">
        <v>81</v>
      </c>
      <c r="F15" s="1" t="s">
        <v>39</v>
      </c>
      <c r="G15" s="11" t="s">
        <v>52</v>
      </c>
      <c r="H15" s="16">
        <v>1.0999999999999999E-2</v>
      </c>
      <c r="I15" s="16">
        <v>4.5999999999999999E-3</v>
      </c>
      <c r="J15" s="18">
        <f t="shared" si="0"/>
        <v>4.3999999999999997E-2</v>
      </c>
      <c r="K15" s="40">
        <f>0.011*40</f>
        <v>0.43999999999999995</v>
      </c>
      <c r="L15" s="8">
        <f t="shared" si="1"/>
        <v>4.3999999999999997E-2</v>
      </c>
    </row>
    <row r="16" spans="1:12" ht="15" customHeight="1" x14ac:dyDescent="0.25">
      <c r="A16" s="25">
        <v>3</v>
      </c>
      <c r="B16" s="25">
        <v>30</v>
      </c>
      <c r="C16" s="25" t="s">
        <v>88</v>
      </c>
      <c r="D16" s="1" t="s">
        <v>27</v>
      </c>
      <c r="E16" s="4" t="s">
        <v>82</v>
      </c>
      <c r="F16" s="1" t="s">
        <v>41</v>
      </c>
      <c r="G16" s="11" t="s">
        <v>52</v>
      </c>
      <c r="H16" s="16">
        <v>1.0999999999999999E-2</v>
      </c>
      <c r="I16" s="16">
        <v>4.5999999999999999E-3</v>
      </c>
      <c r="J16" s="18">
        <f t="shared" si="0"/>
        <v>3.3000000000000002E-2</v>
      </c>
      <c r="K16" s="40">
        <f>0.011*30</f>
        <v>0.32999999999999996</v>
      </c>
      <c r="L16" s="8">
        <f t="shared" si="1"/>
        <v>3.2999999999999995E-2</v>
      </c>
    </row>
    <row r="17" spans="1:12" ht="16.5" customHeight="1" x14ac:dyDescent="0.25">
      <c r="A17" s="25">
        <v>1</v>
      </c>
      <c r="B17" s="25">
        <v>10</v>
      </c>
      <c r="C17" s="25" t="s">
        <v>87</v>
      </c>
      <c r="D17" s="1" t="s">
        <v>9</v>
      </c>
      <c r="E17" s="4" t="s">
        <v>80</v>
      </c>
      <c r="F17" s="1" t="s">
        <v>37</v>
      </c>
      <c r="G17" s="11" t="s">
        <v>52</v>
      </c>
      <c r="H17" s="16">
        <v>0.1</v>
      </c>
      <c r="I17" s="16">
        <v>1.0999999999999999E-2</v>
      </c>
      <c r="J17" s="18">
        <f t="shared" si="0"/>
        <v>0.1</v>
      </c>
      <c r="K17" s="29">
        <f>0.011*10</f>
        <v>0.10999999999999999</v>
      </c>
      <c r="L17" s="8">
        <f t="shared" si="1"/>
        <v>1.0999999999999999E-2</v>
      </c>
    </row>
    <row r="18" spans="1:12" x14ac:dyDescent="0.25">
      <c r="A18" s="25">
        <v>1</v>
      </c>
      <c r="B18" s="25">
        <v>10</v>
      </c>
      <c r="C18" s="25" t="s">
        <v>87</v>
      </c>
      <c r="D18" s="1" t="s">
        <v>100</v>
      </c>
      <c r="E18" s="4" t="s">
        <v>121</v>
      </c>
      <c r="F18" s="1" t="s">
        <v>62</v>
      </c>
      <c r="G18" s="11" t="s">
        <v>52</v>
      </c>
      <c r="H18" s="16">
        <v>0.91</v>
      </c>
      <c r="I18" s="16">
        <v>0.87</v>
      </c>
      <c r="J18" s="18">
        <f t="shared" si="0"/>
        <v>0.91</v>
      </c>
      <c r="K18" s="29">
        <f>0.87*10</f>
        <v>8.6999999999999993</v>
      </c>
      <c r="L18" s="8">
        <f t="shared" si="1"/>
        <v>0.86999999999999988</v>
      </c>
    </row>
    <row r="19" spans="1:12" ht="17.25" customHeight="1" x14ac:dyDescent="0.25">
      <c r="A19" s="25">
        <v>1</v>
      </c>
      <c r="B19" s="25">
        <v>10</v>
      </c>
      <c r="C19" s="25" t="s">
        <v>87</v>
      </c>
      <c r="D19" s="1" t="s">
        <v>98</v>
      </c>
      <c r="E19" s="4" t="s">
        <v>69</v>
      </c>
      <c r="F19" s="1" t="s">
        <v>70</v>
      </c>
      <c r="G19" s="11" t="s">
        <v>52</v>
      </c>
      <c r="H19" s="16">
        <v>0.52</v>
      </c>
      <c r="I19" s="16">
        <v>0.499</v>
      </c>
      <c r="J19" s="18">
        <f t="shared" si="0"/>
        <v>0.52</v>
      </c>
      <c r="K19" s="29">
        <f>0.499*10</f>
        <v>4.99</v>
      </c>
      <c r="L19" s="8">
        <f t="shared" si="1"/>
        <v>0.499</v>
      </c>
    </row>
    <row r="20" spans="1:12" x14ac:dyDescent="0.25">
      <c r="A20" s="25">
        <v>1</v>
      </c>
      <c r="B20" s="25">
        <v>10</v>
      </c>
      <c r="C20" s="25" t="s">
        <v>91</v>
      </c>
      <c r="D20" s="1" t="s">
        <v>12</v>
      </c>
      <c r="E20" s="4" t="s">
        <v>61</v>
      </c>
      <c r="F20" s="1" t="s">
        <v>13</v>
      </c>
      <c r="G20" s="11" t="s">
        <v>52</v>
      </c>
      <c r="H20" s="16">
        <v>3.18</v>
      </c>
      <c r="I20" s="16">
        <v>2.8832</v>
      </c>
      <c r="J20" s="18">
        <f t="shared" si="0"/>
        <v>3.18</v>
      </c>
      <c r="K20" s="40">
        <f>3.18*10</f>
        <v>31.8</v>
      </c>
      <c r="L20" s="8">
        <f t="shared" si="1"/>
        <v>3.18</v>
      </c>
    </row>
    <row r="21" spans="1:12" ht="15.75" customHeight="1" x14ac:dyDescent="0.25">
      <c r="A21" s="25">
        <v>1</v>
      </c>
      <c r="B21" s="25">
        <v>10</v>
      </c>
      <c r="C21" s="25" t="s">
        <v>87</v>
      </c>
      <c r="D21" s="1" t="s">
        <v>14</v>
      </c>
      <c r="E21" s="1" t="s">
        <v>86</v>
      </c>
      <c r="F21" s="1" t="s">
        <v>63</v>
      </c>
      <c r="G21" s="9" t="s">
        <v>53</v>
      </c>
      <c r="H21" s="16">
        <v>10.5</v>
      </c>
      <c r="I21" s="16">
        <v>6.5250000000000004</v>
      </c>
      <c r="J21" s="18">
        <f t="shared" si="0"/>
        <v>10.5</v>
      </c>
      <c r="K21" s="29">
        <f>6.525*10</f>
        <v>65.25</v>
      </c>
      <c r="L21" s="8">
        <f t="shared" si="1"/>
        <v>6.5250000000000004</v>
      </c>
    </row>
    <row r="22" spans="1:12" x14ac:dyDescent="0.25">
      <c r="A22" s="25">
        <v>1</v>
      </c>
      <c r="B22" s="25">
        <v>10</v>
      </c>
      <c r="C22" s="25" t="s">
        <v>87</v>
      </c>
      <c r="D22" s="1" t="s">
        <v>15</v>
      </c>
      <c r="E22" s="4" t="s">
        <v>56</v>
      </c>
      <c r="F22" s="1" t="s">
        <v>57</v>
      </c>
      <c r="G22" s="11" t="s">
        <v>52</v>
      </c>
      <c r="H22" s="16">
        <v>0.48</v>
      </c>
      <c r="I22" s="16">
        <v>0.36199999999999999</v>
      </c>
      <c r="J22" s="18">
        <f t="shared" si="0"/>
        <v>0.48</v>
      </c>
      <c r="K22" s="29">
        <f>0.362*10</f>
        <v>3.62</v>
      </c>
      <c r="L22" s="8">
        <f t="shared" si="1"/>
        <v>0.36199999999999999</v>
      </c>
    </row>
    <row r="23" spans="1:12" x14ac:dyDescent="0.25">
      <c r="A23" s="25">
        <v>2</v>
      </c>
      <c r="B23" s="25">
        <v>25</v>
      </c>
      <c r="C23" s="25" t="s">
        <v>93</v>
      </c>
      <c r="D23" s="1" t="s">
        <v>101</v>
      </c>
      <c r="E23" s="4" t="s">
        <v>99</v>
      </c>
      <c r="F23" s="1" t="s">
        <v>102</v>
      </c>
      <c r="G23" s="11" t="s">
        <v>52</v>
      </c>
      <c r="H23" s="16">
        <v>0.28499999999999998</v>
      </c>
      <c r="I23" s="16">
        <v>0.27479999999999999</v>
      </c>
      <c r="J23" s="18">
        <f t="shared" si="0"/>
        <v>0.56999999999999995</v>
      </c>
      <c r="K23" s="40">
        <f>0.2748*25</f>
        <v>6.87</v>
      </c>
      <c r="L23" s="8">
        <f t="shared" si="1"/>
        <v>0.68700000000000006</v>
      </c>
    </row>
    <row r="24" spans="1:12" ht="15.75" customHeight="1" x14ac:dyDescent="0.25">
      <c r="A24" s="25">
        <v>1</v>
      </c>
      <c r="B24" s="25">
        <v>10</v>
      </c>
      <c r="C24" s="25" t="s">
        <v>91</v>
      </c>
      <c r="D24" s="1" t="s">
        <v>16</v>
      </c>
      <c r="E24" s="4" t="s">
        <v>17</v>
      </c>
      <c r="F24" s="1" t="s">
        <v>55</v>
      </c>
      <c r="G24" s="11" t="s">
        <v>52</v>
      </c>
      <c r="H24" s="16">
        <v>0.59</v>
      </c>
      <c r="I24" s="16">
        <v>0.49840000000000001</v>
      </c>
      <c r="J24" s="18">
        <f t="shared" si="0"/>
        <v>0.59</v>
      </c>
      <c r="K24" s="40">
        <f>0.59*10</f>
        <v>5.8999999999999995</v>
      </c>
      <c r="L24" s="8">
        <f t="shared" si="1"/>
        <v>0.59</v>
      </c>
    </row>
    <row r="25" spans="1:12" ht="15" customHeight="1" x14ac:dyDescent="0.25">
      <c r="A25" s="25">
        <v>1</v>
      </c>
      <c r="B25" s="25">
        <v>10</v>
      </c>
      <c r="C25" s="25" t="s">
        <v>87</v>
      </c>
      <c r="D25" s="1" t="s">
        <v>18</v>
      </c>
      <c r="E25" s="4" t="s">
        <v>48</v>
      </c>
      <c r="F25" s="1" t="s">
        <v>19</v>
      </c>
      <c r="G25" s="11" t="s">
        <v>52</v>
      </c>
      <c r="H25" s="16">
        <v>0.57999999999999996</v>
      </c>
      <c r="I25" s="16">
        <v>0.54700000000000004</v>
      </c>
      <c r="J25" s="18">
        <f t="shared" si="0"/>
        <v>0.57999999999999996</v>
      </c>
      <c r="K25" s="29">
        <f>0.547*10</f>
        <v>5.4700000000000006</v>
      </c>
      <c r="L25" s="8">
        <f t="shared" si="1"/>
        <v>0.54700000000000004</v>
      </c>
    </row>
    <row r="26" spans="1:12" ht="15" customHeight="1" x14ac:dyDescent="0.25">
      <c r="A26" s="25">
        <v>1</v>
      </c>
      <c r="B26" s="25">
        <v>10</v>
      </c>
      <c r="C26" s="25" t="s">
        <v>87</v>
      </c>
      <c r="D26" s="1" t="s">
        <v>20</v>
      </c>
      <c r="E26" s="4" t="s">
        <v>103</v>
      </c>
      <c r="F26" s="1" t="s">
        <v>78</v>
      </c>
      <c r="G26" s="11" t="s">
        <v>52</v>
      </c>
      <c r="H26" s="16">
        <v>0.59</v>
      </c>
      <c r="I26" s="16">
        <v>0.495</v>
      </c>
      <c r="J26" s="18">
        <f t="shared" si="0"/>
        <v>0.59</v>
      </c>
      <c r="K26" s="29">
        <f>0.495*10</f>
        <v>4.95</v>
      </c>
      <c r="L26" s="8">
        <f t="shared" si="1"/>
        <v>0.495</v>
      </c>
    </row>
    <row r="27" spans="1:12" x14ac:dyDescent="0.25">
      <c r="A27" s="27">
        <v>1</v>
      </c>
      <c r="B27" s="27">
        <v>10</v>
      </c>
      <c r="C27" s="27" t="s">
        <v>87</v>
      </c>
      <c r="D27" s="1" t="s">
        <v>22</v>
      </c>
      <c r="E27" s="4" t="s">
        <v>122</v>
      </c>
      <c r="F27" s="1" t="s">
        <v>23</v>
      </c>
      <c r="G27" s="11" t="s">
        <v>52</v>
      </c>
      <c r="H27" s="16">
        <v>0.42</v>
      </c>
      <c r="I27" s="16">
        <v>0.39300000000000002</v>
      </c>
      <c r="J27" s="18">
        <f t="shared" si="0"/>
        <v>0.42</v>
      </c>
      <c r="K27" s="29">
        <f>0.393*10</f>
        <v>3.93</v>
      </c>
      <c r="L27" s="8">
        <f t="shared" si="1"/>
        <v>0.39300000000000002</v>
      </c>
    </row>
    <row r="28" spans="1:12" x14ac:dyDescent="0.25">
      <c r="A28" s="27">
        <v>1</v>
      </c>
      <c r="B28" s="27">
        <v>10</v>
      </c>
      <c r="C28" s="27" t="s">
        <v>89</v>
      </c>
      <c r="E28" s="4"/>
      <c r="F28" s="1" t="s">
        <v>96</v>
      </c>
      <c r="G28" s="10" t="s">
        <v>95</v>
      </c>
      <c r="H28" s="16">
        <v>29.35</v>
      </c>
      <c r="I28" s="16">
        <f>29.35/10</f>
        <v>2.9350000000000001</v>
      </c>
      <c r="J28" s="18">
        <f t="shared" si="0"/>
        <v>29.35</v>
      </c>
      <c r="K28" s="29">
        <f>29.35</f>
        <v>29.35</v>
      </c>
      <c r="L28" s="8">
        <f t="shared" si="1"/>
        <v>2.9350000000000001</v>
      </c>
    </row>
    <row r="29" spans="1:12" x14ac:dyDescent="0.25">
      <c r="A29" s="27">
        <v>1</v>
      </c>
      <c r="B29" s="27">
        <v>10</v>
      </c>
      <c r="C29" s="27" t="s">
        <v>90</v>
      </c>
      <c r="E29" s="4">
        <v>1570</v>
      </c>
      <c r="F29" s="1" t="s">
        <v>97</v>
      </c>
      <c r="G29" s="11" t="s">
        <v>52</v>
      </c>
      <c r="H29" s="16">
        <v>5.95</v>
      </c>
      <c r="I29" s="16">
        <v>5.95</v>
      </c>
      <c r="J29" s="18">
        <f t="shared" si="0"/>
        <v>5.95</v>
      </c>
      <c r="K29" s="29">
        <f>5.95*10</f>
        <v>59.5</v>
      </c>
      <c r="L29" s="8">
        <f t="shared" si="1"/>
        <v>5.95</v>
      </c>
    </row>
    <row r="30" spans="1:12" x14ac:dyDescent="0.25">
      <c r="A30" s="27">
        <v>1</v>
      </c>
      <c r="B30" s="27">
        <v>5</v>
      </c>
      <c r="C30" s="27"/>
      <c r="E30" s="4"/>
      <c r="F30" s="1" t="s">
        <v>110</v>
      </c>
      <c r="G30" s="9" t="s">
        <v>53</v>
      </c>
      <c r="H30" s="5"/>
      <c r="I30" s="5"/>
      <c r="J30" s="18"/>
      <c r="K30" s="29">
        <f>(4.67/2)*10</f>
        <v>23.35</v>
      </c>
      <c r="L30" s="8">
        <f t="shared" si="1"/>
        <v>2.335</v>
      </c>
    </row>
    <row r="31" spans="1:12" x14ac:dyDescent="0.25">
      <c r="A31" s="27">
        <v>1</v>
      </c>
      <c r="B31" s="27">
        <v>5</v>
      </c>
      <c r="C31" s="28"/>
      <c r="E31" s="4"/>
      <c r="F31" s="1" t="s">
        <v>111</v>
      </c>
      <c r="G31" s="9" t="s">
        <v>53</v>
      </c>
      <c r="H31" s="5"/>
      <c r="I31" s="5"/>
      <c r="J31" s="18"/>
      <c r="K31" s="29">
        <f>(2.85/2)*10</f>
        <v>14.25</v>
      </c>
      <c r="L31" s="8">
        <f t="shared" si="1"/>
        <v>1.425</v>
      </c>
    </row>
    <row r="32" spans="1:12" x14ac:dyDescent="0.25">
      <c r="A32" s="27">
        <v>1</v>
      </c>
      <c r="B32" s="27">
        <v>2</v>
      </c>
      <c r="C32" s="27"/>
      <c r="E32" s="4"/>
      <c r="F32" s="1" t="s">
        <v>107</v>
      </c>
      <c r="G32" s="9" t="s">
        <v>53</v>
      </c>
      <c r="H32" s="5"/>
      <c r="I32" s="5"/>
      <c r="J32" s="18"/>
      <c r="K32" s="29">
        <f>5.6*2</f>
        <v>11.2</v>
      </c>
      <c r="L32" s="8">
        <f t="shared" si="1"/>
        <v>1.1199999999999999</v>
      </c>
    </row>
    <row r="33" spans="1:13" x14ac:dyDescent="0.25">
      <c r="A33" s="27"/>
      <c r="B33" s="27">
        <v>10</v>
      </c>
      <c r="C33" s="27" t="s">
        <v>90</v>
      </c>
      <c r="E33" s="4"/>
      <c r="F33" s="1" t="s">
        <v>123</v>
      </c>
      <c r="G33" s="9" t="s">
        <v>53</v>
      </c>
      <c r="H33" s="5"/>
      <c r="I33" s="5"/>
      <c r="J33" s="18"/>
      <c r="K33" s="29">
        <f>0.91*10</f>
        <v>9.1</v>
      </c>
      <c r="L33" s="8">
        <f t="shared" si="1"/>
        <v>0.90999999999999992</v>
      </c>
    </row>
    <row r="34" spans="1:13" x14ac:dyDescent="0.25">
      <c r="A34" s="3"/>
      <c r="B34" s="3"/>
      <c r="C34" s="3"/>
      <c r="E34" s="4"/>
      <c r="F34" s="1" t="s">
        <v>106</v>
      </c>
      <c r="G34" s="11" t="s">
        <v>52</v>
      </c>
      <c r="H34" s="5"/>
      <c r="I34" s="5"/>
      <c r="J34" s="18"/>
      <c r="K34" s="29">
        <v>8.99</v>
      </c>
      <c r="L34" s="8">
        <f>K34/10</f>
        <v>0.89900000000000002</v>
      </c>
    </row>
    <row r="35" spans="1:13" x14ac:dyDescent="0.25">
      <c r="A35" s="3"/>
      <c r="B35" s="3"/>
      <c r="C35" s="3"/>
      <c r="E35" s="4"/>
      <c r="F35" s="1" t="s">
        <v>124</v>
      </c>
      <c r="G35" s="11" t="s">
        <v>52</v>
      </c>
      <c r="H35" s="5"/>
      <c r="I35" s="5"/>
      <c r="J35" s="18"/>
      <c r="K35" s="29">
        <v>2.59</v>
      </c>
      <c r="L35" s="8">
        <f>K35/10</f>
        <v>0.25900000000000001</v>
      </c>
    </row>
    <row r="36" spans="1:13" x14ac:dyDescent="0.25">
      <c r="A36" s="2"/>
      <c r="B36" s="2"/>
      <c r="C36" s="2"/>
    </row>
    <row r="37" spans="1:13" x14ac:dyDescent="0.25">
      <c r="A37" s="2"/>
      <c r="B37" s="2"/>
      <c r="C37" s="2"/>
      <c r="J37" s="19">
        <f>SUM(J2:J34)</f>
        <v>69.894000000000005</v>
      </c>
      <c r="K37" s="30" t="s">
        <v>119</v>
      </c>
      <c r="L37" s="31">
        <f>SUM(L2:L36)</f>
        <v>45.086999999999996</v>
      </c>
    </row>
    <row r="38" spans="1:13" x14ac:dyDescent="0.25">
      <c r="A38" s="2"/>
      <c r="B38" s="2"/>
      <c r="C38" s="2"/>
      <c r="K38" s="32" t="s">
        <v>108</v>
      </c>
      <c r="L38" s="33">
        <v>99</v>
      </c>
    </row>
    <row r="39" spans="1:13" x14ac:dyDescent="0.25">
      <c r="A39" s="2"/>
      <c r="B39" s="2"/>
      <c r="C39" s="2"/>
      <c r="K39" s="32" t="s">
        <v>120</v>
      </c>
      <c r="L39" s="33">
        <f>0.135*L38</f>
        <v>13.365</v>
      </c>
    </row>
    <row r="40" spans="1:13" x14ac:dyDescent="0.25">
      <c r="A40" s="2"/>
      <c r="B40" s="2"/>
      <c r="C40" s="2"/>
      <c r="K40" s="34" t="s">
        <v>109</v>
      </c>
      <c r="L40" s="37">
        <f>L38-L37-L39</f>
        <v>40.548000000000002</v>
      </c>
    </row>
    <row r="41" spans="1:13" x14ac:dyDescent="0.25">
      <c r="A41" s="2"/>
      <c r="B41" s="2"/>
      <c r="C41" s="2"/>
      <c r="K41" s="38" t="s">
        <v>112</v>
      </c>
      <c r="L41" s="39">
        <f>SUM(K2:K34)</f>
        <v>448.28000000000014</v>
      </c>
      <c r="M41" s="8"/>
    </row>
    <row r="42" spans="1:13" x14ac:dyDescent="0.25">
      <c r="A42" s="2"/>
      <c r="B42" s="2"/>
      <c r="C42" s="2"/>
      <c r="K42" s="34" t="s">
        <v>117</v>
      </c>
      <c r="L42" s="33">
        <f>(L38-L39)*10</f>
        <v>856.35</v>
      </c>
      <c r="M42" s="8"/>
    </row>
    <row r="43" spans="1:13" x14ac:dyDescent="0.25">
      <c r="A43" s="2"/>
      <c r="B43" s="2"/>
      <c r="C43" s="2"/>
      <c r="K43" s="35" t="s">
        <v>118</v>
      </c>
      <c r="L43" s="36">
        <f>L42-L41</f>
        <v>408.06999999999988</v>
      </c>
    </row>
    <row r="44" spans="1:13" x14ac:dyDescent="0.25">
      <c r="A44" s="2"/>
      <c r="B44" s="2"/>
      <c r="C44" s="2"/>
    </row>
    <row r="45" spans="1:13" x14ac:dyDescent="0.25">
      <c r="A45" s="2"/>
      <c r="B45" s="2"/>
      <c r="C45" s="2"/>
      <c r="L45" s="42"/>
    </row>
    <row r="46" spans="1:13" x14ac:dyDescent="0.25">
      <c r="A46" s="2"/>
      <c r="B46" s="2"/>
      <c r="C46" s="2"/>
      <c r="L46" s="43"/>
    </row>
    <row r="47" spans="1:13" x14ac:dyDescent="0.25">
      <c r="A47" s="2"/>
      <c r="B47" s="2"/>
      <c r="C47" s="2"/>
      <c r="L47" s="8"/>
    </row>
    <row r="48" spans="1:13" x14ac:dyDescent="0.25">
      <c r="A48" s="2"/>
      <c r="B48" s="2"/>
      <c r="C48" s="2"/>
      <c r="L48" s="8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3"/>
      <c r="B51" s="3"/>
      <c r="C51" s="3"/>
    </row>
    <row r="52" spans="1:3" x14ac:dyDescent="0.25">
      <c r="A52" s="2"/>
      <c r="B52" s="2"/>
      <c r="C52" s="2"/>
    </row>
    <row r="53" spans="1:3" x14ac:dyDescent="0.25">
      <c r="A53" s="3"/>
      <c r="B53" s="3"/>
      <c r="C53" s="3"/>
    </row>
  </sheetData>
  <hyperlinks>
    <hyperlink ref="E10" r:id="rId1" display="https://www.digikey.com/scripts/DkSearch/dksus.dll?Detail&amp;itemSeq=255582543&amp;uq=636573277011711177" xr:uid="{00000000-0004-0000-0200-000000000000}"/>
    <hyperlink ref="E25" r:id="rId2" display="https://www.digikey.com/scripts/DkSearch/dksus.dll?Detail&amp;itemSeq=255006885&amp;uq=636573277011671173" xr:uid="{00000000-0004-0000-0200-000001000000}"/>
    <hyperlink ref="E13" r:id="rId3" display="https://www.digikey.com/product-detail/en/on-semiconductor/MMBT2222LT1G/MMBT2222LT1GOSCT-ND/1139808" xr:uid="{00000000-0004-0000-0200-000002000000}"/>
    <hyperlink ref="E24" r:id="rId4" display="https://www.digikey.com/scripts/DkSearch/dksus.dll?Detail&amp;itemSeq=255007731&amp;uq=636573292806049726" xr:uid="{00000000-0004-0000-0200-000003000000}"/>
    <hyperlink ref="E22" r:id="rId5" display="https://www.digikey.com/scripts/DkSearch/dksus.dll?Detail&amp;itemSeq=255007807&amp;uq=636573292806059726" xr:uid="{00000000-0004-0000-0200-000004000000}"/>
    <hyperlink ref="E7" r:id="rId6" display="https://www.digikey.com/scripts/DkSearch/dksus.dll?Detail&amp;itemSeq=255007915&amp;uq=636573292806059726" xr:uid="{00000000-0004-0000-0200-000005000000}"/>
    <hyperlink ref="E20" r:id="rId7" display="https://www.digikey.com/scripts/DkSearch/dksus.dll?Detail&amp;itemSeq=255008032&amp;uq=636573292806069726" xr:uid="{00000000-0004-0000-0200-000006000000}"/>
    <hyperlink ref="E12" r:id="rId8" display="https://www.digikey.com/scripts/DkSearch/dksus.dll?Detail&amp;itemSeq=255683609&amp;uq=636573305216640966" xr:uid="{00000000-0004-0000-0200-000007000000}"/>
    <hyperlink ref="E19" r:id="rId9" display="https://www.digikey.com/scripts/DkSearch/dksus.dll?Detail&amp;itemSeq=255008508&amp;uq=636573292806069726" xr:uid="{00000000-0004-0000-0200-000008000000}"/>
    <hyperlink ref="E6" r:id="rId10" display="https://www.digikey.com/scripts/DkSearch/dksus.dll?Detail&amp;itemSeq=255685923&amp;uq=636573315130419726" xr:uid="{00000000-0004-0000-0200-000009000000}"/>
    <hyperlink ref="E9" r:id="rId11" display="https://www.digikey.com/scripts/DkSearch/dksus.dll?Detail&amp;itemSeq=255686028&amp;uq=636573315948419447" xr:uid="{00000000-0004-0000-0200-00000A000000}"/>
    <hyperlink ref="E8" r:id="rId12" display="https://www.digikey.com/scripts/DkSearch/dksus.dll?Detail&amp;itemSeq=255686232&amp;uq=636573317079069726" xr:uid="{00000000-0004-0000-0200-00000B000000}"/>
    <hyperlink ref="E3" r:id="rId13" display="https://www.digikey.com/scripts/DkSearch/dksus.dll?Detail&amp;itemSeq=255687110&amp;uq=636573319776344879" xr:uid="{00000000-0004-0000-0200-00000C000000}"/>
    <hyperlink ref="E5" r:id="rId14" display="https://www.digikey.com/scripts/DkSearch/dksus.dll?Detail&amp;itemSeq=255687461&amp;uq=636573320529169726" xr:uid="{00000000-0004-0000-0200-00000D000000}"/>
    <hyperlink ref="E2" r:id="rId15" display="https://www.digikey.com/scripts/DkSearch/dksus.dll?Detail&amp;itemSeq=255687743&amp;uq=636573321888037133" xr:uid="{00000000-0004-0000-0200-00000E000000}"/>
    <hyperlink ref="E4" r:id="rId16" display="https://www.digikey.com/scripts/DkSearch/dksus.dll?Detail&amp;itemSeq=255687905&amp;uq=636573322862249726" xr:uid="{00000000-0004-0000-0200-00000F000000}"/>
    <hyperlink ref="E14" r:id="rId17" display="https://www.digikey.com/scripts/DkSearch/dksus.dll?Detail&amp;itemSeq=255688809&amp;uq=636573327832494815" xr:uid="{00000000-0004-0000-0200-000010000000}"/>
    <hyperlink ref="E17" r:id="rId18" display="https://www.digikey.com/scripts/DkSearch/dksus.dll?Detail&amp;itemSeq=255688956&amp;uq=636573328681559713" xr:uid="{00000000-0004-0000-0200-000011000000}"/>
    <hyperlink ref="E15" r:id="rId19" display="https://www.digikey.com/scripts/DkSearch/dksus.dll?Detail&amp;itemSeq=255689053&amp;uq=636573329310919726" xr:uid="{00000000-0004-0000-0200-000012000000}"/>
    <hyperlink ref="E16" r:id="rId20" display="https://www.digikey.com/scripts/DkSearch/dksus.dll?Detail&amp;itemSeq=255689221&amp;uq=636573330063847928" xr:uid="{00000000-0004-0000-0200-000013000000}"/>
    <hyperlink ref="E29" r:id="rId21" display="https://www.digikey.com/scripts/DkSearch/dksus.dll?Detail&amp;itemSeq=255712800&amp;uq=636573577435916489" xr:uid="{00000000-0004-0000-0200-000014000000}"/>
    <hyperlink ref="E23" r:id="rId22" display="https://www.digikey.com/scripts/DkSearch/dksus.dll?Detail&amp;itemSeq=255882403&amp;uq=636583008495157306" xr:uid="{00000000-0004-0000-0200-000015000000}"/>
    <hyperlink ref="E26" r:id="rId23" display="https://www.digikey.com/scripts/DkSearch/dksus.dll?Detail&amp;itemSeq=256670207&amp;uq=636583008495177308" xr:uid="{00000000-0004-0000-0200-000016000000}"/>
    <hyperlink ref="E18" r:id="rId24" display="https://www.digikey.com/scripts/DkSearch/dksus.dll?Detail&amp;itemSeq=255287263&amp;uq=636573292806069726" xr:uid="{00000000-0004-0000-0200-000017000000}"/>
    <hyperlink ref="E27" r:id="rId25" display="https://www.digikey.com/scripts/DkSearch/dksus.dll?Detail&amp;itemSeq=260619861&amp;uq=636617232035274916" xr:uid="{00000000-0004-0000-0200-000018000000}"/>
  </hyperlinks>
  <pageMargins left="0.7" right="0.7" top="0.75" bottom="0.75" header="0.3" footer="0.3"/>
  <pageSetup orientation="portrait" horizontalDpi="4294967293" verticalDpi="0"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01"/>
  <sheetViews>
    <sheetView tabSelected="1" zoomScale="90" zoomScaleNormal="90" workbookViewId="0">
      <pane xSplit="1" ySplit="1" topLeftCell="D23" activePane="bottomRight" state="frozen"/>
      <selection pane="topRight" activeCell="B1" sqref="B1"/>
      <selection pane="bottomLeft" activeCell="A2" sqref="A2"/>
      <selection pane="bottomRight" activeCell="I44" sqref="I44"/>
    </sheetView>
  </sheetViews>
  <sheetFormatPr defaultRowHeight="15" x14ac:dyDescent="0.25"/>
  <cols>
    <col min="1" max="1" width="20.125" bestFit="1" customWidth="1"/>
    <col min="2" max="2" width="19.125" bestFit="1" customWidth="1"/>
    <col min="3" max="3" width="22.25" bestFit="1" customWidth="1"/>
    <col min="4" max="4" width="11.875" bestFit="1" customWidth="1"/>
    <col min="5" max="5" width="13" bestFit="1" customWidth="1"/>
    <col min="6" max="6" width="2.75" style="54" customWidth="1"/>
    <col min="7" max="7" width="9.875" bestFit="1" customWidth="1"/>
    <col min="8" max="8" width="4.875" style="44" bestFit="1" customWidth="1"/>
    <col min="9" max="9" width="10.875" bestFit="1" customWidth="1"/>
    <col min="10" max="10" width="14" style="44" bestFit="1" customWidth="1"/>
    <col min="11" max="11" width="10.875" bestFit="1" customWidth="1"/>
    <col min="12" max="12" width="2.875" style="54" customWidth="1"/>
    <col min="13" max="13" width="9.875" bestFit="1" customWidth="1"/>
    <col min="14" max="14" width="4.875" bestFit="1" customWidth="1"/>
    <col min="15" max="15" width="10.875" bestFit="1" customWidth="1"/>
    <col min="16" max="16" width="14" bestFit="1" customWidth="1"/>
    <col min="17" max="17" width="9.875" bestFit="1" customWidth="1"/>
    <col min="18" max="18" width="2.375" style="54" customWidth="1"/>
    <col min="20" max="20" width="5.25" customWidth="1"/>
    <col min="21" max="21" width="10.875" bestFit="1" customWidth="1"/>
    <col min="23" max="23" width="9.875" bestFit="1" customWidth="1"/>
    <col min="24" max="24" width="2.625" customWidth="1"/>
  </cols>
  <sheetData>
    <row r="1" spans="1:25" x14ac:dyDescent="0.25">
      <c r="A1" s="14" t="s">
        <v>50</v>
      </c>
      <c r="B1" s="14" t="s">
        <v>25</v>
      </c>
      <c r="C1" s="14" t="s">
        <v>31</v>
      </c>
      <c r="D1" s="14" t="s">
        <v>51</v>
      </c>
      <c r="E1" s="44" t="s">
        <v>32</v>
      </c>
      <c r="F1" s="58"/>
      <c r="G1" s="58" t="s">
        <v>125</v>
      </c>
      <c r="H1" s="59" t="s">
        <v>129</v>
      </c>
      <c r="I1" s="59" t="s">
        <v>128</v>
      </c>
      <c r="J1" s="58" t="s">
        <v>130</v>
      </c>
      <c r="K1" s="58" t="s">
        <v>131</v>
      </c>
      <c r="L1" s="58"/>
      <c r="M1" s="44" t="s">
        <v>125</v>
      </c>
      <c r="N1" s="44" t="s">
        <v>129</v>
      </c>
      <c r="O1" s="44" t="s">
        <v>128</v>
      </c>
      <c r="P1" s="52" t="s">
        <v>130</v>
      </c>
      <c r="Q1" s="44" t="s">
        <v>131</v>
      </c>
      <c r="R1" s="53"/>
      <c r="S1" s="44" t="s">
        <v>125</v>
      </c>
      <c r="T1" s="44" t="s">
        <v>129</v>
      </c>
      <c r="U1" s="44" t="s">
        <v>128</v>
      </c>
      <c r="V1" s="52" t="s">
        <v>130</v>
      </c>
      <c r="W1" s="44" t="s">
        <v>131</v>
      </c>
      <c r="X1" s="53"/>
      <c r="Y1" s="44" t="s">
        <v>125</v>
      </c>
    </row>
    <row r="2" spans="1:25" x14ac:dyDescent="0.25">
      <c r="A2" s="1" t="s">
        <v>40</v>
      </c>
      <c r="B2" s="1" t="s">
        <v>26</v>
      </c>
      <c r="C2" s="4" t="s">
        <v>76</v>
      </c>
      <c r="D2" s="11" t="s">
        <v>52</v>
      </c>
      <c r="E2" s="44">
        <v>3</v>
      </c>
      <c r="F2" s="58"/>
      <c r="G2" s="44">
        <v>4</v>
      </c>
      <c r="I2" s="48"/>
      <c r="J2" s="44">
        <f>G2+H2</f>
        <v>4</v>
      </c>
      <c r="K2" s="69">
        <v>1</v>
      </c>
      <c r="L2" s="63"/>
      <c r="M2" s="44">
        <f>J2-(K$2*E2)</f>
        <v>1</v>
      </c>
      <c r="N2" s="44">
        <v>100</v>
      </c>
      <c r="O2" s="48">
        <v>1.43</v>
      </c>
      <c r="P2" s="44">
        <f>M2+N2</f>
        <v>101</v>
      </c>
      <c r="Q2" s="69">
        <v>1</v>
      </c>
      <c r="R2" s="53"/>
      <c r="S2" s="44">
        <f>P2-(Q$2*$E2)</f>
        <v>98</v>
      </c>
      <c r="T2" s="44"/>
      <c r="U2" s="48"/>
      <c r="V2" s="44">
        <f>S2+T2</f>
        <v>98</v>
      </c>
      <c r="W2" s="69">
        <v>3</v>
      </c>
      <c r="X2" s="53"/>
      <c r="Y2" s="44">
        <f>V2-(W$2*$E2)</f>
        <v>89</v>
      </c>
    </row>
    <row r="3" spans="1:25" x14ac:dyDescent="0.25">
      <c r="A3" s="1" t="s">
        <v>35</v>
      </c>
      <c r="B3" s="1" t="s">
        <v>0</v>
      </c>
      <c r="C3" s="4" t="s">
        <v>74</v>
      </c>
      <c r="D3" s="11" t="s">
        <v>52</v>
      </c>
      <c r="E3" s="44">
        <v>1</v>
      </c>
      <c r="F3" s="58"/>
      <c r="G3" s="44">
        <v>8</v>
      </c>
      <c r="I3" s="48"/>
      <c r="J3" s="44">
        <f t="shared" ref="J3:J33" si="0">G3+H3</f>
        <v>8</v>
      </c>
      <c r="K3" s="69"/>
      <c r="L3" s="63"/>
      <c r="M3" s="44">
        <f t="shared" ref="M3:M33" si="1">J3-(K$2*E3)</f>
        <v>7</v>
      </c>
      <c r="N3" s="44"/>
      <c r="O3" s="48"/>
      <c r="P3" s="44">
        <f t="shared" ref="P3:P35" si="2">M3+N3</f>
        <v>7</v>
      </c>
      <c r="Q3" s="69"/>
      <c r="R3" s="53"/>
      <c r="S3" s="44">
        <f t="shared" ref="S3:S35" si="3">P3-(Q$2*$E3)</f>
        <v>6</v>
      </c>
      <c r="T3" s="44"/>
      <c r="U3" s="48"/>
      <c r="V3" s="44">
        <f t="shared" ref="V3:V35" si="4">S3+T3</f>
        <v>6</v>
      </c>
      <c r="W3" s="69"/>
      <c r="X3" s="53"/>
      <c r="Y3" s="44">
        <f t="shared" ref="Y3:Y35" si="5">V3-(W$2*$E3)</f>
        <v>3</v>
      </c>
    </row>
    <row r="4" spans="1:25" x14ac:dyDescent="0.25">
      <c r="A4" s="1" t="s">
        <v>42</v>
      </c>
      <c r="B4" s="1" t="s">
        <v>28</v>
      </c>
      <c r="C4" s="4" t="s">
        <v>77</v>
      </c>
      <c r="D4" s="11" t="s">
        <v>52</v>
      </c>
      <c r="E4" s="44">
        <v>2</v>
      </c>
      <c r="F4" s="58"/>
      <c r="G4" s="44">
        <v>6</v>
      </c>
      <c r="I4" s="48"/>
      <c r="J4" s="44">
        <f t="shared" si="0"/>
        <v>6</v>
      </c>
      <c r="K4" s="69"/>
      <c r="L4" s="63"/>
      <c r="M4" s="44">
        <f t="shared" si="1"/>
        <v>4</v>
      </c>
      <c r="N4" s="44"/>
      <c r="O4" s="48"/>
      <c r="P4" s="44">
        <f t="shared" si="2"/>
        <v>4</v>
      </c>
      <c r="Q4" s="69"/>
      <c r="R4" s="53"/>
      <c r="S4" s="44">
        <f t="shared" si="3"/>
        <v>2</v>
      </c>
      <c r="T4" s="44">
        <v>100</v>
      </c>
      <c r="U4" s="48">
        <v>1.43</v>
      </c>
      <c r="V4" s="44">
        <f t="shared" si="4"/>
        <v>102</v>
      </c>
      <c r="W4" s="69"/>
      <c r="X4" s="53"/>
      <c r="Y4" s="44">
        <f t="shared" si="5"/>
        <v>96</v>
      </c>
    </row>
    <row r="5" spans="1:25" x14ac:dyDescent="0.25">
      <c r="A5" s="12" t="s">
        <v>38</v>
      </c>
      <c r="B5" s="12" t="s">
        <v>33</v>
      </c>
      <c r="C5" s="20" t="s">
        <v>75</v>
      </c>
      <c r="D5" s="21" t="s">
        <v>52</v>
      </c>
      <c r="E5" s="44">
        <v>5</v>
      </c>
      <c r="F5" s="58"/>
      <c r="G5" s="44">
        <v>0</v>
      </c>
      <c r="H5" s="44">
        <v>100</v>
      </c>
      <c r="I5" s="48">
        <v>4.4400000000000004</v>
      </c>
      <c r="J5" s="44">
        <f t="shared" si="0"/>
        <v>100</v>
      </c>
      <c r="K5" s="69"/>
      <c r="L5" s="63"/>
      <c r="M5" s="44">
        <f t="shared" si="1"/>
        <v>95</v>
      </c>
      <c r="N5" s="44"/>
      <c r="O5" s="48"/>
      <c r="P5" s="44">
        <f t="shared" si="2"/>
        <v>95</v>
      </c>
      <c r="Q5" s="69"/>
      <c r="R5" s="53"/>
      <c r="S5" s="44">
        <f t="shared" si="3"/>
        <v>90</v>
      </c>
      <c r="T5" s="44"/>
      <c r="U5" s="48"/>
      <c r="V5" s="44">
        <f t="shared" si="4"/>
        <v>90</v>
      </c>
      <c r="W5" s="69"/>
      <c r="X5" s="53"/>
      <c r="Y5" s="44">
        <f t="shared" si="5"/>
        <v>75</v>
      </c>
    </row>
    <row r="6" spans="1:25" x14ac:dyDescent="0.25">
      <c r="A6" s="1" t="s">
        <v>66</v>
      </c>
      <c r="B6" s="1" t="s">
        <v>1</v>
      </c>
      <c r="C6" s="4" t="s">
        <v>71</v>
      </c>
      <c r="D6" s="11" t="s">
        <v>52</v>
      </c>
      <c r="E6" s="44">
        <v>1</v>
      </c>
      <c r="F6" s="58"/>
      <c r="G6" s="44">
        <v>9</v>
      </c>
      <c r="I6" s="48"/>
      <c r="J6" s="44">
        <f t="shared" si="0"/>
        <v>9</v>
      </c>
      <c r="K6" s="69"/>
      <c r="L6" s="63"/>
      <c r="M6" s="44">
        <f t="shared" si="1"/>
        <v>8</v>
      </c>
      <c r="N6" s="44"/>
      <c r="O6" s="48"/>
      <c r="P6" s="44">
        <f t="shared" si="2"/>
        <v>8</v>
      </c>
      <c r="Q6" s="69"/>
      <c r="R6" s="53"/>
      <c r="S6" s="44">
        <f t="shared" si="3"/>
        <v>7</v>
      </c>
      <c r="T6" s="44"/>
      <c r="U6" s="48"/>
      <c r="V6" s="44">
        <f t="shared" si="4"/>
        <v>7</v>
      </c>
      <c r="W6" s="69"/>
      <c r="X6" s="53"/>
      <c r="Y6" s="44">
        <f t="shared" si="5"/>
        <v>4</v>
      </c>
    </row>
    <row r="7" spans="1:25" x14ac:dyDescent="0.25">
      <c r="A7" s="1" t="s">
        <v>59</v>
      </c>
      <c r="B7" s="1" t="s">
        <v>2</v>
      </c>
      <c r="C7" s="4" t="s">
        <v>58</v>
      </c>
      <c r="D7" s="11" t="s">
        <v>52</v>
      </c>
      <c r="E7" s="44">
        <v>1</v>
      </c>
      <c r="F7" s="58"/>
      <c r="G7" s="44">
        <v>0</v>
      </c>
      <c r="H7" s="44">
        <v>10</v>
      </c>
      <c r="I7" s="48">
        <v>3.21</v>
      </c>
      <c r="J7" s="44">
        <f t="shared" si="0"/>
        <v>10</v>
      </c>
      <c r="K7" s="69"/>
      <c r="L7" s="63"/>
      <c r="M7" s="44">
        <f t="shared" si="1"/>
        <v>9</v>
      </c>
      <c r="N7" s="44"/>
      <c r="O7" s="48"/>
      <c r="P7" s="44">
        <f t="shared" si="2"/>
        <v>9</v>
      </c>
      <c r="Q7" s="69"/>
      <c r="R7" s="53"/>
      <c r="S7" s="44">
        <f t="shared" si="3"/>
        <v>8</v>
      </c>
      <c r="T7" s="44"/>
      <c r="U7" s="48"/>
      <c r="V7" s="44">
        <f t="shared" si="4"/>
        <v>8</v>
      </c>
      <c r="W7" s="69"/>
      <c r="X7" s="53"/>
      <c r="Y7" s="44">
        <f t="shared" si="5"/>
        <v>5</v>
      </c>
    </row>
    <row r="8" spans="1:25" x14ac:dyDescent="0.25">
      <c r="A8" s="1" t="s">
        <v>65</v>
      </c>
      <c r="B8" s="1" t="s">
        <v>29</v>
      </c>
      <c r="C8" s="4" t="s">
        <v>73</v>
      </c>
      <c r="D8" s="11" t="s">
        <v>52</v>
      </c>
      <c r="E8" s="44">
        <v>2</v>
      </c>
      <c r="F8" s="58"/>
      <c r="G8" s="44">
        <v>18</v>
      </c>
      <c r="I8" s="48"/>
      <c r="J8" s="44">
        <f t="shared" si="0"/>
        <v>18</v>
      </c>
      <c r="K8" s="69"/>
      <c r="L8" s="63"/>
      <c r="M8" s="44">
        <f t="shared" si="1"/>
        <v>16</v>
      </c>
      <c r="N8" s="44"/>
      <c r="O8" s="48"/>
      <c r="P8" s="44">
        <f t="shared" si="2"/>
        <v>16</v>
      </c>
      <c r="Q8" s="69"/>
      <c r="R8" s="53"/>
      <c r="S8" s="44">
        <f t="shared" si="3"/>
        <v>14</v>
      </c>
      <c r="T8" s="44"/>
      <c r="U8" s="48"/>
      <c r="V8" s="44">
        <f t="shared" si="4"/>
        <v>14</v>
      </c>
      <c r="W8" s="69"/>
      <c r="X8" s="53"/>
      <c r="Y8" s="44">
        <f t="shared" si="5"/>
        <v>8</v>
      </c>
    </row>
    <row r="9" spans="1:25" x14ac:dyDescent="0.25">
      <c r="A9" s="1" t="s">
        <v>64</v>
      </c>
      <c r="B9" s="1" t="s">
        <v>3</v>
      </c>
      <c r="C9" s="4" t="s">
        <v>72</v>
      </c>
      <c r="D9" s="11" t="s">
        <v>52</v>
      </c>
      <c r="E9" s="44">
        <v>1</v>
      </c>
      <c r="F9" s="58"/>
      <c r="G9" s="44">
        <v>9</v>
      </c>
      <c r="I9" s="48"/>
      <c r="J9" s="44">
        <f t="shared" si="0"/>
        <v>9</v>
      </c>
      <c r="K9" s="69"/>
      <c r="L9" s="63"/>
      <c r="M9" s="44">
        <f t="shared" si="1"/>
        <v>8</v>
      </c>
      <c r="N9" s="44"/>
      <c r="O9" s="48"/>
      <c r="P9" s="44">
        <f t="shared" si="2"/>
        <v>8</v>
      </c>
      <c r="Q9" s="69"/>
      <c r="R9" s="53"/>
      <c r="S9" s="44">
        <f t="shared" si="3"/>
        <v>7</v>
      </c>
      <c r="T9" s="44"/>
      <c r="U9" s="48"/>
      <c r="V9" s="44">
        <f t="shared" si="4"/>
        <v>7</v>
      </c>
      <c r="W9" s="69"/>
      <c r="X9" s="53"/>
      <c r="Y9" s="44">
        <f t="shared" si="5"/>
        <v>4</v>
      </c>
    </row>
    <row r="10" spans="1:25" x14ac:dyDescent="0.25">
      <c r="A10" s="1" t="s">
        <v>47</v>
      </c>
      <c r="B10" s="1" t="s">
        <v>4</v>
      </c>
      <c r="C10" s="4" t="s">
        <v>46</v>
      </c>
      <c r="D10" s="11" t="s">
        <v>52</v>
      </c>
      <c r="E10" s="44">
        <v>1</v>
      </c>
      <c r="F10" s="58"/>
      <c r="G10" s="44">
        <v>0</v>
      </c>
      <c r="H10" s="44">
        <v>1</v>
      </c>
      <c r="I10" s="48">
        <v>3.6</v>
      </c>
      <c r="J10" s="44">
        <f t="shared" si="0"/>
        <v>1</v>
      </c>
      <c r="K10" s="69"/>
      <c r="L10" s="63"/>
      <c r="M10" s="44">
        <f>J10-(K$2*E10)</f>
        <v>0</v>
      </c>
      <c r="N10" s="44">
        <v>10</v>
      </c>
      <c r="O10" s="48">
        <v>32.369999999999997</v>
      </c>
      <c r="P10" s="44">
        <f t="shared" si="2"/>
        <v>10</v>
      </c>
      <c r="Q10" s="69"/>
      <c r="R10" s="53"/>
      <c r="S10" s="44">
        <f t="shared" si="3"/>
        <v>9</v>
      </c>
      <c r="T10" s="44"/>
      <c r="U10" s="48"/>
      <c r="V10" s="44">
        <f t="shared" si="4"/>
        <v>9</v>
      </c>
      <c r="W10" s="69"/>
      <c r="X10" s="53"/>
      <c r="Y10" s="44">
        <f t="shared" si="5"/>
        <v>6</v>
      </c>
    </row>
    <row r="11" spans="1:25" x14ac:dyDescent="0.25">
      <c r="A11" s="1" t="s">
        <v>7</v>
      </c>
      <c r="B11" s="1" t="s">
        <v>6</v>
      </c>
      <c r="C11" s="4" t="s">
        <v>7</v>
      </c>
      <c r="D11" s="11" t="s">
        <v>52</v>
      </c>
      <c r="E11" s="44">
        <v>1</v>
      </c>
      <c r="F11" s="58"/>
      <c r="G11" s="44">
        <v>9</v>
      </c>
      <c r="I11" s="48"/>
      <c r="J11" s="44">
        <f t="shared" si="0"/>
        <v>9</v>
      </c>
      <c r="K11" s="69"/>
      <c r="L11" s="63"/>
      <c r="M11" s="44">
        <f t="shared" si="1"/>
        <v>8</v>
      </c>
      <c r="N11" s="44"/>
      <c r="O11" s="48"/>
      <c r="P11" s="44">
        <f t="shared" si="2"/>
        <v>8</v>
      </c>
      <c r="Q11" s="69"/>
      <c r="R11" s="53"/>
      <c r="S11" s="44">
        <f t="shared" si="3"/>
        <v>7</v>
      </c>
      <c r="T11" s="44"/>
      <c r="U11" s="48"/>
      <c r="V11" s="44">
        <f t="shared" si="4"/>
        <v>7</v>
      </c>
      <c r="W11" s="69"/>
      <c r="X11" s="53"/>
      <c r="Y11" s="44">
        <f t="shared" si="5"/>
        <v>4</v>
      </c>
    </row>
    <row r="12" spans="1:25" x14ac:dyDescent="0.25">
      <c r="A12" s="1" t="s">
        <v>43</v>
      </c>
      <c r="B12" s="1" t="s">
        <v>8</v>
      </c>
      <c r="C12" s="4" t="s">
        <v>49</v>
      </c>
      <c r="D12" s="11" t="s">
        <v>52</v>
      </c>
      <c r="E12" s="44">
        <v>1</v>
      </c>
      <c r="F12" s="58"/>
      <c r="G12" s="44">
        <v>0</v>
      </c>
      <c r="H12" s="44">
        <v>10</v>
      </c>
      <c r="I12" s="48">
        <v>1.18</v>
      </c>
      <c r="J12" s="44">
        <f t="shared" si="0"/>
        <v>10</v>
      </c>
      <c r="K12" s="69"/>
      <c r="L12" s="63"/>
      <c r="M12" s="44">
        <f t="shared" si="1"/>
        <v>9</v>
      </c>
      <c r="N12" s="44"/>
      <c r="O12" s="48"/>
      <c r="P12" s="44">
        <f t="shared" si="2"/>
        <v>9</v>
      </c>
      <c r="Q12" s="69"/>
      <c r="R12" s="53"/>
      <c r="S12" s="44">
        <f t="shared" si="3"/>
        <v>8</v>
      </c>
      <c r="T12" s="44"/>
      <c r="U12" s="48"/>
      <c r="V12" s="44">
        <f t="shared" si="4"/>
        <v>8</v>
      </c>
      <c r="W12" s="69"/>
      <c r="X12" s="53"/>
      <c r="Y12" s="44">
        <f t="shared" si="5"/>
        <v>5</v>
      </c>
    </row>
    <row r="13" spans="1:25" x14ac:dyDescent="0.25">
      <c r="A13" s="1" t="s">
        <v>36</v>
      </c>
      <c r="B13" s="1" t="s">
        <v>34</v>
      </c>
      <c r="C13" s="4" t="s">
        <v>79</v>
      </c>
      <c r="D13" s="11" t="s">
        <v>52</v>
      </c>
      <c r="E13" s="44">
        <v>3</v>
      </c>
      <c r="F13" s="58"/>
      <c r="G13" s="44">
        <v>4</v>
      </c>
      <c r="I13" s="48"/>
      <c r="J13" s="44">
        <f t="shared" si="0"/>
        <v>4</v>
      </c>
      <c r="K13" s="69"/>
      <c r="L13" s="63"/>
      <c r="M13" s="44">
        <f t="shared" si="1"/>
        <v>1</v>
      </c>
      <c r="N13" s="44">
        <v>100</v>
      </c>
      <c r="O13" s="48">
        <v>0.51</v>
      </c>
      <c r="P13" s="44">
        <f t="shared" si="2"/>
        <v>101</v>
      </c>
      <c r="Q13" s="69"/>
      <c r="R13" s="53"/>
      <c r="S13" s="44">
        <f t="shared" si="3"/>
        <v>98</v>
      </c>
      <c r="T13" s="44"/>
      <c r="U13" s="48"/>
      <c r="V13" s="44">
        <f t="shared" si="4"/>
        <v>98</v>
      </c>
      <c r="W13" s="69"/>
      <c r="X13" s="53"/>
      <c r="Y13" s="44">
        <f t="shared" si="5"/>
        <v>89</v>
      </c>
    </row>
    <row r="14" spans="1:25" x14ac:dyDescent="0.25">
      <c r="A14" s="1" t="s">
        <v>39</v>
      </c>
      <c r="B14" s="1" t="s">
        <v>104</v>
      </c>
      <c r="C14" s="4" t="s">
        <v>81</v>
      </c>
      <c r="D14" s="11" t="s">
        <v>52</v>
      </c>
      <c r="E14" s="44">
        <v>4</v>
      </c>
      <c r="F14" s="58"/>
      <c r="G14" s="44">
        <v>2</v>
      </c>
      <c r="H14" s="44">
        <v>100</v>
      </c>
      <c r="I14" s="48">
        <v>0.51</v>
      </c>
      <c r="J14" s="44">
        <f t="shared" si="0"/>
        <v>102</v>
      </c>
      <c r="K14" s="69"/>
      <c r="L14" s="63"/>
      <c r="M14" s="44">
        <f t="shared" si="1"/>
        <v>98</v>
      </c>
      <c r="N14" s="44"/>
      <c r="O14" s="48"/>
      <c r="P14" s="44">
        <f t="shared" si="2"/>
        <v>98</v>
      </c>
      <c r="Q14" s="69"/>
      <c r="R14" s="53"/>
      <c r="S14" s="44">
        <f t="shared" si="3"/>
        <v>94</v>
      </c>
      <c r="T14" s="44"/>
      <c r="U14" s="48"/>
      <c r="V14" s="44">
        <f t="shared" si="4"/>
        <v>94</v>
      </c>
      <c r="W14" s="69"/>
      <c r="X14" s="53"/>
      <c r="Y14" s="44">
        <f t="shared" si="5"/>
        <v>82</v>
      </c>
    </row>
    <row r="15" spans="1:25" x14ac:dyDescent="0.25">
      <c r="A15" s="1" t="s">
        <v>41</v>
      </c>
      <c r="B15" s="1" t="s">
        <v>27</v>
      </c>
      <c r="C15" s="4" t="s">
        <v>82</v>
      </c>
      <c r="D15" s="11" t="s">
        <v>52</v>
      </c>
      <c r="E15" s="44">
        <v>3</v>
      </c>
      <c r="F15" s="58"/>
      <c r="G15" s="44">
        <v>4</v>
      </c>
      <c r="I15" s="48"/>
      <c r="J15" s="44">
        <f t="shared" si="0"/>
        <v>4</v>
      </c>
      <c r="K15" s="69"/>
      <c r="L15" s="63"/>
      <c r="M15" s="44">
        <f t="shared" si="1"/>
        <v>1</v>
      </c>
      <c r="N15" s="44">
        <v>100</v>
      </c>
      <c r="O15" s="48">
        <v>0.51</v>
      </c>
      <c r="P15" s="44">
        <f t="shared" si="2"/>
        <v>101</v>
      </c>
      <c r="Q15" s="69"/>
      <c r="R15" s="53"/>
      <c r="S15" s="44">
        <f t="shared" si="3"/>
        <v>98</v>
      </c>
      <c r="T15" s="44"/>
      <c r="U15" s="48"/>
      <c r="V15" s="44">
        <f t="shared" si="4"/>
        <v>98</v>
      </c>
      <c r="W15" s="69"/>
      <c r="X15" s="53"/>
      <c r="Y15" s="44">
        <f t="shared" si="5"/>
        <v>89</v>
      </c>
    </row>
    <row r="16" spans="1:25" x14ac:dyDescent="0.25">
      <c r="A16" s="1" t="s">
        <v>37</v>
      </c>
      <c r="B16" s="1" t="s">
        <v>9</v>
      </c>
      <c r="C16" s="4" t="s">
        <v>80</v>
      </c>
      <c r="D16" s="11" t="s">
        <v>52</v>
      </c>
      <c r="E16" s="44">
        <v>1</v>
      </c>
      <c r="F16" s="58"/>
      <c r="G16" s="44">
        <v>8</v>
      </c>
      <c r="I16" s="48"/>
      <c r="J16" s="44">
        <f t="shared" si="0"/>
        <v>8</v>
      </c>
      <c r="K16" s="69"/>
      <c r="L16" s="63"/>
      <c r="M16" s="44">
        <f t="shared" si="1"/>
        <v>7</v>
      </c>
      <c r="N16" s="44"/>
      <c r="O16" s="48"/>
      <c r="P16" s="44">
        <f t="shared" si="2"/>
        <v>7</v>
      </c>
      <c r="Q16" s="69"/>
      <c r="R16" s="53"/>
      <c r="S16" s="44">
        <f t="shared" si="3"/>
        <v>6</v>
      </c>
      <c r="T16" s="44"/>
      <c r="U16" s="48"/>
      <c r="V16" s="44">
        <f t="shared" si="4"/>
        <v>6</v>
      </c>
      <c r="W16" s="69"/>
      <c r="X16" s="53"/>
      <c r="Y16" s="44">
        <f t="shared" si="5"/>
        <v>3</v>
      </c>
    </row>
    <row r="17" spans="1:25" x14ac:dyDescent="0.25">
      <c r="A17" s="1" t="s">
        <v>62</v>
      </c>
      <c r="B17" s="1" t="s">
        <v>100</v>
      </c>
      <c r="C17" s="4" t="s">
        <v>121</v>
      </c>
      <c r="D17" s="11" t="s">
        <v>52</v>
      </c>
      <c r="E17" s="44">
        <v>1</v>
      </c>
      <c r="F17" s="58"/>
      <c r="G17" s="44">
        <v>0</v>
      </c>
      <c r="H17" s="44">
        <v>1</v>
      </c>
      <c r="I17" s="48">
        <v>0.91</v>
      </c>
      <c r="J17" s="44">
        <f t="shared" si="0"/>
        <v>1</v>
      </c>
      <c r="K17" s="69"/>
      <c r="L17" s="63"/>
      <c r="M17" s="44">
        <f t="shared" si="1"/>
        <v>0</v>
      </c>
      <c r="N17" s="44">
        <v>10</v>
      </c>
      <c r="O17" s="48">
        <v>8.6999999999999993</v>
      </c>
      <c r="P17" s="44">
        <f t="shared" si="2"/>
        <v>10</v>
      </c>
      <c r="Q17" s="69"/>
      <c r="R17" s="53"/>
      <c r="S17" s="44">
        <f t="shared" si="3"/>
        <v>9</v>
      </c>
      <c r="T17" s="44"/>
      <c r="U17" s="48"/>
      <c r="V17" s="44">
        <f t="shared" si="4"/>
        <v>9</v>
      </c>
      <c r="W17" s="69"/>
      <c r="X17" s="53"/>
      <c r="Y17" s="44">
        <f t="shared" si="5"/>
        <v>6</v>
      </c>
    </row>
    <row r="18" spans="1:25" x14ac:dyDescent="0.25">
      <c r="A18" s="1" t="s">
        <v>70</v>
      </c>
      <c r="B18" s="1" t="s">
        <v>98</v>
      </c>
      <c r="C18" s="4" t="s">
        <v>69</v>
      </c>
      <c r="D18" s="11" t="s">
        <v>52</v>
      </c>
      <c r="E18" s="44">
        <v>1</v>
      </c>
      <c r="F18" s="58"/>
      <c r="G18" s="44">
        <v>0</v>
      </c>
      <c r="H18" s="44">
        <v>1</v>
      </c>
      <c r="I18" s="48">
        <v>0.52</v>
      </c>
      <c r="J18" s="44">
        <f t="shared" si="0"/>
        <v>1</v>
      </c>
      <c r="K18" s="69"/>
      <c r="L18" s="63"/>
      <c r="M18" s="44">
        <f t="shared" si="1"/>
        <v>0</v>
      </c>
      <c r="N18" s="44">
        <v>10</v>
      </c>
      <c r="O18" s="48">
        <v>4.99</v>
      </c>
      <c r="P18" s="44">
        <f t="shared" si="2"/>
        <v>10</v>
      </c>
      <c r="Q18" s="69"/>
      <c r="R18" s="53"/>
      <c r="S18" s="44">
        <f t="shared" si="3"/>
        <v>9</v>
      </c>
      <c r="T18" s="44"/>
      <c r="U18" s="48"/>
      <c r="V18" s="44">
        <f t="shared" si="4"/>
        <v>9</v>
      </c>
      <c r="W18" s="69"/>
      <c r="X18" s="53"/>
      <c r="Y18" s="44">
        <f t="shared" si="5"/>
        <v>6</v>
      </c>
    </row>
    <row r="19" spans="1:25" x14ac:dyDescent="0.25">
      <c r="A19" s="1" t="s">
        <v>13</v>
      </c>
      <c r="B19" s="1" t="s">
        <v>12</v>
      </c>
      <c r="C19" s="4" t="s">
        <v>61</v>
      </c>
      <c r="D19" s="11" t="s">
        <v>52</v>
      </c>
      <c r="E19" s="44">
        <v>1</v>
      </c>
      <c r="F19" s="58"/>
      <c r="G19" s="44">
        <v>0</v>
      </c>
      <c r="H19" s="44">
        <v>1</v>
      </c>
      <c r="I19" s="48">
        <v>3.09</v>
      </c>
      <c r="J19" s="44">
        <f t="shared" si="0"/>
        <v>1</v>
      </c>
      <c r="K19" s="69"/>
      <c r="L19" s="63"/>
      <c r="M19" s="44">
        <f t="shared" si="1"/>
        <v>0</v>
      </c>
      <c r="N19" s="44">
        <v>1</v>
      </c>
      <c r="O19" s="48">
        <v>3.09</v>
      </c>
      <c r="P19" s="44">
        <f t="shared" si="2"/>
        <v>1</v>
      </c>
      <c r="Q19" s="69"/>
      <c r="R19" s="53"/>
      <c r="S19" s="44">
        <f t="shared" si="3"/>
        <v>0</v>
      </c>
      <c r="T19" s="44">
        <v>3</v>
      </c>
      <c r="U19" s="48">
        <f>(70.04-70.04)+(3*3.09)</f>
        <v>9.27</v>
      </c>
      <c r="V19" s="44">
        <f t="shared" si="4"/>
        <v>3</v>
      </c>
      <c r="W19" s="69"/>
      <c r="X19" s="53"/>
      <c r="Y19" s="44">
        <f t="shared" si="5"/>
        <v>0</v>
      </c>
    </row>
    <row r="20" spans="1:25" x14ac:dyDescent="0.25">
      <c r="A20" s="1" t="s">
        <v>57</v>
      </c>
      <c r="B20" s="1" t="s">
        <v>15</v>
      </c>
      <c r="C20" s="4" t="s">
        <v>56</v>
      </c>
      <c r="D20" s="11" t="s">
        <v>52</v>
      </c>
      <c r="E20" s="44">
        <v>1</v>
      </c>
      <c r="F20" s="58"/>
      <c r="G20" s="44">
        <v>0</v>
      </c>
      <c r="H20" s="44">
        <v>10</v>
      </c>
      <c r="I20" s="48">
        <v>3.62</v>
      </c>
      <c r="J20" s="44">
        <f t="shared" si="0"/>
        <v>10</v>
      </c>
      <c r="K20" s="69"/>
      <c r="L20" s="63"/>
      <c r="M20" s="44">
        <f t="shared" si="1"/>
        <v>9</v>
      </c>
      <c r="N20" s="44"/>
      <c r="O20" s="48"/>
      <c r="P20" s="44">
        <f t="shared" si="2"/>
        <v>9</v>
      </c>
      <c r="Q20" s="69"/>
      <c r="R20" s="53"/>
      <c r="S20" s="44">
        <f t="shared" si="3"/>
        <v>8</v>
      </c>
      <c r="T20" s="44"/>
      <c r="U20" s="48"/>
      <c r="V20" s="44">
        <f t="shared" si="4"/>
        <v>8</v>
      </c>
      <c r="W20" s="69"/>
      <c r="X20" s="53"/>
      <c r="Y20" s="44">
        <f t="shared" si="5"/>
        <v>5</v>
      </c>
    </row>
    <row r="21" spans="1:25" x14ac:dyDescent="0.25">
      <c r="A21" s="1" t="s">
        <v>102</v>
      </c>
      <c r="B21" s="1" t="s">
        <v>101</v>
      </c>
      <c r="C21" s="4" t="s">
        <v>99</v>
      </c>
      <c r="D21" s="11" t="s">
        <v>52</v>
      </c>
      <c r="E21" s="44">
        <v>2</v>
      </c>
      <c r="F21" s="58"/>
      <c r="G21" s="44">
        <v>0</v>
      </c>
      <c r="H21" s="44">
        <v>10</v>
      </c>
      <c r="I21" s="48">
        <v>2.85</v>
      </c>
      <c r="J21" s="44">
        <f t="shared" si="0"/>
        <v>10</v>
      </c>
      <c r="K21" s="69"/>
      <c r="L21" s="63"/>
      <c r="M21" s="44">
        <f t="shared" si="1"/>
        <v>8</v>
      </c>
      <c r="N21" s="44"/>
      <c r="O21" s="48"/>
      <c r="P21" s="44">
        <f t="shared" si="2"/>
        <v>8</v>
      </c>
      <c r="Q21" s="69"/>
      <c r="R21" s="53"/>
      <c r="S21" s="44">
        <f t="shared" si="3"/>
        <v>6</v>
      </c>
      <c r="T21" s="44"/>
      <c r="U21" s="48"/>
      <c r="V21" s="44">
        <f t="shared" si="4"/>
        <v>6</v>
      </c>
      <c r="W21" s="69"/>
      <c r="X21" s="53"/>
      <c r="Y21" s="44">
        <f t="shared" si="5"/>
        <v>0</v>
      </c>
    </row>
    <row r="22" spans="1:25" x14ac:dyDescent="0.25">
      <c r="A22" s="1" t="s">
        <v>55</v>
      </c>
      <c r="B22" s="1" t="s">
        <v>16</v>
      </c>
      <c r="C22" s="4" t="s">
        <v>17</v>
      </c>
      <c r="D22" s="11" t="s">
        <v>52</v>
      </c>
      <c r="E22" s="44">
        <v>1</v>
      </c>
      <c r="F22" s="58"/>
      <c r="G22" s="44">
        <v>0</v>
      </c>
      <c r="H22" s="44">
        <v>10</v>
      </c>
      <c r="I22" s="48">
        <v>5.8</v>
      </c>
      <c r="J22" s="44">
        <f>G22+H22-1</f>
        <v>9</v>
      </c>
      <c r="K22" s="69"/>
      <c r="L22" s="63"/>
      <c r="M22" s="44">
        <f>J22-(K$2*E22)</f>
        <v>8</v>
      </c>
      <c r="N22" s="44"/>
      <c r="O22" s="48"/>
      <c r="P22" s="44">
        <f t="shared" si="2"/>
        <v>8</v>
      </c>
      <c r="Q22" s="69"/>
      <c r="R22" s="53"/>
      <c r="S22" s="44">
        <f t="shared" si="3"/>
        <v>7</v>
      </c>
      <c r="T22" s="44"/>
      <c r="U22" s="48"/>
      <c r="V22" s="44">
        <f t="shared" si="4"/>
        <v>7</v>
      </c>
      <c r="W22" s="69"/>
      <c r="X22" s="53"/>
      <c r="Y22" s="44">
        <f t="shared" si="5"/>
        <v>4</v>
      </c>
    </row>
    <row r="23" spans="1:25" x14ac:dyDescent="0.25">
      <c r="A23" s="1" t="s">
        <v>19</v>
      </c>
      <c r="B23" s="1" t="s">
        <v>18</v>
      </c>
      <c r="C23" s="4" t="s">
        <v>48</v>
      </c>
      <c r="D23" s="11" t="s">
        <v>52</v>
      </c>
      <c r="E23" s="44">
        <v>1</v>
      </c>
      <c r="F23" s="58"/>
      <c r="G23" s="44">
        <v>0</v>
      </c>
      <c r="H23" s="44">
        <v>1</v>
      </c>
      <c r="I23" s="48">
        <v>0.57999999999999996</v>
      </c>
      <c r="J23" s="44">
        <f t="shared" si="0"/>
        <v>1</v>
      </c>
      <c r="K23" s="69"/>
      <c r="L23" s="63"/>
      <c r="M23" s="44">
        <f t="shared" si="1"/>
        <v>0</v>
      </c>
      <c r="N23" s="44">
        <v>10</v>
      </c>
      <c r="O23" s="48">
        <v>5.47</v>
      </c>
      <c r="P23" s="44">
        <f t="shared" si="2"/>
        <v>10</v>
      </c>
      <c r="Q23" s="69"/>
      <c r="R23" s="53"/>
      <c r="S23" s="44">
        <f t="shared" si="3"/>
        <v>9</v>
      </c>
      <c r="T23" s="44"/>
      <c r="U23" s="48"/>
      <c r="V23" s="44">
        <f t="shared" si="4"/>
        <v>9</v>
      </c>
      <c r="W23" s="69"/>
      <c r="X23" s="53"/>
      <c r="Y23" s="44">
        <f t="shared" si="5"/>
        <v>6</v>
      </c>
    </row>
    <row r="24" spans="1:25" x14ac:dyDescent="0.25">
      <c r="A24" s="1" t="s">
        <v>78</v>
      </c>
      <c r="B24" s="1" t="s">
        <v>20</v>
      </c>
      <c r="C24" s="4" t="s">
        <v>103</v>
      </c>
      <c r="D24" s="11" t="s">
        <v>52</v>
      </c>
      <c r="E24" s="44">
        <v>1</v>
      </c>
      <c r="F24" s="58"/>
      <c r="G24" s="44">
        <v>0</v>
      </c>
      <c r="H24" s="44">
        <v>10</v>
      </c>
      <c r="I24" s="48">
        <v>4.95</v>
      </c>
      <c r="J24" s="44">
        <f t="shared" si="0"/>
        <v>10</v>
      </c>
      <c r="K24" s="69"/>
      <c r="L24" s="63"/>
      <c r="M24" s="44">
        <f>J24-(K$2*E24)</f>
        <v>9</v>
      </c>
      <c r="N24" s="44"/>
      <c r="O24" s="48"/>
      <c r="P24" s="44">
        <f t="shared" si="2"/>
        <v>9</v>
      </c>
      <c r="Q24" s="69"/>
      <c r="R24" s="53"/>
      <c r="S24" s="44">
        <f t="shared" si="3"/>
        <v>8</v>
      </c>
      <c r="T24" s="44"/>
      <c r="U24" s="48"/>
      <c r="V24" s="44">
        <f t="shared" si="4"/>
        <v>8</v>
      </c>
      <c r="W24" s="69"/>
      <c r="X24" s="53"/>
      <c r="Y24" s="44">
        <f t="shared" si="5"/>
        <v>5</v>
      </c>
    </row>
    <row r="25" spans="1:25" x14ac:dyDescent="0.25">
      <c r="A25" s="1" t="s">
        <v>23</v>
      </c>
      <c r="B25" s="1" t="s">
        <v>22</v>
      </c>
      <c r="C25" s="4" t="s">
        <v>122</v>
      </c>
      <c r="D25" s="11" t="s">
        <v>52</v>
      </c>
      <c r="E25" s="44">
        <v>1</v>
      </c>
      <c r="F25" s="58"/>
      <c r="G25" s="44">
        <v>0</v>
      </c>
      <c r="H25" s="44">
        <v>1</v>
      </c>
      <c r="I25" s="48">
        <v>0.42</v>
      </c>
      <c r="J25" s="44">
        <f t="shared" si="0"/>
        <v>1</v>
      </c>
      <c r="K25" s="69"/>
      <c r="L25" s="63"/>
      <c r="M25" s="44">
        <f t="shared" si="1"/>
        <v>0</v>
      </c>
      <c r="N25" s="44">
        <v>10</v>
      </c>
      <c r="O25" s="48">
        <v>3.93</v>
      </c>
      <c r="P25" s="44">
        <f t="shared" si="2"/>
        <v>10</v>
      </c>
      <c r="Q25" s="69"/>
      <c r="R25" s="53"/>
      <c r="S25" s="44">
        <f t="shared" si="3"/>
        <v>9</v>
      </c>
      <c r="T25" s="44"/>
      <c r="U25" s="48"/>
      <c r="V25" s="44">
        <f t="shared" si="4"/>
        <v>9</v>
      </c>
      <c r="W25" s="69"/>
      <c r="X25" s="53"/>
      <c r="Y25" s="44">
        <f t="shared" si="5"/>
        <v>6</v>
      </c>
    </row>
    <row r="26" spans="1:25" x14ac:dyDescent="0.25">
      <c r="A26" s="1" t="s">
        <v>126</v>
      </c>
      <c r="B26" s="1"/>
      <c r="C26" s="45">
        <v>1317</v>
      </c>
      <c r="D26" s="11" t="s">
        <v>52</v>
      </c>
      <c r="E26" s="44">
        <v>1</v>
      </c>
      <c r="F26" s="58"/>
      <c r="G26" s="44">
        <v>0</v>
      </c>
      <c r="H26" s="44">
        <v>1</v>
      </c>
      <c r="I26" s="48">
        <v>5.95</v>
      </c>
      <c r="J26" s="44">
        <f t="shared" si="0"/>
        <v>1</v>
      </c>
      <c r="K26" s="69"/>
      <c r="L26" s="63"/>
      <c r="M26" s="44">
        <f t="shared" si="1"/>
        <v>0</v>
      </c>
      <c r="N26" s="44">
        <v>1</v>
      </c>
      <c r="O26" s="48">
        <v>5.95</v>
      </c>
      <c r="P26" s="44">
        <f t="shared" si="2"/>
        <v>1</v>
      </c>
      <c r="Q26" s="69"/>
      <c r="R26" s="53"/>
      <c r="S26" s="44">
        <f t="shared" si="3"/>
        <v>0</v>
      </c>
      <c r="T26" s="44">
        <v>3</v>
      </c>
      <c r="U26" s="48">
        <f>5.95*T26</f>
        <v>17.850000000000001</v>
      </c>
      <c r="V26" s="44">
        <f t="shared" si="4"/>
        <v>3</v>
      </c>
      <c r="W26" s="69"/>
      <c r="X26" s="53"/>
      <c r="Y26" s="44">
        <f t="shared" si="5"/>
        <v>0</v>
      </c>
    </row>
    <row r="27" spans="1:25" x14ac:dyDescent="0.25">
      <c r="A27" s="1" t="s">
        <v>96</v>
      </c>
      <c r="B27" s="1"/>
      <c r="C27" s="4"/>
      <c r="D27" s="10" t="s">
        <v>95</v>
      </c>
      <c r="E27" s="44">
        <v>1</v>
      </c>
      <c r="F27" s="58"/>
      <c r="G27" s="44">
        <v>8</v>
      </c>
      <c r="I27" s="48"/>
      <c r="J27" s="44">
        <f>G27+H27-1</f>
        <v>7</v>
      </c>
      <c r="K27" s="69"/>
      <c r="L27" s="63"/>
      <c r="M27" s="44">
        <f>J27-(K$2*E27)</f>
        <v>6</v>
      </c>
      <c r="N27" s="44"/>
      <c r="O27" s="48"/>
      <c r="P27" s="44">
        <f t="shared" si="2"/>
        <v>6</v>
      </c>
      <c r="Q27" s="69"/>
      <c r="R27" s="53"/>
      <c r="S27" s="44">
        <f t="shared" si="3"/>
        <v>5</v>
      </c>
      <c r="T27" s="44"/>
      <c r="U27" s="48"/>
      <c r="V27" s="44">
        <f t="shared" si="4"/>
        <v>5</v>
      </c>
      <c r="W27" s="69"/>
      <c r="X27" s="53"/>
      <c r="Y27" s="44">
        <f t="shared" si="5"/>
        <v>2</v>
      </c>
    </row>
    <row r="28" spans="1:25" x14ac:dyDescent="0.25">
      <c r="A28" s="1" t="s">
        <v>68</v>
      </c>
      <c r="B28" s="1" t="s">
        <v>5</v>
      </c>
      <c r="C28" s="1" t="s">
        <v>67</v>
      </c>
      <c r="D28" s="9" t="s">
        <v>53</v>
      </c>
      <c r="E28" s="44">
        <v>1</v>
      </c>
      <c r="F28" s="58"/>
      <c r="G28" s="44">
        <v>0</v>
      </c>
      <c r="H28" s="44">
        <v>2</v>
      </c>
      <c r="I28" s="48">
        <f>1.85+11.18</f>
        <v>13.03</v>
      </c>
      <c r="J28" s="44">
        <f t="shared" si="0"/>
        <v>2</v>
      </c>
      <c r="K28" s="69"/>
      <c r="L28" s="63"/>
      <c r="M28" s="44">
        <f>J28-(K$2*E28)</f>
        <v>1</v>
      </c>
      <c r="N28" s="44"/>
      <c r="O28" s="48"/>
      <c r="P28" s="44">
        <f t="shared" si="2"/>
        <v>1</v>
      </c>
      <c r="Q28" s="69"/>
      <c r="R28" s="53"/>
      <c r="S28" s="44">
        <f t="shared" si="3"/>
        <v>0</v>
      </c>
      <c r="T28" s="44">
        <v>5</v>
      </c>
      <c r="U28" s="48">
        <f>27.95+1.85</f>
        <v>29.8</v>
      </c>
      <c r="V28" s="44">
        <f t="shared" si="4"/>
        <v>5</v>
      </c>
      <c r="W28" s="69"/>
      <c r="X28" s="53"/>
      <c r="Y28" s="44">
        <f t="shared" si="5"/>
        <v>2</v>
      </c>
    </row>
    <row r="29" spans="1:25" x14ac:dyDescent="0.25">
      <c r="A29" s="1" t="s">
        <v>63</v>
      </c>
      <c r="B29" s="1" t="s">
        <v>14</v>
      </c>
      <c r="C29" s="1" t="s">
        <v>86</v>
      </c>
      <c r="D29" s="9" t="s">
        <v>53</v>
      </c>
      <c r="E29" s="44">
        <v>1</v>
      </c>
      <c r="F29" s="58"/>
      <c r="G29" s="44">
        <v>0</v>
      </c>
      <c r="H29" s="44">
        <v>4</v>
      </c>
      <c r="I29" s="48">
        <f>17.82+17.5</f>
        <v>35.32</v>
      </c>
      <c r="J29" s="44">
        <f>G29+H29-2</f>
        <v>2</v>
      </c>
      <c r="K29" s="69"/>
      <c r="L29" s="63"/>
      <c r="M29" s="44">
        <f>J29-(K$2*E29)</f>
        <v>1</v>
      </c>
      <c r="N29" s="44"/>
      <c r="O29" s="48"/>
      <c r="P29" s="44">
        <f t="shared" si="2"/>
        <v>1</v>
      </c>
      <c r="Q29" s="69"/>
      <c r="R29" s="53"/>
      <c r="S29" s="44">
        <f t="shared" si="3"/>
        <v>0</v>
      </c>
      <c r="T29" s="44">
        <v>5</v>
      </c>
      <c r="U29" s="48">
        <v>41</v>
      </c>
      <c r="V29" s="44">
        <f t="shared" si="4"/>
        <v>5</v>
      </c>
      <c r="W29" s="69"/>
      <c r="X29" s="53"/>
      <c r="Y29" s="44">
        <f t="shared" si="5"/>
        <v>2</v>
      </c>
    </row>
    <row r="30" spans="1:25" x14ac:dyDescent="0.25">
      <c r="A30" s="1" t="s">
        <v>127</v>
      </c>
      <c r="B30" s="1"/>
      <c r="C30" s="4"/>
      <c r="D30" s="9" t="s">
        <v>53</v>
      </c>
      <c r="E30" s="44">
        <v>1</v>
      </c>
      <c r="F30" s="58"/>
      <c r="G30" s="44">
        <v>0</v>
      </c>
      <c r="H30" s="44">
        <v>100</v>
      </c>
      <c r="I30" s="48">
        <v>3.66</v>
      </c>
      <c r="J30" s="44">
        <f t="shared" si="0"/>
        <v>100</v>
      </c>
      <c r="K30" s="69"/>
      <c r="L30" s="63"/>
      <c r="M30" s="44">
        <f t="shared" si="1"/>
        <v>99</v>
      </c>
      <c r="N30" s="44"/>
      <c r="O30" s="48"/>
      <c r="P30" s="44">
        <f t="shared" si="2"/>
        <v>99</v>
      </c>
      <c r="Q30" s="69"/>
      <c r="R30" s="53"/>
      <c r="S30" s="44">
        <f t="shared" si="3"/>
        <v>98</v>
      </c>
      <c r="T30" s="44"/>
      <c r="U30" s="48"/>
      <c r="V30" s="44">
        <f t="shared" si="4"/>
        <v>98</v>
      </c>
      <c r="W30" s="69"/>
      <c r="X30" s="53"/>
      <c r="Y30" s="44">
        <f t="shared" si="5"/>
        <v>95</v>
      </c>
    </row>
    <row r="31" spans="1:25" x14ac:dyDescent="0.25">
      <c r="A31" s="1" t="s">
        <v>110</v>
      </c>
      <c r="B31" s="1"/>
      <c r="C31" s="4"/>
      <c r="D31" s="9" t="s">
        <v>53</v>
      </c>
      <c r="E31" s="44">
        <v>1</v>
      </c>
      <c r="F31" s="58"/>
      <c r="G31" s="44">
        <v>1</v>
      </c>
      <c r="H31" s="44">
        <v>2</v>
      </c>
      <c r="I31" s="48">
        <v>4.67</v>
      </c>
      <c r="J31" s="44">
        <f t="shared" si="0"/>
        <v>3</v>
      </c>
      <c r="K31" s="69"/>
      <c r="L31" s="63"/>
      <c r="M31" s="44">
        <f t="shared" si="1"/>
        <v>2</v>
      </c>
      <c r="N31" s="44"/>
      <c r="O31" s="48"/>
      <c r="P31" s="44">
        <f t="shared" si="2"/>
        <v>2</v>
      </c>
      <c r="Q31" s="69"/>
      <c r="R31" s="53"/>
      <c r="S31" s="44">
        <f t="shared" si="3"/>
        <v>1</v>
      </c>
      <c r="T31" s="44">
        <v>2</v>
      </c>
      <c r="U31" s="48">
        <v>4.67</v>
      </c>
      <c r="V31" s="44">
        <f t="shared" si="4"/>
        <v>3</v>
      </c>
      <c r="W31" s="69"/>
      <c r="X31" s="53"/>
      <c r="Y31" s="44">
        <f t="shared" si="5"/>
        <v>0</v>
      </c>
    </row>
    <row r="32" spans="1:25" x14ac:dyDescent="0.25">
      <c r="A32" s="1" t="s">
        <v>111</v>
      </c>
      <c r="B32" s="1"/>
      <c r="C32" s="4"/>
      <c r="D32" s="9" t="s">
        <v>53</v>
      </c>
      <c r="E32" s="44">
        <v>1</v>
      </c>
      <c r="F32" s="58"/>
      <c r="G32" s="44">
        <v>2</v>
      </c>
      <c r="I32" s="48"/>
      <c r="J32" s="44">
        <f t="shared" si="0"/>
        <v>2</v>
      </c>
      <c r="K32" s="69"/>
      <c r="L32" s="63"/>
      <c r="M32" s="44">
        <f t="shared" si="1"/>
        <v>1</v>
      </c>
      <c r="N32" s="44"/>
      <c r="O32" s="48"/>
      <c r="P32" s="44">
        <f t="shared" si="2"/>
        <v>1</v>
      </c>
      <c r="Q32" s="69"/>
      <c r="R32" s="53"/>
      <c r="S32" s="44">
        <f t="shared" si="3"/>
        <v>0</v>
      </c>
      <c r="T32" s="44">
        <v>64</v>
      </c>
      <c r="U32" s="48">
        <v>10.82</v>
      </c>
      <c r="V32" s="44">
        <f t="shared" si="4"/>
        <v>64</v>
      </c>
      <c r="W32" s="69"/>
      <c r="X32" s="53"/>
      <c r="Y32" s="44">
        <f t="shared" si="5"/>
        <v>61</v>
      </c>
    </row>
    <row r="33" spans="1:25" x14ac:dyDescent="0.25">
      <c r="A33" s="1" t="s">
        <v>107</v>
      </c>
      <c r="B33" s="1"/>
      <c r="C33" s="4"/>
      <c r="D33" s="9" t="s">
        <v>53</v>
      </c>
      <c r="E33" s="44">
        <v>1</v>
      </c>
      <c r="F33" s="58"/>
      <c r="G33" s="44">
        <v>3</v>
      </c>
      <c r="I33" s="48"/>
      <c r="J33" s="44">
        <f t="shared" si="0"/>
        <v>3</v>
      </c>
      <c r="K33" s="69"/>
      <c r="L33" s="63"/>
      <c r="M33" s="44">
        <f t="shared" si="1"/>
        <v>2</v>
      </c>
      <c r="N33" s="44"/>
      <c r="O33" s="48"/>
      <c r="P33" s="44">
        <f t="shared" si="2"/>
        <v>2</v>
      </c>
      <c r="Q33" s="69"/>
      <c r="R33" s="53"/>
      <c r="S33" s="44">
        <f t="shared" si="3"/>
        <v>1</v>
      </c>
      <c r="T33" s="44">
        <v>5</v>
      </c>
      <c r="U33" s="48">
        <v>5.6</v>
      </c>
      <c r="V33" s="44">
        <f t="shared" si="4"/>
        <v>6</v>
      </c>
      <c r="W33" s="69"/>
      <c r="X33" s="53"/>
      <c r="Y33" s="44">
        <f t="shared" si="5"/>
        <v>3</v>
      </c>
    </row>
    <row r="34" spans="1:25" x14ac:dyDescent="0.25">
      <c r="A34" s="1" t="s">
        <v>123</v>
      </c>
      <c r="B34" s="1"/>
      <c r="C34" s="4"/>
      <c r="D34" s="9" t="s">
        <v>53</v>
      </c>
      <c r="E34" s="44">
        <v>1</v>
      </c>
      <c r="F34" s="58"/>
      <c r="G34" s="44">
        <v>0</v>
      </c>
      <c r="H34" s="44">
        <v>1</v>
      </c>
      <c r="I34" s="48">
        <v>0.88</v>
      </c>
      <c r="J34" s="44">
        <f>G34+H34</f>
        <v>1</v>
      </c>
      <c r="K34" s="69"/>
      <c r="L34" s="63"/>
      <c r="M34" s="44">
        <f>J34-(K$2*E34)</f>
        <v>0</v>
      </c>
      <c r="N34" s="44">
        <v>10</v>
      </c>
      <c r="O34" s="48">
        <v>8.8000000000000007</v>
      </c>
      <c r="P34" s="44">
        <f t="shared" si="2"/>
        <v>10</v>
      </c>
      <c r="Q34" s="69"/>
      <c r="R34" s="53"/>
      <c r="S34" s="44">
        <f t="shared" si="3"/>
        <v>9</v>
      </c>
      <c r="T34" s="44">
        <v>10</v>
      </c>
      <c r="U34" s="48">
        <v>8.8000000000000007</v>
      </c>
      <c r="V34" s="44">
        <f t="shared" si="4"/>
        <v>19</v>
      </c>
      <c r="W34" s="69"/>
      <c r="X34" s="53"/>
      <c r="Y34" s="44">
        <f t="shared" si="5"/>
        <v>16</v>
      </c>
    </row>
    <row r="35" spans="1:25" x14ac:dyDescent="0.25">
      <c r="A35" s="1" t="s">
        <v>140</v>
      </c>
      <c r="B35" s="1"/>
      <c r="C35" s="4"/>
      <c r="D35" s="9" t="s">
        <v>53</v>
      </c>
      <c r="E35" s="44">
        <v>4</v>
      </c>
      <c r="F35" s="58"/>
      <c r="G35" s="44">
        <v>26</v>
      </c>
      <c r="I35" s="48"/>
      <c r="J35" s="44">
        <f>G35+H35</f>
        <v>26</v>
      </c>
      <c r="K35" s="69"/>
      <c r="L35" s="63"/>
      <c r="M35" s="44">
        <f>J35-(K$2*E35)</f>
        <v>22</v>
      </c>
      <c r="N35" s="44"/>
      <c r="O35" s="48"/>
      <c r="P35" s="44">
        <f t="shared" si="2"/>
        <v>22</v>
      </c>
      <c r="Q35" s="69"/>
      <c r="R35" s="53"/>
      <c r="S35" s="44">
        <f t="shared" si="3"/>
        <v>18</v>
      </c>
      <c r="T35" s="44"/>
      <c r="U35" s="48"/>
      <c r="V35" s="44">
        <f t="shared" si="4"/>
        <v>18</v>
      </c>
      <c r="W35" s="69"/>
      <c r="X35" s="53"/>
      <c r="Y35" s="44">
        <f t="shared" si="5"/>
        <v>6</v>
      </c>
    </row>
    <row r="36" spans="1:25" x14ac:dyDescent="0.25">
      <c r="A36" s="1" t="s">
        <v>106</v>
      </c>
      <c r="B36" s="1"/>
      <c r="C36" s="4"/>
      <c r="D36" s="11" t="s">
        <v>52</v>
      </c>
      <c r="F36" s="60"/>
      <c r="G36" s="54"/>
      <c r="H36" s="68" t="s">
        <v>136</v>
      </c>
      <c r="I36" s="47">
        <v>8.99</v>
      </c>
      <c r="J36" s="53"/>
      <c r="K36" s="69"/>
      <c r="L36" s="63"/>
      <c r="M36" s="54"/>
      <c r="N36" s="68" t="s">
        <v>136</v>
      </c>
      <c r="O36" s="48">
        <v>8.99</v>
      </c>
      <c r="P36" s="54"/>
      <c r="Q36" s="69"/>
      <c r="R36" s="53"/>
      <c r="S36" s="54"/>
      <c r="T36" s="68" t="s">
        <v>136</v>
      </c>
      <c r="U36" s="48">
        <v>8.99</v>
      </c>
      <c r="V36" s="54"/>
      <c r="W36" s="69"/>
      <c r="X36" s="53"/>
      <c r="Y36" s="54"/>
    </row>
    <row r="37" spans="1:25" x14ac:dyDescent="0.25">
      <c r="A37" s="1" t="s">
        <v>141</v>
      </c>
      <c r="B37" s="1"/>
      <c r="C37" s="4"/>
      <c r="D37" s="11"/>
      <c r="F37" s="60"/>
      <c r="G37" s="54"/>
      <c r="H37" s="68"/>
      <c r="I37" s="47">
        <f>0.135*I43</f>
        <v>10.8</v>
      </c>
      <c r="J37" s="53"/>
      <c r="K37" s="69"/>
      <c r="L37" s="63"/>
      <c r="M37" s="54"/>
      <c r="N37" s="68"/>
      <c r="O37" s="48">
        <f>I37</f>
        <v>10.8</v>
      </c>
      <c r="P37" s="54"/>
      <c r="Q37" s="69"/>
      <c r="R37" s="53"/>
      <c r="S37" s="54"/>
      <c r="T37" s="68"/>
      <c r="U37" s="48"/>
      <c r="V37" s="54"/>
      <c r="W37" s="69"/>
      <c r="X37" s="53"/>
      <c r="Y37" s="54"/>
    </row>
    <row r="38" spans="1:25" ht="15" customHeight="1" x14ac:dyDescent="0.25">
      <c r="A38" s="1" t="s">
        <v>142</v>
      </c>
      <c r="B38" s="1"/>
      <c r="C38" s="4"/>
      <c r="D38" s="11"/>
      <c r="F38" s="60"/>
      <c r="G38" s="54"/>
      <c r="H38" s="68"/>
      <c r="I38" s="47">
        <v>3.5</v>
      </c>
      <c r="J38" s="53"/>
      <c r="K38" s="69"/>
      <c r="L38" s="63"/>
      <c r="M38" s="54"/>
      <c r="N38" s="68"/>
      <c r="O38" s="48">
        <f>I38</f>
        <v>3.5</v>
      </c>
      <c r="P38" s="54"/>
      <c r="Q38" s="69"/>
      <c r="R38" s="53"/>
      <c r="S38" s="54"/>
      <c r="T38" s="68"/>
      <c r="U38" s="48"/>
      <c r="V38" s="54"/>
      <c r="W38" s="69"/>
      <c r="X38" s="53"/>
      <c r="Y38" s="54"/>
    </row>
    <row r="39" spans="1:25" x14ac:dyDescent="0.25">
      <c r="A39" s="1" t="s">
        <v>124</v>
      </c>
      <c r="B39" s="1"/>
      <c r="C39" s="4"/>
      <c r="D39" s="11" t="s">
        <v>52</v>
      </c>
      <c r="E39" s="46">
        <v>5.3699999999999998E-2</v>
      </c>
      <c r="F39" s="61"/>
      <c r="G39" s="54"/>
      <c r="H39" s="68" t="s">
        <v>137</v>
      </c>
      <c r="I39" s="48">
        <f>($E39*SUM(I2:I26))</f>
        <v>2.2355310000000004</v>
      </c>
      <c r="J39" s="53"/>
      <c r="K39" s="70"/>
      <c r="L39" s="64"/>
      <c r="M39" s="54"/>
      <c r="N39" s="68" t="s">
        <v>137</v>
      </c>
      <c r="O39" s="48">
        <f>($E39*SUM(O2:O26))</f>
        <v>3.5952149999999992</v>
      </c>
      <c r="P39" s="54"/>
      <c r="Q39" s="70"/>
      <c r="R39" s="57"/>
      <c r="S39" s="54"/>
      <c r="T39" s="68" t="s">
        <v>137</v>
      </c>
      <c r="U39" s="48">
        <f>($E39*SUM(U2:U26))</f>
        <v>1.5331349999999999</v>
      </c>
      <c r="V39" s="54"/>
      <c r="W39" s="70"/>
      <c r="X39" s="57"/>
      <c r="Y39" s="54"/>
    </row>
    <row r="40" spans="1:25" s="49" customFormat="1" x14ac:dyDescent="0.25">
      <c r="A40" s="49" t="s">
        <v>132</v>
      </c>
      <c r="F40" s="62"/>
      <c r="G40" s="55"/>
      <c r="H40" s="67" t="s">
        <v>139</v>
      </c>
      <c r="I40" s="50">
        <f>-1*SUM(I1:I39)</f>
        <v>-124.715531</v>
      </c>
      <c r="J40" s="67" t="s">
        <v>138</v>
      </c>
      <c r="K40" s="50">
        <f>I43*(K2)-(0.135*I43)</f>
        <v>69.2</v>
      </c>
      <c r="L40" s="65"/>
      <c r="M40" s="55"/>
      <c r="N40" s="67" t="s">
        <v>139</v>
      </c>
      <c r="O40" s="51">
        <f>-1*SUM(O2:O39)</f>
        <v>-102.63521499999997</v>
      </c>
      <c r="P40" s="67" t="s">
        <v>138</v>
      </c>
      <c r="Q40" s="50">
        <f>99*Q2</f>
        <v>99</v>
      </c>
      <c r="R40" s="55"/>
      <c r="S40" s="55"/>
      <c r="T40" s="67" t="s">
        <v>139</v>
      </c>
      <c r="U40" s="51">
        <f>-1*SUM(U2:U39)</f>
        <v>-139.76313500000001</v>
      </c>
      <c r="V40" s="67" t="s">
        <v>138</v>
      </c>
      <c r="W40" s="50">
        <f>99*W2</f>
        <v>297</v>
      </c>
      <c r="X40" s="55"/>
      <c r="Y40" s="55"/>
    </row>
    <row r="41" spans="1:25" s="49" customFormat="1" x14ac:dyDescent="0.25">
      <c r="A41" s="49" t="s">
        <v>109</v>
      </c>
      <c r="F41" s="62"/>
      <c r="G41" s="55"/>
      <c r="H41" s="56"/>
      <c r="I41" s="55"/>
      <c r="J41" s="67" t="s">
        <v>128</v>
      </c>
      <c r="K41" s="51">
        <f>K40+I40</f>
        <v>-55.515530999999996</v>
      </c>
      <c r="L41" s="66"/>
      <c r="M41" s="55"/>
      <c r="N41" s="55"/>
      <c r="O41" s="55"/>
      <c r="P41" s="67" t="s">
        <v>109</v>
      </c>
      <c r="Q41" s="51">
        <f>Q40+O40</f>
        <v>-3.6352149999999739</v>
      </c>
      <c r="R41" s="55"/>
      <c r="S41" s="55"/>
      <c r="T41" s="55"/>
      <c r="U41" s="55"/>
      <c r="V41" s="67" t="s">
        <v>109</v>
      </c>
      <c r="W41" s="51">
        <f>W40+U40</f>
        <v>157.23686499999999</v>
      </c>
      <c r="X41" s="55"/>
      <c r="Y41" s="55"/>
    </row>
    <row r="42" spans="1:25" s="54" customFormat="1" x14ac:dyDescent="0.25">
      <c r="F42" s="60"/>
      <c r="G42" s="60" t="s">
        <v>133</v>
      </c>
      <c r="H42" s="58"/>
      <c r="I42" s="60"/>
      <c r="J42" s="58"/>
      <c r="K42" s="60"/>
      <c r="L42" s="60"/>
      <c r="M42" s="54" t="s">
        <v>134</v>
      </c>
      <c r="S42" s="54" t="s">
        <v>135</v>
      </c>
    </row>
    <row r="43" spans="1:25" s="54" customFormat="1" x14ac:dyDescent="0.25">
      <c r="H43" s="68" t="s">
        <v>143</v>
      </c>
      <c r="I43" s="71">
        <v>80</v>
      </c>
      <c r="J43" s="53"/>
    </row>
    <row r="44" spans="1:25" s="54" customFormat="1" x14ac:dyDescent="0.25">
      <c r="H44" s="53"/>
      <c r="J44" s="53"/>
    </row>
    <row r="45" spans="1:25" s="54" customFormat="1" x14ac:dyDescent="0.25">
      <c r="H45" s="53"/>
      <c r="J45" s="53"/>
    </row>
    <row r="46" spans="1:25" s="54" customFormat="1" x14ac:dyDescent="0.25">
      <c r="H46" s="53"/>
      <c r="J46" s="53"/>
    </row>
    <row r="47" spans="1:25" s="54" customFormat="1" x14ac:dyDescent="0.25">
      <c r="H47" s="53"/>
      <c r="J47" s="53"/>
    </row>
    <row r="48" spans="1:25" s="54" customFormat="1" x14ac:dyDescent="0.25">
      <c r="H48" s="53"/>
      <c r="J48" s="53"/>
    </row>
    <row r="49" spans="8:10" s="54" customFormat="1" x14ac:dyDescent="0.25">
      <c r="H49" s="53"/>
      <c r="J49" s="53"/>
    </row>
    <row r="50" spans="8:10" s="54" customFormat="1" x14ac:dyDescent="0.25">
      <c r="H50" s="53"/>
      <c r="J50" s="53"/>
    </row>
    <row r="51" spans="8:10" s="54" customFormat="1" x14ac:dyDescent="0.25">
      <c r="H51" s="53"/>
      <c r="J51" s="53"/>
    </row>
    <row r="52" spans="8:10" s="54" customFormat="1" x14ac:dyDescent="0.25">
      <c r="H52" s="53"/>
      <c r="J52" s="53"/>
    </row>
    <row r="53" spans="8:10" s="54" customFormat="1" x14ac:dyDescent="0.25">
      <c r="H53" s="53"/>
      <c r="J53" s="53"/>
    </row>
    <row r="54" spans="8:10" s="54" customFormat="1" x14ac:dyDescent="0.25">
      <c r="H54" s="53"/>
      <c r="J54" s="53"/>
    </row>
    <row r="55" spans="8:10" s="54" customFormat="1" x14ac:dyDescent="0.25">
      <c r="H55" s="53"/>
      <c r="J55" s="53"/>
    </row>
    <row r="56" spans="8:10" s="54" customFormat="1" x14ac:dyDescent="0.25">
      <c r="H56" s="53"/>
      <c r="J56" s="53"/>
    </row>
    <row r="57" spans="8:10" s="54" customFormat="1" x14ac:dyDescent="0.25">
      <c r="H57" s="53"/>
      <c r="J57" s="53"/>
    </row>
    <row r="58" spans="8:10" s="54" customFormat="1" x14ac:dyDescent="0.25">
      <c r="H58" s="53"/>
      <c r="J58" s="53"/>
    </row>
    <row r="59" spans="8:10" s="54" customFormat="1" x14ac:dyDescent="0.25">
      <c r="H59" s="53"/>
      <c r="J59" s="53"/>
    </row>
    <row r="60" spans="8:10" s="54" customFormat="1" x14ac:dyDescent="0.25">
      <c r="H60" s="53"/>
      <c r="J60" s="53"/>
    </row>
    <row r="61" spans="8:10" s="54" customFormat="1" x14ac:dyDescent="0.25">
      <c r="H61" s="53"/>
      <c r="J61" s="53"/>
    </row>
    <row r="62" spans="8:10" s="54" customFormat="1" x14ac:dyDescent="0.25">
      <c r="H62" s="53"/>
      <c r="J62" s="53"/>
    </row>
    <row r="63" spans="8:10" s="54" customFormat="1" x14ac:dyDescent="0.25">
      <c r="H63" s="53"/>
      <c r="J63" s="53"/>
    </row>
    <row r="64" spans="8:10" s="54" customFormat="1" x14ac:dyDescent="0.25">
      <c r="H64" s="53"/>
      <c r="J64" s="53"/>
    </row>
    <row r="65" spans="8:10" s="54" customFormat="1" x14ac:dyDescent="0.25">
      <c r="H65" s="53"/>
      <c r="J65" s="53"/>
    </row>
    <row r="66" spans="8:10" s="54" customFormat="1" x14ac:dyDescent="0.25">
      <c r="H66" s="53"/>
      <c r="J66" s="53"/>
    </row>
    <row r="67" spans="8:10" s="54" customFormat="1" x14ac:dyDescent="0.25">
      <c r="H67" s="53"/>
      <c r="J67" s="53"/>
    </row>
    <row r="68" spans="8:10" s="54" customFormat="1" x14ac:dyDescent="0.25">
      <c r="H68" s="53"/>
      <c r="J68" s="53"/>
    </row>
    <row r="69" spans="8:10" s="54" customFormat="1" x14ac:dyDescent="0.25">
      <c r="H69" s="53"/>
      <c r="J69" s="53"/>
    </row>
    <row r="70" spans="8:10" s="54" customFormat="1" x14ac:dyDescent="0.25">
      <c r="H70" s="53"/>
      <c r="J70" s="53"/>
    </row>
    <row r="71" spans="8:10" s="54" customFormat="1" x14ac:dyDescent="0.25">
      <c r="H71" s="53"/>
      <c r="J71" s="53"/>
    </row>
    <row r="72" spans="8:10" s="54" customFormat="1" x14ac:dyDescent="0.25">
      <c r="H72" s="53"/>
      <c r="J72" s="53"/>
    </row>
    <row r="73" spans="8:10" s="54" customFormat="1" x14ac:dyDescent="0.25">
      <c r="H73" s="53"/>
      <c r="J73" s="53"/>
    </row>
    <row r="74" spans="8:10" s="54" customFormat="1" x14ac:dyDescent="0.25">
      <c r="H74" s="53"/>
      <c r="J74" s="53"/>
    </row>
    <row r="75" spans="8:10" s="54" customFormat="1" x14ac:dyDescent="0.25">
      <c r="H75" s="53"/>
      <c r="J75" s="53"/>
    </row>
    <row r="76" spans="8:10" s="54" customFormat="1" x14ac:dyDescent="0.25">
      <c r="H76" s="53"/>
      <c r="J76" s="53"/>
    </row>
    <row r="77" spans="8:10" s="54" customFormat="1" x14ac:dyDescent="0.25">
      <c r="H77" s="53"/>
      <c r="J77" s="53"/>
    </row>
    <row r="78" spans="8:10" s="54" customFormat="1" x14ac:dyDescent="0.25">
      <c r="H78" s="53"/>
      <c r="J78" s="53"/>
    </row>
    <row r="79" spans="8:10" s="54" customFormat="1" x14ac:dyDescent="0.25">
      <c r="H79" s="53"/>
      <c r="J79" s="53"/>
    </row>
    <row r="80" spans="8:10" s="54" customFormat="1" x14ac:dyDescent="0.25">
      <c r="H80" s="53"/>
      <c r="J80" s="53"/>
    </row>
    <row r="81" spans="8:10" s="54" customFormat="1" x14ac:dyDescent="0.25">
      <c r="H81" s="53"/>
      <c r="J81" s="53"/>
    </row>
    <row r="82" spans="8:10" s="54" customFormat="1" x14ac:dyDescent="0.25">
      <c r="H82" s="53"/>
      <c r="J82" s="53"/>
    </row>
    <row r="83" spans="8:10" s="54" customFormat="1" x14ac:dyDescent="0.25">
      <c r="H83" s="53"/>
      <c r="J83" s="53"/>
    </row>
    <row r="84" spans="8:10" s="54" customFormat="1" x14ac:dyDescent="0.25">
      <c r="H84" s="53"/>
      <c r="J84" s="53"/>
    </row>
    <row r="85" spans="8:10" s="54" customFormat="1" x14ac:dyDescent="0.25">
      <c r="H85" s="53"/>
      <c r="J85" s="53"/>
    </row>
    <row r="86" spans="8:10" s="54" customFormat="1" x14ac:dyDescent="0.25">
      <c r="H86" s="53"/>
      <c r="J86" s="53"/>
    </row>
    <row r="87" spans="8:10" s="54" customFormat="1" x14ac:dyDescent="0.25">
      <c r="H87" s="53"/>
      <c r="J87" s="53"/>
    </row>
    <row r="88" spans="8:10" s="54" customFormat="1" x14ac:dyDescent="0.25">
      <c r="H88" s="53"/>
      <c r="J88" s="53"/>
    </row>
    <row r="89" spans="8:10" s="54" customFormat="1" x14ac:dyDescent="0.25">
      <c r="H89" s="53"/>
      <c r="J89" s="53"/>
    </row>
    <row r="90" spans="8:10" s="54" customFormat="1" x14ac:dyDescent="0.25">
      <c r="H90" s="53"/>
      <c r="J90" s="53"/>
    </row>
    <row r="91" spans="8:10" s="54" customFormat="1" x14ac:dyDescent="0.25">
      <c r="H91" s="53"/>
      <c r="J91" s="53"/>
    </row>
    <row r="92" spans="8:10" s="54" customFormat="1" x14ac:dyDescent="0.25">
      <c r="H92" s="53"/>
      <c r="J92" s="53"/>
    </row>
    <row r="93" spans="8:10" s="54" customFormat="1" x14ac:dyDescent="0.25">
      <c r="H93" s="53"/>
      <c r="J93" s="53"/>
    </row>
    <row r="94" spans="8:10" s="54" customFormat="1" x14ac:dyDescent="0.25">
      <c r="H94" s="53"/>
      <c r="J94" s="53"/>
    </row>
    <row r="95" spans="8:10" s="54" customFormat="1" x14ac:dyDescent="0.25">
      <c r="H95" s="53"/>
      <c r="J95" s="53"/>
    </row>
    <row r="96" spans="8:10" s="54" customFormat="1" x14ac:dyDescent="0.25">
      <c r="H96" s="53"/>
      <c r="J96" s="53"/>
    </row>
    <row r="97" spans="8:10" s="54" customFormat="1" x14ac:dyDescent="0.25">
      <c r="H97" s="53"/>
      <c r="J97" s="53"/>
    </row>
    <row r="98" spans="8:10" s="54" customFormat="1" x14ac:dyDescent="0.25">
      <c r="H98" s="53"/>
      <c r="J98" s="53"/>
    </row>
    <row r="99" spans="8:10" s="54" customFormat="1" x14ac:dyDescent="0.25">
      <c r="H99" s="53"/>
      <c r="J99" s="53"/>
    </row>
    <row r="100" spans="8:10" s="54" customFormat="1" x14ac:dyDescent="0.25">
      <c r="H100" s="53"/>
      <c r="J100" s="53"/>
    </row>
    <row r="101" spans="8:10" s="54" customFormat="1" x14ac:dyDescent="0.25">
      <c r="H101" s="53"/>
      <c r="J101" s="53"/>
    </row>
    <row r="102" spans="8:10" s="54" customFormat="1" x14ac:dyDescent="0.25">
      <c r="H102" s="53"/>
      <c r="J102" s="53"/>
    </row>
    <row r="103" spans="8:10" s="54" customFormat="1" x14ac:dyDescent="0.25">
      <c r="H103" s="53"/>
      <c r="J103" s="53"/>
    </row>
    <row r="104" spans="8:10" s="54" customFormat="1" x14ac:dyDescent="0.25">
      <c r="H104" s="53"/>
      <c r="J104" s="53"/>
    </row>
    <row r="105" spans="8:10" s="54" customFormat="1" x14ac:dyDescent="0.25">
      <c r="H105" s="53"/>
      <c r="J105" s="53"/>
    </row>
    <row r="106" spans="8:10" s="54" customFormat="1" x14ac:dyDescent="0.25">
      <c r="H106" s="53"/>
      <c r="J106" s="53"/>
    </row>
    <row r="107" spans="8:10" s="54" customFormat="1" x14ac:dyDescent="0.25">
      <c r="H107" s="53"/>
      <c r="J107" s="53"/>
    </row>
    <row r="108" spans="8:10" s="54" customFormat="1" x14ac:dyDescent="0.25">
      <c r="H108" s="53"/>
      <c r="J108" s="53"/>
    </row>
    <row r="109" spans="8:10" s="54" customFormat="1" x14ac:dyDescent="0.25">
      <c r="H109" s="53"/>
      <c r="J109" s="53"/>
    </row>
    <row r="110" spans="8:10" s="54" customFormat="1" x14ac:dyDescent="0.25">
      <c r="H110" s="53"/>
      <c r="J110" s="53"/>
    </row>
    <row r="111" spans="8:10" s="54" customFormat="1" x14ac:dyDescent="0.25">
      <c r="H111" s="53"/>
      <c r="J111" s="53"/>
    </row>
    <row r="112" spans="8:10" s="54" customFormat="1" x14ac:dyDescent="0.25">
      <c r="H112" s="53"/>
      <c r="J112" s="53"/>
    </row>
    <row r="113" spans="8:10" s="54" customFormat="1" x14ac:dyDescent="0.25">
      <c r="H113" s="53"/>
      <c r="J113" s="53"/>
    </row>
    <row r="114" spans="8:10" s="54" customFormat="1" x14ac:dyDescent="0.25">
      <c r="H114" s="53"/>
      <c r="J114" s="53"/>
    </row>
    <row r="115" spans="8:10" s="54" customFormat="1" x14ac:dyDescent="0.25">
      <c r="H115" s="53"/>
      <c r="J115" s="53"/>
    </row>
    <row r="116" spans="8:10" s="54" customFormat="1" x14ac:dyDescent="0.25">
      <c r="H116" s="53"/>
      <c r="J116" s="53"/>
    </row>
    <row r="117" spans="8:10" s="54" customFormat="1" x14ac:dyDescent="0.25">
      <c r="H117" s="53"/>
      <c r="J117" s="53"/>
    </row>
    <row r="118" spans="8:10" s="54" customFormat="1" x14ac:dyDescent="0.25">
      <c r="H118" s="53"/>
      <c r="J118" s="53"/>
    </row>
    <row r="119" spans="8:10" s="54" customFormat="1" x14ac:dyDescent="0.25">
      <c r="H119" s="53"/>
      <c r="J119" s="53"/>
    </row>
    <row r="120" spans="8:10" s="54" customFormat="1" x14ac:dyDescent="0.25">
      <c r="H120" s="53"/>
      <c r="J120" s="53"/>
    </row>
    <row r="121" spans="8:10" s="54" customFormat="1" x14ac:dyDescent="0.25">
      <c r="H121" s="53"/>
      <c r="J121" s="53"/>
    </row>
    <row r="122" spans="8:10" s="54" customFormat="1" x14ac:dyDescent="0.25">
      <c r="H122" s="53"/>
      <c r="J122" s="53"/>
    </row>
    <row r="123" spans="8:10" s="54" customFormat="1" x14ac:dyDescent="0.25">
      <c r="H123" s="53"/>
      <c r="J123" s="53"/>
    </row>
    <row r="124" spans="8:10" s="54" customFormat="1" x14ac:dyDescent="0.25">
      <c r="H124" s="53"/>
      <c r="J124" s="53"/>
    </row>
    <row r="125" spans="8:10" s="54" customFormat="1" x14ac:dyDescent="0.25">
      <c r="H125" s="53"/>
      <c r="J125" s="53"/>
    </row>
    <row r="126" spans="8:10" s="54" customFormat="1" x14ac:dyDescent="0.25">
      <c r="H126" s="53"/>
      <c r="J126" s="53"/>
    </row>
    <row r="127" spans="8:10" s="54" customFormat="1" x14ac:dyDescent="0.25">
      <c r="H127" s="53"/>
      <c r="J127" s="53"/>
    </row>
    <row r="128" spans="8:10" s="54" customFormat="1" x14ac:dyDescent="0.25">
      <c r="H128" s="53"/>
      <c r="J128" s="53"/>
    </row>
    <row r="129" spans="8:10" s="54" customFormat="1" x14ac:dyDescent="0.25">
      <c r="H129" s="53"/>
      <c r="J129" s="53"/>
    </row>
    <row r="130" spans="8:10" s="54" customFormat="1" x14ac:dyDescent="0.25">
      <c r="H130" s="53"/>
      <c r="J130" s="53"/>
    </row>
    <row r="131" spans="8:10" s="54" customFormat="1" x14ac:dyDescent="0.25">
      <c r="H131" s="53"/>
      <c r="J131" s="53"/>
    </row>
    <row r="132" spans="8:10" s="54" customFormat="1" x14ac:dyDescent="0.25">
      <c r="H132" s="53"/>
      <c r="J132" s="53"/>
    </row>
    <row r="133" spans="8:10" s="54" customFormat="1" x14ac:dyDescent="0.25">
      <c r="H133" s="53"/>
      <c r="J133" s="53"/>
    </row>
    <row r="134" spans="8:10" s="54" customFormat="1" x14ac:dyDescent="0.25">
      <c r="H134" s="53"/>
      <c r="J134" s="53"/>
    </row>
    <row r="135" spans="8:10" s="54" customFormat="1" x14ac:dyDescent="0.25">
      <c r="H135" s="53"/>
      <c r="J135" s="53"/>
    </row>
    <row r="136" spans="8:10" s="54" customFormat="1" x14ac:dyDescent="0.25">
      <c r="H136" s="53"/>
      <c r="J136" s="53"/>
    </row>
    <row r="137" spans="8:10" s="54" customFormat="1" x14ac:dyDescent="0.25">
      <c r="H137" s="53"/>
      <c r="J137" s="53"/>
    </row>
    <row r="138" spans="8:10" s="54" customFormat="1" x14ac:dyDescent="0.25">
      <c r="H138" s="53"/>
      <c r="J138" s="53"/>
    </row>
    <row r="139" spans="8:10" s="54" customFormat="1" x14ac:dyDescent="0.25">
      <c r="H139" s="53"/>
      <c r="J139" s="53"/>
    </row>
    <row r="140" spans="8:10" s="54" customFormat="1" x14ac:dyDescent="0.25">
      <c r="H140" s="53"/>
      <c r="J140" s="53"/>
    </row>
    <row r="141" spans="8:10" s="54" customFormat="1" x14ac:dyDescent="0.25">
      <c r="H141" s="53"/>
      <c r="J141" s="53"/>
    </row>
    <row r="142" spans="8:10" s="54" customFormat="1" x14ac:dyDescent="0.25">
      <c r="H142" s="53"/>
      <c r="J142" s="53"/>
    </row>
    <row r="143" spans="8:10" s="54" customFormat="1" x14ac:dyDescent="0.25">
      <c r="H143" s="53"/>
      <c r="J143" s="53"/>
    </row>
    <row r="144" spans="8:10" s="54" customFormat="1" x14ac:dyDescent="0.25">
      <c r="H144" s="53"/>
      <c r="J144" s="53"/>
    </row>
    <row r="145" spans="8:10" s="54" customFormat="1" x14ac:dyDescent="0.25">
      <c r="H145" s="53"/>
      <c r="J145" s="53"/>
    </row>
    <row r="146" spans="8:10" s="54" customFormat="1" x14ac:dyDescent="0.25">
      <c r="H146" s="53"/>
      <c r="J146" s="53"/>
    </row>
    <row r="147" spans="8:10" s="54" customFormat="1" x14ac:dyDescent="0.25">
      <c r="H147" s="53"/>
      <c r="J147" s="53"/>
    </row>
    <row r="148" spans="8:10" s="54" customFormat="1" x14ac:dyDescent="0.25">
      <c r="H148" s="53"/>
      <c r="J148" s="53"/>
    </row>
    <row r="149" spans="8:10" s="54" customFormat="1" x14ac:dyDescent="0.25">
      <c r="H149" s="53"/>
      <c r="J149" s="53"/>
    </row>
    <row r="150" spans="8:10" s="54" customFormat="1" x14ac:dyDescent="0.25">
      <c r="H150" s="53"/>
      <c r="J150" s="53"/>
    </row>
    <row r="151" spans="8:10" s="54" customFormat="1" x14ac:dyDescent="0.25">
      <c r="H151" s="53"/>
      <c r="J151" s="53"/>
    </row>
    <row r="152" spans="8:10" s="54" customFormat="1" x14ac:dyDescent="0.25">
      <c r="H152" s="53"/>
      <c r="J152" s="53"/>
    </row>
    <row r="153" spans="8:10" s="54" customFormat="1" x14ac:dyDescent="0.25">
      <c r="H153" s="53"/>
      <c r="J153" s="53"/>
    </row>
    <row r="154" spans="8:10" s="54" customFormat="1" x14ac:dyDescent="0.25">
      <c r="H154" s="53"/>
      <c r="J154" s="53"/>
    </row>
    <row r="155" spans="8:10" s="54" customFormat="1" x14ac:dyDescent="0.25">
      <c r="H155" s="53"/>
      <c r="J155" s="53"/>
    </row>
    <row r="156" spans="8:10" s="54" customFormat="1" x14ac:dyDescent="0.25">
      <c r="H156" s="53"/>
      <c r="J156" s="53"/>
    </row>
    <row r="157" spans="8:10" s="54" customFormat="1" x14ac:dyDescent="0.25">
      <c r="H157" s="53"/>
      <c r="J157" s="53"/>
    </row>
    <row r="158" spans="8:10" s="54" customFormat="1" x14ac:dyDescent="0.25">
      <c r="H158" s="53"/>
      <c r="J158" s="53"/>
    </row>
    <row r="159" spans="8:10" s="54" customFormat="1" x14ac:dyDescent="0.25">
      <c r="H159" s="53"/>
      <c r="J159" s="53"/>
    </row>
    <row r="160" spans="8:10" s="54" customFormat="1" x14ac:dyDescent="0.25">
      <c r="H160" s="53"/>
      <c r="J160" s="53"/>
    </row>
    <row r="161" spans="8:10" s="54" customFormat="1" x14ac:dyDescent="0.25">
      <c r="H161" s="53"/>
      <c r="J161" s="53"/>
    </row>
    <row r="162" spans="8:10" s="54" customFormat="1" x14ac:dyDescent="0.25">
      <c r="H162" s="53"/>
      <c r="J162" s="53"/>
    </row>
    <row r="163" spans="8:10" s="54" customFormat="1" x14ac:dyDescent="0.25">
      <c r="H163" s="53"/>
      <c r="J163" s="53"/>
    </row>
    <row r="164" spans="8:10" s="54" customFormat="1" x14ac:dyDescent="0.25">
      <c r="H164" s="53"/>
      <c r="J164" s="53"/>
    </row>
    <row r="165" spans="8:10" s="54" customFormat="1" x14ac:dyDescent="0.25">
      <c r="H165" s="53"/>
      <c r="J165" s="53"/>
    </row>
    <row r="166" spans="8:10" s="54" customFormat="1" x14ac:dyDescent="0.25">
      <c r="H166" s="53"/>
      <c r="J166" s="53"/>
    </row>
    <row r="167" spans="8:10" s="54" customFormat="1" x14ac:dyDescent="0.25">
      <c r="H167" s="53"/>
      <c r="J167" s="53"/>
    </row>
    <row r="168" spans="8:10" s="54" customFormat="1" x14ac:dyDescent="0.25">
      <c r="H168" s="53"/>
      <c r="J168" s="53"/>
    </row>
    <row r="169" spans="8:10" s="54" customFormat="1" x14ac:dyDescent="0.25">
      <c r="H169" s="53"/>
      <c r="J169" s="53"/>
    </row>
    <row r="170" spans="8:10" s="54" customFormat="1" x14ac:dyDescent="0.25">
      <c r="H170" s="53"/>
      <c r="J170" s="53"/>
    </row>
    <row r="171" spans="8:10" s="54" customFormat="1" x14ac:dyDescent="0.25">
      <c r="H171" s="53"/>
      <c r="J171" s="53"/>
    </row>
    <row r="172" spans="8:10" s="54" customFormat="1" x14ac:dyDescent="0.25">
      <c r="H172" s="53"/>
      <c r="J172" s="53"/>
    </row>
    <row r="173" spans="8:10" s="54" customFormat="1" x14ac:dyDescent="0.25">
      <c r="H173" s="53"/>
      <c r="J173" s="53"/>
    </row>
    <row r="174" spans="8:10" s="54" customFormat="1" x14ac:dyDescent="0.25">
      <c r="H174" s="53"/>
      <c r="J174" s="53"/>
    </row>
    <row r="175" spans="8:10" s="54" customFormat="1" x14ac:dyDescent="0.25">
      <c r="H175" s="53"/>
      <c r="J175" s="53"/>
    </row>
    <row r="176" spans="8:10" s="54" customFormat="1" x14ac:dyDescent="0.25">
      <c r="H176" s="53"/>
      <c r="J176" s="53"/>
    </row>
    <row r="177" spans="8:10" s="54" customFormat="1" x14ac:dyDescent="0.25">
      <c r="H177" s="53"/>
      <c r="J177" s="53"/>
    </row>
    <row r="178" spans="8:10" s="54" customFormat="1" x14ac:dyDescent="0.25">
      <c r="H178" s="53"/>
      <c r="J178" s="53"/>
    </row>
    <row r="179" spans="8:10" s="54" customFormat="1" x14ac:dyDescent="0.25">
      <c r="H179" s="53"/>
      <c r="J179" s="53"/>
    </row>
    <row r="180" spans="8:10" s="54" customFormat="1" x14ac:dyDescent="0.25">
      <c r="H180" s="53"/>
      <c r="J180" s="53"/>
    </row>
    <row r="181" spans="8:10" s="54" customFormat="1" x14ac:dyDescent="0.25">
      <c r="H181" s="53"/>
      <c r="J181" s="53"/>
    </row>
    <row r="182" spans="8:10" s="54" customFormat="1" x14ac:dyDescent="0.25">
      <c r="H182" s="53"/>
      <c r="J182" s="53"/>
    </row>
    <row r="183" spans="8:10" s="54" customFormat="1" x14ac:dyDescent="0.25">
      <c r="H183" s="53"/>
      <c r="J183" s="53"/>
    </row>
    <row r="184" spans="8:10" s="54" customFormat="1" x14ac:dyDescent="0.25">
      <c r="H184" s="53"/>
      <c r="J184" s="53"/>
    </row>
    <row r="185" spans="8:10" s="54" customFormat="1" x14ac:dyDescent="0.25">
      <c r="H185" s="53"/>
      <c r="J185" s="53"/>
    </row>
    <row r="186" spans="8:10" s="54" customFormat="1" x14ac:dyDescent="0.25">
      <c r="H186" s="53"/>
      <c r="J186" s="53"/>
    </row>
    <row r="187" spans="8:10" s="54" customFormat="1" x14ac:dyDescent="0.25">
      <c r="H187" s="53"/>
      <c r="J187" s="53"/>
    </row>
    <row r="188" spans="8:10" s="54" customFormat="1" x14ac:dyDescent="0.25">
      <c r="H188" s="53"/>
      <c r="J188" s="53"/>
    </row>
    <row r="189" spans="8:10" s="54" customFormat="1" x14ac:dyDescent="0.25">
      <c r="H189" s="53"/>
      <c r="J189" s="53"/>
    </row>
    <row r="190" spans="8:10" s="54" customFormat="1" x14ac:dyDescent="0.25">
      <c r="H190" s="53"/>
      <c r="J190" s="53"/>
    </row>
    <row r="191" spans="8:10" s="54" customFormat="1" x14ac:dyDescent="0.25">
      <c r="H191" s="53"/>
      <c r="J191" s="53"/>
    </row>
    <row r="192" spans="8:10" s="54" customFormat="1" x14ac:dyDescent="0.25">
      <c r="H192" s="53"/>
      <c r="J192" s="53"/>
    </row>
    <row r="193" spans="8:10" s="54" customFormat="1" x14ac:dyDescent="0.25">
      <c r="H193" s="53"/>
      <c r="J193" s="53"/>
    </row>
    <row r="194" spans="8:10" s="54" customFormat="1" x14ac:dyDescent="0.25">
      <c r="H194" s="53"/>
      <c r="J194" s="53"/>
    </row>
    <row r="195" spans="8:10" s="54" customFormat="1" x14ac:dyDescent="0.25">
      <c r="H195" s="53"/>
      <c r="J195" s="53"/>
    </row>
    <row r="196" spans="8:10" s="54" customFormat="1" x14ac:dyDescent="0.25">
      <c r="H196" s="53"/>
      <c r="J196" s="53"/>
    </row>
    <row r="197" spans="8:10" s="54" customFormat="1" x14ac:dyDescent="0.25">
      <c r="H197" s="53"/>
      <c r="J197" s="53"/>
    </row>
    <row r="198" spans="8:10" s="54" customFormat="1" x14ac:dyDescent="0.25">
      <c r="H198" s="53"/>
      <c r="J198" s="53"/>
    </row>
    <row r="199" spans="8:10" s="54" customFormat="1" x14ac:dyDescent="0.25">
      <c r="H199" s="53"/>
      <c r="J199" s="53"/>
    </row>
    <row r="200" spans="8:10" s="54" customFormat="1" x14ac:dyDescent="0.25">
      <c r="H200" s="53"/>
      <c r="J200" s="53"/>
    </row>
    <row r="201" spans="8:10" s="54" customFormat="1" x14ac:dyDescent="0.25">
      <c r="H201" s="53"/>
      <c r="J201" s="53"/>
    </row>
  </sheetData>
  <mergeCells count="3">
    <mergeCell ref="K2:K39"/>
    <mergeCell ref="Q2:Q39"/>
    <mergeCell ref="W2:W39"/>
  </mergeCells>
  <conditionalFormatting sqref="G2:G35">
    <cfRule type="cellIs" dxfId="17" priority="15" operator="greaterThanOrEqual">
      <formula>$E2</formula>
    </cfRule>
    <cfRule type="cellIs" dxfId="16" priority="16" operator="lessThan">
      <formula>$E2</formula>
    </cfRule>
  </conditionalFormatting>
  <conditionalFormatting sqref="M2:M35">
    <cfRule type="cellIs" dxfId="15" priority="11" operator="lessThan">
      <formula>$E2</formula>
    </cfRule>
    <cfRule type="cellIs" dxfId="14" priority="12" operator="greaterThanOrEqual">
      <formula>$E2</formula>
    </cfRule>
  </conditionalFormatting>
  <conditionalFormatting sqref="S2:S35">
    <cfRule type="cellIs" dxfId="13" priority="9" operator="lessThan">
      <formula>$E2</formula>
    </cfRule>
    <cfRule type="cellIs" dxfId="12" priority="10" operator="greaterThanOrEqual">
      <formula>$E2</formula>
    </cfRule>
  </conditionalFormatting>
  <conditionalFormatting sqref="J2:J35">
    <cfRule type="cellIs" dxfId="11" priority="7" operator="lessThan">
      <formula>$E2</formula>
    </cfRule>
    <cfRule type="cellIs" dxfId="10" priority="8" operator="greaterThanOrEqual">
      <formula>$E2</formula>
    </cfRule>
  </conditionalFormatting>
  <conditionalFormatting sqref="P2:P35">
    <cfRule type="cellIs" dxfId="9" priority="5" operator="lessThan">
      <formula>$E2</formula>
    </cfRule>
    <cfRule type="cellIs" dxfId="8" priority="6" operator="greaterThanOrEqual">
      <formula>$E2</formula>
    </cfRule>
  </conditionalFormatting>
  <conditionalFormatting sqref="V2:V35">
    <cfRule type="cellIs" dxfId="7" priority="3" operator="lessThan">
      <formula>$E2</formula>
    </cfRule>
    <cfRule type="cellIs" dxfId="6" priority="4" operator="greaterThanOrEqual">
      <formula>$E2</formula>
    </cfRule>
  </conditionalFormatting>
  <conditionalFormatting sqref="Y2:Y35">
    <cfRule type="cellIs" dxfId="5" priority="1" operator="lessThan">
      <formula>$E2</formula>
    </cfRule>
    <cfRule type="cellIs" dxfId="4" priority="2" operator="greaterThanOrEqual">
      <formula>$E2</formula>
    </cfRule>
  </conditionalFormatting>
  <hyperlinks>
    <hyperlink ref="C10" r:id="rId1" display="https://www.digikey.com/scripts/DkSearch/dksus.dll?Detail&amp;itemSeq=255582543&amp;uq=636573277011711177" xr:uid="{00000000-0004-0000-0300-000000000000}"/>
    <hyperlink ref="C23" r:id="rId2" display="https://www.digikey.com/scripts/DkSearch/dksus.dll?Detail&amp;itemSeq=255006885&amp;uq=636573277011671173" xr:uid="{00000000-0004-0000-0300-000001000000}"/>
    <hyperlink ref="C12" r:id="rId3" display="https://www.digikey.com/product-detail/en/on-semiconductor/MMBT2222LT1G/MMBT2222LT1GOSCT-ND/1139808" xr:uid="{00000000-0004-0000-0300-000002000000}"/>
    <hyperlink ref="C22" r:id="rId4" display="https://www.digikey.com/scripts/DkSearch/dksus.dll?Detail&amp;itemSeq=255007731&amp;uq=636573292806049726" xr:uid="{00000000-0004-0000-0300-000003000000}"/>
    <hyperlink ref="C20" r:id="rId5" display="https://www.digikey.com/scripts/DkSearch/dksus.dll?Detail&amp;itemSeq=255007807&amp;uq=636573292806059726" xr:uid="{00000000-0004-0000-0300-000004000000}"/>
    <hyperlink ref="C7" r:id="rId6" display="https://www.digikey.com/scripts/DkSearch/dksus.dll?Detail&amp;itemSeq=255007915&amp;uq=636573292806059726" xr:uid="{00000000-0004-0000-0300-000005000000}"/>
    <hyperlink ref="C19" r:id="rId7" display="https://www.digikey.com/scripts/DkSearch/dksus.dll?Detail&amp;itemSeq=255008032&amp;uq=636573292806069726" xr:uid="{00000000-0004-0000-0300-000006000000}"/>
    <hyperlink ref="C11" r:id="rId8" display="https://www.digikey.com/scripts/DkSearch/dksus.dll?Detail&amp;itemSeq=255683609&amp;uq=636573305216640966" xr:uid="{00000000-0004-0000-0300-000007000000}"/>
    <hyperlink ref="C18" r:id="rId9" display="https://www.digikey.com/scripts/DkSearch/dksus.dll?Detail&amp;itemSeq=255008508&amp;uq=636573292806069726" xr:uid="{00000000-0004-0000-0300-000008000000}"/>
    <hyperlink ref="C6" r:id="rId10" display="https://www.digikey.com/scripts/DkSearch/dksus.dll?Detail&amp;itemSeq=255685923&amp;uq=636573315130419726" xr:uid="{00000000-0004-0000-0300-000009000000}"/>
    <hyperlink ref="C9" r:id="rId11" display="https://www.digikey.com/scripts/DkSearch/dksus.dll?Detail&amp;itemSeq=255686028&amp;uq=636573315948419447" xr:uid="{00000000-0004-0000-0300-00000A000000}"/>
    <hyperlink ref="C8" r:id="rId12" display="https://www.digikey.com/scripts/DkSearch/dksus.dll?Detail&amp;itemSeq=255686232&amp;uq=636573317079069726" xr:uid="{00000000-0004-0000-0300-00000B000000}"/>
    <hyperlink ref="C3" r:id="rId13" display="https://www.digikey.com/scripts/DkSearch/dksus.dll?Detail&amp;itemSeq=255687110&amp;uq=636573319776344879" xr:uid="{00000000-0004-0000-0300-00000C000000}"/>
    <hyperlink ref="C5" r:id="rId14" display="https://www.digikey.com/scripts/DkSearch/dksus.dll?Detail&amp;itemSeq=255687461&amp;uq=636573320529169726" xr:uid="{00000000-0004-0000-0300-00000D000000}"/>
    <hyperlink ref="C2" r:id="rId15" display="https://www.digikey.com/scripts/DkSearch/dksus.dll?Detail&amp;itemSeq=255687743&amp;uq=636573321888037133" xr:uid="{00000000-0004-0000-0300-00000E000000}"/>
    <hyperlink ref="C4" r:id="rId16" display="https://www.digikey.com/scripts/DkSearch/dksus.dll?Detail&amp;itemSeq=255687905&amp;uq=636573322862249726" xr:uid="{00000000-0004-0000-0300-00000F000000}"/>
    <hyperlink ref="C13" r:id="rId17" display="https://www.digikey.com/scripts/DkSearch/dksus.dll?Detail&amp;itemSeq=255688809&amp;uq=636573327832494815" xr:uid="{00000000-0004-0000-0300-000010000000}"/>
    <hyperlink ref="C16" r:id="rId18" display="https://www.digikey.com/scripts/DkSearch/dksus.dll?Detail&amp;itemSeq=255688956&amp;uq=636573328681559713" xr:uid="{00000000-0004-0000-0300-000011000000}"/>
    <hyperlink ref="C14" r:id="rId19" display="https://www.digikey.com/scripts/DkSearch/dksus.dll?Detail&amp;itemSeq=255689053&amp;uq=636573329310919726" xr:uid="{00000000-0004-0000-0300-000012000000}"/>
    <hyperlink ref="C15" r:id="rId20" display="https://www.digikey.com/scripts/DkSearch/dksus.dll?Detail&amp;itemSeq=255689221&amp;uq=636573330063847928" xr:uid="{00000000-0004-0000-0300-000013000000}"/>
    <hyperlink ref="C26" r:id="rId21" display="https://www.digikey.com/scripts/DkSearch/dksus.dll?Detail&amp;itemSeq=255712800&amp;uq=636573577435916489" xr:uid="{00000000-0004-0000-0300-000014000000}"/>
    <hyperlink ref="C21" r:id="rId22" display="https://www.digikey.com/scripts/DkSearch/dksus.dll?Detail&amp;itemSeq=255882403&amp;uq=636583008495157306" xr:uid="{00000000-0004-0000-0300-000015000000}"/>
    <hyperlink ref="C24" r:id="rId23" display="https://www.digikey.com/scripts/DkSearch/dksus.dll?Detail&amp;itemSeq=256670207&amp;uq=636583008495177308" xr:uid="{00000000-0004-0000-0300-000016000000}"/>
    <hyperlink ref="C17" r:id="rId24" display="https://www.digikey.com/scripts/DkSearch/dksus.dll?Detail&amp;itemSeq=255287263&amp;uq=636573292806069726" xr:uid="{00000000-0004-0000-0300-000017000000}"/>
    <hyperlink ref="C25" r:id="rId25" display="https://www.digikey.com/scripts/DkSearch/dksus.dll?Detail&amp;itemSeq=260619861&amp;uq=636617232035274916" xr:uid="{00000000-0004-0000-0300-000018000000}"/>
  </hyperlinks>
  <pageMargins left="0.7" right="0.7" top="0.75" bottom="0.75" header="0.3" footer="0.3"/>
  <pageSetup orientation="portrait" horizontalDpi="4294967293" verticalDpi="0" r:id="rId2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9"/>
  <sheetViews>
    <sheetView topLeftCell="A11" workbookViewId="0">
      <selection activeCell="C43" sqref="C43"/>
    </sheetView>
  </sheetViews>
  <sheetFormatPr defaultRowHeight="15" x14ac:dyDescent="0.25"/>
  <cols>
    <col min="1" max="1" width="20.125" bestFit="1" customWidth="1"/>
    <col min="2" max="2" width="19.125" bestFit="1" customWidth="1"/>
    <col min="3" max="3" width="22.25" bestFit="1" customWidth="1"/>
    <col min="4" max="4" width="11.875" bestFit="1" customWidth="1"/>
    <col min="5" max="5" width="13" bestFit="1" customWidth="1"/>
    <col min="6" max="6" width="2.25" customWidth="1"/>
    <col min="7" max="9" width="9.875" bestFit="1" customWidth="1"/>
    <col min="10" max="10" width="14" bestFit="1" customWidth="1"/>
    <col min="11" max="11" width="8.875" bestFit="1" customWidth="1"/>
    <col min="12" max="12" width="2.375" customWidth="1"/>
  </cols>
  <sheetData>
    <row r="1" spans="1:12" x14ac:dyDescent="0.25">
      <c r="A1" s="14" t="s">
        <v>50</v>
      </c>
      <c r="B1" s="14" t="s">
        <v>25</v>
      </c>
      <c r="C1" s="14" t="s">
        <v>31</v>
      </c>
      <c r="D1" s="14" t="s">
        <v>51</v>
      </c>
      <c r="E1" s="44" t="s">
        <v>32</v>
      </c>
      <c r="F1" s="58"/>
      <c r="G1" s="58" t="s">
        <v>125</v>
      </c>
      <c r="H1" s="59" t="s">
        <v>129</v>
      </c>
      <c r="I1" s="59" t="s">
        <v>128</v>
      </c>
      <c r="J1" s="58" t="s">
        <v>130</v>
      </c>
      <c r="K1" s="58" t="s">
        <v>131</v>
      </c>
      <c r="L1" s="58"/>
    </row>
    <row r="2" spans="1:12" x14ac:dyDescent="0.25">
      <c r="A2" s="1" t="s">
        <v>40</v>
      </c>
      <c r="B2" s="1" t="s">
        <v>26</v>
      </c>
      <c r="C2" s="4" t="s">
        <v>76</v>
      </c>
      <c r="D2" s="11" t="s">
        <v>52</v>
      </c>
      <c r="E2" s="44">
        <v>3</v>
      </c>
      <c r="F2" s="58"/>
      <c r="G2" s="44">
        <v>4</v>
      </c>
      <c r="H2" s="44"/>
      <c r="I2" s="48"/>
      <c r="J2" s="44">
        <f>G2+H2</f>
        <v>4</v>
      </c>
      <c r="K2" s="69">
        <v>1</v>
      </c>
      <c r="L2" s="63"/>
    </row>
    <row r="3" spans="1:12" x14ac:dyDescent="0.25">
      <c r="A3" s="1" t="s">
        <v>35</v>
      </c>
      <c r="B3" s="1" t="s">
        <v>0</v>
      </c>
      <c r="C3" s="4" t="s">
        <v>74</v>
      </c>
      <c r="D3" s="11" t="s">
        <v>52</v>
      </c>
      <c r="E3" s="44">
        <v>1</v>
      </c>
      <c r="F3" s="58"/>
      <c r="G3" s="44">
        <v>8</v>
      </c>
      <c r="H3" s="44"/>
      <c r="I3" s="48"/>
      <c r="J3" s="44">
        <f t="shared" ref="J3:J34" si="0">G3+H3</f>
        <v>8</v>
      </c>
      <c r="K3" s="69"/>
      <c r="L3" s="63"/>
    </row>
    <row r="4" spans="1:12" x14ac:dyDescent="0.25">
      <c r="A4" s="1" t="s">
        <v>42</v>
      </c>
      <c r="B4" s="1" t="s">
        <v>28</v>
      </c>
      <c r="C4" s="4" t="s">
        <v>77</v>
      </c>
      <c r="D4" s="11" t="s">
        <v>52</v>
      </c>
      <c r="E4" s="44">
        <v>2</v>
      </c>
      <c r="F4" s="58"/>
      <c r="G4" s="44">
        <v>6</v>
      </c>
      <c r="H4" s="44"/>
      <c r="I4" s="48"/>
      <c r="J4" s="44">
        <f t="shared" si="0"/>
        <v>6</v>
      </c>
      <c r="K4" s="69"/>
      <c r="L4" s="63"/>
    </row>
    <row r="5" spans="1:12" x14ac:dyDescent="0.25">
      <c r="A5" s="12" t="s">
        <v>38</v>
      </c>
      <c r="B5" s="12" t="s">
        <v>33</v>
      </c>
      <c r="C5" s="20" t="s">
        <v>75</v>
      </c>
      <c r="D5" s="21" t="s">
        <v>52</v>
      </c>
      <c r="E5" s="44">
        <v>5</v>
      </c>
      <c r="F5" s="58"/>
      <c r="G5" s="44">
        <v>0</v>
      </c>
      <c r="H5" s="44">
        <v>100</v>
      </c>
      <c r="I5" s="48">
        <v>4.4400000000000004</v>
      </c>
      <c r="J5" s="44">
        <f t="shared" si="0"/>
        <v>100</v>
      </c>
      <c r="K5" s="69"/>
      <c r="L5" s="63"/>
    </row>
    <row r="6" spans="1:12" x14ac:dyDescent="0.25">
      <c r="A6" s="1" t="s">
        <v>66</v>
      </c>
      <c r="B6" s="1" t="s">
        <v>1</v>
      </c>
      <c r="C6" s="4" t="s">
        <v>71</v>
      </c>
      <c r="D6" s="11" t="s">
        <v>52</v>
      </c>
      <c r="E6" s="44">
        <v>1</v>
      </c>
      <c r="F6" s="58"/>
      <c r="G6" s="44">
        <v>9</v>
      </c>
      <c r="H6" s="44"/>
      <c r="I6" s="48"/>
      <c r="J6" s="44">
        <f t="shared" si="0"/>
        <v>9</v>
      </c>
      <c r="K6" s="69"/>
      <c r="L6" s="63"/>
    </row>
    <row r="7" spans="1:12" x14ac:dyDescent="0.25">
      <c r="A7" s="1" t="s">
        <v>59</v>
      </c>
      <c r="B7" s="1" t="s">
        <v>2</v>
      </c>
      <c r="C7" s="4" t="s">
        <v>58</v>
      </c>
      <c r="D7" s="11" t="s">
        <v>52</v>
      </c>
      <c r="E7" s="44">
        <v>1</v>
      </c>
      <c r="F7" s="58"/>
      <c r="G7" s="44">
        <v>0</v>
      </c>
      <c r="H7" s="44">
        <v>10</v>
      </c>
      <c r="I7" s="48">
        <v>3.21</v>
      </c>
      <c r="J7" s="44">
        <f t="shared" si="0"/>
        <v>10</v>
      </c>
      <c r="K7" s="69"/>
      <c r="L7" s="63"/>
    </row>
    <row r="8" spans="1:12" x14ac:dyDescent="0.25">
      <c r="A8" s="1" t="s">
        <v>65</v>
      </c>
      <c r="B8" s="1" t="s">
        <v>29</v>
      </c>
      <c r="C8" s="4" t="s">
        <v>73</v>
      </c>
      <c r="D8" s="11" t="s">
        <v>52</v>
      </c>
      <c r="E8" s="44">
        <v>2</v>
      </c>
      <c r="F8" s="58"/>
      <c r="G8" s="44">
        <v>18</v>
      </c>
      <c r="H8" s="44"/>
      <c r="I8" s="48"/>
      <c r="J8" s="44">
        <f t="shared" si="0"/>
        <v>18</v>
      </c>
      <c r="K8" s="69"/>
      <c r="L8" s="63"/>
    </row>
    <row r="9" spans="1:12" x14ac:dyDescent="0.25">
      <c r="A9" s="1" t="s">
        <v>64</v>
      </c>
      <c r="B9" s="1" t="s">
        <v>3</v>
      </c>
      <c r="C9" s="4" t="s">
        <v>72</v>
      </c>
      <c r="D9" s="11" t="s">
        <v>52</v>
      </c>
      <c r="E9" s="44">
        <v>1</v>
      </c>
      <c r="F9" s="58"/>
      <c r="G9" s="44">
        <v>9</v>
      </c>
      <c r="H9" s="44"/>
      <c r="I9" s="48"/>
      <c r="J9" s="44">
        <f t="shared" si="0"/>
        <v>9</v>
      </c>
      <c r="K9" s="69"/>
      <c r="L9" s="63"/>
    </row>
    <row r="10" spans="1:12" x14ac:dyDescent="0.25">
      <c r="A10" s="1" t="s">
        <v>47</v>
      </c>
      <c r="B10" s="1" t="s">
        <v>4</v>
      </c>
      <c r="C10" s="4" t="s">
        <v>46</v>
      </c>
      <c r="D10" s="11" t="s">
        <v>52</v>
      </c>
      <c r="E10" s="44">
        <v>1</v>
      </c>
      <c r="F10" s="58"/>
      <c r="G10" s="44">
        <v>0</v>
      </c>
      <c r="H10" s="44">
        <v>1</v>
      </c>
      <c r="I10" s="48">
        <v>3.6</v>
      </c>
      <c r="J10" s="44">
        <f t="shared" si="0"/>
        <v>1</v>
      </c>
      <c r="K10" s="69"/>
      <c r="L10" s="63"/>
    </row>
    <row r="11" spans="1:12" x14ac:dyDescent="0.25">
      <c r="A11" s="1" t="s">
        <v>7</v>
      </c>
      <c r="B11" s="1" t="s">
        <v>6</v>
      </c>
      <c r="C11" s="4" t="s">
        <v>7</v>
      </c>
      <c r="D11" s="11" t="s">
        <v>52</v>
      </c>
      <c r="E11" s="44">
        <v>1</v>
      </c>
      <c r="F11" s="58"/>
      <c r="G11" s="44">
        <v>9</v>
      </c>
      <c r="H11" s="44"/>
      <c r="I11" s="48"/>
      <c r="J11" s="44">
        <f t="shared" si="0"/>
        <v>9</v>
      </c>
      <c r="K11" s="69"/>
      <c r="L11" s="63"/>
    </row>
    <row r="12" spans="1:12" x14ac:dyDescent="0.25">
      <c r="A12" s="1" t="s">
        <v>43</v>
      </c>
      <c r="B12" s="1" t="s">
        <v>8</v>
      </c>
      <c r="C12" s="4" t="s">
        <v>49</v>
      </c>
      <c r="D12" s="11" t="s">
        <v>52</v>
      </c>
      <c r="E12" s="44">
        <v>1</v>
      </c>
      <c r="F12" s="58"/>
      <c r="G12" s="44">
        <v>0</v>
      </c>
      <c r="H12" s="44">
        <v>10</v>
      </c>
      <c r="I12" s="48">
        <v>1.18</v>
      </c>
      <c r="J12" s="44">
        <f t="shared" si="0"/>
        <v>10</v>
      </c>
      <c r="K12" s="69"/>
      <c r="L12" s="63"/>
    </row>
    <row r="13" spans="1:12" x14ac:dyDescent="0.25">
      <c r="A13" s="1" t="s">
        <v>36</v>
      </c>
      <c r="B13" s="1" t="s">
        <v>34</v>
      </c>
      <c r="C13" s="4" t="s">
        <v>79</v>
      </c>
      <c r="D13" s="11" t="s">
        <v>52</v>
      </c>
      <c r="E13" s="44">
        <v>3</v>
      </c>
      <c r="F13" s="58"/>
      <c r="G13" s="44">
        <v>4</v>
      </c>
      <c r="H13" s="44"/>
      <c r="I13" s="48"/>
      <c r="J13" s="44">
        <f t="shared" si="0"/>
        <v>4</v>
      </c>
      <c r="K13" s="69"/>
      <c r="L13" s="63"/>
    </row>
    <row r="14" spans="1:12" x14ac:dyDescent="0.25">
      <c r="A14" s="1" t="s">
        <v>39</v>
      </c>
      <c r="B14" s="1" t="s">
        <v>104</v>
      </c>
      <c r="C14" s="4" t="s">
        <v>81</v>
      </c>
      <c r="D14" s="11" t="s">
        <v>52</v>
      </c>
      <c r="E14" s="44">
        <v>4</v>
      </c>
      <c r="F14" s="58"/>
      <c r="G14" s="44">
        <v>2</v>
      </c>
      <c r="H14" s="44">
        <v>100</v>
      </c>
      <c r="I14" s="48">
        <v>0.51</v>
      </c>
      <c r="J14" s="44">
        <f t="shared" si="0"/>
        <v>102</v>
      </c>
      <c r="K14" s="69"/>
      <c r="L14" s="63"/>
    </row>
    <row r="15" spans="1:12" x14ac:dyDescent="0.25">
      <c r="A15" s="1" t="s">
        <v>41</v>
      </c>
      <c r="B15" s="1" t="s">
        <v>27</v>
      </c>
      <c r="C15" s="4" t="s">
        <v>82</v>
      </c>
      <c r="D15" s="11" t="s">
        <v>52</v>
      </c>
      <c r="E15" s="44">
        <v>3</v>
      </c>
      <c r="F15" s="58"/>
      <c r="G15" s="44">
        <v>4</v>
      </c>
      <c r="H15" s="44"/>
      <c r="I15" s="48"/>
      <c r="J15" s="44">
        <f t="shared" si="0"/>
        <v>4</v>
      </c>
      <c r="K15" s="69"/>
      <c r="L15" s="63"/>
    </row>
    <row r="16" spans="1:12" x14ac:dyDescent="0.25">
      <c r="A16" s="1" t="s">
        <v>37</v>
      </c>
      <c r="B16" s="1" t="s">
        <v>9</v>
      </c>
      <c r="C16" s="4" t="s">
        <v>80</v>
      </c>
      <c r="D16" s="11" t="s">
        <v>52</v>
      </c>
      <c r="E16" s="44">
        <v>1</v>
      </c>
      <c r="F16" s="58"/>
      <c r="G16" s="44">
        <v>8</v>
      </c>
      <c r="H16" s="44"/>
      <c r="I16" s="48"/>
      <c r="J16" s="44">
        <f t="shared" si="0"/>
        <v>8</v>
      </c>
      <c r="K16" s="69"/>
      <c r="L16" s="63"/>
    </row>
    <row r="17" spans="1:12" x14ac:dyDescent="0.25">
      <c r="A17" s="1" t="s">
        <v>62</v>
      </c>
      <c r="B17" s="1" t="s">
        <v>100</v>
      </c>
      <c r="C17" s="4" t="s">
        <v>121</v>
      </c>
      <c r="D17" s="11" t="s">
        <v>52</v>
      </c>
      <c r="E17" s="44">
        <v>1</v>
      </c>
      <c r="F17" s="58"/>
      <c r="G17" s="44">
        <v>0</v>
      </c>
      <c r="H17" s="44">
        <v>1</v>
      </c>
      <c r="I17" s="48">
        <v>0.91</v>
      </c>
      <c r="J17" s="44">
        <f t="shared" si="0"/>
        <v>1</v>
      </c>
      <c r="K17" s="69"/>
      <c r="L17" s="63"/>
    </row>
    <row r="18" spans="1:12" x14ac:dyDescent="0.25">
      <c r="A18" s="1" t="s">
        <v>70</v>
      </c>
      <c r="B18" s="1" t="s">
        <v>98</v>
      </c>
      <c r="C18" s="4" t="s">
        <v>69</v>
      </c>
      <c r="D18" s="11" t="s">
        <v>52</v>
      </c>
      <c r="E18" s="44">
        <v>1</v>
      </c>
      <c r="F18" s="58"/>
      <c r="G18" s="44">
        <v>0</v>
      </c>
      <c r="H18" s="44">
        <v>1</v>
      </c>
      <c r="I18" s="48">
        <v>0.52</v>
      </c>
      <c r="J18" s="44">
        <f t="shared" si="0"/>
        <v>1</v>
      </c>
      <c r="K18" s="69"/>
      <c r="L18" s="63"/>
    </row>
    <row r="19" spans="1:12" x14ac:dyDescent="0.25">
      <c r="A19" s="1" t="s">
        <v>13</v>
      </c>
      <c r="B19" s="1" t="s">
        <v>12</v>
      </c>
      <c r="C19" s="4" t="s">
        <v>61</v>
      </c>
      <c r="D19" s="11" t="s">
        <v>52</v>
      </c>
      <c r="E19" s="44">
        <v>1</v>
      </c>
      <c r="F19" s="58"/>
      <c r="G19" s="44">
        <v>0</v>
      </c>
      <c r="H19" s="44">
        <v>1</v>
      </c>
      <c r="I19" s="48">
        <v>3.09</v>
      </c>
      <c r="J19" s="44">
        <f t="shared" si="0"/>
        <v>1</v>
      </c>
      <c r="K19" s="69"/>
      <c r="L19" s="63"/>
    </row>
    <row r="20" spans="1:12" x14ac:dyDescent="0.25">
      <c r="A20" s="1" t="s">
        <v>57</v>
      </c>
      <c r="B20" s="1" t="s">
        <v>15</v>
      </c>
      <c r="C20" s="4" t="s">
        <v>56</v>
      </c>
      <c r="D20" s="11" t="s">
        <v>52</v>
      </c>
      <c r="E20" s="44">
        <v>1</v>
      </c>
      <c r="F20" s="58"/>
      <c r="G20" s="44">
        <v>0</v>
      </c>
      <c r="H20" s="44">
        <v>10</v>
      </c>
      <c r="I20" s="48">
        <v>3.62</v>
      </c>
      <c r="J20" s="44">
        <f t="shared" si="0"/>
        <v>10</v>
      </c>
      <c r="K20" s="69"/>
      <c r="L20" s="63"/>
    </row>
    <row r="21" spans="1:12" x14ac:dyDescent="0.25">
      <c r="A21" s="1" t="s">
        <v>102</v>
      </c>
      <c r="B21" s="1" t="s">
        <v>101</v>
      </c>
      <c r="C21" s="4" t="s">
        <v>99</v>
      </c>
      <c r="D21" s="11" t="s">
        <v>52</v>
      </c>
      <c r="E21" s="44">
        <v>2</v>
      </c>
      <c r="F21" s="58"/>
      <c r="G21" s="44">
        <v>0</v>
      </c>
      <c r="H21" s="44">
        <v>10</v>
      </c>
      <c r="I21" s="48">
        <v>2.85</v>
      </c>
      <c r="J21" s="44">
        <f t="shared" si="0"/>
        <v>10</v>
      </c>
      <c r="K21" s="69"/>
      <c r="L21" s="63"/>
    </row>
    <row r="22" spans="1:12" x14ac:dyDescent="0.25">
      <c r="A22" s="1" t="s">
        <v>55</v>
      </c>
      <c r="B22" s="1" t="s">
        <v>16</v>
      </c>
      <c r="C22" s="4" t="s">
        <v>17</v>
      </c>
      <c r="D22" s="11" t="s">
        <v>52</v>
      </c>
      <c r="E22" s="44">
        <v>1</v>
      </c>
      <c r="F22" s="58"/>
      <c r="G22" s="44">
        <v>0</v>
      </c>
      <c r="H22" s="44">
        <v>10</v>
      </c>
      <c r="I22" s="48">
        <v>5.8</v>
      </c>
      <c r="J22" s="44">
        <f t="shared" si="0"/>
        <v>10</v>
      </c>
      <c r="K22" s="69"/>
      <c r="L22" s="63"/>
    </row>
    <row r="23" spans="1:12" x14ac:dyDescent="0.25">
      <c r="A23" s="1" t="s">
        <v>19</v>
      </c>
      <c r="B23" s="1" t="s">
        <v>18</v>
      </c>
      <c r="C23" s="4" t="s">
        <v>48</v>
      </c>
      <c r="D23" s="11" t="s">
        <v>52</v>
      </c>
      <c r="E23" s="44">
        <v>1</v>
      </c>
      <c r="F23" s="58"/>
      <c r="G23" s="44">
        <v>0</v>
      </c>
      <c r="H23" s="44">
        <v>1</v>
      </c>
      <c r="I23" s="48">
        <v>0.57999999999999996</v>
      </c>
      <c r="J23" s="44">
        <f t="shared" si="0"/>
        <v>1</v>
      </c>
      <c r="K23" s="69"/>
      <c r="L23" s="63"/>
    </row>
    <row r="24" spans="1:12" x14ac:dyDescent="0.25">
      <c r="A24" s="1" t="s">
        <v>78</v>
      </c>
      <c r="B24" s="1" t="s">
        <v>20</v>
      </c>
      <c r="C24" s="4" t="s">
        <v>103</v>
      </c>
      <c r="D24" s="11" t="s">
        <v>52</v>
      </c>
      <c r="E24" s="44">
        <v>1</v>
      </c>
      <c r="F24" s="58"/>
      <c r="G24" s="44">
        <v>0</v>
      </c>
      <c r="H24" s="44">
        <v>10</v>
      </c>
      <c r="I24" s="48">
        <v>4.95</v>
      </c>
      <c r="J24" s="44">
        <f t="shared" si="0"/>
        <v>10</v>
      </c>
      <c r="K24" s="69"/>
      <c r="L24" s="63"/>
    </row>
    <row r="25" spans="1:12" x14ac:dyDescent="0.25">
      <c r="A25" s="1" t="s">
        <v>23</v>
      </c>
      <c r="B25" s="1" t="s">
        <v>22</v>
      </c>
      <c r="C25" s="4" t="s">
        <v>122</v>
      </c>
      <c r="D25" s="11" t="s">
        <v>52</v>
      </c>
      <c r="E25" s="44">
        <v>1</v>
      </c>
      <c r="F25" s="58"/>
      <c r="G25" s="44">
        <v>0</v>
      </c>
      <c r="H25" s="44">
        <v>1</v>
      </c>
      <c r="I25" s="48">
        <v>0.42</v>
      </c>
      <c r="J25" s="44">
        <f t="shared" si="0"/>
        <v>1</v>
      </c>
      <c r="K25" s="69"/>
      <c r="L25" s="63"/>
    </row>
    <row r="26" spans="1:12" x14ac:dyDescent="0.25">
      <c r="A26" s="1" t="s">
        <v>126</v>
      </c>
      <c r="B26" s="1"/>
      <c r="C26" s="45">
        <v>1317</v>
      </c>
      <c r="D26" s="11" t="s">
        <v>52</v>
      </c>
      <c r="E26" s="44">
        <v>1</v>
      </c>
      <c r="F26" s="58"/>
      <c r="G26" s="44">
        <v>0</v>
      </c>
      <c r="H26" s="44">
        <v>1</v>
      </c>
      <c r="I26" s="48">
        <v>5.95</v>
      </c>
      <c r="J26" s="44">
        <f t="shared" si="0"/>
        <v>1</v>
      </c>
      <c r="K26" s="69"/>
      <c r="L26" s="63"/>
    </row>
    <row r="27" spans="1:12" x14ac:dyDescent="0.25">
      <c r="A27" s="1" t="s">
        <v>96</v>
      </c>
      <c r="B27" s="1"/>
      <c r="C27" s="4"/>
      <c r="D27" s="10" t="s">
        <v>95</v>
      </c>
      <c r="E27" s="44">
        <v>1</v>
      </c>
      <c r="F27" s="58"/>
      <c r="G27" s="44">
        <v>8</v>
      </c>
      <c r="H27" s="44"/>
      <c r="I27" s="48"/>
      <c r="J27" s="44">
        <f t="shared" si="0"/>
        <v>8</v>
      </c>
      <c r="K27" s="69"/>
      <c r="L27" s="63"/>
    </row>
    <row r="28" spans="1:12" x14ac:dyDescent="0.25">
      <c r="A28" s="1" t="s">
        <v>68</v>
      </c>
      <c r="B28" s="1" t="s">
        <v>5</v>
      </c>
      <c r="C28" s="1" t="s">
        <v>67</v>
      </c>
      <c r="D28" s="9" t="s">
        <v>53</v>
      </c>
      <c r="E28" s="44">
        <v>1</v>
      </c>
      <c r="F28" s="58"/>
      <c r="G28" s="44">
        <v>0</v>
      </c>
      <c r="H28" s="44">
        <v>1</v>
      </c>
      <c r="I28" s="48">
        <f>1.85+((11.18/2)*H28)</f>
        <v>7.4399999999999995</v>
      </c>
      <c r="J28" s="44">
        <f t="shared" si="0"/>
        <v>1</v>
      </c>
      <c r="K28" s="69"/>
      <c r="L28" s="63"/>
    </row>
    <row r="29" spans="1:12" x14ac:dyDescent="0.25">
      <c r="A29" s="1" t="s">
        <v>63</v>
      </c>
      <c r="B29" s="1" t="s">
        <v>14</v>
      </c>
      <c r="C29" s="1" t="s">
        <v>86</v>
      </c>
      <c r="D29" s="9" t="s">
        <v>53</v>
      </c>
      <c r="E29" s="44">
        <v>1</v>
      </c>
      <c r="F29" s="58"/>
      <c r="G29" s="44">
        <v>0</v>
      </c>
      <c r="H29" s="44">
        <v>1</v>
      </c>
      <c r="I29" s="48">
        <f>17.82/2</f>
        <v>8.91</v>
      </c>
      <c r="J29" s="44">
        <f t="shared" si="0"/>
        <v>1</v>
      </c>
      <c r="K29" s="69"/>
      <c r="L29" s="63"/>
    </row>
    <row r="30" spans="1:12" x14ac:dyDescent="0.25">
      <c r="A30" s="1" t="s">
        <v>127</v>
      </c>
      <c r="B30" s="1"/>
      <c r="C30" s="4"/>
      <c r="D30" s="9" t="s">
        <v>53</v>
      </c>
      <c r="E30" s="44">
        <v>1</v>
      </c>
      <c r="F30" s="58"/>
      <c r="G30" s="44">
        <v>0</v>
      </c>
      <c r="H30" s="44">
        <v>100</v>
      </c>
      <c r="I30" s="48">
        <v>3.66</v>
      </c>
      <c r="J30" s="44">
        <f t="shared" si="0"/>
        <v>100</v>
      </c>
      <c r="K30" s="69"/>
      <c r="L30" s="63"/>
    </row>
    <row r="31" spans="1:12" x14ac:dyDescent="0.25">
      <c r="A31" s="1" t="s">
        <v>110</v>
      </c>
      <c r="B31" s="1"/>
      <c r="C31" s="4"/>
      <c r="D31" s="9" t="s">
        <v>53</v>
      </c>
      <c r="E31" s="44">
        <v>1</v>
      </c>
      <c r="F31" s="58"/>
      <c r="G31" s="44">
        <v>1</v>
      </c>
      <c r="H31" s="44"/>
      <c r="I31" s="48"/>
      <c r="J31" s="44">
        <f t="shared" si="0"/>
        <v>1</v>
      </c>
      <c r="K31" s="69"/>
      <c r="L31" s="63"/>
    </row>
    <row r="32" spans="1:12" x14ac:dyDescent="0.25">
      <c r="A32" s="1" t="s">
        <v>111</v>
      </c>
      <c r="B32" s="1"/>
      <c r="C32" s="4"/>
      <c r="D32" s="9" t="s">
        <v>53</v>
      </c>
      <c r="E32" s="44">
        <v>1</v>
      </c>
      <c r="F32" s="58"/>
      <c r="G32" s="44">
        <v>2</v>
      </c>
      <c r="H32" s="44"/>
      <c r="I32" s="48"/>
      <c r="J32" s="44">
        <f t="shared" si="0"/>
        <v>2</v>
      </c>
      <c r="K32" s="69"/>
      <c r="L32" s="63"/>
    </row>
    <row r="33" spans="1:12" x14ac:dyDescent="0.25">
      <c r="A33" s="1" t="s">
        <v>107</v>
      </c>
      <c r="B33" s="1"/>
      <c r="C33" s="4"/>
      <c r="D33" s="9" t="s">
        <v>53</v>
      </c>
      <c r="E33" s="44">
        <v>1</v>
      </c>
      <c r="F33" s="58"/>
      <c r="G33" s="44">
        <v>3</v>
      </c>
      <c r="H33" s="44"/>
      <c r="I33" s="48"/>
      <c r="J33" s="44">
        <f t="shared" si="0"/>
        <v>3</v>
      </c>
      <c r="K33" s="69"/>
      <c r="L33" s="63"/>
    </row>
    <row r="34" spans="1:12" x14ac:dyDescent="0.25">
      <c r="A34" s="1" t="s">
        <v>123</v>
      </c>
      <c r="B34" s="1"/>
      <c r="C34" s="4"/>
      <c r="D34" s="9" t="s">
        <v>53</v>
      </c>
      <c r="E34" s="44">
        <v>1</v>
      </c>
      <c r="F34" s="58"/>
      <c r="G34" s="44">
        <v>0</v>
      </c>
      <c r="H34" s="44">
        <v>1</v>
      </c>
      <c r="I34" s="48">
        <v>0.88</v>
      </c>
      <c r="J34" s="44">
        <f t="shared" si="0"/>
        <v>1</v>
      </c>
      <c r="K34" s="69"/>
      <c r="L34" s="63"/>
    </row>
    <row r="35" spans="1:12" x14ac:dyDescent="0.25">
      <c r="A35" s="1" t="s">
        <v>106</v>
      </c>
      <c r="B35" s="1"/>
      <c r="C35" s="4"/>
      <c r="D35" s="11" t="s">
        <v>52</v>
      </c>
      <c r="F35" s="60"/>
      <c r="G35" s="54"/>
      <c r="H35" s="68" t="s">
        <v>136</v>
      </c>
      <c r="I35" s="47">
        <v>8.99</v>
      </c>
      <c r="J35" s="53"/>
      <c r="K35" s="69"/>
      <c r="L35" s="63"/>
    </row>
    <row r="36" spans="1:12" x14ac:dyDescent="0.25">
      <c r="A36" s="1" t="s">
        <v>124</v>
      </c>
      <c r="B36" s="1"/>
      <c r="C36" s="4"/>
      <c r="D36" s="11" t="s">
        <v>52</v>
      </c>
      <c r="E36" s="46">
        <v>5.3699999999999998E-2</v>
      </c>
      <c r="F36" s="61"/>
      <c r="G36" s="54"/>
      <c r="H36" s="68" t="s">
        <v>137</v>
      </c>
      <c r="I36" s="48">
        <f>($E36*SUM(I2:I26))</f>
        <v>2.2355310000000004</v>
      </c>
      <c r="J36" s="53"/>
      <c r="K36" s="70"/>
      <c r="L36" s="64"/>
    </row>
    <row r="37" spans="1:12" x14ac:dyDescent="0.25">
      <c r="A37" s="49" t="s">
        <v>132</v>
      </c>
      <c r="B37" s="49"/>
      <c r="C37" s="49"/>
      <c r="D37" s="49"/>
      <c r="E37" s="49"/>
      <c r="F37" s="62"/>
      <c r="G37" s="55"/>
      <c r="H37" s="67" t="s">
        <v>139</v>
      </c>
      <c r="I37" s="50">
        <f>-1*SUM(I1:I36)</f>
        <v>-73.745531</v>
      </c>
      <c r="J37" s="67" t="s">
        <v>138</v>
      </c>
      <c r="K37" s="50">
        <f>99*K2</f>
        <v>99</v>
      </c>
      <c r="L37" s="65"/>
    </row>
    <row r="38" spans="1:12" x14ac:dyDescent="0.25">
      <c r="A38" s="49" t="s">
        <v>109</v>
      </c>
      <c r="B38" s="49"/>
      <c r="C38" s="49"/>
      <c r="D38" s="49"/>
      <c r="E38" s="49"/>
      <c r="F38" s="62"/>
      <c r="G38" s="55"/>
      <c r="H38" s="56"/>
      <c r="I38" s="55"/>
      <c r="J38" s="67" t="s">
        <v>109</v>
      </c>
      <c r="K38" s="51">
        <f>K37+I37</f>
        <v>25.254469</v>
      </c>
      <c r="L38" s="66"/>
    </row>
    <row r="39" spans="1:12" x14ac:dyDescent="0.25">
      <c r="A39" s="54"/>
      <c r="B39" s="54"/>
      <c r="C39" s="54"/>
      <c r="D39" s="54"/>
      <c r="E39" s="54"/>
      <c r="F39" s="60"/>
      <c r="G39" s="60" t="s">
        <v>133</v>
      </c>
      <c r="H39" s="58"/>
      <c r="I39" s="60"/>
      <c r="J39" s="58"/>
      <c r="K39" s="60"/>
      <c r="L39" s="60"/>
    </row>
  </sheetData>
  <mergeCells count="1">
    <mergeCell ref="K2:K36"/>
  </mergeCells>
  <conditionalFormatting sqref="G2:G34">
    <cfRule type="cellIs" dxfId="3" priority="3" operator="greaterThanOrEqual">
      <formula>$E2</formula>
    </cfRule>
    <cfRule type="cellIs" dxfId="2" priority="4" operator="lessThan">
      <formula>$E2</formula>
    </cfRule>
  </conditionalFormatting>
  <conditionalFormatting sqref="J2:J34">
    <cfRule type="cellIs" dxfId="1" priority="1" operator="lessThan">
      <formula>$E2</formula>
    </cfRule>
    <cfRule type="cellIs" dxfId="0" priority="2" operator="greaterThanOrEqual">
      <formula>$E2</formula>
    </cfRule>
  </conditionalFormatting>
  <hyperlinks>
    <hyperlink ref="C10" r:id="rId1" display="https://www.digikey.com/scripts/DkSearch/dksus.dll?Detail&amp;itemSeq=255582543&amp;uq=636573277011711177" xr:uid="{00000000-0004-0000-0400-000000000000}"/>
    <hyperlink ref="C23" r:id="rId2" display="https://www.digikey.com/scripts/DkSearch/dksus.dll?Detail&amp;itemSeq=255006885&amp;uq=636573277011671173" xr:uid="{00000000-0004-0000-0400-000001000000}"/>
    <hyperlink ref="C12" r:id="rId3" display="https://www.digikey.com/product-detail/en/on-semiconductor/MMBT2222LT1G/MMBT2222LT1GOSCT-ND/1139808" xr:uid="{00000000-0004-0000-0400-000002000000}"/>
    <hyperlink ref="C22" r:id="rId4" display="https://www.digikey.com/scripts/DkSearch/dksus.dll?Detail&amp;itemSeq=255007731&amp;uq=636573292806049726" xr:uid="{00000000-0004-0000-0400-000003000000}"/>
    <hyperlink ref="C20" r:id="rId5" display="https://www.digikey.com/scripts/DkSearch/dksus.dll?Detail&amp;itemSeq=255007807&amp;uq=636573292806059726" xr:uid="{00000000-0004-0000-0400-000004000000}"/>
    <hyperlink ref="C7" r:id="rId6" display="https://www.digikey.com/scripts/DkSearch/dksus.dll?Detail&amp;itemSeq=255007915&amp;uq=636573292806059726" xr:uid="{00000000-0004-0000-0400-000005000000}"/>
    <hyperlink ref="C19" r:id="rId7" display="https://www.digikey.com/scripts/DkSearch/dksus.dll?Detail&amp;itemSeq=255008032&amp;uq=636573292806069726" xr:uid="{00000000-0004-0000-0400-000006000000}"/>
    <hyperlink ref="C11" r:id="rId8" display="https://www.digikey.com/scripts/DkSearch/dksus.dll?Detail&amp;itemSeq=255683609&amp;uq=636573305216640966" xr:uid="{00000000-0004-0000-0400-000007000000}"/>
    <hyperlink ref="C18" r:id="rId9" display="https://www.digikey.com/scripts/DkSearch/dksus.dll?Detail&amp;itemSeq=255008508&amp;uq=636573292806069726" xr:uid="{00000000-0004-0000-0400-000008000000}"/>
    <hyperlink ref="C6" r:id="rId10" display="https://www.digikey.com/scripts/DkSearch/dksus.dll?Detail&amp;itemSeq=255685923&amp;uq=636573315130419726" xr:uid="{00000000-0004-0000-0400-000009000000}"/>
    <hyperlink ref="C9" r:id="rId11" display="https://www.digikey.com/scripts/DkSearch/dksus.dll?Detail&amp;itemSeq=255686028&amp;uq=636573315948419447" xr:uid="{00000000-0004-0000-0400-00000A000000}"/>
    <hyperlink ref="C8" r:id="rId12" display="https://www.digikey.com/scripts/DkSearch/dksus.dll?Detail&amp;itemSeq=255686232&amp;uq=636573317079069726" xr:uid="{00000000-0004-0000-0400-00000B000000}"/>
    <hyperlink ref="C3" r:id="rId13" display="https://www.digikey.com/scripts/DkSearch/dksus.dll?Detail&amp;itemSeq=255687110&amp;uq=636573319776344879" xr:uid="{00000000-0004-0000-0400-00000C000000}"/>
    <hyperlink ref="C5" r:id="rId14" display="https://www.digikey.com/scripts/DkSearch/dksus.dll?Detail&amp;itemSeq=255687461&amp;uq=636573320529169726" xr:uid="{00000000-0004-0000-0400-00000D000000}"/>
    <hyperlink ref="C2" r:id="rId15" display="https://www.digikey.com/scripts/DkSearch/dksus.dll?Detail&amp;itemSeq=255687743&amp;uq=636573321888037133" xr:uid="{00000000-0004-0000-0400-00000E000000}"/>
    <hyperlink ref="C4" r:id="rId16" display="https://www.digikey.com/scripts/DkSearch/dksus.dll?Detail&amp;itemSeq=255687905&amp;uq=636573322862249726" xr:uid="{00000000-0004-0000-0400-00000F000000}"/>
    <hyperlink ref="C13" r:id="rId17" display="https://www.digikey.com/scripts/DkSearch/dksus.dll?Detail&amp;itemSeq=255688809&amp;uq=636573327832494815" xr:uid="{00000000-0004-0000-0400-000010000000}"/>
    <hyperlink ref="C16" r:id="rId18" display="https://www.digikey.com/scripts/DkSearch/dksus.dll?Detail&amp;itemSeq=255688956&amp;uq=636573328681559713" xr:uid="{00000000-0004-0000-0400-000011000000}"/>
    <hyperlink ref="C14" r:id="rId19" display="https://www.digikey.com/scripts/DkSearch/dksus.dll?Detail&amp;itemSeq=255689053&amp;uq=636573329310919726" xr:uid="{00000000-0004-0000-0400-000012000000}"/>
    <hyperlink ref="C15" r:id="rId20" display="https://www.digikey.com/scripts/DkSearch/dksus.dll?Detail&amp;itemSeq=255689221&amp;uq=636573330063847928" xr:uid="{00000000-0004-0000-0400-000013000000}"/>
    <hyperlink ref="C26" r:id="rId21" display="https://www.digikey.com/scripts/DkSearch/dksus.dll?Detail&amp;itemSeq=255712800&amp;uq=636573577435916489" xr:uid="{00000000-0004-0000-0400-000014000000}"/>
    <hyperlink ref="C21" r:id="rId22" display="https://www.digikey.com/scripts/DkSearch/dksus.dll?Detail&amp;itemSeq=255882403&amp;uq=636583008495157306" xr:uid="{00000000-0004-0000-0400-000015000000}"/>
    <hyperlink ref="C24" r:id="rId23" display="https://www.digikey.com/scripts/DkSearch/dksus.dll?Detail&amp;itemSeq=256670207&amp;uq=636583008495177308" xr:uid="{00000000-0004-0000-0400-000016000000}"/>
    <hyperlink ref="C17" r:id="rId24" display="https://www.digikey.com/scripts/DkSearch/dksus.dll?Detail&amp;itemSeq=255287263&amp;uq=636573292806069726" xr:uid="{00000000-0004-0000-0400-000017000000}"/>
    <hyperlink ref="C25" r:id="rId25" display="https://www.digikey.com/scripts/DkSearch/dksus.dll?Detail&amp;itemSeq=260619861&amp;uq=636617232035274916" xr:uid="{00000000-0004-0000-0400-00001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V1</vt:lpstr>
      <vt:lpstr>V3</vt:lpstr>
      <vt:lpstr>V4</vt:lpstr>
      <vt:lpstr>SALES PLAN</vt:lpstr>
      <vt:lpstr>Just One More Build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2018-03-22T18:28:26Z</dcterms:created>
  <dcterms:modified xsi:type="dcterms:W3CDTF">2018-09-17T17:04:20Z</dcterms:modified>
</cp:coreProperties>
</file>