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F4A3BC5-8A8C-4891-815D-815E3A3FB2C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ISI" sheetId="5" r:id="rId1"/>
    <sheet name="FINANCEMENT " sheetId="1" r:id="rId2"/>
    <sheet name="FISCALITE" sheetId="3" r:id="rId3"/>
    <sheet name="DEFICITE FONCIER" sheetId="9" r:id="rId4"/>
    <sheet name="TRESORERIE" sheetId="6" r:id="rId5"/>
    <sheet name="Rendement" sheetId="7" r:id="rId6"/>
    <sheet name="Enchères" sheetId="8" r:id="rId7"/>
    <sheet name="DATA" sheetId="4" r:id="rId8"/>
  </sheets>
  <definedNames>
    <definedName name="_xlnm.Print_Titles" localSheetId="3">'DEFICITE FONCIER'!$A:$B</definedName>
    <definedName name="_xlnm.Print_Titles" localSheetId="1">'FINANCEMENT '!$10:$10</definedName>
    <definedName name="_xlnm.Print_Titles" localSheetId="2">FISCALITE!$A:$B</definedName>
    <definedName name="_xlnm.Print_Area" localSheetId="3">'DEFICITE FONCIER'!$A$1:$AA$45</definedName>
    <definedName name="_xlnm.Print_Area" localSheetId="0">SAISI!$A$1:$E$58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7" l="1"/>
  <c r="B4" i="6"/>
  <c r="C35" i="5"/>
  <c r="C36" i="5" s="1"/>
  <c r="C45" i="5"/>
  <c r="C28" i="5"/>
  <c r="J22" i="3" l="1"/>
  <c r="Q22" i="3"/>
  <c r="X22" i="3"/>
  <c r="C22" i="3"/>
  <c r="B7" i="6"/>
  <c r="N29" i="9"/>
  <c r="H33" i="9"/>
  <c r="H36" i="9" s="1"/>
  <c r="I33" i="9"/>
  <c r="I36" i="9" s="1"/>
  <c r="H34" i="9"/>
  <c r="I34" i="9"/>
  <c r="G33" i="9"/>
  <c r="G34" i="9"/>
  <c r="E33" i="9"/>
  <c r="F33" i="9"/>
  <c r="E34" i="9"/>
  <c r="F34" i="9"/>
  <c r="D33" i="9"/>
  <c r="D34" i="9"/>
  <c r="E36" i="9" l="1"/>
  <c r="D36" i="9"/>
  <c r="G36" i="9"/>
  <c r="F36" i="9"/>
  <c r="C33" i="9"/>
  <c r="C34" i="9"/>
  <c r="C36" i="9" l="1"/>
  <c r="C39" i="9" l="1"/>
  <c r="D37" i="9" s="1"/>
  <c r="D39" i="9" s="1"/>
  <c r="E37" i="9" s="1"/>
  <c r="E39" i="9" s="1"/>
  <c r="C3" i="9"/>
  <c r="I7" i="8"/>
  <c r="I8" i="8" s="1"/>
  <c r="E15" i="8"/>
  <c r="H4" i="8"/>
  <c r="H2" i="8"/>
  <c r="E17" i="8"/>
  <c r="D10" i="8"/>
  <c r="E10" i="8" s="1"/>
  <c r="D11" i="8"/>
  <c r="E11" i="8" s="1"/>
  <c r="D8" i="8"/>
  <c r="E8" i="8" s="1"/>
  <c r="D9" i="8"/>
  <c r="E9" i="8" s="1"/>
  <c r="D3" i="9" l="1"/>
  <c r="I9" i="8"/>
  <c r="I10" i="8" s="1"/>
  <c r="E13" i="8"/>
  <c r="E20" i="8" s="1"/>
  <c r="F37" i="9" l="1"/>
  <c r="E3" i="9"/>
  <c r="C16" i="5"/>
  <c r="D9" i="7"/>
  <c r="D7" i="7"/>
  <c r="D6" i="7"/>
  <c r="D5" i="7"/>
  <c r="C47" i="5"/>
  <c r="C21" i="3"/>
  <c r="F39" i="9" l="1"/>
  <c r="G37" i="9" s="1"/>
  <c r="D8" i="9"/>
  <c r="F8" i="9"/>
  <c r="H8" i="9"/>
  <c r="J8" i="9"/>
  <c r="L8" i="9"/>
  <c r="N8" i="9"/>
  <c r="P8" i="9"/>
  <c r="R8" i="9"/>
  <c r="T8" i="9"/>
  <c r="V8" i="9"/>
  <c r="X8" i="9"/>
  <c r="Z8" i="9"/>
  <c r="C8" i="9"/>
  <c r="E8" i="9"/>
  <c r="G8" i="9"/>
  <c r="I8" i="9"/>
  <c r="K8" i="9"/>
  <c r="M8" i="9"/>
  <c r="O8" i="9"/>
  <c r="Q8" i="9"/>
  <c r="S8" i="9"/>
  <c r="U8" i="9"/>
  <c r="W8" i="9"/>
  <c r="Y8" i="9"/>
  <c r="AA8" i="9"/>
  <c r="F3" i="9"/>
  <c r="C31" i="5"/>
  <c r="G39" i="9" l="1"/>
  <c r="H37" i="9" s="1"/>
  <c r="G3" i="9"/>
  <c r="C5" i="3"/>
  <c r="E2" i="1"/>
  <c r="H39" i="9" l="1"/>
  <c r="I37" i="9" s="1"/>
  <c r="I39" i="9" s="1"/>
  <c r="H3" i="9"/>
  <c r="E4" i="4"/>
  <c r="E5" i="4"/>
  <c r="E6" i="4"/>
  <c r="E7" i="4"/>
  <c r="D21" i="3"/>
  <c r="C6" i="3"/>
  <c r="I3" i="9" l="1"/>
  <c r="E21" i="3"/>
  <c r="F21" i="3" s="1"/>
  <c r="G21" i="3" s="1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J3" i="9" l="1"/>
  <c r="E4" i="1"/>
  <c r="C38" i="5"/>
  <c r="C4" i="3"/>
  <c r="K3" i="9" l="1"/>
  <c r="W16" i="3"/>
  <c r="Y16" i="3"/>
  <c r="AA16" i="3"/>
  <c r="X16" i="3"/>
  <c r="Z16" i="3"/>
  <c r="C18" i="3"/>
  <c r="C17" i="3"/>
  <c r="D4" i="3"/>
  <c r="C16" i="3"/>
  <c r="C13" i="3"/>
  <c r="D5" i="3"/>
  <c r="C41" i="5"/>
  <c r="P16" i="3"/>
  <c r="O16" i="3"/>
  <c r="T16" i="3"/>
  <c r="K16" i="3"/>
  <c r="G16" i="3"/>
  <c r="L16" i="3"/>
  <c r="H16" i="3"/>
  <c r="D16" i="3"/>
  <c r="U16" i="3"/>
  <c r="Q16" i="3"/>
  <c r="M16" i="3"/>
  <c r="I16" i="3"/>
  <c r="E16" i="3"/>
  <c r="V16" i="3"/>
  <c r="R16" i="3"/>
  <c r="N16" i="3"/>
  <c r="J16" i="3"/>
  <c r="F16" i="3"/>
  <c r="S16" i="3"/>
  <c r="E1" i="1"/>
  <c r="E6" i="1" s="1"/>
  <c r="C12" i="1"/>
  <c r="C10" i="9" l="1"/>
  <c r="L3" i="9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C15" i="3"/>
  <c r="B6" i="6"/>
  <c r="AA17" i="3"/>
  <c r="W17" i="3"/>
  <c r="Y17" i="3"/>
  <c r="X17" i="3"/>
  <c r="Z17" i="3"/>
  <c r="W18" i="3"/>
  <c r="Y18" i="3"/>
  <c r="AA18" i="3"/>
  <c r="X18" i="3"/>
  <c r="Z18" i="3"/>
  <c r="C25" i="3"/>
  <c r="D13" i="3"/>
  <c r="B11" i="6"/>
  <c r="N17" i="3"/>
  <c r="R17" i="3"/>
  <c r="V17" i="3"/>
  <c r="F17" i="3"/>
  <c r="J17" i="3"/>
  <c r="O17" i="3"/>
  <c r="S17" i="3"/>
  <c r="K17" i="3"/>
  <c r="Q17" i="3"/>
  <c r="U17" i="3"/>
  <c r="E17" i="3"/>
  <c r="I17" i="3"/>
  <c r="M17" i="3"/>
  <c r="P17" i="3"/>
  <c r="T17" i="3"/>
  <c r="D17" i="3"/>
  <c r="H17" i="3"/>
  <c r="L17" i="3"/>
  <c r="G17" i="3"/>
  <c r="Q18" i="3"/>
  <c r="U18" i="3"/>
  <c r="D18" i="3"/>
  <c r="H18" i="3"/>
  <c r="L18" i="3"/>
  <c r="R18" i="3"/>
  <c r="I18" i="3"/>
  <c r="P18" i="3"/>
  <c r="T18" i="3"/>
  <c r="G18" i="3"/>
  <c r="K18" i="3"/>
  <c r="N18" i="3"/>
  <c r="V18" i="3"/>
  <c r="E18" i="3"/>
  <c r="M18" i="3"/>
  <c r="O18" i="3"/>
  <c r="S18" i="3"/>
  <c r="F18" i="3"/>
  <c r="J18" i="3"/>
  <c r="E5" i="3"/>
  <c r="D6" i="3"/>
  <c r="E5" i="1"/>
  <c r="B12" i="1"/>
  <c r="C1" i="9" s="1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C13" i="1"/>
  <c r="G10" i="9" l="1"/>
  <c r="H10" i="9"/>
  <c r="T10" i="9"/>
  <c r="M10" i="9"/>
  <c r="E10" i="9"/>
  <c r="Q10" i="9"/>
  <c r="S10" i="9"/>
  <c r="J10" i="9"/>
  <c r="V10" i="9"/>
  <c r="N10" i="9"/>
  <c r="X10" i="9"/>
  <c r="W10" i="9"/>
  <c r="L10" i="9"/>
  <c r="D10" i="9"/>
  <c r="P10" i="9"/>
  <c r="I10" i="9"/>
  <c r="U10" i="9"/>
  <c r="K10" i="9"/>
  <c r="O10" i="9"/>
  <c r="F10" i="9"/>
  <c r="R10" i="9"/>
  <c r="Z10" i="9"/>
  <c r="Y10" i="9"/>
  <c r="AA10" i="9"/>
  <c r="M3" i="9"/>
  <c r="O1" i="9"/>
  <c r="D8" i="7"/>
  <c r="D11" i="7" s="1"/>
  <c r="W6" i="6"/>
  <c r="V6" i="6"/>
  <c r="Y6" i="6"/>
  <c r="X6" i="6"/>
  <c r="Z6" i="6"/>
  <c r="C11" i="6"/>
  <c r="F6" i="6"/>
  <c r="G6" i="6"/>
  <c r="S6" i="6"/>
  <c r="L6" i="6"/>
  <c r="D6" i="6"/>
  <c r="P6" i="6"/>
  <c r="R6" i="6"/>
  <c r="I6" i="6"/>
  <c r="U6" i="6"/>
  <c r="M6" i="6"/>
  <c r="K6" i="6"/>
  <c r="C6" i="6"/>
  <c r="O6" i="6"/>
  <c r="H6" i="6"/>
  <c r="T6" i="6"/>
  <c r="J6" i="6"/>
  <c r="N6" i="6"/>
  <c r="E6" i="6"/>
  <c r="Q6" i="6"/>
  <c r="C1" i="3"/>
  <c r="B1" i="6"/>
  <c r="C1" i="6" s="1"/>
  <c r="E13" i="3"/>
  <c r="D25" i="3"/>
  <c r="F5" i="3"/>
  <c r="E6" i="3"/>
  <c r="C14" i="1"/>
  <c r="B13" i="1"/>
  <c r="P1" i="9" l="1"/>
  <c r="N3" i="9"/>
  <c r="D1" i="3"/>
  <c r="D11" i="6"/>
  <c r="D1" i="6"/>
  <c r="F13" i="3"/>
  <c r="E25" i="3"/>
  <c r="G5" i="3"/>
  <c r="F6" i="3"/>
  <c r="C15" i="1"/>
  <c r="B14" i="1"/>
  <c r="O3" i="9" l="1"/>
  <c r="Q1" i="9"/>
  <c r="E1" i="3"/>
  <c r="E11" i="6"/>
  <c r="E1" i="6"/>
  <c r="G13" i="3"/>
  <c r="F25" i="3"/>
  <c r="H5" i="3"/>
  <c r="G6" i="3"/>
  <c r="C16" i="1"/>
  <c r="B15" i="1"/>
  <c r="E3" i="1"/>
  <c r="F12" i="1"/>
  <c r="H11" i="1"/>
  <c r="P3" i="9" l="1"/>
  <c r="R1" i="9"/>
  <c r="F1" i="3"/>
  <c r="F11" i="6"/>
  <c r="F1" i="6"/>
  <c r="H13" i="3"/>
  <c r="G25" i="3"/>
  <c r="I5" i="3"/>
  <c r="H6" i="3"/>
  <c r="C17" i="1"/>
  <c r="B16" i="1"/>
  <c r="E12" i="1"/>
  <c r="Q3" i="9" l="1"/>
  <c r="S1" i="9"/>
  <c r="G1" i="3"/>
  <c r="G11" i="6"/>
  <c r="G1" i="6"/>
  <c r="I13" i="3"/>
  <c r="H25" i="3"/>
  <c r="J5" i="3"/>
  <c r="I6" i="3"/>
  <c r="D12" i="1"/>
  <c r="G12" i="1" s="1"/>
  <c r="C18" i="1"/>
  <c r="B17" i="1"/>
  <c r="T1" i="9" l="1"/>
  <c r="R3" i="9"/>
  <c r="H1" i="3"/>
  <c r="H11" i="6"/>
  <c r="H1" i="6"/>
  <c r="J13" i="3"/>
  <c r="I25" i="3"/>
  <c r="K5" i="3"/>
  <c r="J6" i="3"/>
  <c r="H12" i="1"/>
  <c r="C19" i="1"/>
  <c r="B18" i="1"/>
  <c r="S3" i="9" l="1"/>
  <c r="U1" i="9"/>
  <c r="I1" i="3"/>
  <c r="I11" i="6"/>
  <c r="I1" i="6"/>
  <c r="E13" i="1"/>
  <c r="F13" i="1"/>
  <c r="K13" i="3"/>
  <c r="J25" i="3"/>
  <c r="L5" i="3"/>
  <c r="K6" i="3"/>
  <c r="C20" i="1"/>
  <c r="B19" i="1"/>
  <c r="T3" i="9" l="1"/>
  <c r="V1" i="9"/>
  <c r="J1" i="3"/>
  <c r="J11" i="6"/>
  <c r="D13" i="1"/>
  <c r="G13" i="1" s="1"/>
  <c r="J1" i="6"/>
  <c r="L13" i="3"/>
  <c r="K25" i="3"/>
  <c r="M5" i="3"/>
  <c r="L6" i="3"/>
  <c r="C21" i="1"/>
  <c r="B20" i="1"/>
  <c r="W1" i="9" l="1"/>
  <c r="U3" i="9"/>
  <c r="K1" i="3"/>
  <c r="H13" i="1"/>
  <c r="F14" i="1" s="1"/>
  <c r="K11" i="6"/>
  <c r="K1" i="6"/>
  <c r="M13" i="3"/>
  <c r="L25" i="3"/>
  <c r="N5" i="3"/>
  <c r="M6" i="3"/>
  <c r="C22" i="1"/>
  <c r="B21" i="1"/>
  <c r="X1" i="9" l="1"/>
  <c r="V3" i="9"/>
  <c r="L1" i="3"/>
  <c r="E14" i="1"/>
  <c r="L11" i="6"/>
  <c r="L1" i="6"/>
  <c r="N13" i="3"/>
  <c r="M25" i="3"/>
  <c r="O5" i="3"/>
  <c r="N6" i="3"/>
  <c r="C23" i="1"/>
  <c r="B22" i="1"/>
  <c r="Y1" i="9" l="1"/>
  <c r="W3" i="9"/>
  <c r="D14" i="1"/>
  <c r="H14" i="1" s="1"/>
  <c r="E15" i="1" s="1"/>
  <c r="M1" i="3"/>
  <c r="M11" i="6"/>
  <c r="M1" i="6"/>
  <c r="O13" i="3"/>
  <c r="N25" i="3"/>
  <c r="P5" i="3"/>
  <c r="O6" i="3"/>
  <c r="C24" i="1"/>
  <c r="B23" i="1"/>
  <c r="X3" i="9" l="1"/>
  <c r="Z1" i="9"/>
  <c r="G14" i="1"/>
  <c r="N1" i="3"/>
  <c r="F15" i="1"/>
  <c r="D15" i="1" s="1"/>
  <c r="H15" i="1" s="1"/>
  <c r="N11" i="6"/>
  <c r="N1" i="6"/>
  <c r="P13" i="3"/>
  <c r="O25" i="3"/>
  <c r="Q5" i="3"/>
  <c r="P6" i="3"/>
  <c r="C25" i="1"/>
  <c r="B24" i="1"/>
  <c r="Y3" i="9" l="1"/>
  <c r="AA1" i="9"/>
  <c r="O1" i="3"/>
  <c r="O11" i="6"/>
  <c r="G15" i="1"/>
  <c r="O1" i="6"/>
  <c r="E16" i="1"/>
  <c r="F16" i="1"/>
  <c r="Q13" i="3"/>
  <c r="P25" i="3"/>
  <c r="R5" i="3"/>
  <c r="Q6" i="3"/>
  <c r="C26" i="1"/>
  <c r="B25" i="1"/>
  <c r="Z3" i="9" l="1"/>
  <c r="P1" i="3"/>
  <c r="P11" i="6"/>
  <c r="P1" i="6"/>
  <c r="D16" i="1"/>
  <c r="H16" i="1" s="1"/>
  <c r="F17" i="1" s="1"/>
  <c r="R13" i="3"/>
  <c r="Q25" i="3"/>
  <c r="S5" i="3"/>
  <c r="R6" i="3"/>
  <c r="C27" i="1"/>
  <c r="B26" i="1"/>
  <c r="AA3" i="9" l="1"/>
  <c r="Q1" i="3"/>
  <c r="Q11" i="6"/>
  <c r="G16" i="1"/>
  <c r="E17" i="1"/>
  <c r="D17" i="1" s="1"/>
  <c r="G17" i="1" s="1"/>
  <c r="Q1" i="6"/>
  <c r="S13" i="3"/>
  <c r="R25" i="3"/>
  <c r="T5" i="3"/>
  <c r="S6" i="3"/>
  <c r="C28" i="1"/>
  <c r="B27" i="1"/>
  <c r="R1" i="3" l="1"/>
  <c r="R11" i="6"/>
  <c r="R1" i="6"/>
  <c r="H17" i="1"/>
  <c r="E18" i="1" s="1"/>
  <c r="T13" i="3"/>
  <c r="S25" i="3"/>
  <c r="U5" i="3"/>
  <c r="T6" i="3"/>
  <c r="C29" i="1"/>
  <c r="B28" i="1"/>
  <c r="S1" i="3" l="1"/>
  <c r="S11" i="6"/>
  <c r="F18" i="1"/>
  <c r="D18" i="1" s="1"/>
  <c r="S1" i="6"/>
  <c r="U13" i="3"/>
  <c r="T25" i="3"/>
  <c r="V5" i="3"/>
  <c r="U6" i="3"/>
  <c r="C30" i="1"/>
  <c r="B29" i="1"/>
  <c r="T1" i="3" l="1"/>
  <c r="V6" i="3"/>
  <c r="W5" i="3"/>
  <c r="T11" i="6"/>
  <c r="H18" i="1"/>
  <c r="F19" i="1" s="1"/>
  <c r="G18" i="1"/>
  <c r="T1" i="6"/>
  <c r="V13" i="3"/>
  <c r="U25" i="3"/>
  <c r="C31" i="1"/>
  <c r="B30" i="1"/>
  <c r="W13" i="3" l="1"/>
  <c r="U1" i="3"/>
  <c r="W6" i="3"/>
  <c r="X5" i="3"/>
  <c r="U11" i="6"/>
  <c r="E19" i="1"/>
  <c r="D19" i="1" s="1"/>
  <c r="H19" i="1" s="1"/>
  <c r="F20" i="1" s="1"/>
  <c r="U1" i="6"/>
  <c r="V1" i="6" s="1"/>
  <c r="V25" i="3"/>
  <c r="C32" i="1"/>
  <c r="B31" i="1"/>
  <c r="W25" i="3" l="1"/>
  <c r="V11" i="6"/>
  <c r="X13" i="3"/>
  <c r="V1" i="3"/>
  <c r="Y5" i="3"/>
  <c r="X6" i="3"/>
  <c r="W1" i="6"/>
  <c r="E20" i="1"/>
  <c r="D20" i="1" s="1"/>
  <c r="G20" i="1" s="1"/>
  <c r="G19" i="1"/>
  <c r="C33" i="1"/>
  <c r="B32" i="1"/>
  <c r="Y13" i="3" l="1"/>
  <c r="W11" i="6"/>
  <c r="X25" i="3"/>
  <c r="W1" i="3"/>
  <c r="Y6" i="3"/>
  <c r="Z5" i="3"/>
  <c r="X1" i="6"/>
  <c r="H20" i="1"/>
  <c r="C34" i="1"/>
  <c r="B33" i="1"/>
  <c r="Z13" i="3" l="1"/>
  <c r="X11" i="6"/>
  <c r="Y25" i="3"/>
  <c r="X1" i="3"/>
  <c r="AA5" i="3"/>
  <c r="Z6" i="3"/>
  <c r="Y1" i="6"/>
  <c r="E21" i="1"/>
  <c r="F21" i="1"/>
  <c r="C35" i="1"/>
  <c r="B34" i="1"/>
  <c r="AA6" i="3" l="1"/>
  <c r="Z25" i="3"/>
  <c r="Y11" i="6"/>
  <c r="AA13" i="3"/>
  <c r="Y1" i="3"/>
  <c r="Z1" i="6"/>
  <c r="D21" i="1"/>
  <c r="G21" i="1" s="1"/>
  <c r="C36" i="1"/>
  <c r="B35" i="1"/>
  <c r="Z11" i="6" l="1"/>
  <c r="AA25" i="3"/>
  <c r="Z1" i="3"/>
  <c r="H21" i="1"/>
  <c r="F22" i="1" s="1"/>
  <c r="C37" i="1"/>
  <c r="B36" i="1"/>
  <c r="AA1" i="3" l="1"/>
  <c r="E22" i="1"/>
  <c r="D22" i="1" s="1"/>
  <c r="C38" i="1"/>
  <c r="B37" i="1"/>
  <c r="G22" i="1" l="1"/>
  <c r="H22" i="1"/>
  <c r="F23" i="1" s="1"/>
  <c r="C39" i="1"/>
  <c r="B38" i="1"/>
  <c r="E23" i="1" l="1"/>
  <c r="D23" i="1" s="1"/>
  <c r="G23" i="1" s="1"/>
  <c r="C40" i="1"/>
  <c r="B39" i="1"/>
  <c r="H23" i="1" l="1"/>
  <c r="F24" i="1" s="1"/>
  <c r="C41" i="1"/>
  <c r="B40" i="1"/>
  <c r="E24" i="1" l="1"/>
  <c r="C42" i="1"/>
  <c r="B41" i="1"/>
  <c r="D24" i="1" l="1"/>
  <c r="G24" i="1" s="1"/>
  <c r="C43" i="1"/>
  <c r="B42" i="1"/>
  <c r="H24" i="1" l="1"/>
  <c r="F25" i="1" s="1"/>
  <c r="C44" i="1"/>
  <c r="B43" i="1"/>
  <c r="E25" i="1" l="1"/>
  <c r="D25" i="1" s="1"/>
  <c r="G25" i="1" s="1"/>
  <c r="C45" i="1"/>
  <c r="B44" i="1"/>
  <c r="H25" i="1" l="1"/>
  <c r="E26" i="1" s="1"/>
  <c r="C46" i="1"/>
  <c r="B45" i="1"/>
  <c r="F26" i="1" l="1"/>
  <c r="D26" i="1" s="1"/>
  <c r="H26" i="1" s="1"/>
  <c r="C47" i="1"/>
  <c r="B46" i="1"/>
  <c r="G26" i="1" l="1"/>
  <c r="F27" i="1"/>
  <c r="E27" i="1"/>
  <c r="C48" i="1"/>
  <c r="B47" i="1"/>
  <c r="D27" i="1" l="1"/>
  <c r="C49" i="1"/>
  <c r="B48" i="1"/>
  <c r="G27" i="1" l="1"/>
  <c r="H27" i="1"/>
  <c r="C50" i="1"/>
  <c r="B49" i="1"/>
  <c r="F28" i="1" l="1"/>
  <c r="E28" i="1"/>
  <c r="C51" i="1"/>
  <c r="B50" i="1"/>
  <c r="D28" i="1" l="1"/>
  <c r="H28" i="1" s="1"/>
  <c r="F29" i="1" s="1"/>
  <c r="C52" i="1"/>
  <c r="B51" i="1"/>
  <c r="G28" i="1" l="1"/>
  <c r="E29" i="1"/>
  <c r="D29" i="1" s="1"/>
  <c r="C53" i="1"/>
  <c r="B52" i="1"/>
  <c r="G29" i="1" l="1"/>
  <c r="H29" i="1"/>
  <c r="F30" i="1" s="1"/>
  <c r="C54" i="1"/>
  <c r="B53" i="1"/>
  <c r="E30" i="1" l="1"/>
  <c r="D30" i="1" s="1"/>
  <c r="G30" i="1" s="1"/>
  <c r="C55" i="1"/>
  <c r="B54" i="1"/>
  <c r="H30" i="1" l="1"/>
  <c r="E31" i="1" s="1"/>
  <c r="C56" i="1"/>
  <c r="B55" i="1"/>
  <c r="F31" i="1" l="1"/>
  <c r="D31" i="1" s="1"/>
  <c r="G31" i="1" s="1"/>
  <c r="C57" i="1"/>
  <c r="B56" i="1"/>
  <c r="H31" i="1" l="1"/>
  <c r="F32" i="1" s="1"/>
  <c r="C58" i="1"/>
  <c r="B57" i="1"/>
  <c r="E32" i="1" l="1"/>
  <c r="D32" i="1" s="1"/>
  <c r="G32" i="1" s="1"/>
  <c r="C59" i="1"/>
  <c r="B58" i="1"/>
  <c r="H32" i="1" l="1"/>
  <c r="E33" i="1" s="1"/>
  <c r="C60" i="1"/>
  <c r="B59" i="1"/>
  <c r="F33" i="1" l="1"/>
  <c r="D33" i="1" s="1"/>
  <c r="H33" i="1" s="1"/>
  <c r="F34" i="1" s="1"/>
  <c r="C61" i="1"/>
  <c r="B60" i="1"/>
  <c r="E34" i="1" l="1"/>
  <c r="D34" i="1" s="1"/>
  <c r="H34" i="1" s="1"/>
  <c r="F35" i="1" s="1"/>
  <c r="G33" i="1"/>
  <c r="C62" i="1"/>
  <c r="B61" i="1"/>
  <c r="G34" i="1" l="1"/>
  <c r="C63" i="1"/>
  <c r="B62" i="1"/>
  <c r="E35" i="1"/>
  <c r="C64" i="1" l="1"/>
  <c r="B63" i="1"/>
  <c r="D35" i="1"/>
  <c r="H35" i="1" s="1"/>
  <c r="F36" i="1" s="1"/>
  <c r="C65" i="1" l="1"/>
  <c r="B64" i="1"/>
  <c r="G35" i="1"/>
  <c r="E36" i="1"/>
  <c r="C66" i="1" l="1"/>
  <c r="B65" i="1"/>
  <c r="D36" i="1"/>
  <c r="G36" i="1" s="1"/>
  <c r="C67" i="1" l="1"/>
  <c r="B66" i="1"/>
  <c r="H36" i="1"/>
  <c r="F37" i="1" s="1"/>
  <c r="C68" i="1" l="1"/>
  <c r="B67" i="1"/>
  <c r="E37" i="1"/>
  <c r="D37" i="1" l="1"/>
  <c r="H37" i="1" s="1"/>
  <c r="C69" i="1"/>
  <c r="B68" i="1"/>
  <c r="E38" i="1" l="1"/>
  <c r="F38" i="1"/>
  <c r="G37" i="1"/>
  <c r="C70" i="1"/>
  <c r="B69" i="1"/>
  <c r="D38" i="1" l="1"/>
  <c r="G38" i="1" s="1"/>
  <c r="C71" i="1"/>
  <c r="B70" i="1"/>
  <c r="H38" i="1" l="1"/>
  <c r="E39" i="1" s="1"/>
  <c r="C72" i="1"/>
  <c r="B71" i="1"/>
  <c r="F39" i="1" l="1"/>
  <c r="D39" i="1" s="1"/>
  <c r="G39" i="1" s="1"/>
  <c r="C73" i="1"/>
  <c r="B72" i="1"/>
  <c r="H39" i="1" l="1"/>
  <c r="E40" i="1" s="1"/>
  <c r="C74" i="1"/>
  <c r="B73" i="1"/>
  <c r="F40" i="1" l="1"/>
  <c r="D40" i="1" s="1"/>
  <c r="G40" i="1" s="1"/>
  <c r="C75" i="1"/>
  <c r="B74" i="1"/>
  <c r="H40" i="1" l="1"/>
  <c r="E41" i="1" s="1"/>
  <c r="C76" i="1"/>
  <c r="B75" i="1"/>
  <c r="F41" i="1" l="1"/>
  <c r="D41" i="1" s="1"/>
  <c r="H41" i="1" s="1"/>
  <c r="E42" i="1" s="1"/>
  <c r="C77" i="1"/>
  <c r="B76" i="1"/>
  <c r="G41" i="1" l="1"/>
  <c r="F42" i="1"/>
  <c r="D42" i="1" s="1"/>
  <c r="H42" i="1" s="1"/>
  <c r="E43" i="1" s="1"/>
  <c r="C78" i="1"/>
  <c r="B77" i="1"/>
  <c r="F43" i="1" l="1"/>
  <c r="D43" i="1" s="1"/>
  <c r="H43" i="1" s="1"/>
  <c r="E44" i="1" s="1"/>
  <c r="G42" i="1"/>
  <c r="C79" i="1"/>
  <c r="B78" i="1"/>
  <c r="F44" i="1" l="1"/>
  <c r="D44" i="1" s="1"/>
  <c r="G43" i="1"/>
  <c r="C80" i="1"/>
  <c r="B79" i="1"/>
  <c r="H44" i="1" l="1"/>
  <c r="G44" i="1"/>
  <c r="C81" i="1"/>
  <c r="B80" i="1"/>
  <c r="F45" i="1" l="1"/>
  <c r="E45" i="1"/>
  <c r="C82" i="1"/>
  <c r="B81" i="1"/>
  <c r="D45" i="1" l="1"/>
  <c r="G45" i="1" s="1"/>
  <c r="C83" i="1"/>
  <c r="B82" i="1"/>
  <c r="H45" i="1" l="1"/>
  <c r="F46" i="1" s="1"/>
  <c r="C84" i="1"/>
  <c r="B83" i="1"/>
  <c r="E46" i="1" l="1"/>
  <c r="D46" i="1" s="1"/>
  <c r="G46" i="1" s="1"/>
  <c r="C85" i="1"/>
  <c r="B84" i="1"/>
  <c r="H46" i="1" l="1"/>
  <c r="F47" i="1" s="1"/>
  <c r="C86" i="1"/>
  <c r="B85" i="1"/>
  <c r="E47" i="1" l="1"/>
  <c r="D47" i="1" s="1"/>
  <c r="G47" i="1" s="1"/>
  <c r="C87" i="1"/>
  <c r="B86" i="1"/>
  <c r="H47" i="1" l="1"/>
  <c r="F48" i="1" s="1"/>
  <c r="C88" i="1"/>
  <c r="B87" i="1"/>
  <c r="E48" i="1" l="1"/>
  <c r="C89" i="1"/>
  <c r="B88" i="1"/>
  <c r="D48" i="1" l="1"/>
  <c r="G48" i="1" s="1"/>
  <c r="C90" i="1"/>
  <c r="B89" i="1"/>
  <c r="H48" i="1" l="1"/>
  <c r="F49" i="1" s="1"/>
  <c r="C91" i="1"/>
  <c r="B90" i="1"/>
  <c r="E49" i="1" l="1"/>
  <c r="C92" i="1"/>
  <c r="B91" i="1"/>
  <c r="D49" i="1" l="1"/>
  <c r="C93" i="1"/>
  <c r="B92" i="1"/>
  <c r="H49" i="1" l="1"/>
  <c r="G49" i="1"/>
  <c r="C94" i="1"/>
  <c r="B93" i="1"/>
  <c r="F50" i="1" l="1"/>
  <c r="E50" i="1"/>
  <c r="C95" i="1"/>
  <c r="B94" i="1"/>
  <c r="D50" i="1" l="1"/>
  <c r="C96" i="1"/>
  <c r="B95" i="1"/>
  <c r="H50" i="1" l="1"/>
  <c r="G50" i="1"/>
  <c r="C97" i="1"/>
  <c r="B96" i="1"/>
  <c r="F51" i="1" l="1"/>
  <c r="E51" i="1"/>
  <c r="C98" i="1"/>
  <c r="B97" i="1"/>
  <c r="D51" i="1" l="1"/>
  <c r="C99" i="1"/>
  <c r="B98" i="1"/>
  <c r="G51" i="1" l="1"/>
  <c r="H51" i="1"/>
  <c r="C100" i="1"/>
  <c r="B99" i="1"/>
  <c r="E52" i="1" l="1"/>
  <c r="F52" i="1"/>
  <c r="C101" i="1"/>
  <c r="B100" i="1"/>
  <c r="D52" i="1" l="1"/>
  <c r="H52" i="1" s="1"/>
  <c r="C102" i="1"/>
  <c r="B101" i="1"/>
  <c r="G52" i="1" l="1"/>
  <c r="E53" i="1"/>
  <c r="F53" i="1"/>
  <c r="C103" i="1"/>
  <c r="B102" i="1"/>
  <c r="D53" i="1" l="1"/>
  <c r="C104" i="1"/>
  <c r="B103" i="1"/>
  <c r="H53" i="1" l="1"/>
  <c r="G53" i="1"/>
  <c r="C105" i="1"/>
  <c r="B104" i="1"/>
  <c r="E54" i="1" l="1"/>
  <c r="F54" i="1"/>
  <c r="C106" i="1"/>
  <c r="B105" i="1"/>
  <c r="D54" i="1" l="1"/>
  <c r="C107" i="1"/>
  <c r="B106" i="1"/>
  <c r="G54" i="1" l="1"/>
  <c r="H54" i="1"/>
  <c r="C108" i="1"/>
  <c r="B107" i="1"/>
  <c r="E55" i="1" l="1"/>
  <c r="F55" i="1"/>
  <c r="C109" i="1"/>
  <c r="B108" i="1"/>
  <c r="D55" i="1" l="1"/>
  <c r="C110" i="1"/>
  <c r="B109" i="1"/>
  <c r="H55" i="1" l="1"/>
  <c r="G55" i="1"/>
  <c r="C111" i="1"/>
  <c r="B110" i="1"/>
  <c r="E56" i="1" l="1"/>
  <c r="F56" i="1"/>
  <c r="C112" i="1"/>
  <c r="B111" i="1"/>
  <c r="D56" i="1" l="1"/>
  <c r="C113" i="1"/>
  <c r="B112" i="1"/>
  <c r="G56" i="1" l="1"/>
  <c r="H56" i="1"/>
  <c r="C114" i="1"/>
  <c r="B113" i="1"/>
  <c r="F57" i="1" l="1"/>
  <c r="E57" i="1"/>
  <c r="C115" i="1"/>
  <c r="B114" i="1"/>
  <c r="D57" i="1" l="1"/>
  <c r="C116" i="1"/>
  <c r="B115" i="1"/>
  <c r="H57" i="1" l="1"/>
  <c r="G57" i="1"/>
  <c r="C117" i="1"/>
  <c r="B116" i="1"/>
  <c r="F58" i="1" l="1"/>
  <c r="E58" i="1"/>
  <c r="C118" i="1"/>
  <c r="B117" i="1"/>
  <c r="D58" i="1" l="1"/>
  <c r="C119" i="1"/>
  <c r="B118" i="1"/>
  <c r="G58" i="1" l="1"/>
  <c r="H58" i="1"/>
  <c r="C120" i="1"/>
  <c r="B119" i="1"/>
  <c r="F59" i="1" l="1"/>
  <c r="E59" i="1"/>
  <c r="C121" i="1"/>
  <c r="B120" i="1"/>
  <c r="D59" i="1" l="1"/>
  <c r="C122" i="1"/>
  <c r="B121" i="1"/>
  <c r="G59" i="1" l="1"/>
  <c r="H59" i="1"/>
  <c r="C123" i="1"/>
  <c r="B122" i="1"/>
  <c r="F60" i="1" l="1"/>
  <c r="E60" i="1"/>
  <c r="C124" i="1"/>
  <c r="B123" i="1"/>
  <c r="D60" i="1" l="1"/>
  <c r="G60" i="1" s="1"/>
  <c r="C125" i="1"/>
  <c r="B124" i="1"/>
  <c r="H60" i="1" l="1"/>
  <c r="E61" i="1" s="1"/>
  <c r="C126" i="1"/>
  <c r="B125" i="1"/>
  <c r="F61" i="1" l="1"/>
  <c r="D61" i="1" s="1"/>
  <c r="C127" i="1"/>
  <c r="B126" i="1"/>
  <c r="G61" i="1" l="1"/>
  <c r="H61" i="1"/>
  <c r="C128" i="1"/>
  <c r="B127" i="1"/>
  <c r="E62" i="1" l="1"/>
  <c r="F62" i="1"/>
  <c r="C129" i="1"/>
  <c r="B128" i="1"/>
  <c r="D62" i="1" l="1"/>
  <c r="C130" i="1"/>
  <c r="B129" i="1"/>
  <c r="G62" i="1" l="1"/>
  <c r="H62" i="1"/>
  <c r="C131" i="1"/>
  <c r="B130" i="1"/>
  <c r="F63" i="1" l="1"/>
  <c r="E63" i="1"/>
  <c r="C132" i="1"/>
  <c r="B131" i="1"/>
  <c r="D63" i="1" l="1"/>
  <c r="C133" i="1"/>
  <c r="B132" i="1"/>
  <c r="H63" i="1" l="1"/>
  <c r="G63" i="1"/>
  <c r="C134" i="1"/>
  <c r="B133" i="1"/>
  <c r="F64" i="1" l="1"/>
  <c r="E64" i="1"/>
  <c r="C135" i="1"/>
  <c r="B134" i="1"/>
  <c r="D64" i="1" l="1"/>
  <c r="C136" i="1"/>
  <c r="B135" i="1"/>
  <c r="G64" i="1" l="1"/>
  <c r="H64" i="1"/>
  <c r="C137" i="1"/>
  <c r="B136" i="1"/>
  <c r="F65" i="1" l="1"/>
  <c r="E65" i="1"/>
  <c r="C138" i="1"/>
  <c r="B137" i="1"/>
  <c r="D65" i="1" l="1"/>
  <c r="C139" i="1"/>
  <c r="B138" i="1"/>
  <c r="G65" i="1" l="1"/>
  <c r="H65" i="1"/>
  <c r="C140" i="1"/>
  <c r="B139" i="1"/>
  <c r="F66" i="1" l="1"/>
  <c r="E66" i="1"/>
  <c r="C141" i="1"/>
  <c r="B140" i="1"/>
  <c r="D66" i="1" l="1"/>
  <c r="G66" i="1" s="1"/>
  <c r="C142" i="1"/>
  <c r="B141" i="1"/>
  <c r="H66" i="1" l="1"/>
  <c r="F67" i="1" s="1"/>
  <c r="C143" i="1"/>
  <c r="B142" i="1"/>
  <c r="E67" i="1" l="1"/>
  <c r="D67" i="1" s="1"/>
  <c r="C144" i="1"/>
  <c r="B143" i="1"/>
  <c r="H67" i="1" l="1"/>
  <c r="G67" i="1"/>
  <c r="C145" i="1"/>
  <c r="B144" i="1"/>
  <c r="F68" i="1" l="1"/>
  <c r="E68" i="1"/>
  <c r="C146" i="1"/>
  <c r="B145" i="1"/>
  <c r="D68" i="1" l="1"/>
  <c r="C147" i="1"/>
  <c r="B146" i="1"/>
  <c r="G68" i="1" l="1"/>
  <c r="H68" i="1"/>
  <c r="C148" i="1"/>
  <c r="B147" i="1"/>
  <c r="F69" i="1" l="1"/>
  <c r="E69" i="1"/>
  <c r="C149" i="1"/>
  <c r="B148" i="1"/>
  <c r="D69" i="1" l="1"/>
  <c r="C150" i="1"/>
  <c r="B149" i="1"/>
  <c r="G69" i="1" l="1"/>
  <c r="H69" i="1"/>
  <c r="C151" i="1"/>
  <c r="B150" i="1"/>
  <c r="F70" i="1" l="1"/>
  <c r="E70" i="1"/>
  <c r="C152" i="1"/>
  <c r="B151" i="1"/>
  <c r="D70" i="1" l="1"/>
  <c r="G70" i="1" s="1"/>
  <c r="C153" i="1"/>
  <c r="B152" i="1"/>
  <c r="H70" i="1" l="1"/>
  <c r="E71" i="1" s="1"/>
  <c r="C154" i="1"/>
  <c r="B153" i="1"/>
  <c r="F71" i="1" l="1"/>
  <c r="D71" i="1" s="1"/>
  <c r="C155" i="1"/>
  <c r="B154" i="1"/>
  <c r="G71" i="1" l="1"/>
  <c r="H71" i="1"/>
  <c r="C156" i="1"/>
  <c r="B155" i="1"/>
  <c r="E72" i="1" l="1"/>
  <c r="F72" i="1"/>
  <c r="C157" i="1"/>
  <c r="B156" i="1"/>
  <c r="D72" i="1" l="1"/>
  <c r="C158" i="1"/>
  <c r="B157" i="1"/>
  <c r="G72" i="1" l="1"/>
  <c r="H72" i="1"/>
  <c r="C159" i="1"/>
  <c r="B158" i="1"/>
  <c r="E73" i="1" l="1"/>
  <c r="F73" i="1"/>
  <c r="C160" i="1"/>
  <c r="B159" i="1"/>
  <c r="D73" i="1" l="1"/>
  <c r="C161" i="1"/>
  <c r="B160" i="1"/>
  <c r="G73" i="1" l="1"/>
  <c r="H73" i="1"/>
  <c r="C162" i="1"/>
  <c r="B161" i="1"/>
  <c r="F74" i="1" l="1"/>
  <c r="E74" i="1"/>
  <c r="C163" i="1"/>
  <c r="B162" i="1"/>
  <c r="D74" i="1" l="1"/>
  <c r="C164" i="1"/>
  <c r="B163" i="1"/>
  <c r="G74" i="1" l="1"/>
  <c r="H74" i="1"/>
  <c r="C165" i="1"/>
  <c r="B164" i="1"/>
  <c r="F75" i="1" l="1"/>
  <c r="E75" i="1"/>
  <c r="C166" i="1"/>
  <c r="B165" i="1"/>
  <c r="D75" i="1" l="1"/>
  <c r="H75" i="1" s="1"/>
  <c r="C167" i="1"/>
  <c r="B166" i="1"/>
  <c r="G75" i="1" l="1"/>
  <c r="E76" i="1"/>
  <c r="F76" i="1"/>
  <c r="C168" i="1"/>
  <c r="B167" i="1"/>
  <c r="D76" i="1" l="1"/>
  <c r="C169" i="1"/>
  <c r="B168" i="1"/>
  <c r="G76" i="1" l="1"/>
  <c r="H76" i="1"/>
  <c r="C170" i="1"/>
  <c r="B169" i="1"/>
  <c r="E77" i="1" l="1"/>
  <c r="F77" i="1"/>
  <c r="C171" i="1"/>
  <c r="B170" i="1"/>
  <c r="D77" i="1" l="1"/>
  <c r="C172" i="1"/>
  <c r="B171" i="1"/>
  <c r="G77" i="1" l="1"/>
  <c r="H77" i="1"/>
  <c r="C173" i="1"/>
  <c r="B172" i="1"/>
  <c r="F78" i="1" l="1"/>
  <c r="E78" i="1"/>
  <c r="C174" i="1"/>
  <c r="B173" i="1"/>
  <c r="D78" i="1" l="1"/>
  <c r="C175" i="1"/>
  <c r="B174" i="1"/>
  <c r="H78" i="1" l="1"/>
  <c r="G78" i="1"/>
  <c r="C176" i="1"/>
  <c r="B175" i="1"/>
  <c r="F79" i="1" l="1"/>
  <c r="E79" i="1"/>
  <c r="C177" i="1"/>
  <c r="B176" i="1"/>
  <c r="D79" i="1" l="1"/>
  <c r="G79" i="1" s="1"/>
  <c r="C178" i="1"/>
  <c r="B177" i="1"/>
  <c r="H79" i="1" l="1"/>
  <c r="F80" i="1" s="1"/>
  <c r="C179" i="1"/>
  <c r="B178" i="1"/>
  <c r="E80" i="1" l="1"/>
  <c r="D80" i="1" s="1"/>
  <c r="H80" i="1" s="1"/>
  <c r="C180" i="1"/>
  <c r="B179" i="1"/>
  <c r="G80" i="1" l="1"/>
  <c r="F81" i="1"/>
  <c r="E81" i="1"/>
  <c r="C181" i="1"/>
  <c r="B180" i="1"/>
  <c r="D81" i="1" l="1"/>
  <c r="C182" i="1"/>
  <c r="B181" i="1"/>
  <c r="G81" i="1" l="1"/>
  <c r="H81" i="1"/>
  <c r="C183" i="1"/>
  <c r="B182" i="1"/>
  <c r="F82" i="1" l="1"/>
  <c r="E82" i="1"/>
  <c r="C184" i="1"/>
  <c r="B183" i="1"/>
  <c r="D82" i="1" l="1"/>
  <c r="C185" i="1"/>
  <c r="B184" i="1"/>
  <c r="G82" i="1" l="1"/>
  <c r="H82" i="1"/>
  <c r="C186" i="1"/>
  <c r="B185" i="1"/>
  <c r="F83" i="1" l="1"/>
  <c r="E83" i="1"/>
  <c r="C187" i="1"/>
  <c r="B186" i="1"/>
  <c r="D83" i="1" l="1"/>
  <c r="H83" i="1" s="1"/>
  <c r="C188" i="1"/>
  <c r="B187" i="1"/>
  <c r="G83" i="1" l="1"/>
  <c r="F84" i="1"/>
  <c r="E84" i="1"/>
  <c r="C189" i="1"/>
  <c r="B188" i="1"/>
  <c r="D84" i="1" l="1"/>
  <c r="C190" i="1"/>
  <c r="B189" i="1"/>
  <c r="G84" i="1" l="1"/>
  <c r="H84" i="1"/>
  <c r="C191" i="1"/>
  <c r="B190" i="1"/>
  <c r="E85" i="1" l="1"/>
  <c r="F85" i="1"/>
  <c r="B191" i="1"/>
  <c r="C192" i="1"/>
  <c r="D85" i="1" l="1"/>
  <c r="B192" i="1"/>
  <c r="C193" i="1"/>
  <c r="H85" i="1" l="1"/>
  <c r="G85" i="1"/>
  <c r="C194" i="1"/>
  <c r="B193" i="1"/>
  <c r="E86" i="1" l="1"/>
  <c r="F86" i="1"/>
  <c r="C195" i="1"/>
  <c r="B194" i="1"/>
  <c r="D86" i="1" l="1"/>
  <c r="C196" i="1"/>
  <c r="B195" i="1"/>
  <c r="G86" i="1" l="1"/>
  <c r="H86" i="1"/>
  <c r="B196" i="1"/>
  <c r="C197" i="1"/>
  <c r="F87" i="1" l="1"/>
  <c r="E87" i="1"/>
  <c r="C198" i="1"/>
  <c r="B197" i="1"/>
  <c r="D87" i="1" l="1"/>
  <c r="C199" i="1"/>
  <c r="B198" i="1"/>
  <c r="G87" i="1" l="1"/>
  <c r="H87" i="1"/>
  <c r="C200" i="1"/>
  <c r="B199" i="1"/>
  <c r="E88" i="1" l="1"/>
  <c r="F88" i="1"/>
  <c r="B200" i="1"/>
  <c r="C201" i="1"/>
  <c r="D88" i="1" l="1"/>
  <c r="B201" i="1"/>
  <c r="C202" i="1"/>
  <c r="H88" i="1" l="1"/>
  <c r="G88" i="1"/>
  <c r="C203" i="1"/>
  <c r="B202" i="1"/>
  <c r="E89" i="1" l="1"/>
  <c r="F89" i="1"/>
  <c r="C204" i="1"/>
  <c r="B203" i="1"/>
  <c r="D89" i="1" l="1"/>
  <c r="B204" i="1"/>
  <c r="C205" i="1"/>
  <c r="G89" i="1" l="1"/>
  <c r="H89" i="1"/>
  <c r="B205" i="1"/>
  <c r="C206" i="1"/>
  <c r="F90" i="1" l="1"/>
  <c r="E90" i="1"/>
  <c r="C207" i="1"/>
  <c r="B206" i="1"/>
  <c r="D90" i="1" l="1"/>
  <c r="C208" i="1"/>
  <c r="B207" i="1"/>
  <c r="H90" i="1" l="1"/>
  <c r="G90" i="1"/>
  <c r="B208" i="1"/>
  <c r="C209" i="1"/>
  <c r="F91" i="1" l="1"/>
  <c r="E91" i="1"/>
  <c r="B209" i="1"/>
  <c r="C210" i="1"/>
  <c r="D91" i="1" l="1"/>
  <c r="C211" i="1"/>
  <c r="B210" i="1"/>
  <c r="G91" i="1" l="1"/>
  <c r="H91" i="1"/>
  <c r="C212" i="1"/>
  <c r="B211" i="1"/>
  <c r="F92" i="1" l="1"/>
  <c r="E92" i="1"/>
  <c r="B212" i="1"/>
  <c r="C213" i="1"/>
  <c r="D92" i="1" l="1"/>
  <c r="B213" i="1"/>
  <c r="C214" i="1"/>
  <c r="G92" i="1" l="1"/>
  <c r="H92" i="1"/>
  <c r="C215" i="1"/>
  <c r="B214" i="1"/>
  <c r="F93" i="1" l="1"/>
  <c r="E93" i="1"/>
  <c r="B215" i="1"/>
  <c r="C216" i="1"/>
  <c r="D93" i="1" l="1"/>
  <c r="B216" i="1"/>
  <c r="C217" i="1"/>
  <c r="G93" i="1" l="1"/>
  <c r="H93" i="1"/>
  <c r="B217" i="1"/>
  <c r="C218" i="1"/>
  <c r="F94" i="1" l="1"/>
  <c r="E94" i="1"/>
  <c r="C219" i="1"/>
  <c r="B218" i="1"/>
  <c r="D94" i="1" l="1"/>
  <c r="C220" i="1"/>
  <c r="B219" i="1"/>
  <c r="G94" i="1" l="1"/>
  <c r="H94" i="1"/>
  <c r="B220" i="1"/>
  <c r="C221" i="1"/>
  <c r="F95" i="1" l="1"/>
  <c r="E95" i="1"/>
  <c r="C222" i="1"/>
  <c r="B221" i="1"/>
  <c r="D95" i="1" l="1"/>
  <c r="H95" i="1" s="1"/>
  <c r="C223" i="1"/>
  <c r="B222" i="1"/>
  <c r="G95" i="1" l="1"/>
  <c r="E96" i="1"/>
  <c r="F96" i="1"/>
  <c r="C224" i="1"/>
  <c r="B223" i="1"/>
  <c r="D96" i="1" l="1"/>
  <c r="B224" i="1"/>
  <c r="C225" i="1"/>
  <c r="H96" i="1" l="1"/>
  <c r="G96" i="1"/>
  <c r="B225" i="1"/>
  <c r="C226" i="1"/>
  <c r="F97" i="1" l="1"/>
  <c r="E97" i="1"/>
  <c r="C227" i="1"/>
  <c r="B226" i="1"/>
  <c r="D97" i="1" l="1"/>
  <c r="C228" i="1"/>
  <c r="B227" i="1"/>
  <c r="H97" i="1" l="1"/>
  <c r="G97" i="1"/>
  <c r="B228" i="1"/>
  <c r="C229" i="1"/>
  <c r="F98" i="1" l="1"/>
  <c r="E98" i="1"/>
  <c r="B229" i="1"/>
  <c r="C230" i="1"/>
  <c r="D98" i="1" l="1"/>
  <c r="B230" i="1"/>
  <c r="C231" i="1"/>
  <c r="H98" i="1" l="1"/>
  <c r="G98" i="1"/>
  <c r="B231" i="1"/>
  <c r="C232" i="1"/>
  <c r="F99" i="1" l="1"/>
  <c r="E99" i="1"/>
  <c r="C233" i="1"/>
  <c r="B232" i="1"/>
  <c r="D99" i="1" l="1"/>
  <c r="G99" i="1" s="1"/>
  <c r="B233" i="1"/>
  <c r="C234" i="1"/>
  <c r="H99" i="1" l="1"/>
  <c r="E100" i="1" s="1"/>
  <c r="B234" i="1"/>
  <c r="C235" i="1"/>
  <c r="F100" i="1" l="1"/>
  <c r="D100" i="1" s="1"/>
  <c r="H100" i="1" s="1"/>
  <c r="B235" i="1"/>
  <c r="C236" i="1"/>
  <c r="G100" i="1" l="1"/>
  <c r="F101" i="1"/>
  <c r="E101" i="1"/>
  <c r="C237" i="1"/>
  <c r="B236" i="1"/>
  <c r="D101" i="1" l="1"/>
  <c r="G101" i="1" s="1"/>
  <c r="B237" i="1"/>
  <c r="C238" i="1"/>
  <c r="H101" i="1" l="1"/>
  <c r="E102" i="1" s="1"/>
  <c r="B238" i="1"/>
  <c r="C239" i="1"/>
  <c r="F102" i="1" l="1"/>
  <c r="D102" i="1" s="1"/>
  <c r="B239" i="1"/>
  <c r="C240" i="1"/>
  <c r="G102" i="1" l="1"/>
  <c r="H102" i="1"/>
  <c r="F103" i="1" s="1"/>
  <c r="B240" i="1"/>
  <c r="C241" i="1"/>
  <c r="E103" i="1" l="1"/>
  <c r="D103" i="1" s="1"/>
  <c r="H103" i="1" s="1"/>
  <c r="B241" i="1"/>
  <c r="C242" i="1"/>
  <c r="G103" i="1" l="1"/>
  <c r="F104" i="1"/>
  <c r="E104" i="1"/>
  <c r="B242" i="1"/>
  <c r="C243" i="1"/>
  <c r="D104" i="1" l="1"/>
  <c r="B243" i="1"/>
  <c r="C244" i="1"/>
  <c r="G104" i="1" l="1"/>
  <c r="H104" i="1"/>
  <c r="B244" i="1"/>
  <c r="C245" i="1"/>
  <c r="F105" i="1" l="1"/>
  <c r="E105" i="1"/>
  <c r="B245" i="1"/>
  <c r="C246" i="1"/>
  <c r="D105" i="1" l="1"/>
  <c r="H105" i="1" s="1"/>
  <c r="B246" i="1"/>
  <c r="C247" i="1"/>
  <c r="G105" i="1" l="1"/>
  <c r="F106" i="1"/>
  <c r="E106" i="1"/>
  <c r="B247" i="1"/>
  <c r="C248" i="1"/>
  <c r="D106" i="1" l="1"/>
  <c r="B248" i="1"/>
  <c r="C249" i="1"/>
  <c r="H106" i="1" l="1"/>
  <c r="G106" i="1"/>
  <c r="B249" i="1"/>
  <c r="C250" i="1"/>
  <c r="F107" i="1" l="1"/>
  <c r="E107" i="1"/>
  <c r="B250" i="1"/>
  <c r="C251" i="1"/>
  <c r="D107" i="1" l="1"/>
  <c r="B251" i="1"/>
  <c r="C252" i="1"/>
  <c r="H107" i="1" l="1"/>
  <c r="G107" i="1"/>
  <c r="B252" i="1"/>
  <c r="C253" i="1"/>
  <c r="F108" i="1" l="1"/>
  <c r="E108" i="1"/>
  <c r="C254" i="1"/>
  <c r="B253" i="1"/>
  <c r="D108" i="1" l="1"/>
  <c r="C255" i="1"/>
  <c r="B254" i="1"/>
  <c r="G108" i="1" l="1"/>
  <c r="H108" i="1"/>
  <c r="C256" i="1"/>
  <c r="B255" i="1"/>
  <c r="F109" i="1" l="1"/>
  <c r="E109" i="1"/>
  <c r="C257" i="1"/>
  <c r="B256" i="1"/>
  <c r="D109" i="1" l="1"/>
  <c r="C258" i="1"/>
  <c r="B257" i="1"/>
  <c r="G109" i="1" l="1"/>
  <c r="H109" i="1"/>
  <c r="C259" i="1"/>
  <c r="B258" i="1"/>
  <c r="F110" i="1" l="1"/>
  <c r="E110" i="1"/>
  <c r="C260" i="1"/>
  <c r="B259" i="1"/>
  <c r="D110" i="1" l="1"/>
  <c r="C261" i="1"/>
  <c r="B260" i="1"/>
  <c r="G110" i="1" l="1"/>
  <c r="H110" i="1"/>
  <c r="B261" i="1"/>
  <c r="C262" i="1"/>
  <c r="F111" i="1" l="1"/>
  <c r="E111" i="1"/>
  <c r="C263" i="1"/>
  <c r="B262" i="1"/>
  <c r="D111" i="1" l="1"/>
  <c r="G111" i="1" s="1"/>
  <c r="C264" i="1"/>
  <c r="B263" i="1"/>
  <c r="H111" i="1" l="1"/>
  <c r="F112" i="1" s="1"/>
  <c r="C265" i="1"/>
  <c r="B264" i="1"/>
  <c r="E112" i="1" l="1"/>
  <c r="D112" i="1" s="1"/>
  <c r="B265" i="1"/>
  <c r="C266" i="1"/>
  <c r="H112" i="1" l="1"/>
  <c r="G112" i="1"/>
  <c r="B266" i="1"/>
  <c r="C267" i="1"/>
  <c r="E113" i="1" l="1"/>
  <c r="F113" i="1"/>
  <c r="C268" i="1"/>
  <c r="B267" i="1"/>
  <c r="D113" i="1" l="1"/>
  <c r="G113" i="1" s="1"/>
  <c r="C269" i="1"/>
  <c r="B268" i="1"/>
  <c r="H113" i="1" l="1"/>
  <c r="E114" i="1" s="1"/>
  <c r="C270" i="1"/>
  <c r="B269" i="1"/>
  <c r="F114" i="1" l="1"/>
  <c r="D114" i="1" s="1"/>
  <c r="C271" i="1"/>
  <c r="B270" i="1"/>
  <c r="H114" i="1" l="1"/>
  <c r="G114" i="1"/>
  <c r="B271" i="1"/>
  <c r="C272" i="1"/>
  <c r="F115" i="1" l="1"/>
  <c r="E115" i="1"/>
  <c r="B272" i="1"/>
  <c r="C273" i="1"/>
  <c r="D115" i="1" l="1"/>
  <c r="B273" i="1"/>
  <c r="C274" i="1"/>
  <c r="H115" i="1" l="1"/>
  <c r="G115" i="1"/>
  <c r="B274" i="1"/>
  <c r="C275" i="1"/>
  <c r="F116" i="1" l="1"/>
  <c r="E116" i="1"/>
  <c r="B275" i="1"/>
  <c r="C276" i="1"/>
  <c r="D116" i="1" l="1"/>
  <c r="B276" i="1"/>
  <c r="C277" i="1"/>
  <c r="G116" i="1" l="1"/>
  <c r="H116" i="1"/>
  <c r="C278" i="1"/>
  <c r="B277" i="1"/>
  <c r="F117" i="1" l="1"/>
  <c r="E117" i="1"/>
  <c r="C279" i="1"/>
  <c r="B278" i="1"/>
  <c r="D117" i="1" l="1"/>
  <c r="C280" i="1"/>
  <c r="B279" i="1"/>
  <c r="G117" i="1" l="1"/>
  <c r="H117" i="1"/>
  <c r="C281" i="1"/>
  <c r="B280" i="1"/>
  <c r="F118" i="1" l="1"/>
  <c r="E118" i="1"/>
  <c r="B281" i="1"/>
  <c r="C282" i="1"/>
  <c r="D118" i="1" l="1"/>
  <c r="B282" i="1"/>
  <c r="C283" i="1"/>
  <c r="G118" i="1" l="1"/>
  <c r="H118" i="1"/>
  <c r="C284" i="1"/>
  <c r="B283" i="1"/>
  <c r="F119" i="1" l="1"/>
  <c r="E119" i="1"/>
  <c r="C285" i="1"/>
  <c r="B284" i="1"/>
  <c r="D119" i="1" l="1"/>
  <c r="C286" i="1"/>
  <c r="B285" i="1"/>
  <c r="G119" i="1" l="1"/>
  <c r="H119" i="1"/>
  <c r="C287" i="1"/>
  <c r="B286" i="1"/>
  <c r="F120" i="1" l="1"/>
  <c r="E120" i="1"/>
  <c r="C288" i="1"/>
  <c r="B287" i="1"/>
  <c r="D120" i="1" l="1"/>
  <c r="C289" i="1"/>
  <c r="B288" i="1"/>
  <c r="G120" i="1" l="1"/>
  <c r="H120" i="1"/>
  <c r="C290" i="1"/>
  <c r="B289" i="1"/>
  <c r="F121" i="1" l="1"/>
  <c r="E121" i="1"/>
  <c r="C291" i="1"/>
  <c r="B290" i="1"/>
  <c r="D121" i="1" l="1"/>
  <c r="B291" i="1"/>
  <c r="C292" i="1"/>
  <c r="G121" i="1" l="1"/>
  <c r="H121" i="1"/>
  <c r="C293" i="1"/>
  <c r="B292" i="1"/>
  <c r="F122" i="1" l="1"/>
  <c r="E122" i="1"/>
  <c r="C294" i="1"/>
  <c r="B293" i="1"/>
  <c r="D122" i="1" l="1"/>
  <c r="C295" i="1"/>
  <c r="B294" i="1"/>
  <c r="G122" i="1" l="1"/>
  <c r="H122" i="1"/>
  <c r="B295" i="1"/>
  <c r="C296" i="1"/>
  <c r="F123" i="1" l="1"/>
  <c r="E123" i="1"/>
  <c r="B296" i="1"/>
  <c r="C297" i="1"/>
  <c r="D123" i="1" l="1"/>
  <c r="H123" i="1" s="1"/>
  <c r="C298" i="1"/>
  <c r="B297" i="1"/>
  <c r="G123" i="1" l="1"/>
  <c r="F124" i="1"/>
  <c r="E124" i="1"/>
  <c r="C299" i="1"/>
  <c r="B298" i="1"/>
  <c r="D124" i="1" l="1"/>
  <c r="H124" i="1" s="1"/>
  <c r="C300" i="1"/>
  <c r="B299" i="1"/>
  <c r="G124" i="1" l="1"/>
  <c r="F125" i="1"/>
  <c r="E125" i="1"/>
  <c r="C301" i="1"/>
  <c r="B300" i="1"/>
  <c r="D125" i="1" l="1"/>
  <c r="B301" i="1"/>
  <c r="C302" i="1"/>
  <c r="G125" i="1" l="1"/>
  <c r="H125" i="1"/>
  <c r="B302" i="1"/>
  <c r="C303" i="1"/>
  <c r="F126" i="1" l="1"/>
  <c r="E126" i="1"/>
  <c r="B303" i="1"/>
  <c r="C304" i="1"/>
  <c r="D126" i="1" l="1"/>
  <c r="G126" i="1" s="1"/>
  <c r="B304" i="1"/>
  <c r="C305" i="1"/>
  <c r="H126" i="1" l="1"/>
  <c r="F127" i="1" s="1"/>
  <c r="B305" i="1"/>
  <c r="C306" i="1"/>
  <c r="E127" i="1" l="1"/>
  <c r="D127" i="1" s="1"/>
  <c r="G127" i="1" s="1"/>
  <c r="B306" i="1"/>
  <c r="C307" i="1"/>
  <c r="H127" i="1" l="1"/>
  <c r="F128" i="1" s="1"/>
  <c r="B307" i="1"/>
  <c r="C308" i="1"/>
  <c r="E128" i="1" l="1"/>
  <c r="D128" i="1" s="1"/>
  <c r="G128" i="1" s="1"/>
  <c r="B308" i="1"/>
  <c r="C309" i="1"/>
  <c r="H128" i="1" l="1"/>
  <c r="E129" i="1" s="1"/>
  <c r="B309" i="1"/>
  <c r="C310" i="1"/>
  <c r="F129" i="1" l="1"/>
  <c r="D129" i="1" s="1"/>
  <c r="B310" i="1"/>
  <c r="C311" i="1"/>
  <c r="B311" i="1" s="1"/>
  <c r="H129" i="1" l="1"/>
  <c r="F130" i="1" s="1"/>
  <c r="G129" i="1"/>
  <c r="E130" i="1" l="1"/>
  <c r="D130" i="1" s="1"/>
  <c r="G130" i="1" l="1"/>
  <c r="H130" i="1"/>
  <c r="E131" i="1" l="1"/>
  <c r="F131" i="1"/>
  <c r="D131" i="1" l="1"/>
  <c r="G131" i="1" l="1"/>
  <c r="H131" i="1"/>
  <c r="F132" i="1" l="1"/>
  <c r="E132" i="1"/>
  <c r="D132" i="1" l="1"/>
  <c r="G132" i="1" l="1"/>
  <c r="H132" i="1"/>
  <c r="F133" i="1" l="1"/>
  <c r="E133" i="1"/>
  <c r="D133" i="1" l="1"/>
  <c r="G133" i="1" l="1"/>
  <c r="H133" i="1"/>
  <c r="F134" i="1" l="1"/>
  <c r="E134" i="1"/>
  <c r="D134" i="1" l="1"/>
  <c r="H134" i="1" l="1"/>
  <c r="G134" i="1"/>
  <c r="E135" i="1" l="1"/>
  <c r="F135" i="1"/>
  <c r="D135" i="1" l="1"/>
  <c r="G135" i="1" l="1"/>
  <c r="H135" i="1"/>
  <c r="F136" i="1" l="1"/>
  <c r="E136" i="1"/>
  <c r="D136" i="1" l="1"/>
  <c r="G136" i="1" l="1"/>
  <c r="H136" i="1"/>
  <c r="F137" i="1" l="1"/>
  <c r="E137" i="1"/>
  <c r="D137" i="1" l="1"/>
  <c r="H137" i="1" l="1"/>
  <c r="G137" i="1"/>
  <c r="F138" i="1" l="1"/>
  <c r="E138" i="1"/>
  <c r="D138" i="1" l="1"/>
  <c r="H138" i="1" s="1"/>
  <c r="G138" i="1" l="1"/>
  <c r="E139" i="1"/>
  <c r="F139" i="1"/>
  <c r="D139" i="1" l="1"/>
  <c r="H139" i="1" s="1"/>
  <c r="G139" i="1" l="1"/>
  <c r="F140" i="1"/>
  <c r="E140" i="1"/>
  <c r="D140" i="1" l="1"/>
  <c r="G140" i="1" l="1"/>
  <c r="H140" i="1"/>
  <c r="F141" i="1" l="1"/>
  <c r="E141" i="1"/>
  <c r="D141" i="1" l="1"/>
  <c r="H141" i="1" s="1"/>
  <c r="G141" i="1" l="1"/>
  <c r="F142" i="1"/>
  <c r="E142" i="1"/>
  <c r="D142" i="1" l="1"/>
  <c r="G142" i="1" l="1"/>
  <c r="H142" i="1"/>
  <c r="F143" i="1" l="1"/>
  <c r="E143" i="1"/>
  <c r="D143" i="1" l="1"/>
  <c r="G143" i="1" l="1"/>
  <c r="H143" i="1"/>
  <c r="E144" i="1" l="1"/>
  <c r="F144" i="1"/>
  <c r="D144" i="1" l="1"/>
  <c r="G144" i="1" l="1"/>
  <c r="H144" i="1"/>
  <c r="E145" i="1" l="1"/>
  <c r="F145" i="1"/>
  <c r="D145" i="1" l="1"/>
  <c r="G145" i="1" s="1"/>
  <c r="H145" i="1" l="1"/>
  <c r="E146" i="1" s="1"/>
  <c r="F146" i="1" l="1"/>
  <c r="D146" i="1" s="1"/>
  <c r="H146" i="1" l="1"/>
  <c r="G146" i="1"/>
  <c r="E147" i="1" l="1"/>
  <c r="F147" i="1"/>
  <c r="D147" i="1" l="1"/>
  <c r="G147" i="1" s="1"/>
  <c r="H147" i="1" l="1"/>
  <c r="F148" i="1" s="1"/>
  <c r="E148" i="1" l="1"/>
  <c r="D148" i="1" s="1"/>
  <c r="G148" i="1" s="1"/>
  <c r="H148" i="1" l="1"/>
  <c r="E149" i="1" s="1"/>
  <c r="F149" i="1" l="1"/>
  <c r="D149" i="1" s="1"/>
  <c r="H149" i="1" s="1"/>
  <c r="G149" i="1" l="1"/>
  <c r="F150" i="1"/>
  <c r="E150" i="1"/>
  <c r="D150" i="1" l="1"/>
  <c r="H150" i="1" s="1"/>
  <c r="G150" i="1" l="1"/>
  <c r="E151" i="1"/>
  <c r="F151" i="1"/>
  <c r="D151" i="1" l="1"/>
  <c r="G151" i="1" l="1"/>
  <c r="H151" i="1"/>
  <c r="F152" i="1" l="1"/>
  <c r="E152" i="1"/>
  <c r="D152" i="1" l="1"/>
  <c r="G152" i="1" l="1"/>
  <c r="H152" i="1"/>
  <c r="E153" i="1" l="1"/>
  <c r="F153" i="1"/>
  <c r="D153" i="1" l="1"/>
  <c r="H153" i="1" s="1"/>
  <c r="G153" i="1" l="1"/>
  <c r="E154" i="1"/>
  <c r="F154" i="1"/>
  <c r="D154" i="1" l="1"/>
  <c r="G154" i="1" l="1"/>
  <c r="H154" i="1"/>
  <c r="F155" i="1" l="1"/>
  <c r="E155" i="1"/>
  <c r="D155" i="1" l="1"/>
  <c r="G155" i="1" l="1"/>
  <c r="H155" i="1"/>
  <c r="F156" i="1" l="1"/>
  <c r="E156" i="1"/>
  <c r="D156" i="1" l="1"/>
  <c r="G156" i="1" l="1"/>
  <c r="H156" i="1"/>
  <c r="F157" i="1" l="1"/>
  <c r="E157" i="1"/>
  <c r="D157" i="1" l="1"/>
  <c r="G157" i="1" l="1"/>
  <c r="H157" i="1"/>
  <c r="F158" i="1" l="1"/>
  <c r="E158" i="1"/>
  <c r="D158" i="1" l="1"/>
  <c r="G158" i="1" l="1"/>
  <c r="H158" i="1"/>
  <c r="F159" i="1" l="1"/>
  <c r="E159" i="1"/>
  <c r="D159" i="1" l="1"/>
  <c r="G159" i="1" l="1"/>
  <c r="H159" i="1"/>
  <c r="F160" i="1" l="1"/>
  <c r="E160" i="1"/>
  <c r="D160" i="1" l="1"/>
  <c r="G160" i="1" l="1"/>
  <c r="H160" i="1"/>
  <c r="E161" i="1" l="1"/>
  <c r="F161" i="1"/>
  <c r="D161" i="1" l="1"/>
  <c r="G161" i="1" l="1"/>
  <c r="H161" i="1"/>
  <c r="F162" i="1" l="1"/>
  <c r="E162" i="1"/>
  <c r="D162" i="1" l="1"/>
  <c r="G162" i="1" l="1"/>
  <c r="H162" i="1"/>
  <c r="F163" i="1" l="1"/>
  <c r="E163" i="1"/>
  <c r="D163" i="1" l="1"/>
  <c r="G163" i="1" l="1"/>
  <c r="H163" i="1"/>
  <c r="F164" i="1" l="1"/>
  <c r="E164" i="1"/>
  <c r="D164" i="1" l="1"/>
  <c r="G164" i="1" l="1"/>
  <c r="H164" i="1"/>
  <c r="F165" i="1" l="1"/>
  <c r="E165" i="1"/>
  <c r="D165" i="1" l="1"/>
  <c r="G165" i="1" l="1"/>
  <c r="H165" i="1"/>
  <c r="E166" i="1" l="1"/>
  <c r="F166" i="1"/>
  <c r="D166" i="1" l="1"/>
  <c r="G166" i="1" l="1"/>
  <c r="H166" i="1"/>
  <c r="F167" i="1" l="1"/>
  <c r="E167" i="1"/>
  <c r="D167" i="1" l="1"/>
  <c r="G167" i="1" l="1"/>
  <c r="H167" i="1"/>
  <c r="F168" i="1" l="1"/>
  <c r="E168" i="1"/>
  <c r="D168" i="1" l="1"/>
  <c r="H168" i="1" l="1"/>
  <c r="G168" i="1"/>
  <c r="F169" i="1" l="1"/>
  <c r="E169" i="1"/>
  <c r="D169" i="1" l="1"/>
  <c r="G169" i="1" l="1"/>
  <c r="H169" i="1"/>
  <c r="F170" i="1" l="1"/>
  <c r="E170" i="1"/>
  <c r="D170" i="1" l="1"/>
  <c r="G170" i="1" l="1"/>
  <c r="H170" i="1"/>
  <c r="E171" i="1" l="1"/>
  <c r="F171" i="1"/>
  <c r="D171" i="1" l="1"/>
  <c r="G171" i="1" s="1"/>
  <c r="H171" i="1" l="1"/>
  <c r="F172" i="1" s="1"/>
  <c r="E172" i="1" l="1"/>
  <c r="D172" i="1" s="1"/>
  <c r="G172" i="1" s="1"/>
  <c r="H172" i="1" l="1"/>
  <c r="E173" i="1" s="1"/>
  <c r="F173" i="1" l="1"/>
  <c r="D173" i="1" s="1"/>
  <c r="H173" i="1" s="1"/>
  <c r="G173" i="1" l="1"/>
  <c r="E174" i="1"/>
  <c r="F174" i="1"/>
  <c r="D174" i="1" l="1"/>
  <c r="G174" i="1" s="1"/>
  <c r="H174" i="1" l="1"/>
  <c r="F175" i="1" s="1"/>
  <c r="E175" i="1" l="1"/>
  <c r="D175" i="1" s="1"/>
  <c r="H175" i="1" s="1"/>
  <c r="G175" i="1" l="1"/>
  <c r="F176" i="1"/>
  <c r="E176" i="1"/>
  <c r="D176" i="1" l="1"/>
  <c r="G176" i="1" l="1"/>
  <c r="H176" i="1"/>
  <c r="F177" i="1" l="1"/>
  <c r="E177" i="1"/>
  <c r="D177" i="1" l="1"/>
  <c r="G177" i="1" l="1"/>
  <c r="H177" i="1"/>
  <c r="F178" i="1" l="1"/>
  <c r="E178" i="1"/>
  <c r="D178" i="1" l="1"/>
  <c r="G178" i="1" s="1"/>
  <c r="H178" i="1" l="1"/>
  <c r="E179" i="1" s="1"/>
  <c r="F179" i="1" l="1"/>
  <c r="D179" i="1" s="1"/>
  <c r="G179" i="1" l="1"/>
  <c r="H179" i="1"/>
  <c r="F180" i="1" l="1"/>
  <c r="E180" i="1"/>
  <c r="D180" i="1" l="1"/>
  <c r="H180" i="1" l="1"/>
  <c r="G180" i="1"/>
  <c r="E181" i="1" l="1"/>
  <c r="F181" i="1"/>
  <c r="D181" i="1" l="1"/>
  <c r="G181" i="1" l="1"/>
  <c r="H181" i="1"/>
  <c r="F182" i="1" l="1"/>
  <c r="E182" i="1"/>
  <c r="D182" i="1" l="1"/>
  <c r="H182" i="1" l="1"/>
  <c r="G182" i="1"/>
  <c r="E183" i="1" l="1"/>
  <c r="F183" i="1"/>
  <c r="D183" i="1" l="1"/>
  <c r="G183" i="1" l="1"/>
  <c r="H183" i="1"/>
  <c r="F184" i="1" l="1"/>
  <c r="E184" i="1"/>
  <c r="D184" i="1" l="1"/>
  <c r="H184" i="1" l="1"/>
  <c r="G184" i="1"/>
  <c r="E185" i="1" l="1"/>
  <c r="F185" i="1"/>
  <c r="D185" i="1" l="1"/>
  <c r="H185" i="1" s="1"/>
  <c r="G185" i="1" l="1"/>
  <c r="F186" i="1"/>
  <c r="E186" i="1"/>
  <c r="D186" i="1" l="1"/>
  <c r="H186" i="1" l="1"/>
  <c r="G186" i="1"/>
  <c r="E187" i="1" l="1"/>
  <c r="F187" i="1"/>
  <c r="D187" i="1" l="1"/>
  <c r="G187" i="1" s="1"/>
  <c r="H187" i="1" l="1"/>
  <c r="E188" i="1" s="1"/>
  <c r="F188" i="1" l="1"/>
  <c r="D188" i="1" s="1"/>
  <c r="H188" i="1" l="1"/>
  <c r="E189" i="1" s="1"/>
  <c r="G188" i="1"/>
  <c r="F189" i="1" l="1"/>
  <c r="D189" i="1" s="1"/>
  <c r="H189" i="1" s="1"/>
  <c r="G189" i="1" l="1"/>
  <c r="F190" i="1"/>
  <c r="E190" i="1"/>
  <c r="D190" i="1" l="1"/>
  <c r="G190" i="1" l="1"/>
  <c r="H190" i="1"/>
  <c r="F191" i="1" l="1"/>
  <c r="E191" i="1"/>
  <c r="D191" i="1" l="1"/>
  <c r="H191" i="1" l="1"/>
  <c r="G191" i="1"/>
  <c r="F192" i="1" l="1"/>
  <c r="E192" i="1"/>
  <c r="D192" i="1" l="1"/>
  <c r="H192" i="1" l="1"/>
  <c r="G192" i="1"/>
  <c r="E193" i="1" l="1"/>
  <c r="F193" i="1"/>
  <c r="D193" i="1" l="1"/>
  <c r="G193" i="1" s="1"/>
  <c r="H193" i="1" l="1"/>
  <c r="F194" i="1" s="1"/>
  <c r="E194" i="1" l="1"/>
  <c r="D194" i="1" s="1"/>
  <c r="H194" i="1" l="1"/>
  <c r="G194" i="1"/>
  <c r="E195" i="1" l="1"/>
  <c r="F195" i="1"/>
  <c r="D195" i="1" l="1"/>
  <c r="G195" i="1" l="1"/>
  <c r="H195" i="1"/>
  <c r="F196" i="1" l="1"/>
  <c r="E196" i="1"/>
  <c r="D196" i="1" l="1"/>
  <c r="G196" i="1" s="1"/>
  <c r="H196" i="1" l="1"/>
  <c r="F197" i="1" s="1"/>
  <c r="E197" i="1" l="1"/>
  <c r="D197" i="1" s="1"/>
  <c r="H197" i="1" s="1"/>
  <c r="G197" i="1" l="1"/>
  <c r="E198" i="1"/>
  <c r="F198" i="1"/>
  <c r="D198" i="1" l="1"/>
  <c r="G198" i="1" s="1"/>
  <c r="H198" i="1" l="1"/>
  <c r="E199" i="1" s="1"/>
  <c r="F199" i="1" l="1"/>
  <c r="D199" i="1" s="1"/>
  <c r="G199" i="1" l="1"/>
  <c r="H199" i="1"/>
  <c r="F200" i="1" l="1"/>
  <c r="E200" i="1"/>
  <c r="D200" i="1" l="1"/>
  <c r="H200" i="1" s="1"/>
  <c r="G200" i="1" l="1"/>
  <c r="E201" i="1"/>
  <c r="F201" i="1"/>
  <c r="D201" i="1" l="1"/>
  <c r="G201" i="1" l="1"/>
  <c r="H201" i="1"/>
  <c r="F202" i="1" l="1"/>
  <c r="E202" i="1"/>
  <c r="D202" i="1" l="1"/>
  <c r="G202" i="1" s="1"/>
  <c r="H202" i="1" l="1"/>
  <c r="E203" i="1" s="1"/>
  <c r="F203" i="1" l="1"/>
  <c r="D203" i="1" s="1"/>
  <c r="H203" i="1" s="1"/>
  <c r="G203" i="1" l="1"/>
  <c r="F204" i="1"/>
  <c r="E204" i="1"/>
  <c r="D204" i="1" l="1"/>
  <c r="H204" i="1" l="1"/>
  <c r="G204" i="1"/>
  <c r="E205" i="1" l="1"/>
  <c r="F205" i="1"/>
  <c r="D205" i="1" l="1"/>
  <c r="G205" i="1" l="1"/>
  <c r="H205" i="1"/>
  <c r="E206" i="1" l="1"/>
  <c r="F206" i="1"/>
  <c r="D206" i="1" l="1"/>
  <c r="G206" i="1" l="1"/>
  <c r="H206" i="1"/>
  <c r="F207" i="1" l="1"/>
  <c r="E207" i="1"/>
  <c r="D207" i="1" l="1"/>
  <c r="G207" i="1" l="1"/>
  <c r="H207" i="1"/>
  <c r="E208" i="1" l="1"/>
  <c r="F208" i="1"/>
  <c r="D208" i="1" l="1"/>
  <c r="G208" i="1" l="1"/>
  <c r="H208" i="1"/>
  <c r="F209" i="1" l="1"/>
  <c r="E209" i="1"/>
  <c r="D209" i="1" l="1"/>
  <c r="G209" i="1" l="1"/>
  <c r="H209" i="1"/>
  <c r="E210" i="1" l="1"/>
  <c r="F210" i="1"/>
  <c r="D210" i="1" l="1"/>
  <c r="G210" i="1" l="1"/>
  <c r="H210" i="1"/>
  <c r="F211" i="1" l="1"/>
  <c r="E211" i="1"/>
  <c r="D211" i="1" l="1"/>
  <c r="G211" i="1" l="1"/>
  <c r="H211" i="1"/>
  <c r="F212" i="1" l="1"/>
  <c r="E212" i="1"/>
  <c r="D212" i="1" l="1"/>
  <c r="H212" i="1" s="1"/>
  <c r="G212" i="1" l="1"/>
  <c r="F213" i="1"/>
  <c r="E213" i="1"/>
  <c r="D213" i="1" l="1"/>
  <c r="H213" i="1" l="1"/>
  <c r="G213" i="1"/>
  <c r="E214" i="1" l="1"/>
  <c r="F214" i="1"/>
  <c r="D214" i="1" l="1"/>
  <c r="H214" i="1" s="1"/>
  <c r="G214" i="1" l="1"/>
  <c r="F215" i="1"/>
  <c r="E215" i="1"/>
  <c r="D215" i="1" l="1"/>
  <c r="G215" i="1" l="1"/>
  <c r="H215" i="1"/>
  <c r="E216" i="1" l="1"/>
  <c r="F216" i="1"/>
  <c r="D216" i="1" l="1"/>
  <c r="G216" i="1" l="1"/>
  <c r="H216" i="1"/>
  <c r="E217" i="1" l="1"/>
  <c r="F217" i="1"/>
  <c r="D217" i="1" l="1"/>
  <c r="G217" i="1" l="1"/>
  <c r="H217" i="1"/>
  <c r="E218" i="1" l="1"/>
  <c r="F218" i="1"/>
  <c r="D218" i="1" l="1"/>
  <c r="G218" i="1" l="1"/>
  <c r="H218" i="1"/>
  <c r="E219" i="1" l="1"/>
  <c r="F219" i="1"/>
  <c r="D219" i="1" l="1"/>
  <c r="H219" i="1" s="1"/>
  <c r="G219" i="1" l="1"/>
  <c r="E220" i="1"/>
  <c r="F220" i="1"/>
  <c r="D220" i="1" l="1"/>
  <c r="G220" i="1" s="1"/>
  <c r="H220" i="1" l="1"/>
  <c r="E221" i="1" s="1"/>
  <c r="F221" i="1" l="1"/>
  <c r="D221" i="1" s="1"/>
  <c r="H221" i="1" s="1"/>
  <c r="G221" i="1" l="1"/>
  <c r="F222" i="1"/>
  <c r="E222" i="1"/>
  <c r="D222" i="1" l="1"/>
  <c r="H222" i="1" s="1"/>
  <c r="G222" i="1" l="1"/>
  <c r="E223" i="1"/>
  <c r="F223" i="1"/>
  <c r="D223" i="1" l="1"/>
  <c r="G223" i="1" l="1"/>
  <c r="H223" i="1"/>
  <c r="F224" i="1" l="1"/>
  <c r="E224" i="1"/>
  <c r="D224" i="1" l="1"/>
  <c r="G224" i="1" l="1"/>
  <c r="H224" i="1"/>
  <c r="F225" i="1" l="1"/>
  <c r="E225" i="1"/>
  <c r="D225" i="1" l="1"/>
  <c r="H225" i="1" s="1"/>
  <c r="G225" i="1" l="1"/>
  <c r="E226" i="1"/>
  <c r="F226" i="1"/>
  <c r="D226" i="1" l="1"/>
  <c r="G226" i="1" l="1"/>
  <c r="H226" i="1"/>
  <c r="E227" i="1" l="1"/>
  <c r="F227" i="1"/>
  <c r="D227" i="1" l="1"/>
  <c r="G227" i="1" l="1"/>
  <c r="H227" i="1"/>
  <c r="F228" i="1" l="1"/>
  <c r="E228" i="1"/>
  <c r="D228" i="1" l="1"/>
  <c r="G228" i="1" l="1"/>
  <c r="H228" i="1"/>
  <c r="F229" i="1" l="1"/>
  <c r="E229" i="1"/>
  <c r="D229" i="1" l="1"/>
  <c r="G229" i="1" l="1"/>
  <c r="H229" i="1"/>
  <c r="F230" i="1" l="1"/>
  <c r="E230" i="1"/>
  <c r="D230" i="1" l="1"/>
  <c r="H230" i="1" l="1"/>
  <c r="G230" i="1"/>
  <c r="E231" i="1" l="1"/>
  <c r="F231" i="1"/>
  <c r="D231" i="1" l="1"/>
  <c r="H231" i="1" s="1"/>
  <c r="G231" i="1" l="1"/>
  <c r="E232" i="1"/>
  <c r="F232" i="1"/>
  <c r="D232" i="1" l="1"/>
  <c r="H232" i="1" s="1"/>
  <c r="G232" i="1" l="1"/>
  <c r="F233" i="1"/>
  <c r="E233" i="1"/>
  <c r="D233" i="1" l="1"/>
  <c r="G233" i="1" s="1"/>
  <c r="H233" i="1" l="1"/>
  <c r="F234" i="1" s="1"/>
  <c r="E234" i="1" l="1"/>
  <c r="D234" i="1" s="1"/>
  <c r="G234" i="1" s="1"/>
  <c r="H234" i="1" l="1"/>
  <c r="E235" i="1" s="1"/>
  <c r="F235" i="1" l="1"/>
  <c r="D235" i="1" s="1"/>
  <c r="G235" i="1" s="1"/>
  <c r="H235" i="1" l="1"/>
  <c r="E236" i="1" s="1"/>
  <c r="F236" i="1" l="1"/>
  <c r="D236" i="1" s="1"/>
  <c r="G236" i="1" s="1"/>
  <c r="H236" i="1" l="1"/>
  <c r="F237" i="1" s="1"/>
  <c r="E237" i="1" l="1"/>
  <c r="D237" i="1" s="1"/>
  <c r="H237" i="1" s="1"/>
  <c r="G237" i="1" l="1"/>
  <c r="E238" i="1"/>
  <c r="F238" i="1"/>
  <c r="D238" i="1" l="1"/>
  <c r="H238" i="1" l="1"/>
  <c r="G238" i="1"/>
  <c r="F239" i="1" l="1"/>
  <c r="E239" i="1"/>
  <c r="D239" i="1" l="1"/>
  <c r="G239" i="1" s="1"/>
  <c r="H239" i="1" l="1"/>
  <c r="F240" i="1" s="1"/>
  <c r="E240" i="1" l="1"/>
  <c r="D240" i="1" s="1"/>
  <c r="G240" i="1" l="1"/>
  <c r="H240" i="1"/>
  <c r="F241" i="1" l="1"/>
  <c r="E241" i="1"/>
  <c r="D241" i="1" l="1"/>
  <c r="G241" i="1" l="1"/>
  <c r="H241" i="1"/>
  <c r="E242" i="1" l="1"/>
  <c r="F242" i="1"/>
  <c r="D242" i="1" l="1"/>
  <c r="G242" i="1" l="1"/>
  <c r="H242" i="1"/>
  <c r="E243" i="1" l="1"/>
  <c r="F243" i="1"/>
  <c r="D243" i="1" l="1"/>
  <c r="G243" i="1" l="1"/>
  <c r="H243" i="1"/>
  <c r="E244" i="1" l="1"/>
  <c r="F244" i="1"/>
  <c r="D244" i="1" l="1"/>
  <c r="H244" i="1" s="1"/>
  <c r="G244" i="1" l="1"/>
  <c r="E245" i="1"/>
  <c r="F245" i="1"/>
  <c r="D245" i="1" l="1"/>
  <c r="G245" i="1" s="1"/>
  <c r="H245" i="1" l="1"/>
  <c r="F246" i="1" s="1"/>
  <c r="E246" i="1" l="1"/>
  <c r="D246" i="1" s="1"/>
  <c r="H246" i="1" s="1"/>
  <c r="G246" i="1" l="1"/>
  <c r="F247" i="1"/>
  <c r="E247" i="1"/>
  <c r="D247" i="1" l="1"/>
  <c r="G247" i="1" s="1"/>
  <c r="H247" i="1" l="1"/>
  <c r="F248" i="1" s="1"/>
  <c r="E248" i="1" l="1"/>
  <c r="D248" i="1" s="1"/>
  <c r="G248" i="1" s="1"/>
  <c r="H248" i="1" l="1"/>
  <c r="F249" i="1" s="1"/>
  <c r="E249" i="1" l="1"/>
  <c r="D249" i="1" s="1"/>
  <c r="G249" i="1" s="1"/>
  <c r="H249" i="1" l="1"/>
  <c r="E250" i="1" s="1"/>
  <c r="F250" i="1" l="1"/>
  <c r="D250" i="1" s="1"/>
  <c r="G250" i="1" s="1"/>
  <c r="H250" i="1" l="1"/>
  <c r="F251" i="1" s="1"/>
  <c r="F313" i="1" s="1"/>
  <c r="E251" i="1" l="1"/>
  <c r="E313" i="1" s="1"/>
  <c r="D251" i="1" l="1"/>
  <c r="D313" i="1" s="1"/>
  <c r="H251" i="1" l="1"/>
  <c r="F252" i="1" s="1"/>
  <c r="G251" i="1"/>
  <c r="G313" i="1" s="1"/>
  <c r="E252" i="1" l="1"/>
  <c r="D252" i="1" s="1"/>
  <c r="G252" i="1" l="1"/>
  <c r="H252" i="1"/>
  <c r="E253" i="1" l="1"/>
  <c r="F253" i="1"/>
  <c r="D253" i="1" l="1"/>
  <c r="G253" i="1" l="1"/>
  <c r="H253" i="1"/>
  <c r="F254" i="1" l="1"/>
  <c r="E254" i="1"/>
  <c r="D254" i="1" l="1"/>
  <c r="G254" i="1" l="1"/>
  <c r="H254" i="1"/>
  <c r="F255" i="1" l="1"/>
  <c r="E255" i="1"/>
  <c r="D255" i="1" l="1"/>
  <c r="G255" i="1" l="1"/>
  <c r="H255" i="1"/>
  <c r="F256" i="1" l="1"/>
  <c r="E256" i="1"/>
  <c r="D256" i="1" l="1"/>
  <c r="G256" i="1" l="1"/>
  <c r="H256" i="1"/>
  <c r="F257" i="1" l="1"/>
  <c r="E257" i="1"/>
  <c r="D257" i="1" l="1"/>
  <c r="G257" i="1" l="1"/>
  <c r="H257" i="1"/>
  <c r="F258" i="1" l="1"/>
  <c r="E258" i="1"/>
  <c r="D258" i="1" l="1"/>
  <c r="G258" i="1" l="1"/>
  <c r="H258" i="1"/>
  <c r="E259" i="1" l="1"/>
  <c r="F259" i="1"/>
  <c r="D259" i="1" l="1"/>
  <c r="G259" i="1" l="1"/>
  <c r="H259" i="1"/>
  <c r="E260" i="1" l="1"/>
  <c r="F260" i="1"/>
  <c r="D260" i="1" l="1"/>
  <c r="H260" i="1" s="1"/>
  <c r="G260" i="1" l="1"/>
  <c r="E261" i="1"/>
  <c r="F261" i="1"/>
  <c r="D261" i="1" l="1"/>
  <c r="G261" i="1" l="1"/>
  <c r="H261" i="1"/>
  <c r="E262" i="1" l="1"/>
  <c r="F262" i="1"/>
  <c r="D262" i="1" l="1"/>
  <c r="H262" i="1" s="1"/>
  <c r="G262" i="1" l="1"/>
  <c r="E263" i="1"/>
  <c r="F263" i="1"/>
  <c r="D263" i="1" l="1"/>
  <c r="G263" i="1" l="1"/>
  <c r="H263" i="1"/>
  <c r="F264" i="1" l="1"/>
  <c r="E264" i="1"/>
  <c r="D264" i="1" l="1"/>
  <c r="G264" i="1" l="1"/>
  <c r="H264" i="1"/>
  <c r="E265" i="1" l="1"/>
  <c r="F265" i="1"/>
  <c r="D265" i="1" l="1"/>
  <c r="G265" i="1" l="1"/>
  <c r="H265" i="1"/>
  <c r="F266" i="1" l="1"/>
  <c r="E266" i="1"/>
  <c r="D266" i="1" l="1"/>
  <c r="G266" i="1" l="1"/>
  <c r="H266" i="1"/>
  <c r="F267" i="1" l="1"/>
  <c r="E267" i="1"/>
  <c r="D267" i="1" l="1"/>
  <c r="G267" i="1" l="1"/>
  <c r="H267" i="1"/>
  <c r="E268" i="1" l="1"/>
  <c r="F268" i="1"/>
  <c r="D268" i="1" l="1"/>
  <c r="G268" i="1" l="1"/>
  <c r="H268" i="1"/>
  <c r="E269" i="1" l="1"/>
  <c r="F269" i="1"/>
  <c r="D269" i="1" l="1"/>
  <c r="G269" i="1" l="1"/>
  <c r="H269" i="1"/>
  <c r="F270" i="1" l="1"/>
  <c r="E270" i="1"/>
  <c r="D270" i="1" l="1"/>
  <c r="G270" i="1" l="1"/>
  <c r="H270" i="1"/>
  <c r="E271" i="1" l="1"/>
  <c r="F271" i="1"/>
  <c r="D271" i="1" l="1"/>
  <c r="G271" i="1" l="1"/>
  <c r="H271" i="1"/>
  <c r="F272" i="1" l="1"/>
  <c r="E272" i="1"/>
  <c r="D272" i="1" l="1"/>
  <c r="G272" i="1" l="1"/>
  <c r="H272" i="1"/>
  <c r="F273" i="1" l="1"/>
  <c r="E273" i="1"/>
  <c r="D273" i="1" l="1"/>
  <c r="G273" i="1" l="1"/>
  <c r="H273" i="1"/>
  <c r="E274" i="1" l="1"/>
  <c r="F274" i="1"/>
  <c r="D274" i="1" l="1"/>
  <c r="G274" i="1" l="1"/>
  <c r="H274" i="1"/>
  <c r="E275" i="1" l="1"/>
  <c r="F275" i="1"/>
  <c r="D275" i="1" l="1"/>
  <c r="H275" i="1" s="1"/>
  <c r="G275" i="1" l="1"/>
  <c r="E276" i="1"/>
  <c r="F276" i="1"/>
  <c r="D276" i="1" l="1"/>
  <c r="G276" i="1" l="1"/>
  <c r="H276" i="1"/>
  <c r="E277" i="1" l="1"/>
  <c r="F277" i="1"/>
  <c r="D277" i="1" l="1"/>
  <c r="G277" i="1" l="1"/>
  <c r="H277" i="1"/>
  <c r="E278" i="1" l="1"/>
  <c r="F278" i="1"/>
  <c r="D278" i="1" l="1"/>
  <c r="G278" i="1" l="1"/>
  <c r="H278" i="1"/>
  <c r="F279" i="1" l="1"/>
  <c r="E279" i="1"/>
  <c r="D279" i="1" l="1"/>
  <c r="G279" i="1" l="1"/>
  <c r="H279" i="1"/>
  <c r="F280" i="1" l="1"/>
  <c r="E280" i="1"/>
  <c r="D280" i="1" l="1"/>
  <c r="G280" i="1" l="1"/>
  <c r="H280" i="1"/>
  <c r="F281" i="1" l="1"/>
  <c r="E281" i="1"/>
  <c r="D281" i="1" l="1"/>
  <c r="G281" i="1" l="1"/>
  <c r="H281" i="1"/>
  <c r="F282" i="1" l="1"/>
  <c r="E282" i="1"/>
  <c r="D282" i="1" l="1"/>
  <c r="G282" i="1" l="1"/>
  <c r="H282" i="1"/>
  <c r="E283" i="1" l="1"/>
  <c r="F283" i="1"/>
  <c r="D283" i="1" l="1"/>
  <c r="G283" i="1" l="1"/>
  <c r="H283" i="1"/>
  <c r="E284" i="1" l="1"/>
  <c r="F284" i="1"/>
  <c r="D284" i="1" l="1"/>
  <c r="G284" i="1" s="1"/>
  <c r="H284" i="1" l="1"/>
  <c r="E285" i="1" s="1"/>
  <c r="F285" i="1" l="1"/>
  <c r="D285" i="1" s="1"/>
  <c r="G285" i="1" l="1"/>
  <c r="H285" i="1"/>
  <c r="F286" i="1" l="1"/>
  <c r="E286" i="1"/>
  <c r="D286" i="1" l="1"/>
  <c r="G286" i="1" l="1"/>
  <c r="H286" i="1"/>
  <c r="F287" i="1" l="1"/>
  <c r="E287" i="1"/>
  <c r="D287" i="1" l="1"/>
  <c r="G287" i="1" l="1"/>
  <c r="H287" i="1"/>
  <c r="E288" i="1" l="1"/>
  <c r="F288" i="1"/>
  <c r="D288" i="1" l="1"/>
  <c r="G288" i="1" l="1"/>
  <c r="H288" i="1"/>
  <c r="E289" i="1" l="1"/>
  <c r="F289" i="1"/>
  <c r="D289" i="1" l="1"/>
  <c r="G289" i="1" l="1"/>
  <c r="H289" i="1"/>
  <c r="E290" i="1" l="1"/>
  <c r="F290" i="1"/>
  <c r="D290" i="1" l="1"/>
  <c r="G290" i="1" l="1"/>
  <c r="H290" i="1"/>
  <c r="F291" i="1" l="1"/>
  <c r="E291" i="1"/>
  <c r="D291" i="1" l="1"/>
  <c r="G291" i="1" l="1"/>
  <c r="H291" i="1"/>
  <c r="E292" i="1" l="1"/>
  <c r="F292" i="1"/>
  <c r="D292" i="1" l="1"/>
  <c r="G292" i="1" l="1"/>
  <c r="H292" i="1"/>
  <c r="F293" i="1" l="1"/>
  <c r="E293" i="1"/>
  <c r="D293" i="1" l="1"/>
  <c r="G293" i="1" l="1"/>
  <c r="H293" i="1"/>
  <c r="F294" i="1" l="1"/>
  <c r="E294" i="1"/>
  <c r="D294" i="1" l="1"/>
  <c r="H294" i="1" s="1"/>
  <c r="G294" i="1" l="1"/>
  <c r="E295" i="1"/>
  <c r="F295" i="1"/>
  <c r="D295" i="1" l="1"/>
  <c r="G295" i="1" l="1"/>
  <c r="H295" i="1"/>
  <c r="E296" i="1" l="1"/>
  <c r="F296" i="1"/>
  <c r="D296" i="1" l="1"/>
  <c r="G296" i="1" s="1"/>
  <c r="H296" i="1" l="1"/>
  <c r="E297" i="1" s="1"/>
  <c r="F297" i="1" l="1"/>
  <c r="D297" i="1" s="1"/>
  <c r="G297" i="1" l="1"/>
  <c r="H297" i="1"/>
  <c r="F298" i="1" l="1"/>
  <c r="E298" i="1"/>
  <c r="D298" i="1" l="1"/>
  <c r="G298" i="1" l="1"/>
  <c r="H298" i="1"/>
  <c r="F299" i="1" l="1"/>
  <c r="E299" i="1"/>
  <c r="D299" i="1" l="1"/>
  <c r="H299" i="1" s="1"/>
  <c r="G299" i="1" l="1"/>
  <c r="E300" i="1"/>
  <c r="F300" i="1"/>
  <c r="D300" i="1" l="1"/>
  <c r="G300" i="1" l="1"/>
  <c r="H300" i="1"/>
  <c r="F301" i="1" l="1"/>
  <c r="E301" i="1"/>
  <c r="D301" i="1" l="1"/>
  <c r="H301" i="1" s="1"/>
  <c r="G301" i="1" l="1"/>
  <c r="E302" i="1"/>
  <c r="F302" i="1"/>
  <c r="D302" i="1" l="1"/>
  <c r="G302" i="1" l="1"/>
  <c r="H302" i="1"/>
  <c r="E303" i="1" l="1"/>
  <c r="F303" i="1"/>
  <c r="D303" i="1" l="1"/>
  <c r="G303" i="1" l="1"/>
  <c r="H303" i="1"/>
  <c r="E304" i="1" l="1"/>
  <c r="F304" i="1"/>
  <c r="D304" i="1" l="1"/>
  <c r="G304" i="1" l="1"/>
  <c r="H304" i="1"/>
  <c r="F305" i="1" l="1"/>
  <c r="E305" i="1"/>
  <c r="D305" i="1" l="1"/>
  <c r="G305" i="1" l="1"/>
  <c r="H305" i="1"/>
  <c r="E306" i="1" l="1"/>
  <c r="F306" i="1"/>
  <c r="D306" i="1" l="1"/>
  <c r="G306" i="1" s="1"/>
  <c r="H306" i="1" l="1"/>
  <c r="F307" i="1" s="1"/>
  <c r="E307" i="1" l="1"/>
  <c r="D307" i="1" s="1"/>
  <c r="G307" i="1" l="1"/>
  <c r="H307" i="1"/>
  <c r="E308" i="1" l="1"/>
  <c r="F308" i="1"/>
  <c r="D308" i="1" l="1"/>
  <c r="H308" i="1" s="1"/>
  <c r="G308" i="1" l="1"/>
  <c r="F309" i="1"/>
  <c r="E309" i="1"/>
  <c r="D309" i="1" l="1"/>
  <c r="H309" i="1" s="1"/>
  <c r="G309" i="1" l="1"/>
  <c r="F310" i="1"/>
  <c r="E310" i="1"/>
  <c r="D310" i="1" l="1"/>
  <c r="G310" i="1" l="1"/>
  <c r="H310" i="1"/>
  <c r="F311" i="1" l="1"/>
  <c r="E311" i="1"/>
  <c r="C14" i="3" s="1"/>
  <c r="C24" i="3" s="1"/>
  <c r="D311" i="1"/>
  <c r="C9" i="9" l="1"/>
  <c r="C13" i="9" s="1"/>
  <c r="C54" i="3"/>
  <c r="D14" i="3"/>
  <c r="E14" i="3"/>
  <c r="F14" i="3"/>
  <c r="G14" i="3"/>
  <c r="H14" i="3"/>
  <c r="I14" i="3"/>
  <c r="J14" i="3"/>
  <c r="J24" i="3" s="1"/>
  <c r="K14" i="3"/>
  <c r="L14" i="3"/>
  <c r="M14" i="3"/>
  <c r="N14" i="3"/>
  <c r="O14" i="3"/>
  <c r="P14" i="3"/>
  <c r="Q14" i="3"/>
  <c r="Q24" i="3" s="1"/>
  <c r="R14" i="3"/>
  <c r="S14" i="3"/>
  <c r="T14" i="3"/>
  <c r="U14" i="3"/>
  <c r="V14" i="3"/>
  <c r="W14" i="3"/>
  <c r="X14" i="3"/>
  <c r="X24" i="3" s="1"/>
  <c r="Y14" i="3"/>
  <c r="Z14" i="3"/>
  <c r="AA14" i="3"/>
  <c r="H311" i="1"/>
  <c r="G311" i="1"/>
  <c r="C12" i="9" l="1"/>
  <c r="C15" i="9" s="1"/>
  <c r="Z9" i="9"/>
  <c r="X9" i="9"/>
  <c r="V9" i="9"/>
  <c r="T9" i="9"/>
  <c r="R9" i="9"/>
  <c r="P9" i="9"/>
  <c r="N9" i="9"/>
  <c r="L9" i="9"/>
  <c r="J54" i="3"/>
  <c r="J9" i="9"/>
  <c r="H9" i="9"/>
  <c r="F9" i="9"/>
  <c r="D9" i="9"/>
  <c r="AA9" i="9"/>
  <c r="Y9" i="9"/>
  <c r="W9" i="9"/>
  <c r="U9" i="9"/>
  <c r="S9" i="9"/>
  <c r="Q54" i="3"/>
  <c r="Q9" i="9"/>
  <c r="O9" i="9"/>
  <c r="M9" i="9"/>
  <c r="K9" i="9"/>
  <c r="I9" i="9"/>
  <c r="G9" i="9"/>
  <c r="E9" i="9"/>
  <c r="X54" i="3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E13" i="9" l="1"/>
  <c r="E12" i="9"/>
  <c r="G13" i="9"/>
  <c r="G12" i="9"/>
  <c r="I13" i="9"/>
  <c r="I12" i="9"/>
  <c r="K12" i="9"/>
  <c r="K13" i="9"/>
  <c r="M12" i="9"/>
  <c r="M13" i="9"/>
  <c r="O12" i="9"/>
  <c r="O13" i="9"/>
  <c r="Q12" i="9"/>
  <c r="Q13" i="9"/>
  <c r="S12" i="9"/>
  <c r="S13" i="9"/>
  <c r="U12" i="9"/>
  <c r="U13" i="9"/>
  <c r="W12" i="9"/>
  <c r="W13" i="9"/>
  <c r="Y12" i="9"/>
  <c r="Y13" i="9"/>
  <c r="AA12" i="9"/>
  <c r="AA13" i="9"/>
  <c r="D13" i="9"/>
  <c r="D12" i="9"/>
  <c r="F13" i="9"/>
  <c r="F12" i="9"/>
  <c r="H13" i="9"/>
  <c r="H12" i="9"/>
  <c r="J12" i="9"/>
  <c r="J13" i="9"/>
  <c r="L12" i="9"/>
  <c r="L13" i="9"/>
  <c r="N12" i="9"/>
  <c r="N13" i="9"/>
  <c r="P12" i="9"/>
  <c r="P13" i="9"/>
  <c r="R12" i="9"/>
  <c r="R13" i="9"/>
  <c r="T12" i="9"/>
  <c r="T13" i="9"/>
  <c r="V12" i="9"/>
  <c r="V13" i="9"/>
  <c r="X12" i="9"/>
  <c r="X13" i="9"/>
  <c r="Z12" i="9"/>
  <c r="Z13" i="9"/>
  <c r="C18" i="9"/>
  <c r="C7" i="3"/>
  <c r="C9" i="3" s="1"/>
  <c r="C28" i="3" s="1"/>
  <c r="H15" i="9" l="1"/>
  <c r="H7" i="3" s="1"/>
  <c r="H9" i="3" s="1"/>
  <c r="H10" i="3" s="1"/>
  <c r="F15" i="9"/>
  <c r="F7" i="3" s="1"/>
  <c r="F9" i="3" s="1"/>
  <c r="F10" i="3" s="1"/>
  <c r="D15" i="9"/>
  <c r="D7" i="3" s="1"/>
  <c r="D9" i="3" s="1"/>
  <c r="D36" i="3" s="1"/>
  <c r="I15" i="9"/>
  <c r="I7" i="3" s="1"/>
  <c r="I9" i="3" s="1"/>
  <c r="I36" i="3" s="1"/>
  <c r="G15" i="9"/>
  <c r="G7" i="3" s="1"/>
  <c r="G9" i="3" s="1"/>
  <c r="G37" i="3" s="1"/>
  <c r="E15" i="9"/>
  <c r="C37" i="3"/>
  <c r="C36" i="3"/>
  <c r="C10" i="3"/>
  <c r="C34" i="3" s="1"/>
  <c r="Z15" i="9"/>
  <c r="X15" i="9"/>
  <c r="X7" i="3" s="1"/>
  <c r="X9" i="3" s="1"/>
  <c r="X28" i="3" s="1"/>
  <c r="V15" i="9"/>
  <c r="T15" i="9"/>
  <c r="R15" i="9"/>
  <c r="R7" i="3" s="1"/>
  <c r="R9" i="3" s="1"/>
  <c r="P15" i="9"/>
  <c r="N15" i="9"/>
  <c r="L15" i="9"/>
  <c r="J15" i="9"/>
  <c r="J7" i="3" s="1"/>
  <c r="J9" i="3" s="1"/>
  <c r="J28" i="3" s="1"/>
  <c r="AA15" i="9"/>
  <c r="Y15" i="9"/>
  <c r="Y7" i="3" s="1"/>
  <c r="Y9" i="3" s="1"/>
  <c r="W15" i="9"/>
  <c r="U15" i="9"/>
  <c r="S15" i="9"/>
  <c r="Q15" i="9"/>
  <c r="Q7" i="3" s="1"/>
  <c r="Q9" i="3" s="1"/>
  <c r="Q28" i="3" s="1"/>
  <c r="O15" i="9"/>
  <c r="M15" i="9"/>
  <c r="K15" i="9"/>
  <c r="K7" i="3" s="1"/>
  <c r="K9" i="3" s="1"/>
  <c r="D10" i="3" l="1"/>
  <c r="D35" i="3" s="1"/>
  <c r="C33" i="3"/>
  <c r="I37" i="3"/>
  <c r="D37" i="3"/>
  <c r="D16" i="9"/>
  <c r="D18" i="9" s="1"/>
  <c r="E16" i="9" s="1"/>
  <c r="F36" i="3"/>
  <c r="H36" i="3"/>
  <c r="H37" i="3"/>
  <c r="F37" i="3"/>
  <c r="I10" i="3"/>
  <c r="I34" i="3" s="1"/>
  <c r="G10" i="3"/>
  <c r="G34" i="3" s="1"/>
  <c r="C35" i="3"/>
  <c r="G36" i="3"/>
  <c r="E7" i="3"/>
  <c r="E9" i="3" s="1"/>
  <c r="E36" i="3" s="1"/>
  <c r="K37" i="3"/>
  <c r="K36" i="3"/>
  <c r="K10" i="3"/>
  <c r="O7" i="3"/>
  <c r="O9" i="3" s="1"/>
  <c r="S7" i="3"/>
  <c r="S9" i="3" s="1"/>
  <c r="W7" i="3"/>
  <c r="W9" i="3" s="1"/>
  <c r="AA7" i="3"/>
  <c r="AA9" i="3" s="1"/>
  <c r="L7" i="3"/>
  <c r="L9" i="3" s="1"/>
  <c r="P7" i="3"/>
  <c r="P9" i="3" s="1"/>
  <c r="T7" i="3"/>
  <c r="T9" i="3" s="1"/>
  <c r="X36" i="3"/>
  <c r="X10" i="3"/>
  <c r="X37" i="3"/>
  <c r="X18" i="9"/>
  <c r="Y16" i="9" s="1"/>
  <c r="D34" i="3"/>
  <c r="D33" i="3"/>
  <c r="M7" i="3"/>
  <c r="M9" i="3" s="1"/>
  <c r="Q37" i="3"/>
  <c r="Q36" i="3"/>
  <c r="Q10" i="3"/>
  <c r="U7" i="3"/>
  <c r="U9" i="3" s="1"/>
  <c r="Y36" i="3"/>
  <c r="Y37" i="3"/>
  <c r="Y10" i="3"/>
  <c r="J10" i="3"/>
  <c r="J37" i="3"/>
  <c r="J36" i="3"/>
  <c r="N7" i="3"/>
  <c r="N9" i="3" s="1"/>
  <c r="R10" i="3"/>
  <c r="R37" i="3"/>
  <c r="R36" i="3"/>
  <c r="V7" i="3"/>
  <c r="V9" i="3" s="1"/>
  <c r="Z7" i="3"/>
  <c r="Z9" i="3" s="1"/>
  <c r="J18" i="9"/>
  <c r="K16" i="9" s="1"/>
  <c r="C29" i="3"/>
  <c r="C45" i="3"/>
  <c r="C44" i="3"/>
  <c r="Q18" i="9"/>
  <c r="F33" i="3"/>
  <c r="F35" i="3"/>
  <c r="F34" i="3"/>
  <c r="H33" i="3"/>
  <c r="H35" i="3"/>
  <c r="H34" i="3"/>
  <c r="D22" i="3" l="1"/>
  <c r="D24" i="3" s="1"/>
  <c r="D28" i="3" s="1"/>
  <c r="G33" i="3"/>
  <c r="C38" i="3"/>
  <c r="C51" i="3" s="1"/>
  <c r="I35" i="3"/>
  <c r="I33" i="3"/>
  <c r="G35" i="3"/>
  <c r="E37" i="3"/>
  <c r="E10" i="3"/>
  <c r="E34" i="3" s="1"/>
  <c r="K18" i="9"/>
  <c r="L16" i="9" s="1"/>
  <c r="K22" i="3"/>
  <c r="K24" i="3" s="1"/>
  <c r="K28" i="3" s="1"/>
  <c r="Y18" i="9"/>
  <c r="Z16" i="9" s="1"/>
  <c r="Y22" i="3"/>
  <c r="Y24" i="3" s="1"/>
  <c r="Y28" i="3" s="1"/>
  <c r="D54" i="3"/>
  <c r="E18" i="9"/>
  <c r="F16" i="9" s="1"/>
  <c r="E22" i="3"/>
  <c r="E24" i="3" s="1"/>
  <c r="E28" i="3" s="1"/>
  <c r="F38" i="3"/>
  <c r="F51" i="3" s="1"/>
  <c r="Z37" i="3"/>
  <c r="Z10" i="3"/>
  <c r="Z36" i="3"/>
  <c r="V10" i="3"/>
  <c r="V36" i="3"/>
  <c r="V37" i="3"/>
  <c r="R33" i="3"/>
  <c r="R35" i="3"/>
  <c r="R34" i="3"/>
  <c r="N36" i="3"/>
  <c r="N10" i="3"/>
  <c r="N37" i="3"/>
  <c r="J34" i="3"/>
  <c r="J33" i="3"/>
  <c r="J35" i="3"/>
  <c r="Y34" i="3"/>
  <c r="Y35" i="3"/>
  <c r="Y33" i="3"/>
  <c r="U10" i="3"/>
  <c r="U37" i="3"/>
  <c r="U36" i="3"/>
  <c r="Q34" i="3"/>
  <c r="Q33" i="3"/>
  <c r="Q35" i="3"/>
  <c r="M10" i="3"/>
  <c r="M37" i="3"/>
  <c r="M36" i="3"/>
  <c r="D38" i="3"/>
  <c r="D51" i="3" s="1"/>
  <c r="X44" i="3"/>
  <c r="X45" i="3"/>
  <c r="X29" i="3"/>
  <c r="X33" i="3"/>
  <c r="X35" i="3"/>
  <c r="X34" i="3"/>
  <c r="H38" i="3"/>
  <c r="H51" i="3" s="1"/>
  <c r="R16" i="9"/>
  <c r="C42" i="3"/>
  <c r="C41" i="3"/>
  <c r="C43" i="3"/>
  <c r="J45" i="3"/>
  <c r="J29" i="3"/>
  <c r="J44" i="3"/>
  <c r="Q44" i="3"/>
  <c r="Q45" i="3"/>
  <c r="Q29" i="3"/>
  <c r="T10" i="3"/>
  <c r="T37" i="3"/>
  <c r="T36" i="3"/>
  <c r="P10" i="3"/>
  <c r="P37" i="3"/>
  <c r="P36" i="3"/>
  <c r="L36" i="3"/>
  <c r="L37" i="3"/>
  <c r="L10" i="3"/>
  <c r="AA37" i="3"/>
  <c r="AA36" i="3"/>
  <c r="AA10" i="3"/>
  <c r="W10" i="3"/>
  <c r="W37" i="3"/>
  <c r="W36" i="3"/>
  <c r="S37" i="3"/>
  <c r="S36" i="3"/>
  <c r="S10" i="3"/>
  <c r="O10" i="3"/>
  <c r="O37" i="3"/>
  <c r="O36" i="3"/>
  <c r="K33" i="3"/>
  <c r="K35" i="3"/>
  <c r="K34" i="3"/>
  <c r="I38" i="3" l="1"/>
  <c r="I51" i="3" s="1"/>
  <c r="G38" i="3"/>
  <c r="G51" i="3" s="1"/>
  <c r="E33" i="3"/>
  <c r="E35" i="3"/>
  <c r="R18" i="9"/>
  <c r="S16" i="9" s="1"/>
  <c r="R22" i="3"/>
  <c r="R24" i="3" s="1"/>
  <c r="R28" i="3" s="1"/>
  <c r="Y54" i="3"/>
  <c r="K54" i="3"/>
  <c r="Z18" i="9"/>
  <c r="AA16" i="9" s="1"/>
  <c r="Z22" i="3"/>
  <c r="Z24" i="3" s="1"/>
  <c r="Z28" i="3" s="1"/>
  <c r="L18" i="9"/>
  <c r="M16" i="9" s="1"/>
  <c r="L22" i="3"/>
  <c r="L24" i="3" s="1"/>
  <c r="L28" i="3" s="1"/>
  <c r="Q38" i="3"/>
  <c r="Q51" i="3" s="1"/>
  <c r="Y38" i="3"/>
  <c r="Y51" i="3" s="1"/>
  <c r="J38" i="3"/>
  <c r="J51" i="3" s="1"/>
  <c r="E54" i="3"/>
  <c r="D29" i="3"/>
  <c r="D44" i="3"/>
  <c r="D45" i="3"/>
  <c r="F18" i="9"/>
  <c r="G16" i="9" s="1"/>
  <c r="F22" i="3"/>
  <c r="F24" i="3" s="1"/>
  <c r="F28" i="3" s="1"/>
  <c r="Q41" i="3"/>
  <c r="Q43" i="3"/>
  <c r="Q42" i="3"/>
  <c r="X43" i="3"/>
  <c r="X42" i="3"/>
  <c r="X41" i="3"/>
  <c r="M34" i="3"/>
  <c r="M33" i="3"/>
  <c r="M35" i="3"/>
  <c r="N33" i="3"/>
  <c r="N35" i="3"/>
  <c r="N34" i="3"/>
  <c r="R38" i="3"/>
  <c r="R51" i="3" s="1"/>
  <c r="V34" i="3"/>
  <c r="V35" i="3"/>
  <c r="V33" i="3"/>
  <c r="K38" i="3"/>
  <c r="K51" i="3" s="1"/>
  <c r="O33" i="3"/>
  <c r="O35" i="3"/>
  <c r="O34" i="3"/>
  <c r="S34" i="3"/>
  <c r="S33" i="3"/>
  <c r="S35" i="3"/>
  <c r="W35" i="3"/>
  <c r="W34" i="3"/>
  <c r="W33" i="3"/>
  <c r="AA35" i="3"/>
  <c r="AA33" i="3"/>
  <c r="AA34" i="3"/>
  <c r="L33" i="3"/>
  <c r="L35" i="3"/>
  <c r="L34" i="3"/>
  <c r="P33" i="3"/>
  <c r="P35" i="3"/>
  <c r="P34" i="3"/>
  <c r="T35" i="3"/>
  <c r="T34" i="3"/>
  <c r="T33" i="3"/>
  <c r="J42" i="3"/>
  <c r="J41" i="3"/>
  <c r="J43" i="3"/>
  <c r="C46" i="3"/>
  <c r="C48" i="3" s="1"/>
  <c r="C56" i="3" s="1"/>
  <c r="C52" i="3" s="1"/>
  <c r="D16" i="7" s="1"/>
  <c r="X38" i="3"/>
  <c r="X51" i="3" s="1"/>
  <c r="U34" i="3"/>
  <c r="U33" i="3"/>
  <c r="U35" i="3"/>
  <c r="Z33" i="3"/>
  <c r="Z34" i="3"/>
  <c r="Z35" i="3"/>
  <c r="E38" i="3" l="1"/>
  <c r="E51" i="3" s="1"/>
  <c r="T38" i="3"/>
  <c r="T51" i="3" s="1"/>
  <c r="W38" i="3"/>
  <c r="W51" i="3" s="1"/>
  <c r="S38" i="3"/>
  <c r="S51" i="3" s="1"/>
  <c r="V38" i="3"/>
  <c r="V51" i="3" s="1"/>
  <c r="L54" i="3"/>
  <c r="Z54" i="3"/>
  <c r="K29" i="3"/>
  <c r="K45" i="3"/>
  <c r="K44" i="3"/>
  <c r="Y45" i="3"/>
  <c r="Y44" i="3"/>
  <c r="Y29" i="3"/>
  <c r="R54" i="3"/>
  <c r="S18" i="9"/>
  <c r="T16" i="9" s="1"/>
  <c r="S22" i="3"/>
  <c r="S24" i="3" s="1"/>
  <c r="S28" i="3" s="1"/>
  <c r="M18" i="9"/>
  <c r="N16" i="9" s="1"/>
  <c r="M22" i="3"/>
  <c r="M24" i="3" s="1"/>
  <c r="M28" i="3" s="1"/>
  <c r="AA18" i="9"/>
  <c r="AA22" i="3"/>
  <c r="AA24" i="3" s="1"/>
  <c r="AA28" i="3" s="1"/>
  <c r="G18" i="9"/>
  <c r="H16" i="9" s="1"/>
  <c r="G22" i="3"/>
  <c r="G24" i="3" s="1"/>
  <c r="G28" i="3" s="1"/>
  <c r="E44" i="3"/>
  <c r="E45" i="3"/>
  <c r="E29" i="3"/>
  <c r="F54" i="3"/>
  <c r="D42" i="3"/>
  <c r="D43" i="3"/>
  <c r="D41" i="3"/>
  <c r="B5" i="6"/>
  <c r="B8" i="6" s="1"/>
  <c r="B13" i="6" s="1"/>
  <c r="Z38" i="3"/>
  <c r="Z51" i="3" s="1"/>
  <c r="U38" i="3"/>
  <c r="U51" i="3" s="1"/>
  <c r="J46" i="3"/>
  <c r="P38" i="3"/>
  <c r="P51" i="3" s="1"/>
  <c r="AA38" i="3"/>
  <c r="AA51" i="3" s="1"/>
  <c r="Q46" i="3"/>
  <c r="L38" i="3"/>
  <c r="L51" i="3" s="1"/>
  <c r="O38" i="3"/>
  <c r="O51" i="3" s="1"/>
  <c r="N38" i="3"/>
  <c r="N51" i="3" s="1"/>
  <c r="M38" i="3"/>
  <c r="M51" i="3" s="1"/>
  <c r="X46" i="3"/>
  <c r="S54" i="3" l="1"/>
  <c r="R45" i="3"/>
  <c r="R29" i="3"/>
  <c r="R44" i="3"/>
  <c r="Y42" i="3"/>
  <c r="Y41" i="3"/>
  <c r="Y43" i="3"/>
  <c r="Z44" i="3"/>
  <c r="Z45" i="3"/>
  <c r="Z29" i="3"/>
  <c r="L45" i="3"/>
  <c r="L29" i="3"/>
  <c r="L44" i="3"/>
  <c r="AA54" i="3"/>
  <c r="M54" i="3"/>
  <c r="N18" i="9"/>
  <c r="O16" i="9" s="1"/>
  <c r="N22" i="3"/>
  <c r="N24" i="3" s="1"/>
  <c r="N28" i="3" s="1"/>
  <c r="T18" i="9"/>
  <c r="U16" i="9" s="1"/>
  <c r="T22" i="3"/>
  <c r="T24" i="3" s="1"/>
  <c r="T28" i="3" s="1"/>
  <c r="K42" i="3"/>
  <c r="K43" i="3"/>
  <c r="K41" i="3"/>
  <c r="D46" i="3"/>
  <c r="D48" i="3" s="1"/>
  <c r="G54" i="3"/>
  <c r="F44" i="3"/>
  <c r="F45" i="3"/>
  <c r="F29" i="3"/>
  <c r="E42" i="3"/>
  <c r="E41" i="3"/>
  <c r="E43" i="3"/>
  <c r="H18" i="9"/>
  <c r="I16" i="9" s="1"/>
  <c r="H22" i="3"/>
  <c r="H24" i="3" s="1"/>
  <c r="H28" i="3" s="1"/>
  <c r="Q48" i="3"/>
  <c r="Q56" i="3"/>
  <c r="Q52" i="3" s="1"/>
  <c r="P5" i="6" s="1"/>
  <c r="P8" i="6" s="1"/>
  <c r="P13" i="6" s="1"/>
  <c r="J56" i="3"/>
  <c r="J52" i="3" s="1"/>
  <c r="I5" i="6" s="1"/>
  <c r="I8" i="6" s="1"/>
  <c r="I13" i="6" s="1"/>
  <c r="J48" i="3"/>
  <c r="X48" i="3"/>
  <c r="X56" i="3"/>
  <c r="X52" i="3" s="1"/>
  <c r="W5" i="6" s="1"/>
  <c r="W8" i="6" s="1"/>
  <c r="W13" i="6" s="1"/>
  <c r="D56" i="3" l="1"/>
  <c r="D52" i="3" s="1"/>
  <c r="C5" i="6" s="1"/>
  <c r="C8" i="6" s="1"/>
  <c r="C13" i="6" s="1"/>
  <c r="K46" i="3"/>
  <c r="Y46" i="3"/>
  <c r="T54" i="3"/>
  <c r="N54" i="3"/>
  <c r="M45" i="3"/>
  <c r="M29" i="3"/>
  <c r="M44" i="3"/>
  <c r="AA29" i="3"/>
  <c r="AA45" i="3"/>
  <c r="AA44" i="3"/>
  <c r="R41" i="3"/>
  <c r="R42" i="3"/>
  <c r="R43" i="3"/>
  <c r="S29" i="3"/>
  <c r="S44" i="3"/>
  <c r="S45" i="3"/>
  <c r="U18" i="9"/>
  <c r="V16" i="9" s="1"/>
  <c r="U22" i="3"/>
  <c r="U24" i="3" s="1"/>
  <c r="U28" i="3" s="1"/>
  <c r="O18" i="9"/>
  <c r="P16" i="9" s="1"/>
  <c r="O22" i="3"/>
  <c r="O24" i="3" s="1"/>
  <c r="O28" i="3" s="1"/>
  <c r="L42" i="3"/>
  <c r="L43" i="3"/>
  <c r="L41" i="3"/>
  <c r="Z42" i="3"/>
  <c r="Z41" i="3"/>
  <c r="Z43" i="3"/>
  <c r="E46" i="3"/>
  <c r="E56" i="3" s="1"/>
  <c r="E52" i="3" s="1"/>
  <c r="D5" i="6" s="1"/>
  <c r="D8" i="6" s="1"/>
  <c r="D13" i="6" s="1"/>
  <c r="I18" i="9"/>
  <c r="I22" i="3"/>
  <c r="I24" i="3" s="1"/>
  <c r="I28" i="3" s="1"/>
  <c r="F41" i="3"/>
  <c r="F43" i="3"/>
  <c r="F42" i="3"/>
  <c r="G44" i="3"/>
  <c r="G29" i="3"/>
  <c r="G45" i="3"/>
  <c r="H54" i="3"/>
  <c r="Y56" i="3" l="1"/>
  <c r="Y52" i="3" s="1"/>
  <c r="X5" i="6" s="1"/>
  <c r="X8" i="6" s="1"/>
  <c r="X13" i="6" s="1"/>
  <c r="Y48" i="3"/>
  <c r="K56" i="3"/>
  <c r="K52" i="3" s="1"/>
  <c r="J5" i="6" s="1"/>
  <c r="J8" i="6" s="1"/>
  <c r="J13" i="6" s="1"/>
  <c r="K48" i="3"/>
  <c r="O54" i="3"/>
  <c r="U54" i="3"/>
  <c r="S42" i="3"/>
  <c r="S43" i="3"/>
  <c r="S41" i="3"/>
  <c r="AA41" i="3"/>
  <c r="AA42" i="3"/>
  <c r="AA43" i="3"/>
  <c r="M42" i="3"/>
  <c r="M43" i="3"/>
  <c r="M41" i="3"/>
  <c r="N29" i="3"/>
  <c r="N44" i="3"/>
  <c r="N45" i="3"/>
  <c r="T44" i="3"/>
  <c r="T29" i="3"/>
  <c r="T45" i="3"/>
  <c r="Z46" i="3"/>
  <c r="L46" i="3"/>
  <c r="P18" i="9"/>
  <c r="P22" i="3"/>
  <c r="P24" i="3" s="1"/>
  <c r="P28" i="3" s="1"/>
  <c r="V18" i="9"/>
  <c r="W16" i="9" s="1"/>
  <c r="V22" i="3"/>
  <c r="V24" i="3" s="1"/>
  <c r="V28" i="3" s="1"/>
  <c r="R46" i="3"/>
  <c r="E48" i="3"/>
  <c r="H29" i="3"/>
  <c r="H44" i="3"/>
  <c r="H45" i="3"/>
  <c r="I54" i="3"/>
  <c r="G43" i="3"/>
  <c r="G41" i="3"/>
  <c r="G42" i="3"/>
  <c r="F46" i="3"/>
  <c r="M46" i="3" l="1"/>
  <c r="M56" i="3" s="1"/>
  <c r="M52" i="3" s="1"/>
  <c r="L5" i="6" s="1"/>
  <c r="L8" i="6" s="1"/>
  <c r="L13" i="6" s="1"/>
  <c r="S46" i="3"/>
  <c r="S48" i="3" s="1"/>
  <c r="R56" i="3"/>
  <c r="R52" i="3" s="1"/>
  <c r="Q5" i="6" s="1"/>
  <c r="Q8" i="6" s="1"/>
  <c r="Q13" i="6" s="1"/>
  <c r="R48" i="3"/>
  <c r="W18" i="9"/>
  <c r="W22" i="3"/>
  <c r="W24" i="3" s="1"/>
  <c r="W28" i="3" s="1"/>
  <c r="Z56" i="3"/>
  <c r="Z52" i="3" s="1"/>
  <c r="Y5" i="6" s="1"/>
  <c r="Y8" i="6" s="1"/>
  <c r="Y13" i="6" s="1"/>
  <c r="Z48" i="3"/>
  <c r="T43" i="3"/>
  <c r="T42" i="3"/>
  <c r="T41" i="3"/>
  <c r="N43" i="3"/>
  <c r="N42" i="3"/>
  <c r="N41" i="3"/>
  <c r="AA46" i="3"/>
  <c r="U29" i="3"/>
  <c r="U44" i="3"/>
  <c r="U45" i="3"/>
  <c r="O44" i="3"/>
  <c r="O29" i="3"/>
  <c r="O45" i="3"/>
  <c r="V54" i="3"/>
  <c r="P54" i="3"/>
  <c r="L56" i="3"/>
  <c r="L52" i="3" s="1"/>
  <c r="K5" i="6" s="1"/>
  <c r="K8" i="6" s="1"/>
  <c r="K13" i="6" s="1"/>
  <c r="L48" i="3"/>
  <c r="F48" i="3"/>
  <c r="F56" i="3"/>
  <c r="F52" i="3" s="1"/>
  <c r="E5" i="6" s="1"/>
  <c r="E8" i="6" s="1"/>
  <c r="E13" i="6" s="1"/>
  <c r="G46" i="3"/>
  <c r="I45" i="3"/>
  <c r="I44" i="3"/>
  <c r="I29" i="3"/>
  <c r="H41" i="3"/>
  <c r="H42" i="3"/>
  <c r="H43" i="3"/>
  <c r="M48" i="3" l="1"/>
  <c r="S56" i="3"/>
  <c r="S52" i="3" s="1"/>
  <c r="R5" i="6" s="1"/>
  <c r="R8" i="6" s="1"/>
  <c r="R13" i="6" s="1"/>
  <c r="N46" i="3"/>
  <c r="N48" i="3" s="1"/>
  <c r="U41" i="3"/>
  <c r="U42" i="3"/>
  <c r="U43" i="3"/>
  <c r="W54" i="3"/>
  <c r="O42" i="3"/>
  <c r="O43" i="3"/>
  <c r="O41" i="3"/>
  <c r="N56" i="3"/>
  <c r="N52" i="3" s="1"/>
  <c r="M5" i="6" s="1"/>
  <c r="M8" i="6" s="1"/>
  <c r="M13" i="6" s="1"/>
  <c r="P29" i="3"/>
  <c r="P44" i="3"/>
  <c r="P45" i="3"/>
  <c r="V29" i="3"/>
  <c r="V45" i="3"/>
  <c r="V44" i="3"/>
  <c r="AA56" i="3"/>
  <c r="AA52" i="3" s="1"/>
  <c r="Z5" i="6" s="1"/>
  <c r="Z8" i="6" s="1"/>
  <c r="Z13" i="6" s="1"/>
  <c r="AA48" i="3"/>
  <c r="T46" i="3"/>
  <c r="I41" i="3"/>
  <c r="I43" i="3"/>
  <c r="I42" i="3"/>
  <c r="H46" i="3"/>
  <c r="G48" i="3"/>
  <c r="G56" i="3"/>
  <c r="G52" i="3" s="1"/>
  <c r="F5" i="6" s="1"/>
  <c r="F8" i="6" s="1"/>
  <c r="F13" i="6" s="1"/>
  <c r="O46" i="3" l="1"/>
  <c r="O56" i="3" s="1"/>
  <c r="O52" i="3" s="1"/>
  <c r="N5" i="6" s="1"/>
  <c r="N8" i="6" s="1"/>
  <c r="N13" i="6" s="1"/>
  <c r="V41" i="3"/>
  <c r="V42" i="3"/>
  <c r="V43" i="3"/>
  <c r="T56" i="3"/>
  <c r="T52" i="3" s="1"/>
  <c r="S5" i="6" s="1"/>
  <c r="S8" i="6" s="1"/>
  <c r="S13" i="6" s="1"/>
  <c r="T48" i="3"/>
  <c r="P42" i="3"/>
  <c r="P41" i="3"/>
  <c r="P43" i="3"/>
  <c r="W44" i="3"/>
  <c r="W45" i="3"/>
  <c r="W29" i="3"/>
  <c r="U46" i="3"/>
  <c r="H48" i="3"/>
  <c r="H56" i="3"/>
  <c r="H52" i="3" s="1"/>
  <c r="G5" i="6" s="1"/>
  <c r="G8" i="6" s="1"/>
  <c r="G13" i="6" s="1"/>
  <c r="I46" i="3"/>
  <c r="O48" i="3" l="1"/>
  <c r="U48" i="3"/>
  <c r="U56" i="3"/>
  <c r="U52" i="3" s="1"/>
  <c r="T5" i="6" s="1"/>
  <c r="T8" i="6" s="1"/>
  <c r="T13" i="6" s="1"/>
  <c r="W42" i="3"/>
  <c r="W43" i="3"/>
  <c r="W41" i="3"/>
  <c r="P46" i="3"/>
  <c r="V46" i="3"/>
  <c r="I48" i="3"/>
  <c r="I56" i="3"/>
  <c r="I52" i="3" s="1"/>
  <c r="H5" i="6" s="1"/>
  <c r="H8" i="6" s="1"/>
  <c r="H13" i="6" s="1"/>
  <c r="P48" i="3" l="1"/>
  <c r="P56" i="3"/>
  <c r="P52" i="3" s="1"/>
  <c r="O5" i="6" s="1"/>
  <c r="O8" i="6" s="1"/>
  <c r="O13" i="6" s="1"/>
  <c r="V56" i="3"/>
  <c r="V52" i="3" s="1"/>
  <c r="U5" i="6" s="1"/>
  <c r="U8" i="6" s="1"/>
  <c r="U13" i="6" s="1"/>
  <c r="V48" i="3"/>
  <c r="W46" i="3"/>
  <c r="B15" i="6" l="1"/>
  <c r="W48" i="3"/>
  <c r="W56" i="3"/>
  <c r="W52" i="3" s="1"/>
  <c r="V5" i="6" s="1"/>
  <c r="V8" i="6" s="1"/>
  <c r="V1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Adilson</author>
  </authors>
  <commentList>
    <comment ref="C2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8% par défaut</t>
        </r>
      </text>
    </comment>
    <comment ref="C2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7% par défaut</t>
        </r>
      </text>
    </comment>
    <comment ref="C5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8% sur le loyer mensuel par défaut</t>
        </r>
      </text>
    </comment>
    <comment ref="C5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3% sur le loyer mensuel par défaut</t>
        </r>
      </text>
    </comment>
    <comment ref="C5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7% sur le loyer mensuel par défaut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Adilson</author>
  </authors>
  <commentList>
    <comment ref="E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Adilson:</t>
        </r>
        <r>
          <rPr>
            <sz val="9"/>
            <color indexed="81"/>
            <rFont val="Tahoma"/>
            <family val="2"/>
          </rPr>
          <t xml:space="preserve">
0,40% à 1% du capital emprunté</t>
        </r>
      </text>
    </comment>
  </commentList>
</comments>
</file>

<file path=xl/sharedStrings.xml><?xml version="1.0" encoding="utf-8"?>
<sst xmlns="http://schemas.openxmlformats.org/spreadsheetml/2006/main" count="146" uniqueCount="125">
  <si>
    <t>CREDIT</t>
  </si>
  <si>
    <t>TAUX NOMINAL</t>
  </si>
  <si>
    <t>TAUX ASSURANCE</t>
  </si>
  <si>
    <t>MENSUALITE</t>
  </si>
  <si>
    <t>Amortissement</t>
  </si>
  <si>
    <t>Intérêt</t>
  </si>
  <si>
    <t>Assurance</t>
  </si>
  <si>
    <t>Montant 
Échéance</t>
  </si>
  <si>
    <t>Rang</t>
  </si>
  <si>
    <t>Capital
 restant due</t>
  </si>
  <si>
    <t>Assurance PNO</t>
  </si>
  <si>
    <t xml:space="preserve">DATE DE DEBUT </t>
  </si>
  <si>
    <t xml:space="preserve">FRAIS DE DOSSIER </t>
  </si>
  <si>
    <t>annee</t>
  </si>
  <si>
    <t>Nbre de Parts</t>
  </si>
  <si>
    <t>Déduction 10 %</t>
  </si>
  <si>
    <t>Revenu brut global</t>
  </si>
  <si>
    <t>Intérets bancaires (deductible)</t>
  </si>
  <si>
    <t>Taxe foncière (deductible)</t>
  </si>
  <si>
    <t xml:space="preserve">Frais de gestion </t>
  </si>
  <si>
    <t>Regime réel</t>
  </si>
  <si>
    <t>Micro foncier (abattement 30%)</t>
  </si>
  <si>
    <t xml:space="preserve">TRANCHE IMPOSITION </t>
  </si>
  <si>
    <t>Tranche d'imposition</t>
  </si>
  <si>
    <t>Part de l'impots due au foncier</t>
  </si>
  <si>
    <t>Impôt sur le revenu net</t>
  </si>
  <si>
    <t>Impôt sur le revenu sans revenu foncier</t>
  </si>
  <si>
    <t>Impôt sur le revenu avec  revenu foncier</t>
  </si>
  <si>
    <t>Dont :</t>
  </si>
  <si>
    <t>Part de l'impots sur le revenu</t>
  </si>
  <si>
    <t>Revenus net imposable</t>
  </si>
  <si>
    <t>SITUATION FAMILIAL</t>
  </si>
  <si>
    <t xml:space="preserve">Situation </t>
  </si>
  <si>
    <t>Nombres d'enfant</t>
  </si>
  <si>
    <t>Revenu net imposable annuel</t>
  </si>
  <si>
    <t>Nombres de parts</t>
  </si>
  <si>
    <t xml:space="preserve">HISTORIQUE BANQUE </t>
  </si>
  <si>
    <t>Credit Résidence principale</t>
  </si>
  <si>
    <t>Crédit auto</t>
  </si>
  <si>
    <t xml:space="preserve">Autres credits </t>
  </si>
  <si>
    <t>Epargne disponible</t>
  </si>
  <si>
    <t xml:space="preserve">PROJET D'INVESTISSEMENT </t>
  </si>
  <si>
    <t>Prix Net Vendeur</t>
  </si>
  <si>
    <t>-</t>
  </si>
  <si>
    <t>Frais de notaire</t>
  </si>
  <si>
    <t xml:space="preserve">Frais d'agence </t>
  </si>
  <si>
    <t xml:space="preserve">Travaux </t>
  </si>
  <si>
    <t xml:space="preserve">Prix d'aquisition </t>
  </si>
  <si>
    <t xml:space="preserve">PROJET DE CREDIT </t>
  </si>
  <si>
    <t>Apport</t>
  </si>
  <si>
    <t>Durée du crédit en année</t>
  </si>
  <si>
    <t>ans</t>
  </si>
  <si>
    <t xml:space="preserve">Durée du crédit en mois </t>
  </si>
  <si>
    <t xml:space="preserve">Taux de Crédit </t>
  </si>
  <si>
    <t xml:space="preserve">Assurance du Crédit </t>
  </si>
  <si>
    <t>Montant  mensuel du crédit</t>
  </si>
  <si>
    <t xml:space="preserve">REVENU LOCATIF </t>
  </si>
  <si>
    <t>Loyers Mensuels HC</t>
  </si>
  <si>
    <t>Loyers Annuel HC</t>
  </si>
  <si>
    <t>CHARGES LOCATIF</t>
  </si>
  <si>
    <t>Taxe Foncière (par An)</t>
  </si>
  <si>
    <t xml:space="preserve">Provision travaux </t>
  </si>
  <si>
    <t>Enfant</t>
  </si>
  <si>
    <t>Nombre de Part</t>
  </si>
  <si>
    <t>Célibataire</t>
  </si>
  <si>
    <t>Vacance locative (mois)</t>
  </si>
  <si>
    <t>Resultats</t>
  </si>
  <si>
    <t>Traitements Revenu</t>
  </si>
  <si>
    <t xml:space="preserve">* ELEMENT VARIABLE </t>
  </si>
  <si>
    <t>Augmentation annuelle du loyer  (%/an)</t>
  </si>
  <si>
    <t>Augmentation annuelle des charges  (%/an)</t>
  </si>
  <si>
    <t>Augmentation annuelle du revenu  (%/an)</t>
  </si>
  <si>
    <t>Prélèvements sociaux (17,2%)</t>
  </si>
  <si>
    <t>Loyer percus</t>
  </si>
  <si>
    <t>Travaux d'entretien</t>
  </si>
  <si>
    <t>Charges Copro (annuel)</t>
  </si>
  <si>
    <t>Charges Locataires (annuel)</t>
  </si>
  <si>
    <t>Assurance GLI</t>
  </si>
  <si>
    <t xml:space="preserve">frais de correspondance </t>
  </si>
  <si>
    <t>Emprunt Bancaires</t>
  </si>
  <si>
    <t>Impots sur le revenus fonciers</t>
  </si>
  <si>
    <t>Charges (Charge copro, Assurances, Taxes fonciers, Frais de gestion...)</t>
  </si>
  <si>
    <t>Bénéfice / Déficite  (cash flow)</t>
  </si>
  <si>
    <t>Pacsé</t>
  </si>
  <si>
    <t xml:space="preserve">Marié </t>
  </si>
  <si>
    <t>Total des Charges</t>
  </si>
  <si>
    <t>Charges financières</t>
  </si>
  <si>
    <t>Charges non financières</t>
  </si>
  <si>
    <t>Frais Bancaire (deductible)</t>
  </si>
  <si>
    <t xml:space="preserve">MONTANT NET À PAYER </t>
  </si>
  <si>
    <t>FRAIS CREDIT LOGEMENT</t>
  </si>
  <si>
    <t>Rendement brut</t>
  </si>
  <si>
    <t>Rendement net net</t>
  </si>
  <si>
    <t>Investissement total</t>
  </si>
  <si>
    <t xml:space="preserve">Net vendeur </t>
  </si>
  <si>
    <t xml:space="preserve">Frais de notaire </t>
  </si>
  <si>
    <t>Frais de dossier (emprunt)</t>
  </si>
  <si>
    <t>Frais crédit logement (emprunt)</t>
  </si>
  <si>
    <t>Regime Foncier</t>
  </si>
  <si>
    <t>Déficit foncier</t>
  </si>
  <si>
    <t>Revenu salarial *</t>
  </si>
  <si>
    <t>Loyers percu *</t>
  </si>
  <si>
    <t>Charges Copro *</t>
  </si>
  <si>
    <t xml:space="preserve">ADJUDICATION </t>
  </si>
  <si>
    <t>FRAIS PREALABLES</t>
  </si>
  <si>
    <t>HONORAIRES AVOCAT</t>
  </si>
  <si>
    <t xml:space="preserve">EMOLUMENT </t>
  </si>
  <si>
    <t>0 à 6 500 €</t>
  </si>
  <si>
    <t>6 500 à 17000 €</t>
  </si>
  <si>
    <t>Montant H.T</t>
  </si>
  <si>
    <t>Montant T.T.C</t>
  </si>
  <si>
    <t xml:space="preserve">TAUX </t>
  </si>
  <si>
    <t>17 000 à 60 000 €</t>
  </si>
  <si>
    <t>&gt; à 60 000 €</t>
  </si>
  <si>
    <t>Total T.T.C</t>
  </si>
  <si>
    <t>Droit d'enregistremment  (5,81%)</t>
  </si>
  <si>
    <t>Frais de publication (1% adj+ 46 euros)</t>
  </si>
  <si>
    <t>DEPENSE</t>
  </si>
  <si>
    <t>RECETTE</t>
  </si>
  <si>
    <t>Report deficite sur revenu salariale</t>
  </si>
  <si>
    <t xml:space="preserve">Report deficite sur revenu foncier </t>
  </si>
  <si>
    <t>Reportdeficite sur revenu foncier N+1</t>
  </si>
  <si>
    <t xml:space="preserve">loyers </t>
  </si>
  <si>
    <t>Reportdeficite sur revenu foncier</t>
  </si>
  <si>
    <t>Montant emprunt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</si>
</sst>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#,##0.0\ &quot;€&quot;"/>
    <numFmt numFmtId="166" formatCode="#,##0\ &quot;€&quot;"/>
    <numFmt numFmtId="167" formatCode="0.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4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0.59996337778862885"/>
      </bottom>
      <diagonal/>
    </border>
    <border>
      <left/>
      <right/>
      <top style="medium">
        <color theme="4" tint="-0.24994659260841701"/>
      </top>
      <bottom style="medium">
        <color theme="4" tint="0.59996337778862885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0.59996337778862885"/>
      </bottom>
      <diagonal/>
    </border>
    <border>
      <left style="medium">
        <color theme="4" tint="-0.24994659260841701"/>
      </left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/>
      <top style="medium">
        <color theme="4" tint="0.59996337778862885"/>
      </top>
      <bottom style="medium">
        <color theme="4" tint="0.59996337778862885"/>
      </bottom>
      <diagonal/>
    </border>
    <border>
      <left/>
      <right style="medium">
        <color theme="4" tint="-0.24994659260841701"/>
      </right>
      <top style="medium">
        <color theme="4" tint="0.59996337778862885"/>
      </top>
      <bottom style="medium">
        <color theme="4" tint="0.59996337778862885"/>
      </bottom>
      <diagonal/>
    </border>
    <border>
      <left style="medium">
        <color theme="4" tint="-0.24994659260841701"/>
      </left>
      <right/>
      <top style="medium">
        <color theme="4" tint="0.59996337778862885"/>
      </top>
      <bottom/>
      <diagonal/>
    </border>
    <border>
      <left/>
      <right/>
      <top style="medium">
        <color theme="4" tint="0.59996337778862885"/>
      </top>
      <bottom/>
      <diagonal/>
    </border>
    <border>
      <left/>
      <right style="medium">
        <color theme="4" tint="-0.24994659260841701"/>
      </right>
      <top style="medium">
        <color theme="4" tint="0.59996337778862885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59996337778862885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164" fontId="0" fillId="0" borderId="14" xfId="0" applyNumberFormat="1" applyBorder="1"/>
    <xf numFmtId="0" fontId="0" fillId="0" borderId="0" xfId="0" applyAlignment="1">
      <alignment horizontal="left" vertical="center"/>
    </xf>
    <xf numFmtId="164" fontId="0" fillId="0" borderId="0" xfId="0" applyNumberFormat="1"/>
    <xf numFmtId="0" fontId="0" fillId="5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/>
    <xf numFmtId="165" fontId="7" fillId="0" borderId="0" xfId="0" applyNumberFormat="1" applyFont="1"/>
    <xf numFmtId="164" fontId="6" fillId="0" borderId="0" xfId="0" applyNumberFormat="1" applyFont="1"/>
    <xf numFmtId="0" fontId="6" fillId="0" borderId="0" xfId="0" applyFont="1"/>
    <xf numFmtId="164" fontId="10" fillId="0" borderId="0" xfId="0" applyNumberFormat="1" applyFont="1"/>
    <xf numFmtId="9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" fillId="0" borderId="0" xfId="0" applyFont="1"/>
    <xf numFmtId="0" fontId="9" fillId="0" borderId="0" xfId="0" applyFont="1"/>
    <xf numFmtId="164" fontId="8" fillId="3" borderId="0" xfId="0" applyNumberFormat="1" applyFont="1" applyFill="1"/>
    <xf numFmtId="164" fontId="11" fillId="0" borderId="0" xfId="0" applyNumberFormat="1" applyFont="1"/>
    <xf numFmtId="0" fontId="12" fillId="0" borderId="0" xfId="0" applyFont="1"/>
    <xf numFmtId="0" fontId="1" fillId="8" borderId="0" xfId="0" applyFont="1" applyFill="1"/>
    <xf numFmtId="164" fontId="11" fillId="8" borderId="0" xfId="0" applyNumberFormat="1" applyFont="1" applyFill="1"/>
    <xf numFmtId="0" fontId="5" fillId="0" borderId="0" xfId="0" applyFont="1" applyAlignment="1">
      <alignment horizontal="left" vertical="center"/>
    </xf>
    <xf numFmtId="165" fontId="13" fillId="0" borderId="0" xfId="0" applyNumberFormat="1" applyFont="1"/>
    <xf numFmtId="9" fontId="0" fillId="0" borderId="14" xfId="0" applyNumberFormat="1" applyBorder="1"/>
    <xf numFmtId="0" fontId="0" fillId="6" borderId="16" xfId="0" applyFill="1" applyBorder="1"/>
    <xf numFmtId="0" fontId="0" fillId="4" borderId="16" xfId="0" applyFill="1" applyBorder="1"/>
    <xf numFmtId="0" fontId="0" fillId="2" borderId="16" xfId="0" applyFill="1" applyBorder="1"/>
    <xf numFmtId="164" fontId="0" fillId="6" borderId="17" xfId="0" quotePrefix="1" applyNumberFormat="1" applyFill="1" applyBorder="1"/>
    <xf numFmtId="164" fontId="0" fillId="4" borderId="17" xfId="0" quotePrefix="1" applyNumberFormat="1" applyFill="1" applyBorder="1"/>
    <xf numFmtId="164" fontId="0" fillId="6" borderId="18" xfId="0" applyNumberFormat="1" applyFill="1" applyBorder="1"/>
    <xf numFmtId="0" fontId="0" fillId="6" borderId="18" xfId="0" applyFill="1" applyBorder="1"/>
    <xf numFmtId="10" fontId="0" fillId="6" borderId="18" xfId="0" applyNumberFormat="1" applyFill="1" applyBorder="1"/>
    <xf numFmtId="164" fontId="0" fillId="2" borderId="18" xfId="0" applyNumberFormat="1" applyFill="1" applyBorder="1"/>
    <xf numFmtId="164" fontId="0" fillId="2" borderId="17" xfId="0" quotePrefix="1" applyNumberFormat="1" applyFill="1" applyBorder="1"/>
    <xf numFmtId="164" fontId="0" fillId="6" borderId="17" xfId="0" applyNumberFormat="1" applyFill="1" applyBorder="1"/>
    <xf numFmtId="164" fontId="0" fillId="0" borderId="0" xfId="0" applyNumberFormat="1" applyAlignment="1">
      <alignment horizontal="center"/>
    </xf>
    <xf numFmtId="0" fontId="0" fillId="3" borderId="16" xfId="0" applyFill="1" applyBorder="1"/>
    <xf numFmtId="164" fontId="0" fillId="2" borderId="17" xfId="0" applyNumberFormat="1" applyFill="1" applyBorder="1"/>
    <xf numFmtId="0" fontId="0" fillId="6" borderId="17" xfId="0" applyFill="1" applyBorder="1"/>
    <xf numFmtId="0" fontId="0" fillId="0" borderId="19" xfId="0" applyBorder="1"/>
    <xf numFmtId="164" fontId="0" fillId="3" borderId="17" xfId="0" quotePrefix="1" applyNumberFormat="1" applyFill="1" applyBorder="1"/>
    <xf numFmtId="166" fontId="0" fillId="6" borderId="19" xfId="0" applyNumberFormat="1" applyFill="1" applyBorder="1"/>
    <xf numFmtId="166" fontId="0" fillId="4" borderId="19" xfId="0" applyNumberFormat="1" applyFill="1" applyBorder="1"/>
    <xf numFmtId="0" fontId="0" fillId="3" borderId="18" xfId="0" applyFill="1" applyBorder="1"/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indent="1"/>
    </xf>
    <xf numFmtId="164" fontId="14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0" fillId="6" borderId="18" xfId="0" applyFill="1" applyBorder="1" applyAlignment="1">
      <alignment vertical="center"/>
    </xf>
    <xf numFmtId="0" fontId="15" fillId="0" borderId="0" xfId="0" applyFont="1"/>
    <xf numFmtId="10" fontId="0" fillId="0" borderId="0" xfId="0" applyNumberFormat="1"/>
    <xf numFmtId="164" fontId="13" fillId="0" borderId="0" xfId="0" applyNumberFormat="1" applyFont="1"/>
    <xf numFmtId="164" fontId="16" fillId="0" borderId="0" xfId="0" applyNumberFormat="1" applyFont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164" fontId="14" fillId="9" borderId="0" xfId="0" applyNumberFormat="1" applyFont="1" applyFill="1"/>
    <xf numFmtId="166" fontId="4" fillId="0" borderId="0" xfId="0" applyNumberFormat="1" applyFont="1" applyAlignment="1">
      <alignment horizontal="left" indent="1"/>
    </xf>
    <xf numFmtId="14" fontId="2" fillId="0" borderId="15" xfId="0" applyNumberFormat="1" applyFont="1" applyBorder="1" applyAlignment="1">
      <alignment vertical="center"/>
    </xf>
    <xf numFmtId="166" fontId="0" fillId="6" borderId="18" xfId="0" applyNumberFormat="1" applyFill="1" applyBorder="1"/>
    <xf numFmtId="167" fontId="0" fillId="0" borderId="0" xfId="0" applyNumberFormat="1"/>
    <xf numFmtId="1" fontId="0" fillId="0" borderId="0" xfId="0" applyNumberFormat="1"/>
    <xf numFmtId="164" fontId="20" fillId="0" borderId="0" xfId="0" applyNumberFormat="1" applyFont="1"/>
    <xf numFmtId="0" fontId="1" fillId="0" borderId="0" xfId="0" applyFont="1" applyAlignment="1">
      <alignment horizontal="right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10" fontId="0" fillId="0" borderId="0" xfId="0" applyNumberFormat="1" applyAlignment="1">
      <alignment horizontal="left"/>
    </xf>
    <xf numFmtId="165" fontId="14" fillId="3" borderId="0" xfId="0" applyNumberFormat="1" applyFont="1" applyFill="1"/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right" vertical="center" indent="1"/>
    </xf>
    <xf numFmtId="164" fontId="0" fillId="0" borderId="24" xfId="0" applyNumberFormat="1" applyBorder="1" applyAlignment="1">
      <alignment horizontal="right" vertical="center" indent="1"/>
    </xf>
    <xf numFmtId="0" fontId="0" fillId="0" borderId="25" xfId="0" applyBorder="1" applyAlignment="1">
      <alignment horizontal="center" vertical="center"/>
    </xf>
    <xf numFmtId="10" fontId="0" fillId="0" borderId="26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right" vertical="center" indent="1"/>
    </xf>
    <xf numFmtId="164" fontId="0" fillId="0" borderId="27" xfId="0" applyNumberFormat="1" applyBorder="1" applyAlignment="1">
      <alignment horizontal="right" vertical="center" indent="1"/>
    </xf>
    <xf numFmtId="0" fontId="0" fillId="0" borderId="30" xfId="0" applyBorder="1"/>
    <xf numFmtId="0" fontId="0" fillId="6" borderId="3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right" vertical="center" indent="1"/>
    </xf>
    <xf numFmtId="0" fontId="0" fillId="10" borderId="31" xfId="0" applyFill="1" applyBorder="1" applyAlignment="1">
      <alignment horizontal="right" vertical="center" indent="1"/>
    </xf>
    <xf numFmtId="164" fontId="0" fillId="3" borderId="0" xfId="0" applyNumberFormat="1" applyFill="1"/>
    <xf numFmtId="165" fontId="8" fillId="3" borderId="0" xfId="0" applyNumberFormat="1" applyFont="1" applyFill="1"/>
    <xf numFmtId="166" fontId="19" fillId="0" borderId="0" xfId="0" applyNumberFormat="1" applyFont="1"/>
    <xf numFmtId="2" fontId="0" fillId="0" borderId="0" xfId="0" applyNumberFormat="1"/>
    <xf numFmtId="0" fontId="16" fillId="6" borderId="0" xfId="0" applyFont="1" applyFill="1"/>
    <xf numFmtId="0" fontId="0" fillId="6" borderId="0" xfId="0" applyFill="1"/>
    <xf numFmtId="164" fontId="14" fillId="0" borderId="0" xfId="0" applyNumberFormat="1" applyFont="1" applyAlignment="1">
      <alignment vertical="center"/>
    </xf>
    <xf numFmtId="0" fontId="4" fillId="0" borderId="0" xfId="0" applyFont="1"/>
    <xf numFmtId="165" fontId="0" fillId="0" borderId="0" xfId="0" applyNumberFormat="1"/>
    <xf numFmtId="165" fontId="7" fillId="3" borderId="0" xfId="0" applyNumberFormat="1" applyFont="1" applyFill="1"/>
    <xf numFmtId="0" fontId="0" fillId="3" borderId="0" xfId="0" applyFill="1"/>
    <xf numFmtId="165" fontId="0" fillId="3" borderId="0" xfId="0" applyNumberFormat="1" applyFill="1"/>
    <xf numFmtId="0" fontId="0" fillId="11" borderId="0" xfId="0" applyFill="1"/>
    <xf numFmtId="0" fontId="0" fillId="0" borderId="16" xfId="0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4" fontId="0" fillId="6" borderId="18" xfId="0" applyNumberFormat="1" applyFill="1" applyBorder="1" applyAlignment="1">
      <alignment horizontal="center"/>
    </xf>
    <xf numFmtId="164" fontId="0" fillId="6" borderId="17" xfId="0" applyNumberForma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1721697578500384E-2"/>
          <c:y val="3.5081748251376402E-2"/>
          <c:w val="0.85022307095334015"/>
          <c:h val="0.92123272455229999"/>
        </c:manualLayout>
      </c:layout>
      <c:bar3DChart>
        <c:barDir val="col"/>
        <c:grouping val="clustered"/>
        <c:varyColors val="0"/>
        <c:ser>
          <c:idx val="4"/>
          <c:order val="0"/>
          <c:tx>
            <c:strRef>
              <c:f>TRESORERIE!$A$11</c:f>
              <c:strCache>
                <c:ptCount val="1"/>
                <c:pt idx="0">
                  <c:v>Loyer percus</c:v>
                </c:pt>
              </c:strCache>
            </c:strRef>
          </c:tx>
          <c:invertIfNegative val="0"/>
          <c:cat>
            <c:numRef>
              <c:f>TRESORERIE!$B$1:$Z$1</c:f>
              <c:numCache>
                <c:formatCode>General</c:formatCode>
                <c:ptCount val="2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</c:numCache>
            </c:numRef>
          </c:cat>
          <c:val>
            <c:numRef>
              <c:f>TRESORERIE!$B$11:$Z$11</c:f>
              <c:numCache>
                <c:formatCode>#\ ##0.00\ "€"</c:formatCode>
                <c:ptCount val="25"/>
                <c:pt idx="0">
                  <c:v>11520</c:v>
                </c:pt>
                <c:pt idx="1">
                  <c:v>11531.52</c:v>
                </c:pt>
                <c:pt idx="2">
                  <c:v>11543.051520000001</c:v>
                </c:pt>
                <c:pt idx="3">
                  <c:v>11554.594571520001</c:v>
                </c:pt>
                <c:pt idx="4">
                  <c:v>11566.149166091522</c:v>
                </c:pt>
                <c:pt idx="5">
                  <c:v>11577.715315257614</c:v>
                </c:pt>
                <c:pt idx="6">
                  <c:v>11589.293030572871</c:v>
                </c:pt>
                <c:pt idx="7">
                  <c:v>11600.882323603444</c:v>
                </c:pt>
                <c:pt idx="8">
                  <c:v>11612.483205927048</c:v>
                </c:pt>
                <c:pt idx="9">
                  <c:v>11624.095689132975</c:v>
                </c:pt>
                <c:pt idx="10">
                  <c:v>11635.719784822108</c:v>
                </c:pt>
                <c:pt idx="11">
                  <c:v>11647.35550460693</c:v>
                </c:pt>
                <c:pt idx="12">
                  <c:v>11659.002860111537</c:v>
                </c:pt>
                <c:pt idx="13">
                  <c:v>11670.661862971649</c:v>
                </c:pt>
                <c:pt idx="14">
                  <c:v>11682.332524834621</c:v>
                </c:pt>
                <c:pt idx="15">
                  <c:v>11694.014857359456</c:v>
                </c:pt>
                <c:pt idx="16">
                  <c:v>11705.708872216816</c:v>
                </c:pt>
                <c:pt idx="17">
                  <c:v>11717.414581089033</c:v>
                </c:pt>
                <c:pt idx="18">
                  <c:v>11729.131995670123</c:v>
                </c:pt>
                <c:pt idx="19">
                  <c:v>11740.861127665792</c:v>
                </c:pt>
                <c:pt idx="20">
                  <c:v>11752.601988793458</c:v>
                </c:pt>
                <c:pt idx="21">
                  <c:v>11764.354590782252</c:v>
                </c:pt>
                <c:pt idx="22">
                  <c:v>11776.118945373035</c:v>
                </c:pt>
                <c:pt idx="23">
                  <c:v>11787.895064318407</c:v>
                </c:pt>
                <c:pt idx="24">
                  <c:v>11799.682959382726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D-4C1D-BA0A-5909067165B5}"/>
            </c:ext>
          </c:extLst>
        </c:ser>
        <c:ser>
          <c:idx val="0"/>
          <c:order val="1"/>
          <c:tx>
            <c:strRef>
              <c:f>TRESORERIE!$A$8</c:f>
              <c:strCache>
                <c:ptCount val="1"/>
                <c:pt idx="0">
                  <c:v>Total des Charges</c:v>
                </c:pt>
              </c:strCache>
            </c:strRef>
          </c:tx>
          <c:invertIfNegative val="0"/>
          <c:cat>
            <c:numRef>
              <c:f>TRESORERIE!$B$1:$Z$1</c:f>
              <c:numCache>
                <c:formatCode>General</c:formatCode>
                <c:ptCount val="2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</c:numCache>
            </c:numRef>
          </c:cat>
          <c:val>
            <c:numRef>
              <c:f>TRESORERIE!$B$8:$Z$8</c:f>
              <c:numCache>
                <c:formatCode>#\ ##0.00\ "€"</c:formatCode>
                <c:ptCount val="25"/>
                <c:pt idx="0">
                  <c:v>12409.221145270674</c:v>
                </c:pt>
                <c:pt idx="1">
                  <c:v>12908.864709331174</c:v>
                </c:pt>
                <c:pt idx="2">
                  <c:v>12950.728836915641</c:v>
                </c:pt>
                <c:pt idx="3">
                  <c:v>12993.380718926763</c:v>
                </c:pt>
                <c:pt idx="4">
                  <c:v>13036.835845778918</c:v>
                </c:pt>
                <c:pt idx="5">
                  <c:v>13081.110013306521</c:v>
                </c:pt>
                <c:pt idx="6">
                  <c:v>13126.219328789026</c:v>
                </c:pt>
                <c:pt idx="7">
                  <c:v>13172.180217094799</c:v>
                </c:pt>
                <c:pt idx="8">
                  <c:v>13219.009426946246</c:v>
                </c:pt>
                <c:pt idx="9">
                  <c:v>13266.724037308586</c:v>
                </c:pt>
                <c:pt idx="10">
                  <c:v>13315.341463904702</c:v>
                </c:pt>
                <c:pt idx="11">
                  <c:v>13364.87946585859</c:v>
                </c:pt>
                <c:pt idx="12">
                  <c:v>13415.35615246986</c:v>
                </c:pt>
                <c:pt idx="13">
                  <c:v>13466.789990122021</c:v>
                </c:pt>
                <c:pt idx="14">
                  <c:v>13519.199809327027</c:v>
                </c:pt>
                <c:pt idx="15">
                  <c:v>13572.604811908888</c:v>
                </c:pt>
                <c:pt idx="16">
                  <c:v>13627.024578329079</c:v>
                </c:pt>
                <c:pt idx="17">
                  <c:v>13682.479075156483</c:v>
                </c:pt>
                <c:pt idx="18">
                  <c:v>13738.988662684786</c:v>
                </c:pt>
                <c:pt idx="19">
                  <c:v>13796.574102700211</c:v>
                </c:pt>
                <c:pt idx="20">
                  <c:v>13856.256566402555</c:v>
                </c:pt>
                <c:pt idx="21">
                  <c:v>13917.057642482578</c:v>
                </c:pt>
                <c:pt idx="22">
                  <c:v>13978.99934535879</c:v>
                </c:pt>
                <c:pt idx="23">
                  <c:v>14042.104123576824</c:v>
                </c:pt>
                <c:pt idx="24">
                  <c:v>14106.394868371985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6D-4C1D-BA0A-59090671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3311360"/>
        <c:axId val="73312896"/>
        <c:axId val="0"/>
      </c:bar3DChart>
      <c:catAx>
        <c:axId val="7331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312896"/>
        <c:crosses val="autoZero"/>
        <c:auto val="1"/>
        <c:lblAlgn val="ctr"/>
        <c:lblOffset val="100"/>
        <c:noMultiLvlLbl val="0"/>
      </c:catAx>
      <c:valAx>
        <c:axId val="73312896"/>
        <c:scaling>
          <c:orientation val="minMax"/>
        </c:scaling>
        <c:delete val="0"/>
        <c:axPos val="l"/>
        <c:majorGridlines/>
        <c:numFmt formatCode="#\ ##0.00\ &quot;€&quot;" sourceLinked="1"/>
        <c:majorTickMark val="out"/>
        <c:minorTickMark val="none"/>
        <c:tickLblPos val="nextTo"/>
        <c:crossAx val="7331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scene3d>
      <a:camera prst="orthographicFront"/>
      <a:lightRig rig="threePt" dir="t"/>
    </a:scene3d>
    <a:sp3d prstMaterial="dkEdge"/>
  </c:spPr>
  <c:printSettings>
    <c:headerFooter/>
    <c:pageMargins b="0.750000000000001" l="0.70000000000000062" r="0.70000000000000062" t="0.75000000000000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16</xdr:row>
      <xdr:rowOff>161925</xdr:rowOff>
    </xdr:from>
    <xdr:to>
      <xdr:col>15</xdr:col>
      <xdr:colOff>457200</xdr:colOff>
      <xdr:row>46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F59"/>
  <sheetViews>
    <sheetView tabSelected="1" view="pageBreakPreview" topLeftCell="A19" zoomScale="98" zoomScaleSheetLayoutView="98" workbookViewId="0">
      <selection activeCell="C41" sqref="C41"/>
    </sheetView>
  </sheetViews>
  <sheetFormatPr baseColWidth="10" defaultRowHeight="14.5" outlineLevelRow="1" x14ac:dyDescent="0.35"/>
  <cols>
    <col min="1" max="1" width="10.453125" customWidth="1"/>
    <col min="2" max="2" width="46.453125" customWidth="1"/>
    <col min="3" max="3" width="17.453125" customWidth="1"/>
    <col min="4" max="4" width="4.26953125" customWidth="1"/>
    <col min="5" max="5" width="10.26953125" customWidth="1"/>
    <col min="6" max="6" width="4.453125" customWidth="1"/>
  </cols>
  <sheetData>
    <row r="1" spans="2:6" hidden="1" outlineLevel="1" x14ac:dyDescent="0.35">
      <c r="B1" s="69" t="s">
        <v>62</v>
      </c>
      <c r="C1" s="69" t="s">
        <v>63</v>
      </c>
      <c r="E1" t="s">
        <v>64</v>
      </c>
      <c r="F1">
        <v>1</v>
      </c>
    </row>
    <row r="2" spans="2:6" hidden="1" outlineLevel="1" x14ac:dyDescent="0.35">
      <c r="B2" s="70">
        <v>0</v>
      </c>
      <c r="C2" s="70">
        <v>0</v>
      </c>
      <c r="E2" t="s">
        <v>84</v>
      </c>
      <c r="F2">
        <v>2</v>
      </c>
    </row>
    <row r="3" spans="2:6" hidden="1" outlineLevel="1" x14ac:dyDescent="0.35">
      <c r="B3" s="70">
        <v>1</v>
      </c>
      <c r="C3" s="70">
        <v>0.5</v>
      </c>
      <c r="E3" t="s">
        <v>83</v>
      </c>
      <c r="F3">
        <v>2</v>
      </c>
    </row>
    <row r="4" spans="2:6" hidden="1" outlineLevel="1" x14ac:dyDescent="0.35">
      <c r="B4" s="70">
        <v>2</v>
      </c>
      <c r="C4" s="70">
        <v>1</v>
      </c>
    </row>
    <row r="5" spans="2:6" hidden="1" outlineLevel="1" x14ac:dyDescent="0.35">
      <c r="B5" s="70">
        <v>3</v>
      </c>
      <c r="C5" s="70">
        <v>2</v>
      </c>
    </row>
    <row r="6" spans="2:6" hidden="1" outlineLevel="1" x14ac:dyDescent="0.35">
      <c r="B6" s="70">
        <v>4</v>
      </c>
      <c r="C6" s="70">
        <v>3</v>
      </c>
    </row>
    <row r="7" spans="2:6" hidden="1" outlineLevel="1" x14ac:dyDescent="0.35">
      <c r="B7" s="70">
        <v>5</v>
      </c>
      <c r="C7" s="70">
        <v>4</v>
      </c>
    </row>
    <row r="8" spans="2:6" hidden="1" outlineLevel="1" x14ac:dyDescent="0.35"/>
    <row r="9" spans="2:6" hidden="1" outlineLevel="1" x14ac:dyDescent="0.35"/>
    <row r="10" spans="2:6" ht="15" collapsed="1" thickBot="1" x14ac:dyDescent="0.4"/>
    <row r="11" spans="2:6" ht="15.5" thickTop="1" thickBot="1" x14ac:dyDescent="0.4">
      <c r="B11" s="129" t="s">
        <v>31</v>
      </c>
      <c r="C11" s="129"/>
      <c r="D11" s="129"/>
    </row>
    <row r="12" spans="2:6" ht="15.5" thickTop="1" thickBot="1" x14ac:dyDescent="0.4">
      <c r="B12" s="129"/>
      <c r="C12" s="129"/>
      <c r="D12" s="129"/>
    </row>
    <row r="13" spans="2:6" ht="15.5" thickTop="1" thickBot="1" x14ac:dyDescent="0.4">
      <c r="B13" s="49" t="s">
        <v>32</v>
      </c>
      <c r="C13" s="130" t="s">
        <v>64</v>
      </c>
      <c r="D13" s="131"/>
    </row>
    <row r="14" spans="2:6" ht="15.5" thickTop="1" thickBot="1" x14ac:dyDescent="0.4">
      <c r="B14" s="49" t="s">
        <v>33</v>
      </c>
      <c r="C14" s="130">
        <v>0</v>
      </c>
      <c r="D14" s="131"/>
    </row>
    <row r="15" spans="2:6" ht="15.5" thickTop="1" thickBot="1" x14ac:dyDescent="0.4">
      <c r="B15" s="49" t="s">
        <v>34</v>
      </c>
      <c r="C15" s="132"/>
      <c r="D15" s="133"/>
    </row>
    <row r="16" spans="2:6" ht="15.5" thickTop="1" thickBot="1" x14ac:dyDescent="0.4">
      <c r="B16" s="49" t="s">
        <v>35</v>
      </c>
      <c r="C16" s="130">
        <f>+VLOOKUP(C13,E1:F4,2,FALSE)+VLOOKUP(C14,B2:C7,2,FALSE)</f>
        <v>1</v>
      </c>
      <c r="D16" s="131"/>
    </row>
    <row r="17" spans="2:6" ht="15.5" thickTop="1" thickBot="1" x14ac:dyDescent="0.4">
      <c r="C17" s="60"/>
      <c r="D17" s="60"/>
    </row>
    <row r="18" spans="2:6" ht="15.5" thickTop="1" thickBot="1" x14ac:dyDescent="0.4">
      <c r="B18" s="129" t="s">
        <v>36</v>
      </c>
      <c r="C18" s="129"/>
      <c r="D18" s="129"/>
    </row>
    <row r="19" spans="2:6" ht="15.5" thickTop="1" thickBot="1" x14ac:dyDescent="0.4">
      <c r="B19" s="129"/>
      <c r="C19" s="129"/>
      <c r="D19" s="129"/>
    </row>
    <row r="20" spans="2:6" ht="15.5" thickTop="1" thickBot="1" x14ac:dyDescent="0.4">
      <c r="B20" s="49" t="s">
        <v>37</v>
      </c>
      <c r="C20" s="54"/>
      <c r="D20" s="52"/>
    </row>
    <row r="21" spans="2:6" ht="15.5" thickTop="1" thickBot="1" x14ac:dyDescent="0.4">
      <c r="B21" s="49" t="s">
        <v>38</v>
      </c>
      <c r="C21" s="54">
        <v>0</v>
      </c>
      <c r="D21" s="52"/>
    </row>
    <row r="22" spans="2:6" ht="15.5" thickTop="1" thickBot="1" x14ac:dyDescent="0.4">
      <c r="B22" s="49" t="s">
        <v>39</v>
      </c>
      <c r="C22" s="54">
        <v>0</v>
      </c>
      <c r="D22" s="52"/>
    </row>
    <row r="23" spans="2:6" ht="15.5" thickTop="1" thickBot="1" x14ac:dyDescent="0.4">
      <c r="B23" s="49" t="s">
        <v>40</v>
      </c>
      <c r="C23" s="54">
        <v>0</v>
      </c>
      <c r="D23" s="52"/>
    </row>
    <row r="24" spans="2:6" ht="15.5" thickTop="1" thickBot="1" x14ac:dyDescent="0.4">
      <c r="C24" s="60"/>
      <c r="D24" s="60"/>
    </row>
    <row r="25" spans="2:6" ht="15.5" thickTop="1" thickBot="1" x14ac:dyDescent="0.4">
      <c r="B25" s="129" t="s">
        <v>41</v>
      </c>
      <c r="C25" s="129"/>
      <c r="D25" s="129"/>
    </row>
    <row r="26" spans="2:6" ht="15.5" thickTop="1" thickBot="1" x14ac:dyDescent="0.4">
      <c r="B26" s="129"/>
      <c r="C26" s="129"/>
      <c r="D26" s="129"/>
    </row>
    <row r="27" spans="2:6" ht="15.5" thickTop="1" thickBot="1" x14ac:dyDescent="0.4">
      <c r="B27" s="49" t="s">
        <v>42</v>
      </c>
      <c r="C27" s="66">
        <v>150000</v>
      </c>
      <c r="D27" s="52" t="s">
        <v>43</v>
      </c>
    </row>
    <row r="28" spans="2:6" ht="15.5" thickTop="1" thickBot="1" x14ac:dyDescent="0.4">
      <c r="B28" s="49" t="s">
        <v>44</v>
      </c>
      <c r="C28" s="66">
        <f>C27*8%</f>
        <v>12000</v>
      </c>
      <c r="D28" s="52" t="s">
        <v>43</v>
      </c>
      <c r="E28" s="84"/>
    </row>
    <row r="29" spans="2:6" ht="15.5" thickTop="1" thickBot="1" x14ac:dyDescent="0.4">
      <c r="B29" s="49" t="s">
        <v>45</v>
      </c>
      <c r="C29" s="66"/>
      <c r="D29" s="52" t="s">
        <v>43</v>
      </c>
      <c r="E29" s="71"/>
    </row>
    <row r="30" spans="2:6" ht="15.5" thickTop="1" thickBot="1" x14ac:dyDescent="0.4">
      <c r="B30" s="49" t="s">
        <v>46</v>
      </c>
      <c r="C30" s="66">
        <v>2000</v>
      </c>
      <c r="D30" s="52" t="s">
        <v>43</v>
      </c>
      <c r="F30" s="87"/>
    </row>
    <row r="31" spans="2:6" ht="15.5" thickTop="1" thickBot="1" x14ac:dyDescent="0.4">
      <c r="B31" s="50" t="s">
        <v>47</v>
      </c>
      <c r="C31" s="67">
        <f>C27+C28+C29+C30</f>
        <v>164000</v>
      </c>
      <c r="D31" s="53"/>
    </row>
    <row r="32" spans="2:6" ht="15.5" thickTop="1" thickBot="1" x14ac:dyDescent="0.4"/>
    <row r="33" spans="2:4" ht="15.5" thickTop="1" thickBot="1" x14ac:dyDescent="0.4">
      <c r="B33" s="129" t="s">
        <v>48</v>
      </c>
      <c r="C33" s="129"/>
      <c r="D33" s="129"/>
    </row>
    <row r="34" spans="2:4" ht="15.5" thickTop="1" thickBot="1" x14ac:dyDescent="0.4">
      <c r="B34" s="129"/>
      <c r="C34" s="129"/>
      <c r="D34" s="129"/>
    </row>
    <row r="35" spans="2:4" ht="15.5" thickTop="1" thickBot="1" x14ac:dyDescent="0.4">
      <c r="B35" s="49" t="s">
        <v>49</v>
      </c>
      <c r="C35" s="86">
        <f>30000</f>
        <v>30000</v>
      </c>
      <c r="D35" s="52"/>
    </row>
    <row r="36" spans="2:4" ht="15.5" thickTop="1" thickBot="1" x14ac:dyDescent="0.4">
      <c r="B36" s="49" t="s">
        <v>124</v>
      </c>
      <c r="C36" s="86">
        <f>C31-C35</f>
        <v>134000</v>
      </c>
      <c r="D36" s="52"/>
    </row>
    <row r="37" spans="2:4" ht="15.5" thickTop="1" thickBot="1" x14ac:dyDescent="0.4">
      <c r="B37" s="49" t="s">
        <v>50</v>
      </c>
      <c r="C37" s="55">
        <v>25</v>
      </c>
      <c r="D37" s="59" t="s">
        <v>51</v>
      </c>
    </row>
    <row r="38" spans="2:4" ht="15.5" hidden="1" outlineLevel="1" thickTop="1" thickBot="1" x14ac:dyDescent="0.4">
      <c r="B38" s="61" t="s">
        <v>52</v>
      </c>
      <c r="C38" s="68">
        <f>+C37*12</f>
        <v>300</v>
      </c>
      <c r="D38" s="65"/>
    </row>
    <row r="39" spans="2:4" ht="15.5" collapsed="1" thickTop="1" thickBot="1" x14ac:dyDescent="0.4">
      <c r="B39" s="49" t="s">
        <v>53</v>
      </c>
      <c r="C39" s="56">
        <v>1.9E-2</v>
      </c>
      <c r="D39" s="52"/>
    </row>
    <row r="40" spans="2:4" ht="15.5" thickTop="1" thickBot="1" x14ac:dyDescent="0.4">
      <c r="B40" s="49" t="s">
        <v>54</v>
      </c>
      <c r="C40" s="56">
        <v>2.4E-2</v>
      </c>
      <c r="D40" s="52"/>
    </row>
    <row r="41" spans="2:4" ht="15.5" thickTop="1" thickBot="1" x14ac:dyDescent="0.4">
      <c r="B41" s="51" t="s">
        <v>55</v>
      </c>
      <c r="C41" s="57">
        <f>((C36)*C39/12)/(1-(1+C39/12)^-C38)+(C36*C40/12)</f>
        <v>829.46380207651589</v>
      </c>
      <c r="D41" s="58"/>
    </row>
    <row r="42" spans="2:4" ht="15.5" thickTop="1" thickBot="1" x14ac:dyDescent="0.4"/>
    <row r="43" spans="2:4" ht="15.5" thickTop="1" thickBot="1" x14ac:dyDescent="0.4">
      <c r="B43" s="129" t="s">
        <v>56</v>
      </c>
      <c r="C43" s="129"/>
      <c r="D43" s="129"/>
    </row>
    <row r="44" spans="2:4" ht="15.5" thickTop="1" thickBot="1" x14ac:dyDescent="0.4">
      <c r="B44" s="129"/>
      <c r="C44" s="129"/>
      <c r="D44" s="129"/>
    </row>
    <row r="45" spans="2:4" ht="15.5" thickTop="1" thickBot="1" x14ac:dyDescent="0.4">
      <c r="B45" s="49" t="s">
        <v>57</v>
      </c>
      <c r="C45" s="54">
        <f>960</f>
        <v>960</v>
      </c>
      <c r="D45" s="59"/>
    </row>
    <row r="46" spans="2:4" ht="15.5" thickTop="1" thickBot="1" x14ac:dyDescent="0.4">
      <c r="B46" s="49" t="s">
        <v>65</v>
      </c>
      <c r="C46" s="75">
        <v>0</v>
      </c>
      <c r="D46" s="63"/>
    </row>
    <row r="47" spans="2:4" ht="15.5" thickTop="1" thickBot="1" x14ac:dyDescent="0.4">
      <c r="B47" s="51" t="s">
        <v>58</v>
      </c>
      <c r="C47" s="57">
        <f>+(C45*12)-(C45*C46)</f>
        <v>11520</v>
      </c>
      <c r="D47" s="62"/>
    </row>
    <row r="48" spans="2:4" ht="15.5" thickTop="1" thickBot="1" x14ac:dyDescent="0.4">
      <c r="D48" s="23"/>
    </row>
    <row r="49" spans="2:5" ht="15.5" thickTop="1" thickBot="1" x14ac:dyDescent="0.4">
      <c r="B49" s="129" t="s">
        <v>59</v>
      </c>
      <c r="C49" s="129"/>
      <c r="D49" s="129"/>
    </row>
    <row r="50" spans="2:5" ht="15.5" thickTop="1" thickBot="1" x14ac:dyDescent="0.4">
      <c r="B50" s="129"/>
      <c r="C50" s="129"/>
      <c r="D50" s="129"/>
    </row>
    <row r="51" spans="2:5" ht="15.5" thickTop="1" thickBot="1" x14ac:dyDescent="0.4">
      <c r="B51" s="49" t="s">
        <v>75</v>
      </c>
      <c r="C51" s="54">
        <v>1520</v>
      </c>
      <c r="D51" s="52" t="s">
        <v>43</v>
      </c>
    </row>
    <row r="52" spans="2:5" ht="15.5" thickTop="1" thickBot="1" x14ac:dyDescent="0.4">
      <c r="B52" s="49" t="s">
        <v>76</v>
      </c>
      <c r="C52" s="54">
        <v>0</v>
      </c>
      <c r="D52" s="52"/>
    </row>
    <row r="53" spans="2:5" ht="15.5" thickTop="1" thickBot="1" x14ac:dyDescent="0.4">
      <c r="B53" s="64"/>
      <c r="C53" s="64"/>
      <c r="D53" s="64"/>
    </row>
    <row r="54" spans="2:5" ht="15.5" thickTop="1" thickBot="1" x14ac:dyDescent="0.4">
      <c r="B54" s="49" t="s">
        <v>60</v>
      </c>
      <c r="C54" s="54">
        <v>800</v>
      </c>
      <c r="D54" s="52" t="s">
        <v>43</v>
      </c>
      <c r="E54" s="71"/>
    </row>
    <row r="55" spans="2:5" ht="15.5" thickTop="1" thickBot="1" x14ac:dyDescent="0.4">
      <c r="B55" s="49" t="s">
        <v>10</v>
      </c>
      <c r="C55" s="54">
        <v>0</v>
      </c>
      <c r="D55" s="52" t="s">
        <v>43</v>
      </c>
    </row>
    <row r="56" spans="2:5" ht="15.5" thickTop="1" thickBot="1" x14ac:dyDescent="0.4">
      <c r="B56" s="49" t="s">
        <v>77</v>
      </c>
      <c r="C56" s="54">
        <v>0</v>
      </c>
      <c r="D56" s="52" t="s">
        <v>43</v>
      </c>
      <c r="E56" s="71"/>
    </row>
    <row r="57" spans="2:5" ht="15.5" thickTop="1" thickBot="1" x14ac:dyDescent="0.4">
      <c r="B57" s="49" t="s">
        <v>19</v>
      </c>
      <c r="C57" s="54">
        <v>0</v>
      </c>
      <c r="D57" s="52" t="s">
        <v>43</v>
      </c>
      <c r="E57" s="71"/>
    </row>
    <row r="58" spans="2:5" ht="15.5" thickTop="1" thickBot="1" x14ac:dyDescent="0.4">
      <c r="B58" s="49" t="s">
        <v>61</v>
      </c>
      <c r="C58" s="54">
        <v>0</v>
      </c>
      <c r="D58" s="52" t="s">
        <v>43</v>
      </c>
      <c r="E58" s="71"/>
    </row>
    <row r="59" spans="2:5" ht="15" thickTop="1" x14ac:dyDescent="0.35"/>
  </sheetData>
  <mergeCells count="10">
    <mergeCell ref="B43:D44"/>
    <mergeCell ref="B49:D50"/>
    <mergeCell ref="B11:D12"/>
    <mergeCell ref="B25:D26"/>
    <mergeCell ref="B33:D34"/>
    <mergeCell ref="C13:D13"/>
    <mergeCell ref="C14:D14"/>
    <mergeCell ref="C15:D15"/>
    <mergeCell ref="C16:D16"/>
    <mergeCell ref="B18:D19"/>
  </mergeCells>
  <dataValidations disablePrompts="1" count="2">
    <dataValidation type="list" allowBlank="1" showInputMessage="1" showErrorMessage="1" sqref="C13:D13" xr:uid="{00000000-0002-0000-0000-000000000000}">
      <formula1>$E$1:$E$3</formula1>
    </dataValidation>
    <dataValidation type="list" allowBlank="1" showInputMessage="1" showErrorMessage="1" sqref="C14:D14" xr:uid="{00000000-0002-0000-0000-000001000000}">
      <formula1>$B$2:$B$7</formula1>
    </dataValidation>
  </dataValidations>
  <pageMargins left="0.7" right="0.7" top="0.75" bottom="0.75" header="0.3" footer="0.3"/>
  <pageSetup paperSize="9" scale="9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L315"/>
  <sheetViews>
    <sheetView topLeftCell="A12" workbookViewId="0">
      <selection activeCell="G12" sqref="G12:G23"/>
    </sheetView>
  </sheetViews>
  <sheetFormatPr baseColWidth="10" defaultRowHeight="14.5" outlineLevelCol="1" x14ac:dyDescent="0.35"/>
  <cols>
    <col min="1" max="1" width="5.7265625" customWidth="1"/>
    <col min="2" max="2" width="12.54296875" hidden="1" customWidth="1" outlineLevel="1"/>
    <col min="3" max="3" width="14" customWidth="1" collapsed="1"/>
    <col min="4" max="4" width="22.453125" customWidth="1"/>
    <col min="5" max="5" width="15.81640625" customWidth="1"/>
    <col min="6" max="6" width="16.81640625" customWidth="1"/>
    <col min="7" max="7" width="18.54296875" customWidth="1"/>
    <col min="8" max="8" width="21.453125" customWidth="1"/>
  </cols>
  <sheetData>
    <row r="1" spans="1:12" x14ac:dyDescent="0.35">
      <c r="D1" s="18" t="s">
        <v>0</v>
      </c>
      <c r="E1" s="19">
        <f>SAISI!C36</f>
        <v>134000</v>
      </c>
    </row>
    <row r="2" spans="1:12" x14ac:dyDescent="0.35">
      <c r="D2" s="18" t="s">
        <v>1</v>
      </c>
      <c r="E2" s="20">
        <f>SAISI!C39</f>
        <v>1.9E-2</v>
      </c>
    </row>
    <row r="3" spans="1:12" hidden="1" x14ac:dyDescent="0.35">
      <c r="D3" s="18"/>
      <c r="E3" s="20">
        <f>E2/12</f>
        <v>1.5833333333333333E-3</v>
      </c>
    </row>
    <row r="4" spans="1:12" x14ac:dyDescent="0.35">
      <c r="D4" s="18" t="s">
        <v>2</v>
      </c>
      <c r="E4" s="20">
        <f>SAISI!C40</f>
        <v>2.4E-2</v>
      </c>
    </row>
    <row r="5" spans="1:12" x14ac:dyDescent="0.35">
      <c r="D5" s="18" t="s">
        <v>3</v>
      </c>
      <c r="E5" s="19">
        <f>SAISI!C41</f>
        <v>829.46380207651589</v>
      </c>
    </row>
    <row r="6" spans="1:12" x14ac:dyDescent="0.35">
      <c r="D6" s="18" t="s">
        <v>12</v>
      </c>
      <c r="E6" s="19">
        <f>E1*0.01</f>
        <v>1340</v>
      </c>
      <c r="G6" s="23"/>
    </row>
    <row r="7" spans="1:12" x14ac:dyDescent="0.35">
      <c r="D7" s="18" t="s">
        <v>90</v>
      </c>
      <c r="E7" s="19">
        <v>1326</v>
      </c>
      <c r="F7" s="71"/>
    </row>
    <row r="8" spans="1:12" ht="15" thickBot="1" x14ac:dyDescent="0.4">
      <c r="D8" s="18" t="s">
        <v>11</v>
      </c>
      <c r="E8" s="85">
        <v>43470</v>
      </c>
    </row>
    <row r="9" spans="1:12" ht="15" thickBot="1" x14ac:dyDescent="0.4"/>
    <row r="10" spans="1:12" ht="33" customHeight="1" thickBot="1" x14ac:dyDescent="0.4">
      <c r="A10" s="12" t="s">
        <v>8</v>
      </c>
      <c r="B10" s="29" t="s">
        <v>13</v>
      </c>
      <c r="C10" s="25"/>
      <c r="D10" s="10" t="s">
        <v>4</v>
      </c>
      <c r="E10" s="10" t="s">
        <v>5</v>
      </c>
      <c r="F10" s="10" t="s">
        <v>6</v>
      </c>
      <c r="G10" s="13" t="s">
        <v>7</v>
      </c>
      <c r="H10" s="14" t="s">
        <v>9</v>
      </c>
    </row>
    <row r="11" spans="1:12" ht="15" hidden="1" thickBot="1" x14ac:dyDescent="0.4">
      <c r="A11" s="1"/>
      <c r="B11" s="1"/>
      <c r="C11" s="1"/>
      <c r="D11" s="1"/>
      <c r="E11" s="1"/>
      <c r="F11" s="1"/>
      <c r="G11" s="1"/>
      <c r="H11" s="2">
        <f>E1</f>
        <v>134000</v>
      </c>
    </row>
    <row r="12" spans="1:12" ht="15" thickBot="1" x14ac:dyDescent="0.4">
      <c r="A12" s="15">
        <v>1</v>
      </c>
      <c r="B12" s="26">
        <f>YEAR(C12)</f>
        <v>2019</v>
      </c>
      <c r="C12" s="30">
        <f>+E8</f>
        <v>43470</v>
      </c>
      <c r="D12" s="5">
        <f>IF(H11&gt;$E$5,$E$5-E12-F12,H11)</f>
        <v>349.29713540984926</v>
      </c>
      <c r="E12" s="3">
        <f t="shared" ref="E12:E43" si="0">$E$3*H11</f>
        <v>212.16666666666666</v>
      </c>
      <c r="F12" s="3">
        <f>$E$1*$E$4/12</f>
        <v>268</v>
      </c>
      <c r="G12" s="3">
        <f>D12+E12+F12</f>
        <v>829.46380207651589</v>
      </c>
      <c r="H12" s="4">
        <f>H11-D12</f>
        <v>133650.70286459016</v>
      </c>
      <c r="L12" s="23"/>
    </row>
    <row r="13" spans="1:12" ht="15" thickBot="1" x14ac:dyDescent="0.4">
      <c r="A13" s="16">
        <v>2</v>
      </c>
      <c r="B13" s="26">
        <f t="shared" ref="B13:B76" si="1">YEAR(C13)</f>
        <v>2019</v>
      </c>
      <c r="C13" s="30">
        <f>EDATE(C12,1)</f>
        <v>43501</v>
      </c>
      <c r="D13" s="5">
        <f t="shared" ref="D13:D76" si="2">IF(H12&gt;$E$5,$E$5-E13-F13,H12)</f>
        <v>349.85018920758148</v>
      </c>
      <c r="E13" s="5">
        <f t="shared" si="0"/>
        <v>211.61361286893441</v>
      </c>
      <c r="F13" s="5">
        <f>IF(H12=0,0,$E$1*$E$4/12)</f>
        <v>268</v>
      </c>
      <c r="G13" s="5">
        <f t="shared" ref="G13:G23" si="3">D13+E13+F13</f>
        <v>829.46380207651589</v>
      </c>
      <c r="H13" s="6">
        <f t="shared" ref="H13:H23" si="4">H12-D13</f>
        <v>133300.85267538257</v>
      </c>
    </row>
    <row r="14" spans="1:12" ht="15" thickBot="1" x14ac:dyDescent="0.4">
      <c r="A14" s="16">
        <v>3</v>
      </c>
      <c r="B14" s="26">
        <f t="shared" si="1"/>
        <v>2019</v>
      </c>
      <c r="C14" s="30">
        <f t="shared" ref="C14:C77" si="5">EDATE(C13,1)</f>
        <v>43529</v>
      </c>
      <c r="D14" s="5">
        <f t="shared" si="2"/>
        <v>350.40411867382682</v>
      </c>
      <c r="E14" s="5">
        <f t="shared" si="0"/>
        <v>211.05968340268907</v>
      </c>
      <c r="F14" s="5">
        <f t="shared" ref="F14:F77" si="6">IF(H13=0,0,$E$1*$E$4/12)</f>
        <v>268</v>
      </c>
      <c r="G14" s="5">
        <f t="shared" si="3"/>
        <v>829.46380207651589</v>
      </c>
      <c r="H14" s="6">
        <f t="shared" si="4"/>
        <v>132950.44855670875</v>
      </c>
    </row>
    <row r="15" spans="1:12" ht="15" thickBot="1" x14ac:dyDescent="0.4">
      <c r="A15" s="16">
        <v>4</v>
      </c>
      <c r="B15" s="26">
        <f t="shared" si="1"/>
        <v>2019</v>
      </c>
      <c r="C15" s="30">
        <f t="shared" si="5"/>
        <v>43560</v>
      </c>
      <c r="D15" s="5">
        <f t="shared" si="2"/>
        <v>350.95892519506037</v>
      </c>
      <c r="E15" s="5">
        <f t="shared" si="0"/>
        <v>210.50487688145552</v>
      </c>
      <c r="F15" s="5">
        <f t="shared" si="6"/>
        <v>268</v>
      </c>
      <c r="G15" s="5">
        <f t="shared" si="3"/>
        <v>829.46380207651589</v>
      </c>
      <c r="H15" s="6">
        <f t="shared" si="4"/>
        <v>132599.48963151369</v>
      </c>
    </row>
    <row r="16" spans="1:12" ht="15" thickBot="1" x14ac:dyDescent="0.4">
      <c r="A16" s="16">
        <v>5</v>
      </c>
      <c r="B16" s="26">
        <f t="shared" si="1"/>
        <v>2019</v>
      </c>
      <c r="C16" s="30">
        <f t="shared" si="5"/>
        <v>43590</v>
      </c>
      <c r="D16" s="5">
        <f t="shared" si="2"/>
        <v>351.51461015995255</v>
      </c>
      <c r="E16" s="5">
        <f t="shared" si="0"/>
        <v>209.94919191656334</v>
      </c>
      <c r="F16" s="5">
        <f t="shared" si="6"/>
        <v>268</v>
      </c>
      <c r="G16" s="5">
        <f t="shared" si="3"/>
        <v>829.46380207651589</v>
      </c>
      <c r="H16" s="6">
        <f t="shared" si="4"/>
        <v>132247.97502135375</v>
      </c>
    </row>
    <row r="17" spans="1:8" ht="15" thickBot="1" x14ac:dyDescent="0.4">
      <c r="A17" s="16">
        <v>6</v>
      </c>
      <c r="B17" s="26">
        <f t="shared" si="1"/>
        <v>2019</v>
      </c>
      <c r="C17" s="30">
        <f t="shared" si="5"/>
        <v>43621</v>
      </c>
      <c r="D17" s="5">
        <f t="shared" si="2"/>
        <v>352.07117495937246</v>
      </c>
      <c r="E17" s="5">
        <f t="shared" si="0"/>
        <v>209.39262711714343</v>
      </c>
      <c r="F17" s="5">
        <f t="shared" si="6"/>
        <v>268</v>
      </c>
      <c r="G17" s="5">
        <f t="shared" si="3"/>
        <v>829.46380207651589</v>
      </c>
      <c r="H17" s="6">
        <f t="shared" si="4"/>
        <v>131895.90384639439</v>
      </c>
    </row>
    <row r="18" spans="1:8" ht="15" thickBot="1" x14ac:dyDescent="0.4">
      <c r="A18" s="16">
        <v>7</v>
      </c>
      <c r="B18" s="26">
        <f t="shared" si="1"/>
        <v>2019</v>
      </c>
      <c r="C18" s="30">
        <f t="shared" si="5"/>
        <v>43651</v>
      </c>
      <c r="D18" s="5">
        <f t="shared" si="2"/>
        <v>352.62862098639141</v>
      </c>
      <c r="E18" s="5">
        <f t="shared" si="0"/>
        <v>208.83518109012445</v>
      </c>
      <c r="F18" s="5">
        <f t="shared" si="6"/>
        <v>268</v>
      </c>
      <c r="G18" s="5">
        <f t="shared" si="3"/>
        <v>829.46380207651589</v>
      </c>
      <c r="H18" s="6">
        <f t="shared" si="4"/>
        <v>131543.275225408</v>
      </c>
    </row>
    <row r="19" spans="1:8" ht="15" thickBot="1" x14ac:dyDescent="0.4">
      <c r="A19" s="16">
        <v>8</v>
      </c>
      <c r="B19" s="26">
        <f t="shared" si="1"/>
        <v>2019</v>
      </c>
      <c r="C19" s="30">
        <f t="shared" si="5"/>
        <v>43682</v>
      </c>
      <c r="D19" s="5">
        <f t="shared" si="2"/>
        <v>353.1869496362865</v>
      </c>
      <c r="E19" s="5">
        <f t="shared" si="0"/>
        <v>208.27685244022933</v>
      </c>
      <c r="F19" s="5">
        <f t="shared" si="6"/>
        <v>268</v>
      </c>
      <c r="G19" s="5">
        <f t="shared" si="3"/>
        <v>829.46380207651578</v>
      </c>
      <c r="H19" s="6">
        <f t="shared" si="4"/>
        <v>131190.0882757717</v>
      </c>
    </row>
    <row r="20" spans="1:8" ht="15" thickBot="1" x14ac:dyDescent="0.4">
      <c r="A20" s="16">
        <v>9</v>
      </c>
      <c r="B20" s="26">
        <f t="shared" si="1"/>
        <v>2019</v>
      </c>
      <c r="C20" s="30">
        <f t="shared" si="5"/>
        <v>43713</v>
      </c>
      <c r="D20" s="5">
        <f t="shared" si="2"/>
        <v>353.74616230654397</v>
      </c>
      <c r="E20" s="5">
        <f t="shared" si="0"/>
        <v>207.71763976997187</v>
      </c>
      <c r="F20" s="5">
        <f t="shared" si="6"/>
        <v>268</v>
      </c>
      <c r="G20" s="5">
        <f t="shared" si="3"/>
        <v>829.46380207651578</v>
      </c>
      <c r="H20" s="6">
        <f t="shared" si="4"/>
        <v>130836.34211346516</v>
      </c>
    </row>
    <row r="21" spans="1:8" ht="15" thickBot="1" x14ac:dyDescent="0.4">
      <c r="A21" s="16">
        <v>10</v>
      </c>
      <c r="B21" s="26">
        <f t="shared" si="1"/>
        <v>2019</v>
      </c>
      <c r="C21" s="30">
        <f t="shared" si="5"/>
        <v>43743</v>
      </c>
      <c r="D21" s="5">
        <f t="shared" si="2"/>
        <v>354.30626039686274</v>
      </c>
      <c r="E21" s="5">
        <f t="shared" si="0"/>
        <v>207.15754167965315</v>
      </c>
      <c r="F21" s="5">
        <f t="shared" si="6"/>
        <v>268</v>
      </c>
      <c r="G21" s="5">
        <f t="shared" si="3"/>
        <v>829.46380207651589</v>
      </c>
      <c r="H21" s="6">
        <f t="shared" si="4"/>
        <v>130482.0358530683</v>
      </c>
    </row>
    <row r="22" spans="1:8" ht="15" thickBot="1" x14ac:dyDescent="0.4">
      <c r="A22" s="16">
        <v>11</v>
      </c>
      <c r="B22" s="26">
        <f t="shared" si="1"/>
        <v>2019</v>
      </c>
      <c r="C22" s="30">
        <f t="shared" si="5"/>
        <v>43774</v>
      </c>
      <c r="D22" s="5">
        <f t="shared" si="2"/>
        <v>354.86724530915774</v>
      </c>
      <c r="E22" s="5">
        <f t="shared" si="0"/>
        <v>206.59655676735812</v>
      </c>
      <c r="F22" s="5">
        <f t="shared" si="6"/>
        <v>268</v>
      </c>
      <c r="G22" s="5">
        <f t="shared" si="3"/>
        <v>829.46380207651589</v>
      </c>
      <c r="H22" s="6">
        <f t="shared" si="4"/>
        <v>130127.16860775914</v>
      </c>
    </row>
    <row r="23" spans="1:8" ht="15" thickBot="1" x14ac:dyDescent="0.4">
      <c r="A23" s="16">
        <v>12</v>
      </c>
      <c r="B23" s="26">
        <f t="shared" si="1"/>
        <v>2019</v>
      </c>
      <c r="C23" s="30">
        <f t="shared" si="5"/>
        <v>43804</v>
      </c>
      <c r="D23" s="5">
        <f t="shared" si="2"/>
        <v>355.42911844756395</v>
      </c>
      <c r="E23" s="5">
        <f t="shared" si="0"/>
        <v>206.03468362895197</v>
      </c>
      <c r="F23" s="5">
        <f t="shared" si="6"/>
        <v>268</v>
      </c>
      <c r="G23" s="5">
        <f t="shared" si="3"/>
        <v>829.46380207651589</v>
      </c>
      <c r="H23" s="6">
        <f t="shared" si="4"/>
        <v>129771.73948931159</v>
      </c>
    </row>
    <row r="24" spans="1:8" ht="15" thickBot="1" x14ac:dyDescent="0.4">
      <c r="A24" s="16">
        <v>13</v>
      </c>
      <c r="B24" s="26">
        <f t="shared" si="1"/>
        <v>2020</v>
      </c>
      <c r="C24" s="30">
        <f t="shared" si="5"/>
        <v>43835</v>
      </c>
      <c r="D24" s="5">
        <f t="shared" si="2"/>
        <v>355.99188121843918</v>
      </c>
      <c r="E24" s="5">
        <f t="shared" si="0"/>
        <v>205.47192085807666</v>
      </c>
      <c r="F24" s="5">
        <f t="shared" si="6"/>
        <v>268</v>
      </c>
      <c r="G24" s="5">
        <f t="shared" ref="G24:G59" si="7">D24+E24+F24</f>
        <v>829.46380207651578</v>
      </c>
      <c r="H24" s="6">
        <f t="shared" ref="H24:H59" si="8">H23-D24</f>
        <v>129415.74760809315</v>
      </c>
    </row>
    <row r="25" spans="1:8" ht="15" thickBot="1" x14ac:dyDescent="0.4">
      <c r="A25" s="16">
        <v>14</v>
      </c>
      <c r="B25" s="26">
        <f t="shared" si="1"/>
        <v>2020</v>
      </c>
      <c r="C25" s="30">
        <f t="shared" si="5"/>
        <v>43866</v>
      </c>
      <c r="D25" s="5">
        <f t="shared" si="2"/>
        <v>356.55553503036845</v>
      </c>
      <c r="E25" s="5">
        <f t="shared" si="0"/>
        <v>204.90826704614747</v>
      </c>
      <c r="F25" s="5">
        <f t="shared" si="6"/>
        <v>268</v>
      </c>
      <c r="G25" s="5">
        <f t="shared" si="7"/>
        <v>829.46380207651589</v>
      </c>
      <c r="H25" s="6">
        <f t="shared" si="8"/>
        <v>129059.19207306279</v>
      </c>
    </row>
    <row r="26" spans="1:8" ht="15" thickBot="1" x14ac:dyDescent="0.4">
      <c r="A26" s="16">
        <v>15</v>
      </c>
      <c r="B26" s="26">
        <f t="shared" si="1"/>
        <v>2020</v>
      </c>
      <c r="C26" s="30">
        <f t="shared" si="5"/>
        <v>43895</v>
      </c>
      <c r="D26" s="5">
        <f t="shared" si="2"/>
        <v>357.12008129416654</v>
      </c>
      <c r="E26" s="5">
        <f t="shared" si="0"/>
        <v>204.34372078234941</v>
      </c>
      <c r="F26" s="5">
        <f t="shared" si="6"/>
        <v>268</v>
      </c>
      <c r="G26" s="5">
        <f t="shared" si="7"/>
        <v>829.463802076516</v>
      </c>
      <c r="H26" s="6">
        <f t="shared" si="8"/>
        <v>128702.07199176862</v>
      </c>
    </row>
    <row r="27" spans="1:8" ht="15" thickBot="1" x14ac:dyDescent="0.4">
      <c r="A27" s="16">
        <v>16</v>
      </c>
      <c r="B27" s="26">
        <f t="shared" si="1"/>
        <v>2020</v>
      </c>
      <c r="C27" s="30">
        <f t="shared" si="5"/>
        <v>43926</v>
      </c>
      <c r="D27" s="5">
        <f t="shared" si="2"/>
        <v>357.68552142288218</v>
      </c>
      <c r="E27" s="5">
        <f t="shared" si="0"/>
        <v>203.77828065363366</v>
      </c>
      <c r="F27" s="5">
        <f t="shared" si="6"/>
        <v>268</v>
      </c>
      <c r="G27" s="5">
        <f t="shared" si="7"/>
        <v>829.46380207651578</v>
      </c>
      <c r="H27" s="6">
        <f t="shared" si="8"/>
        <v>128344.38647034574</v>
      </c>
    </row>
    <row r="28" spans="1:8" ht="15" thickBot="1" x14ac:dyDescent="0.4">
      <c r="A28" s="16">
        <v>17</v>
      </c>
      <c r="B28" s="26">
        <f t="shared" si="1"/>
        <v>2020</v>
      </c>
      <c r="C28" s="30">
        <f t="shared" si="5"/>
        <v>43956</v>
      </c>
      <c r="D28" s="5">
        <f t="shared" si="2"/>
        <v>358.25185683180177</v>
      </c>
      <c r="E28" s="5">
        <f t="shared" si="0"/>
        <v>203.21194524471409</v>
      </c>
      <c r="F28" s="5">
        <f t="shared" si="6"/>
        <v>268</v>
      </c>
      <c r="G28" s="5">
        <f t="shared" si="7"/>
        <v>829.46380207651589</v>
      </c>
      <c r="H28" s="6">
        <f t="shared" si="8"/>
        <v>127986.13461351393</v>
      </c>
    </row>
    <row r="29" spans="1:8" ht="15" thickBot="1" x14ac:dyDescent="0.4">
      <c r="A29" s="16">
        <v>18</v>
      </c>
      <c r="B29" s="26">
        <f t="shared" si="1"/>
        <v>2020</v>
      </c>
      <c r="C29" s="30">
        <f t="shared" si="5"/>
        <v>43987</v>
      </c>
      <c r="D29" s="5">
        <f t="shared" si="2"/>
        <v>358.81908893845218</v>
      </c>
      <c r="E29" s="5">
        <f t="shared" si="0"/>
        <v>202.64471313806371</v>
      </c>
      <c r="F29" s="5">
        <f t="shared" si="6"/>
        <v>268</v>
      </c>
      <c r="G29" s="5">
        <f t="shared" si="7"/>
        <v>829.46380207651589</v>
      </c>
      <c r="H29" s="6">
        <f t="shared" si="8"/>
        <v>127627.31552457548</v>
      </c>
    </row>
    <row r="30" spans="1:8" ht="15" thickBot="1" x14ac:dyDescent="0.4">
      <c r="A30" s="16">
        <v>19</v>
      </c>
      <c r="B30" s="26">
        <f t="shared" si="1"/>
        <v>2020</v>
      </c>
      <c r="C30" s="30">
        <f t="shared" si="5"/>
        <v>44017</v>
      </c>
      <c r="D30" s="5">
        <f t="shared" si="2"/>
        <v>359.38721916260477</v>
      </c>
      <c r="E30" s="5">
        <f t="shared" si="0"/>
        <v>202.07658291391115</v>
      </c>
      <c r="F30" s="5">
        <f t="shared" si="6"/>
        <v>268</v>
      </c>
      <c r="G30" s="5">
        <f t="shared" si="7"/>
        <v>829.46380207651589</v>
      </c>
      <c r="H30" s="6">
        <f t="shared" si="8"/>
        <v>127267.92830541288</v>
      </c>
    </row>
    <row r="31" spans="1:8" ht="15" thickBot="1" x14ac:dyDescent="0.4">
      <c r="A31" s="16">
        <v>20</v>
      </c>
      <c r="B31" s="26">
        <f t="shared" si="1"/>
        <v>2020</v>
      </c>
      <c r="C31" s="30">
        <f t="shared" si="5"/>
        <v>44048</v>
      </c>
      <c r="D31" s="5">
        <f t="shared" si="2"/>
        <v>359.95624892627882</v>
      </c>
      <c r="E31" s="5">
        <f t="shared" si="0"/>
        <v>201.50755315023704</v>
      </c>
      <c r="F31" s="5">
        <f t="shared" si="6"/>
        <v>268</v>
      </c>
      <c r="G31" s="5">
        <f t="shared" si="7"/>
        <v>829.46380207651589</v>
      </c>
      <c r="H31" s="6">
        <f t="shared" si="8"/>
        <v>126907.9720564866</v>
      </c>
    </row>
    <row r="32" spans="1:8" ht="15" thickBot="1" x14ac:dyDescent="0.4">
      <c r="A32" s="16">
        <v>21</v>
      </c>
      <c r="B32" s="26">
        <f t="shared" si="1"/>
        <v>2020</v>
      </c>
      <c r="C32" s="30">
        <f t="shared" si="5"/>
        <v>44079</v>
      </c>
      <c r="D32" s="5">
        <f t="shared" si="2"/>
        <v>360.52617965374543</v>
      </c>
      <c r="E32" s="5">
        <f t="shared" si="0"/>
        <v>200.93762242277043</v>
      </c>
      <c r="F32" s="5">
        <f t="shared" si="6"/>
        <v>268</v>
      </c>
      <c r="G32" s="5">
        <f t="shared" si="7"/>
        <v>829.46380207651589</v>
      </c>
      <c r="H32" s="6">
        <f t="shared" si="8"/>
        <v>126547.44587683285</v>
      </c>
    </row>
    <row r="33" spans="1:8" ht="15" thickBot="1" x14ac:dyDescent="0.4">
      <c r="A33" s="16">
        <v>22</v>
      </c>
      <c r="B33" s="26">
        <f t="shared" si="1"/>
        <v>2020</v>
      </c>
      <c r="C33" s="30">
        <f t="shared" si="5"/>
        <v>44109</v>
      </c>
      <c r="D33" s="5">
        <f t="shared" si="2"/>
        <v>361.09701277153056</v>
      </c>
      <c r="E33" s="5">
        <f t="shared" si="0"/>
        <v>200.36678930498533</v>
      </c>
      <c r="F33" s="5">
        <f t="shared" si="6"/>
        <v>268</v>
      </c>
      <c r="G33" s="5">
        <f t="shared" si="7"/>
        <v>829.46380207651589</v>
      </c>
      <c r="H33" s="6">
        <f t="shared" si="8"/>
        <v>126186.34886406132</v>
      </c>
    </row>
    <row r="34" spans="1:8" ht="15" thickBot="1" x14ac:dyDescent="0.4">
      <c r="A34" s="16">
        <v>23</v>
      </c>
      <c r="B34" s="26">
        <f t="shared" si="1"/>
        <v>2020</v>
      </c>
      <c r="C34" s="30">
        <f t="shared" si="5"/>
        <v>44140</v>
      </c>
      <c r="D34" s="5">
        <f t="shared" si="2"/>
        <v>361.66874970841877</v>
      </c>
      <c r="E34" s="5">
        <f t="shared" si="0"/>
        <v>199.79505236809709</v>
      </c>
      <c r="F34" s="5">
        <f t="shared" si="6"/>
        <v>268</v>
      </c>
      <c r="G34" s="5">
        <f t="shared" si="7"/>
        <v>829.46380207651589</v>
      </c>
      <c r="H34" s="6">
        <f t="shared" si="8"/>
        <v>125824.6801143529</v>
      </c>
    </row>
    <row r="35" spans="1:8" ht="15" thickBot="1" x14ac:dyDescent="0.4">
      <c r="A35" s="16">
        <v>24</v>
      </c>
      <c r="B35" s="26">
        <f t="shared" si="1"/>
        <v>2020</v>
      </c>
      <c r="C35" s="30">
        <f t="shared" si="5"/>
        <v>44170</v>
      </c>
      <c r="D35" s="5">
        <f t="shared" si="2"/>
        <v>362.24139189545713</v>
      </c>
      <c r="E35" s="5">
        <f t="shared" si="0"/>
        <v>199.22241018105876</v>
      </c>
      <c r="F35" s="5">
        <f t="shared" si="6"/>
        <v>268</v>
      </c>
      <c r="G35" s="5">
        <f t="shared" si="7"/>
        <v>829.46380207651589</v>
      </c>
      <c r="H35" s="6">
        <f t="shared" si="8"/>
        <v>125462.43872245745</v>
      </c>
    </row>
    <row r="36" spans="1:8" ht="15" thickBot="1" x14ac:dyDescent="0.4">
      <c r="A36" s="16">
        <v>25</v>
      </c>
      <c r="B36" s="26">
        <f t="shared" si="1"/>
        <v>2021</v>
      </c>
      <c r="C36" s="30">
        <f t="shared" si="5"/>
        <v>44201</v>
      </c>
      <c r="D36" s="5">
        <f t="shared" si="2"/>
        <v>362.81494076595823</v>
      </c>
      <c r="E36" s="5">
        <f t="shared" si="0"/>
        <v>198.64886131055761</v>
      </c>
      <c r="F36" s="5">
        <f t="shared" si="6"/>
        <v>268</v>
      </c>
      <c r="G36" s="5">
        <f t="shared" si="7"/>
        <v>829.46380207651578</v>
      </c>
      <c r="H36" s="6">
        <f t="shared" si="8"/>
        <v>125099.62378169149</v>
      </c>
    </row>
    <row r="37" spans="1:8" ht="15" thickBot="1" x14ac:dyDescent="0.4">
      <c r="A37" s="16">
        <v>26</v>
      </c>
      <c r="B37" s="26">
        <f t="shared" si="1"/>
        <v>2021</v>
      </c>
      <c r="C37" s="30">
        <f t="shared" si="5"/>
        <v>44232</v>
      </c>
      <c r="D37" s="5">
        <f t="shared" si="2"/>
        <v>363.38939775550432</v>
      </c>
      <c r="E37" s="5">
        <f t="shared" si="0"/>
        <v>198.07440432101154</v>
      </c>
      <c r="F37" s="5">
        <f t="shared" si="6"/>
        <v>268</v>
      </c>
      <c r="G37" s="5">
        <f t="shared" si="7"/>
        <v>829.46380207651589</v>
      </c>
      <c r="H37" s="6">
        <f t="shared" si="8"/>
        <v>124736.234383936</v>
      </c>
    </row>
    <row r="38" spans="1:8" ht="15" thickBot="1" x14ac:dyDescent="0.4">
      <c r="A38" s="16">
        <v>27</v>
      </c>
      <c r="B38" s="26">
        <f t="shared" si="1"/>
        <v>2021</v>
      </c>
      <c r="C38" s="30">
        <f t="shared" si="5"/>
        <v>44260</v>
      </c>
      <c r="D38" s="5">
        <f t="shared" si="2"/>
        <v>363.96476430195059</v>
      </c>
      <c r="E38" s="5">
        <f t="shared" si="0"/>
        <v>197.49903777456532</v>
      </c>
      <c r="F38" s="5">
        <f t="shared" si="6"/>
        <v>268</v>
      </c>
      <c r="G38" s="5">
        <f t="shared" si="7"/>
        <v>829.46380207651589</v>
      </c>
      <c r="H38" s="6">
        <f t="shared" si="8"/>
        <v>124372.26961963404</v>
      </c>
    </row>
    <row r="39" spans="1:8" ht="15" thickBot="1" x14ac:dyDescent="0.4">
      <c r="A39" s="16">
        <v>28</v>
      </c>
      <c r="B39" s="26">
        <f t="shared" si="1"/>
        <v>2021</v>
      </c>
      <c r="C39" s="30">
        <f t="shared" si="5"/>
        <v>44291</v>
      </c>
      <c r="D39" s="5">
        <f t="shared" si="2"/>
        <v>364.54104184542871</v>
      </c>
      <c r="E39" s="5">
        <f t="shared" si="0"/>
        <v>196.92276023108724</v>
      </c>
      <c r="F39" s="5">
        <f t="shared" si="6"/>
        <v>268</v>
      </c>
      <c r="G39" s="5">
        <f t="shared" si="7"/>
        <v>829.463802076516</v>
      </c>
      <c r="H39" s="6">
        <f t="shared" si="8"/>
        <v>124007.72857778861</v>
      </c>
    </row>
    <row r="40" spans="1:8" ht="15" thickBot="1" x14ac:dyDescent="0.4">
      <c r="A40" s="16">
        <v>29</v>
      </c>
      <c r="B40" s="26">
        <f t="shared" si="1"/>
        <v>2021</v>
      </c>
      <c r="C40" s="30">
        <f t="shared" si="5"/>
        <v>44321</v>
      </c>
      <c r="D40" s="5">
        <f t="shared" si="2"/>
        <v>365.11823182835064</v>
      </c>
      <c r="E40" s="5">
        <f t="shared" si="0"/>
        <v>196.3455702481653</v>
      </c>
      <c r="F40" s="5">
        <f t="shared" si="6"/>
        <v>268</v>
      </c>
      <c r="G40" s="5">
        <f t="shared" si="7"/>
        <v>829.463802076516</v>
      </c>
      <c r="H40" s="6">
        <f t="shared" si="8"/>
        <v>123642.61034596026</v>
      </c>
    </row>
    <row r="41" spans="1:8" ht="15" thickBot="1" x14ac:dyDescent="0.4">
      <c r="A41" s="16">
        <v>30</v>
      </c>
      <c r="B41" s="26">
        <f t="shared" si="1"/>
        <v>2021</v>
      </c>
      <c r="C41" s="30">
        <f t="shared" si="5"/>
        <v>44352</v>
      </c>
      <c r="D41" s="5">
        <f t="shared" si="2"/>
        <v>365.69633569541213</v>
      </c>
      <c r="E41" s="5">
        <f t="shared" si="0"/>
        <v>195.76746638110373</v>
      </c>
      <c r="F41" s="5">
        <f t="shared" si="6"/>
        <v>268</v>
      </c>
      <c r="G41" s="5">
        <f t="shared" si="7"/>
        <v>829.46380207651589</v>
      </c>
      <c r="H41" s="6">
        <f t="shared" si="8"/>
        <v>123276.91401026485</v>
      </c>
    </row>
    <row r="42" spans="1:8" ht="15" thickBot="1" x14ac:dyDescent="0.4">
      <c r="A42" s="16">
        <v>31</v>
      </c>
      <c r="B42" s="26">
        <f t="shared" si="1"/>
        <v>2021</v>
      </c>
      <c r="C42" s="30">
        <f t="shared" si="5"/>
        <v>44382</v>
      </c>
      <c r="D42" s="5">
        <f t="shared" si="2"/>
        <v>366.27535489359661</v>
      </c>
      <c r="E42" s="5">
        <f t="shared" si="0"/>
        <v>195.18844718291933</v>
      </c>
      <c r="F42" s="5">
        <f t="shared" si="6"/>
        <v>268</v>
      </c>
      <c r="G42" s="5">
        <f t="shared" si="7"/>
        <v>829.463802076516</v>
      </c>
      <c r="H42" s="6">
        <f t="shared" si="8"/>
        <v>122910.63865537125</v>
      </c>
    </row>
    <row r="43" spans="1:8" ht="15" thickBot="1" x14ac:dyDescent="0.4">
      <c r="A43" s="16">
        <v>32</v>
      </c>
      <c r="B43" s="26">
        <f t="shared" si="1"/>
        <v>2021</v>
      </c>
      <c r="C43" s="30">
        <f t="shared" si="5"/>
        <v>44413</v>
      </c>
      <c r="D43" s="5">
        <f t="shared" si="2"/>
        <v>366.8552908721781</v>
      </c>
      <c r="E43" s="5">
        <f t="shared" si="0"/>
        <v>194.60851120433782</v>
      </c>
      <c r="F43" s="5">
        <f t="shared" si="6"/>
        <v>268</v>
      </c>
      <c r="G43" s="5">
        <f t="shared" si="7"/>
        <v>829.46380207651589</v>
      </c>
      <c r="H43" s="6">
        <f t="shared" si="8"/>
        <v>122543.78336449908</v>
      </c>
    </row>
    <row r="44" spans="1:8" ht="15" thickBot="1" x14ac:dyDescent="0.4">
      <c r="A44" s="16">
        <v>33</v>
      </c>
      <c r="B44" s="26">
        <f t="shared" si="1"/>
        <v>2021</v>
      </c>
      <c r="C44" s="30">
        <f t="shared" si="5"/>
        <v>44444</v>
      </c>
      <c r="D44" s="5">
        <f t="shared" si="2"/>
        <v>367.43614508272572</v>
      </c>
      <c r="E44" s="5">
        <f t="shared" ref="E44:E75" si="9">$E$3*H43</f>
        <v>194.0276569937902</v>
      </c>
      <c r="F44" s="5">
        <f t="shared" si="6"/>
        <v>268</v>
      </c>
      <c r="G44" s="5">
        <f t="shared" si="7"/>
        <v>829.46380207651589</v>
      </c>
      <c r="H44" s="6">
        <f t="shared" si="8"/>
        <v>122176.34721941635</v>
      </c>
    </row>
    <row r="45" spans="1:8" ht="15" thickBot="1" x14ac:dyDescent="0.4">
      <c r="A45" s="16">
        <v>34</v>
      </c>
      <c r="B45" s="26">
        <f t="shared" si="1"/>
        <v>2021</v>
      </c>
      <c r="C45" s="30">
        <f t="shared" si="5"/>
        <v>44474</v>
      </c>
      <c r="D45" s="5">
        <f t="shared" si="2"/>
        <v>368.01791897910664</v>
      </c>
      <c r="E45" s="5">
        <f t="shared" si="9"/>
        <v>193.44588309740922</v>
      </c>
      <c r="F45" s="5">
        <f t="shared" si="6"/>
        <v>268</v>
      </c>
      <c r="G45" s="5">
        <f t="shared" si="7"/>
        <v>829.46380207651589</v>
      </c>
      <c r="H45" s="6">
        <f t="shared" si="8"/>
        <v>121808.32930043724</v>
      </c>
    </row>
    <row r="46" spans="1:8" ht="15" thickBot="1" x14ac:dyDescent="0.4">
      <c r="A46" s="16">
        <v>35</v>
      </c>
      <c r="B46" s="26">
        <f t="shared" si="1"/>
        <v>2021</v>
      </c>
      <c r="C46" s="30">
        <f t="shared" si="5"/>
        <v>44505</v>
      </c>
      <c r="D46" s="5">
        <f t="shared" si="2"/>
        <v>368.60061401749022</v>
      </c>
      <c r="E46" s="5">
        <f t="shared" si="9"/>
        <v>192.86318805902562</v>
      </c>
      <c r="F46" s="5">
        <f t="shared" si="6"/>
        <v>268</v>
      </c>
      <c r="G46" s="5">
        <f t="shared" si="7"/>
        <v>829.46380207651578</v>
      </c>
      <c r="H46" s="6">
        <f t="shared" si="8"/>
        <v>121439.72868641975</v>
      </c>
    </row>
    <row r="47" spans="1:8" ht="15" thickBot="1" x14ac:dyDescent="0.4">
      <c r="A47" s="16">
        <v>36</v>
      </c>
      <c r="B47" s="26">
        <f t="shared" si="1"/>
        <v>2021</v>
      </c>
      <c r="C47" s="30">
        <f t="shared" si="5"/>
        <v>44535</v>
      </c>
      <c r="D47" s="5">
        <f t="shared" si="2"/>
        <v>369.18423165635136</v>
      </c>
      <c r="E47" s="5">
        <f t="shared" si="9"/>
        <v>192.27957042016459</v>
      </c>
      <c r="F47" s="5">
        <f t="shared" si="6"/>
        <v>268</v>
      </c>
      <c r="G47" s="5">
        <f t="shared" si="7"/>
        <v>829.463802076516</v>
      </c>
      <c r="H47" s="6">
        <f t="shared" si="8"/>
        <v>121070.5444547634</v>
      </c>
    </row>
    <row r="48" spans="1:8" ht="15" thickBot="1" x14ac:dyDescent="0.4">
      <c r="A48" s="16">
        <v>37</v>
      </c>
      <c r="B48" s="26">
        <f t="shared" si="1"/>
        <v>2022</v>
      </c>
      <c r="C48" s="30">
        <f t="shared" si="5"/>
        <v>44566</v>
      </c>
      <c r="D48" s="5">
        <f t="shared" si="2"/>
        <v>369.76877335647384</v>
      </c>
      <c r="E48" s="5">
        <f t="shared" si="9"/>
        <v>191.69502872004205</v>
      </c>
      <c r="F48" s="5">
        <f t="shared" si="6"/>
        <v>268</v>
      </c>
      <c r="G48" s="5">
        <f t="shared" si="7"/>
        <v>829.46380207651589</v>
      </c>
      <c r="H48" s="6">
        <f t="shared" si="8"/>
        <v>120700.77568140693</v>
      </c>
    </row>
    <row r="49" spans="1:8" ht="15" thickBot="1" x14ac:dyDescent="0.4">
      <c r="A49" s="16">
        <v>38</v>
      </c>
      <c r="B49" s="26">
        <f t="shared" si="1"/>
        <v>2022</v>
      </c>
      <c r="C49" s="30">
        <f t="shared" si="5"/>
        <v>44597</v>
      </c>
      <c r="D49" s="5">
        <f t="shared" si="2"/>
        <v>370.35424058095487</v>
      </c>
      <c r="E49" s="5">
        <f t="shared" si="9"/>
        <v>191.10956149556097</v>
      </c>
      <c r="F49" s="5">
        <f t="shared" si="6"/>
        <v>268</v>
      </c>
      <c r="G49" s="5">
        <f t="shared" si="7"/>
        <v>829.46380207651578</v>
      </c>
      <c r="H49" s="6">
        <f t="shared" si="8"/>
        <v>120330.42144082597</v>
      </c>
    </row>
    <row r="50" spans="1:8" ht="15" thickBot="1" x14ac:dyDescent="0.4">
      <c r="A50" s="16">
        <v>39</v>
      </c>
      <c r="B50" s="26">
        <f t="shared" si="1"/>
        <v>2022</v>
      </c>
      <c r="C50" s="30">
        <f t="shared" si="5"/>
        <v>44625</v>
      </c>
      <c r="D50" s="5">
        <f t="shared" si="2"/>
        <v>370.9406347952081</v>
      </c>
      <c r="E50" s="5">
        <f t="shared" si="9"/>
        <v>190.52316728130779</v>
      </c>
      <c r="F50" s="5">
        <f t="shared" si="6"/>
        <v>268</v>
      </c>
      <c r="G50" s="5">
        <f t="shared" si="7"/>
        <v>829.46380207651589</v>
      </c>
      <c r="H50" s="6">
        <f t="shared" si="8"/>
        <v>119959.48080603077</v>
      </c>
    </row>
    <row r="51" spans="1:8" ht="15" thickBot="1" x14ac:dyDescent="0.4">
      <c r="A51" s="16">
        <v>40</v>
      </c>
      <c r="B51" s="26">
        <f t="shared" si="1"/>
        <v>2022</v>
      </c>
      <c r="C51" s="30">
        <f t="shared" si="5"/>
        <v>44656</v>
      </c>
      <c r="D51" s="5">
        <f t="shared" si="2"/>
        <v>371.52795746696711</v>
      </c>
      <c r="E51" s="5">
        <f t="shared" si="9"/>
        <v>189.93584460954872</v>
      </c>
      <c r="F51" s="5">
        <f t="shared" si="6"/>
        <v>268</v>
      </c>
      <c r="G51" s="5">
        <f t="shared" si="7"/>
        <v>829.46380207651578</v>
      </c>
      <c r="H51" s="6">
        <f t="shared" si="8"/>
        <v>119587.9528485638</v>
      </c>
    </row>
    <row r="52" spans="1:8" ht="15" thickBot="1" x14ac:dyDescent="0.4">
      <c r="A52" s="16">
        <v>41</v>
      </c>
      <c r="B52" s="26">
        <f t="shared" si="1"/>
        <v>2022</v>
      </c>
      <c r="C52" s="30">
        <f t="shared" si="5"/>
        <v>44686</v>
      </c>
      <c r="D52" s="5">
        <f t="shared" si="2"/>
        <v>372.11621006628991</v>
      </c>
      <c r="E52" s="5">
        <f t="shared" si="9"/>
        <v>189.34759201022601</v>
      </c>
      <c r="F52" s="5">
        <f t="shared" si="6"/>
        <v>268</v>
      </c>
      <c r="G52" s="5">
        <f t="shared" si="7"/>
        <v>829.46380207651589</v>
      </c>
      <c r="H52" s="6">
        <f t="shared" si="8"/>
        <v>119215.83663849751</v>
      </c>
    </row>
    <row r="53" spans="1:8" ht="15" thickBot="1" x14ac:dyDescent="0.4">
      <c r="A53" s="16">
        <v>42</v>
      </c>
      <c r="B53" s="26">
        <f t="shared" si="1"/>
        <v>2022</v>
      </c>
      <c r="C53" s="30">
        <f t="shared" si="5"/>
        <v>44717</v>
      </c>
      <c r="D53" s="5">
        <f t="shared" si="2"/>
        <v>372.70539406556145</v>
      </c>
      <c r="E53" s="5">
        <f t="shared" si="9"/>
        <v>188.75840801095438</v>
      </c>
      <c r="F53" s="5">
        <f t="shared" si="6"/>
        <v>268</v>
      </c>
      <c r="G53" s="5">
        <f t="shared" si="7"/>
        <v>829.46380207651578</v>
      </c>
      <c r="H53" s="6">
        <f t="shared" si="8"/>
        <v>118843.13124443195</v>
      </c>
    </row>
    <row r="54" spans="1:8" ht="15" thickBot="1" x14ac:dyDescent="0.4">
      <c r="A54" s="16">
        <v>43</v>
      </c>
      <c r="B54" s="26">
        <f t="shared" si="1"/>
        <v>2022</v>
      </c>
      <c r="C54" s="30">
        <f t="shared" si="5"/>
        <v>44747</v>
      </c>
      <c r="D54" s="5">
        <f t="shared" si="2"/>
        <v>373.29551093949863</v>
      </c>
      <c r="E54" s="5">
        <f t="shared" si="9"/>
        <v>188.16829113701723</v>
      </c>
      <c r="F54" s="5">
        <f t="shared" si="6"/>
        <v>268</v>
      </c>
      <c r="G54" s="5">
        <f t="shared" si="7"/>
        <v>829.46380207651589</v>
      </c>
      <c r="H54" s="6">
        <f t="shared" si="8"/>
        <v>118469.83573349245</v>
      </c>
    </row>
    <row r="55" spans="1:8" ht="15" thickBot="1" x14ac:dyDescent="0.4">
      <c r="A55" s="16">
        <v>44</v>
      </c>
      <c r="B55" s="26">
        <f t="shared" si="1"/>
        <v>2022</v>
      </c>
      <c r="C55" s="30">
        <f t="shared" si="5"/>
        <v>44778</v>
      </c>
      <c r="D55" s="5">
        <f t="shared" si="2"/>
        <v>373.88656216515278</v>
      </c>
      <c r="E55" s="5">
        <f t="shared" si="9"/>
        <v>187.57723991136305</v>
      </c>
      <c r="F55" s="5">
        <f t="shared" si="6"/>
        <v>268</v>
      </c>
      <c r="G55" s="5">
        <f t="shared" si="7"/>
        <v>829.46380207651578</v>
      </c>
      <c r="H55" s="6">
        <f t="shared" si="8"/>
        <v>118095.9491713273</v>
      </c>
    </row>
    <row r="56" spans="1:8" ht="15" thickBot="1" x14ac:dyDescent="0.4">
      <c r="A56" s="16">
        <v>45</v>
      </c>
      <c r="B56" s="26">
        <f t="shared" si="1"/>
        <v>2022</v>
      </c>
      <c r="C56" s="30">
        <f t="shared" si="5"/>
        <v>44809</v>
      </c>
      <c r="D56" s="5">
        <f t="shared" si="2"/>
        <v>374.47854922191436</v>
      </c>
      <c r="E56" s="5">
        <f t="shared" si="9"/>
        <v>186.98525285460155</v>
      </c>
      <c r="F56" s="5">
        <f t="shared" si="6"/>
        <v>268</v>
      </c>
      <c r="G56" s="5">
        <f t="shared" si="7"/>
        <v>829.46380207651589</v>
      </c>
      <c r="H56" s="6">
        <f t="shared" si="8"/>
        <v>117721.47062210539</v>
      </c>
    </row>
    <row r="57" spans="1:8" ht="15" thickBot="1" x14ac:dyDescent="0.4">
      <c r="A57" s="16">
        <v>46</v>
      </c>
      <c r="B57" s="26">
        <f t="shared" si="1"/>
        <v>2022</v>
      </c>
      <c r="C57" s="30">
        <f t="shared" si="5"/>
        <v>44839</v>
      </c>
      <c r="D57" s="5">
        <f t="shared" si="2"/>
        <v>375.07147359151566</v>
      </c>
      <c r="E57" s="5">
        <f t="shared" si="9"/>
        <v>186.39232848500021</v>
      </c>
      <c r="F57" s="5">
        <f t="shared" si="6"/>
        <v>268</v>
      </c>
      <c r="G57" s="5">
        <f t="shared" si="7"/>
        <v>829.46380207651589</v>
      </c>
      <c r="H57" s="6">
        <f t="shared" si="8"/>
        <v>117346.39914851388</v>
      </c>
    </row>
    <row r="58" spans="1:8" ht="15" thickBot="1" x14ac:dyDescent="0.4">
      <c r="A58" s="16">
        <v>47</v>
      </c>
      <c r="B58" s="26">
        <f t="shared" si="1"/>
        <v>2022</v>
      </c>
      <c r="C58" s="30">
        <f t="shared" si="5"/>
        <v>44870</v>
      </c>
      <c r="D58" s="5">
        <f t="shared" si="2"/>
        <v>375.66533675803555</v>
      </c>
      <c r="E58" s="5">
        <f t="shared" si="9"/>
        <v>185.79846531848031</v>
      </c>
      <c r="F58" s="5">
        <f t="shared" si="6"/>
        <v>268</v>
      </c>
      <c r="G58" s="5">
        <f t="shared" si="7"/>
        <v>829.46380207651589</v>
      </c>
      <c r="H58" s="6">
        <f t="shared" si="8"/>
        <v>116970.73381175585</v>
      </c>
    </row>
    <row r="59" spans="1:8" ht="15" thickBot="1" x14ac:dyDescent="0.4">
      <c r="A59" s="16">
        <v>48</v>
      </c>
      <c r="B59" s="26">
        <f t="shared" si="1"/>
        <v>2022</v>
      </c>
      <c r="C59" s="30">
        <f t="shared" si="5"/>
        <v>44900</v>
      </c>
      <c r="D59" s="5">
        <f t="shared" si="2"/>
        <v>376.2601402079024</v>
      </c>
      <c r="E59" s="5">
        <f t="shared" si="9"/>
        <v>185.20366186861344</v>
      </c>
      <c r="F59" s="5">
        <f t="shared" si="6"/>
        <v>268</v>
      </c>
      <c r="G59" s="5">
        <f t="shared" si="7"/>
        <v>829.46380207651578</v>
      </c>
      <c r="H59" s="6">
        <f t="shared" si="8"/>
        <v>116594.47367154795</v>
      </c>
    </row>
    <row r="60" spans="1:8" ht="15" thickBot="1" x14ac:dyDescent="0.4">
      <c r="A60" s="16">
        <v>49</v>
      </c>
      <c r="B60" s="26">
        <f t="shared" si="1"/>
        <v>2023</v>
      </c>
      <c r="C60" s="30">
        <f t="shared" si="5"/>
        <v>44931</v>
      </c>
      <c r="D60" s="5">
        <f t="shared" si="2"/>
        <v>376.85588542989831</v>
      </c>
      <c r="E60" s="5">
        <f t="shared" si="9"/>
        <v>184.60791664661758</v>
      </c>
      <c r="F60" s="5">
        <f t="shared" si="6"/>
        <v>268</v>
      </c>
      <c r="G60" s="5">
        <f t="shared" ref="G60:G73" si="10">D60+E60+F60</f>
        <v>829.46380207651589</v>
      </c>
      <c r="H60" s="6">
        <f t="shared" ref="H60:H73" si="11">H59-D60</f>
        <v>116217.61778611805</v>
      </c>
    </row>
    <row r="61" spans="1:8" ht="15" thickBot="1" x14ac:dyDescent="0.4">
      <c r="A61" s="16">
        <v>50</v>
      </c>
      <c r="B61" s="26">
        <f t="shared" si="1"/>
        <v>2023</v>
      </c>
      <c r="C61" s="30">
        <f t="shared" si="5"/>
        <v>44962</v>
      </c>
      <c r="D61" s="5">
        <f t="shared" si="2"/>
        <v>377.45257391516236</v>
      </c>
      <c r="E61" s="5">
        <f t="shared" si="9"/>
        <v>184.01122816135356</v>
      </c>
      <c r="F61" s="5">
        <f t="shared" si="6"/>
        <v>268</v>
      </c>
      <c r="G61" s="5">
        <f t="shared" si="10"/>
        <v>829.46380207651589</v>
      </c>
      <c r="H61" s="6">
        <f t="shared" si="11"/>
        <v>115840.16521220289</v>
      </c>
    </row>
    <row r="62" spans="1:8" ht="15" thickBot="1" x14ac:dyDescent="0.4">
      <c r="A62" s="16">
        <v>51</v>
      </c>
      <c r="B62" s="26">
        <f t="shared" si="1"/>
        <v>2023</v>
      </c>
      <c r="C62" s="30">
        <f t="shared" si="5"/>
        <v>44990</v>
      </c>
      <c r="D62" s="5">
        <f t="shared" si="2"/>
        <v>378.05020715719468</v>
      </c>
      <c r="E62" s="5">
        <f t="shared" si="9"/>
        <v>183.41359491932124</v>
      </c>
      <c r="F62" s="5">
        <f t="shared" si="6"/>
        <v>268</v>
      </c>
      <c r="G62" s="5">
        <f t="shared" si="10"/>
        <v>829.46380207651589</v>
      </c>
      <c r="H62" s="6">
        <f t="shared" si="11"/>
        <v>115462.11500504569</v>
      </c>
    </row>
    <row r="63" spans="1:8" ht="15" thickBot="1" x14ac:dyDescent="0.4">
      <c r="A63" s="16">
        <v>52</v>
      </c>
      <c r="B63" s="26">
        <f t="shared" si="1"/>
        <v>2023</v>
      </c>
      <c r="C63" s="30">
        <f t="shared" si="5"/>
        <v>45021</v>
      </c>
      <c r="D63" s="5">
        <f t="shared" si="2"/>
        <v>378.64878665186018</v>
      </c>
      <c r="E63" s="5">
        <f t="shared" si="9"/>
        <v>182.81501542465568</v>
      </c>
      <c r="F63" s="5">
        <f t="shared" si="6"/>
        <v>268</v>
      </c>
      <c r="G63" s="5">
        <f t="shared" si="10"/>
        <v>829.46380207651589</v>
      </c>
      <c r="H63" s="6">
        <f t="shared" si="11"/>
        <v>115083.46621839383</v>
      </c>
    </row>
    <row r="64" spans="1:8" ht="15" thickBot="1" x14ac:dyDescent="0.4">
      <c r="A64" s="16">
        <v>53</v>
      </c>
      <c r="B64" s="26">
        <f t="shared" si="1"/>
        <v>2023</v>
      </c>
      <c r="C64" s="30">
        <f t="shared" si="5"/>
        <v>45051</v>
      </c>
      <c r="D64" s="5">
        <f t="shared" si="2"/>
        <v>379.24831389739234</v>
      </c>
      <c r="E64" s="5">
        <f t="shared" si="9"/>
        <v>182.21548817912355</v>
      </c>
      <c r="F64" s="5">
        <f t="shared" si="6"/>
        <v>268</v>
      </c>
      <c r="G64" s="5">
        <f t="shared" si="10"/>
        <v>829.46380207651589</v>
      </c>
      <c r="H64" s="6">
        <f t="shared" si="11"/>
        <v>114704.21790449644</v>
      </c>
    </row>
    <row r="65" spans="1:8" ht="15" thickBot="1" x14ac:dyDescent="0.4">
      <c r="A65" s="16">
        <v>54</v>
      </c>
      <c r="B65" s="26">
        <f t="shared" si="1"/>
        <v>2023</v>
      </c>
      <c r="C65" s="30">
        <f t="shared" si="5"/>
        <v>45082</v>
      </c>
      <c r="D65" s="5">
        <f t="shared" si="2"/>
        <v>379.84879039439647</v>
      </c>
      <c r="E65" s="5">
        <f t="shared" si="9"/>
        <v>181.61501168211936</v>
      </c>
      <c r="F65" s="5">
        <f t="shared" si="6"/>
        <v>268</v>
      </c>
      <c r="G65" s="5">
        <f t="shared" si="10"/>
        <v>829.46380207651578</v>
      </c>
      <c r="H65" s="6">
        <f t="shared" si="11"/>
        <v>114324.36911410205</v>
      </c>
    </row>
    <row r="66" spans="1:8" ht="15" thickBot="1" x14ac:dyDescent="0.4">
      <c r="A66" s="16">
        <v>55</v>
      </c>
      <c r="B66" s="26">
        <f t="shared" si="1"/>
        <v>2023</v>
      </c>
      <c r="C66" s="30">
        <f t="shared" si="5"/>
        <v>45112</v>
      </c>
      <c r="D66" s="5">
        <f t="shared" si="2"/>
        <v>380.45021764585431</v>
      </c>
      <c r="E66" s="5">
        <f t="shared" si="9"/>
        <v>181.01358443066158</v>
      </c>
      <c r="F66" s="5">
        <f t="shared" si="6"/>
        <v>268</v>
      </c>
      <c r="G66" s="5">
        <f t="shared" si="10"/>
        <v>829.46380207651589</v>
      </c>
      <c r="H66" s="6">
        <f t="shared" si="11"/>
        <v>113943.91889645621</v>
      </c>
    </row>
    <row r="67" spans="1:8" ht="15" thickBot="1" x14ac:dyDescent="0.4">
      <c r="A67" s="16">
        <v>56</v>
      </c>
      <c r="B67" s="26">
        <f t="shared" si="1"/>
        <v>2023</v>
      </c>
      <c r="C67" s="30">
        <f t="shared" si="5"/>
        <v>45143</v>
      </c>
      <c r="D67" s="5">
        <f t="shared" si="2"/>
        <v>381.05259715712691</v>
      </c>
      <c r="E67" s="5">
        <f t="shared" si="9"/>
        <v>180.41120491938898</v>
      </c>
      <c r="F67" s="5">
        <f t="shared" si="6"/>
        <v>268</v>
      </c>
      <c r="G67" s="5">
        <f t="shared" si="10"/>
        <v>829.46380207651589</v>
      </c>
      <c r="H67" s="6">
        <f t="shared" si="11"/>
        <v>113562.86629929907</v>
      </c>
    </row>
    <row r="68" spans="1:8" ht="15" thickBot="1" x14ac:dyDescent="0.4">
      <c r="A68" s="16">
        <v>57</v>
      </c>
      <c r="B68" s="26">
        <f t="shared" si="1"/>
        <v>2023</v>
      </c>
      <c r="C68" s="30">
        <f t="shared" si="5"/>
        <v>45174</v>
      </c>
      <c r="D68" s="5">
        <f t="shared" si="2"/>
        <v>381.65593043595902</v>
      </c>
      <c r="E68" s="5">
        <f t="shared" si="9"/>
        <v>179.80787164055687</v>
      </c>
      <c r="F68" s="5">
        <f t="shared" si="6"/>
        <v>268</v>
      </c>
      <c r="G68" s="5">
        <f t="shared" si="10"/>
        <v>829.46380207651589</v>
      </c>
      <c r="H68" s="6">
        <f t="shared" si="11"/>
        <v>113181.21036886312</v>
      </c>
    </row>
    <row r="69" spans="1:8" ht="15" thickBot="1" x14ac:dyDescent="0.4">
      <c r="A69" s="16">
        <v>58</v>
      </c>
      <c r="B69" s="26">
        <f t="shared" si="1"/>
        <v>2023</v>
      </c>
      <c r="C69" s="30">
        <f t="shared" si="5"/>
        <v>45204</v>
      </c>
      <c r="D69" s="5">
        <f t="shared" si="2"/>
        <v>382.26021899248258</v>
      </c>
      <c r="E69" s="5">
        <f t="shared" si="9"/>
        <v>179.20358308403326</v>
      </c>
      <c r="F69" s="5">
        <f t="shared" si="6"/>
        <v>268</v>
      </c>
      <c r="G69" s="5">
        <f t="shared" si="10"/>
        <v>829.46380207651578</v>
      </c>
      <c r="H69" s="6">
        <f t="shared" si="11"/>
        <v>112798.95014987064</v>
      </c>
    </row>
    <row r="70" spans="1:8" ht="15" thickBot="1" x14ac:dyDescent="0.4">
      <c r="A70" s="16">
        <v>59</v>
      </c>
      <c r="B70" s="26">
        <f t="shared" si="1"/>
        <v>2023</v>
      </c>
      <c r="C70" s="30">
        <f t="shared" si="5"/>
        <v>45235</v>
      </c>
      <c r="D70" s="5">
        <f t="shared" si="2"/>
        <v>382.86546433922069</v>
      </c>
      <c r="E70" s="5">
        <f t="shared" si="9"/>
        <v>178.59833773729517</v>
      </c>
      <c r="F70" s="5">
        <f t="shared" si="6"/>
        <v>268</v>
      </c>
      <c r="G70" s="5">
        <f t="shared" si="10"/>
        <v>829.46380207651589</v>
      </c>
      <c r="H70" s="6">
        <f t="shared" si="11"/>
        <v>112416.08468553142</v>
      </c>
    </row>
    <row r="71" spans="1:8" ht="15" thickBot="1" x14ac:dyDescent="0.4">
      <c r="A71" s="16">
        <v>60</v>
      </c>
      <c r="B71" s="26">
        <f t="shared" si="1"/>
        <v>2023</v>
      </c>
      <c r="C71" s="30">
        <f t="shared" si="5"/>
        <v>45265</v>
      </c>
      <c r="D71" s="5">
        <f t="shared" si="2"/>
        <v>383.47166799109118</v>
      </c>
      <c r="E71" s="5">
        <f t="shared" si="9"/>
        <v>177.99213408542474</v>
      </c>
      <c r="F71" s="5">
        <f t="shared" si="6"/>
        <v>268</v>
      </c>
      <c r="G71" s="5">
        <f t="shared" si="10"/>
        <v>829.46380207651589</v>
      </c>
      <c r="H71" s="6">
        <f t="shared" si="11"/>
        <v>112032.61301754032</v>
      </c>
    </row>
    <row r="72" spans="1:8" ht="15" thickBot="1" x14ac:dyDescent="0.4">
      <c r="A72" s="16">
        <v>61</v>
      </c>
      <c r="B72" s="26">
        <f t="shared" si="1"/>
        <v>2024</v>
      </c>
      <c r="C72" s="30">
        <f t="shared" si="5"/>
        <v>45296</v>
      </c>
      <c r="D72" s="5">
        <f t="shared" si="2"/>
        <v>384.07883146541042</v>
      </c>
      <c r="E72" s="5">
        <f t="shared" si="9"/>
        <v>177.3849706111055</v>
      </c>
      <c r="F72" s="5">
        <f t="shared" si="6"/>
        <v>268</v>
      </c>
      <c r="G72" s="5">
        <f t="shared" si="10"/>
        <v>829.46380207651589</v>
      </c>
      <c r="H72" s="6">
        <f t="shared" si="11"/>
        <v>111648.53418607492</v>
      </c>
    </row>
    <row r="73" spans="1:8" ht="15" thickBot="1" x14ac:dyDescent="0.4">
      <c r="A73" s="16">
        <v>62</v>
      </c>
      <c r="B73" s="26">
        <f t="shared" si="1"/>
        <v>2024</v>
      </c>
      <c r="C73" s="30">
        <f t="shared" si="5"/>
        <v>45327</v>
      </c>
      <c r="D73" s="5">
        <f t="shared" si="2"/>
        <v>384.68695628189721</v>
      </c>
      <c r="E73" s="5">
        <f t="shared" si="9"/>
        <v>176.77684579461862</v>
      </c>
      <c r="F73" s="5">
        <f t="shared" si="6"/>
        <v>268</v>
      </c>
      <c r="G73" s="5">
        <f t="shared" si="10"/>
        <v>829.46380207651578</v>
      </c>
      <c r="H73" s="6">
        <f t="shared" si="11"/>
        <v>111263.84722979303</v>
      </c>
    </row>
    <row r="74" spans="1:8" ht="15" thickBot="1" x14ac:dyDescent="0.4">
      <c r="A74" s="16">
        <v>63</v>
      </c>
      <c r="B74" s="26">
        <f t="shared" si="1"/>
        <v>2024</v>
      </c>
      <c r="C74" s="30">
        <f t="shared" si="5"/>
        <v>45356</v>
      </c>
      <c r="D74" s="5">
        <f t="shared" si="2"/>
        <v>385.296043962677</v>
      </c>
      <c r="E74" s="5">
        <f t="shared" si="9"/>
        <v>176.16775811383894</v>
      </c>
      <c r="F74" s="5">
        <f t="shared" si="6"/>
        <v>268</v>
      </c>
      <c r="G74" s="5">
        <f t="shared" ref="G74:G77" si="12">D74+E74+F74</f>
        <v>829.463802076516</v>
      </c>
      <c r="H74" s="6">
        <f t="shared" ref="H74:H77" si="13">H73-D74</f>
        <v>110878.55118583035</v>
      </c>
    </row>
    <row r="75" spans="1:8" ht="15" thickBot="1" x14ac:dyDescent="0.4">
      <c r="A75" s="16">
        <v>64</v>
      </c>
      <c r="B75" s="26">
        <f t="shared" si="1"/>
        <v>2024</v>
      </c>
      <c r="C75" s="30">
        <f t="shared" si="5"/>
        <v>45387</v>
      </c>
      <c r="D75" s="5">
        <f t="shared" si="2"/>
        <v>385.90609603228449</v>
      </c>
      <c r="E75" s="5">
        <f t="shared" si="9"/>
        <v>175.5577060442314</v>
      </c>
      <c r="F75" s="5">
        <f t="shared" si="6"/>
        <v>268</v>
      </c>
      <c r="G75" s="5">
        <f t="shared" si="12"/>
        <v>829.46380207651589</v>
      </c>
      <c r="H75" s="6">
        <f t="shared" si="13"/>
        <v>110492.64508979807</v>
      </c>
    </row>
    <row r="76" spans="1:8" ht="15" thickBot="1" x14ac:dyDescent="0.4">
      <c r="A76" s="16">
        <v>65</v>
      </c>
      <c r="B76" s="26">
        <f t="shared" si="1"/>
        <v>2024</v>
      </c>
      <c r="C76" s="30">
        <f t="shared" si="5"/>
        <v>45417</v>
      </c>
      <c r="D76" s="5">
        <f t="shared" si="2"/>
        <v>386.51711401766897</v>
      </c>
      <c r="E76" s="5">
        <f t="shared" ref="E76:E107" si="14">$E$3*H75</f>
        <v>174.94668805884695</v>
      </c>
      <c r="F76" s="5">
        <f t="shared" si="6"/>
        <v>268</v>
      </c>
      <c r="G76" s="5">
        <f t="shared" si="12"/>
        <v>829.46380207651589</v>
      </c>
      <c r="H76" s="6">
        <f t="shared" si="13"/>
        <v>110106.1279757804</v>
      </c>
    </row>
    <row r="77" spans="1:8" ht="14.25" customHeight="1" thickBot="1" x14ac:dyDescent="0.4">
      <c r="A77" s="16">
        <v>66</v>
      </c>
      <c r="B77" s="26">
        <f t="shared" ref="B77:B140" si="15">YEAR(C77)</f>
        <v>2024</v>
      </c>
      <c r="C77" s="30">
        <f t="shared" si="5"/>
        <v>45448</v>
      </c>
      <c r="D77" s="5">
        <f t="shared" ref="D77:D140" si="16">IF(H76&gt;$E$5,$E$5-E77-F77,H76)</f>
        <v>387.12909944819694</v>
      </c>
      <c r="E77" s="5">
        <f t="shared" si="14"/>
        <v>174.33470262831895</v>
      </c>
      <c r="F77" s="5">
        <f t="shared" si="6"/>
        <v>268</v>
      </c>
      <c r="G77" s="5">
        <f t="shared" si="12"/>
        <v>829.46380207651589</v>
      </c>
      <c r="H77" s="6">
        <f t="shared" si="13"/>
        <v>109718.9988763322</v>
      </c>
    </row>
    <row r="78" spans="1:8" ht="15" thickBot="1" x14ac:dyDescent="0.4">
      <c r="A78" s="16">
        <v>67</v>
      </c>
      <c r="B78" s="26">
        <f t="shared" si="15"/>
        <v>2024</v>
      </c>
      <c r="C78" s="30">
        <f t="shared" ref="C78:C141" si="17">EDATE(C77,1)</f>
        <v>45478</v>
      </c>
      <c r="D78" s="5">
        <f t="shared" si="16"/>
        <v>387.74205385565654</v>
      </c>
      <c r="E78" s="5">
        <f t="shared" si="14"/>
        <v>173.72174822085933</v>
      </c>
      <c r="F78" s="5">
        <f t="shared" ref="F78:F141" si="18">IF(H77=0,0,$E$1*$E$4/12)</f>
        <v>268</v>
      </c>
      <c r="G78" s="5">
        <f t="shared" ref="G78:G141" si="19">D78+E78+F78</f>
        <v>829.46380207651589</v>
      </c>
      <c r="H78" s="6">
        <f t="shared" ref="H78:H141" si="20">H77-D78</f>
        <v>109331.25682247654</v>
      </c>
    </row>
    <row r="79" spans="1:8" ht="15" thickBot="1" x14ac:dyDescent="0.4">
      <c r="A79" s="16">
        <v>68</v>
      </c>
      <c r="B79" s="26">
        <f t="shared" si="15"/>
        <v>2024</v>
      </c>
      <c r="C79" s="30">
        <f t="shared" si="17"/>
        <v>45509</v>
      </c>
      <c r="D79" s="5">
        <f t="shared" si="16"/>
        <v>388.3559787742613</v>
      </c>
      <c r="E79" s="5">
        <f t="shared" si="14"/>
        <v>173.10782330225453</v>
      </c>
      <c r="F79" s="5">
        <f t="shared" si="18"/>
        <v>268</v>
      </c>
      <c r="G79" s="5">
        <f t="shared" si="19"/>
        <v>829.46380207651578</v>
      </c>
      <c r="H79" s="6">
        <f t="shared" si="20"/>
        <v>108942.90084370229</v>
      </c>
    </row>
    <row r="80" spans="1:8" ht="15" thickBot="1" x14ac:dyDescent="0.4">
      <c r="A80" s="16">
        <v>69</v>
      </c>
      <c r="B80" s="26">
        <f t="shared" si="15"/>
        <v>2024</v>
      </c>
      <c r="C80" s="30">
        <f t="shared" si="17"/>
        <v>45540</v>
      </c>
      <c r="D80" s="5">
        <f t="shared" si="16"/>
        <v>388.97087574065392</v>
      </c>
      <c r="E80" s="5">
        <f t="shared" si="14"/>
        <v>172.49292633586194</v>
      </c>
      <c r="F80" s="5">
        <f t="shared" si="18"/>
        <v>268</v>
      </c>
      <c r="G80" s="5">
        <f t="shared" si="19"/>
        <v>829.46380207651589</v>
      </c>
      <c r="H80" s="6">
        <f t="shared" si="20"/>
        <v>108553.92996796164</v>
      </c>
    </row>
    <row r="81" spans="1:8" ht="15" thickBot="1" x14ac:dyDescent="0.4">
      <c r="A81" s="16">
        <v>70</v>
      </c>
      <c r="B81" s="26">
        <f t="shared" si="15"/>
        <v>2024</v>
      </c>
      <c r="C81" s="30">
        <f t="shared" si="17"/>
        <v>45570</v>
      </c>
      <c r="D81" s="5">
        <f t="shared" si="16"/>
        <v>389.58674629390998</v>
      </c>
      <c r="E81" s="5">
        <f t="shared" si="14"/>
        <v>171.87705578260594</v>
      </c>
      <c r="F81" s="5">
        <f t="shared" si="18"/>
        <v>268</v>
      </c>
      <c r="G81" s="5">
        <f t="shared" si="19"/>
        <v>829.46380207651589</v>
      </c>
      <c r="H81" s="6">
        <f t="shared" si="20"/>
        <v>108164.34322166773</v>
      </c>
    </row>
    <row r="82" spans="1:8" ht="15" thickBot="1" x14ac:dyDescent="0.4">
      <c r="A82" s="16">
        <v>71</v>
      </c>
      <c r="B82" s="26">
        <f t="shared" si="15"/>
        <v>2024</v>
      </c>
      <c r="C82" s="30">
        <f t="shared" si="17"/>
        <v>45601</v>
      </c>
      <c r="D82" s="5">
        <f t="shared" si="16"/>
        <v>390.20359197554194</v>
      </c>
      <c r="E82" s="5">
        <f t="shared" si="14"/>
        <v>171.26021010097389</v>
      </c>
      <c r="F82" s="5">
        <f t="shared" si="18"/>
        <v>268</v>
      </c>
      <c r="G82" s="5">
        <f t="shared" si="19"/>
        <v>829.46380207651578</v>
      </c>
      <c r="H82" s="6">
        <f t="shared" si="20"/>
        <v>107774.13962969219</v>
      </c>
    </row>
    <row r="83" spans="1:8" ht="15" thickBot="1" x14ac:dyDescent="0.4">
      <c r="A83" s="16">
        <v>72</v>
      </c>
      <c r="B83" s="26">
        <f t="shared" si="15"/>
        <v>2024</v>
      </c>
      <c r="C83" s="30">
        <f t="shared" si="17"/>
        <v>45631</v>
      </c>
      <c r="D83" s="5">
        <f t="shared" si="16"/>
        <v>390.82141432950323</v>
      </c>
      <c r="E83" s="5">
        <f t="shared" si="14"/>
        <v>170.64238774701263</v>
      </c>
      <c r="F83" s="5">
        <f t="shared" si="18"/>
        <v>268</v>
      </c>
      <c r="G83" s="5">
        <f t="shared" si="19"/>
        <v>829.46380207651589</v>
      </c>
      <c r="H83" s="6">
        <f t="shared" si="20"/>
        <v>107383.31821536268</v>
      </c>
    </row>
    <row r="84" spans="1:8" ht="15" thickBot="1" x14ac:dyDescent="0.4">
      <c r="A84" s="16">
        <v>73</v>
      </c>
      <c r="B84" s="26">
        <f t="shared" si="15"/>
        <v>2025</v>
      </c>
      <c r="C84" s="30">
        <f t="shared" si="17"/>
        <v>45662</v>
      </c>
      <c r="D84" s="5">
        <f t="shared" si="16"/>
        <v>391.44021490219166</v>
      </c>
      <c r="E84" s="5">
        <f t="shared" si="14"/>
        <v>170.02358717432423</v>
      </c>
      <c r="F84" s="5">
        <f t="shared" si="18"/>
        <v>268</v>
      </c>
      <c r="G84" s="5">
        <f t="shared" si="19"/>
        <v>829.46380207651589</v>
      </c>
      <c r="H84" s="6">
        <f t="shared" si="20"/>
        <v>106991.87800046049</v>
      </c>
    </row>
    <row r="85" spans="1:8" ht="15" thickBot="1" x14ac:dyDescent="0.4">
      <c r="A85" s="16">
        <v>74</v>
      </c>
      <c r="B85" s="26">
        <f t="shared" si="15"/>
        <v>2025</v>
      </c>
      <c r="C85" s="30">
        <f t="shared" si="17"/>
        <v>45693</v>
      </c>
      <c r="D85" s="5">
        <f t="shared" si="16"/>
        <v>392.0599952424534</v>
      </c>
      <c r="E85" s="5">
        <f t="shared" si="14"/>
        <v>169.40380683406244</v>
      </c>
      <c r="F85" s="5">
        <f t="shared" si="18"/>
        <v>268</v>
      </c>
      <c r="G85" s="5">
        <f t="shared" si="19"/>
        <v>829.46380207651578</v>
      </c>
      <c r="H85" s="6">
        <f t="shared" si="20"/>
        <v>106599.81800521804</v>
      </c>
    </row>
    <row r="86" spans="1:8" ht="15" thickBot="1" x14ac:dyDescent="0.4">
      <c r="A86" s="16">
        <v>75</v>
      </c>
      <c r="B86" s="26">
        <f t="shared" si="15"/>
        <v>2025</v>
      </c>
      <c r="C86" s="30">
        <f t="shared" si="17"/>
        <v>45721</v>
      </c>
      <c r="D86" s="5">
        <f t="shared" si="16"/>
        <v>392.6807569015873</v>
      </c>
      <c r="E86" s="5">
        <f t="shared" si="14"/>
        <v>168.78304517492856</v>
      </c>
      <c r="F86" s="5">
        <f t="shared" si="18"/>
        <v>268</v>
      </c>
      <c r="G86" s="5">
        <f t="shared" si="19"/>
        <v>829.46380207651589</v>
      </c>
      <c r="H86" s="6">
        <f t="shared" si="20"/>
        <v>106207.13724831646</v>
      </c>
    </row>
    <row r="87" spans="1:8" ht="15" thickBot="1" x14ac:dyDescent="0.4">
      <c r="A87" s="16">
        <v>76</v>
      </c>
      <c r="B87" s="26">
        <f t="shared" si="15"/>
        <v>2025</v>
      </c>
      <c r="C87" s="30">
        <f t="shared" si="17"/>
        <v>45752</v>
      </c>
      <c r="D87" s="5">
        <f t="shared" si="16"/>
        <v>393.3025014333482</v>
      </c>
      <c r="E87" s="5">
        <f t="shared" si="14"/>
        <v>168.16130064316772</v>
      </c>
      <c r="F87" s="5">
        <f t="shared" si="18"/>
        <v>268</v>
      </c>
      <c r="G87" s="5">
        <f t="shared" si="19"/>
        <v>829.46380207651589</v>
      </c>
      <c r="H87" s="6">
        <f t="shared" si="20"/>
        <v>105813.83474688311</v>
      </c>
    </row>
    <row r="88" spans="1:8" ht="15" thickBot="1" x14ac:dyDescent="0.4">
      <c r="A88" s="16">
        <v>77</v>
      </c>
      <c r="B88" s="26">
        <f t="shared" si="15"/>
        <v>2025</v>
      </c>
      <c r="C88" s="30">
        <f t="shared" si="17"/>
        <v>45782</v>
      </c>
      <c r="D88" s="5">
        <f t="shared" si="16"/>
        <v>393.92523039395098</v>
      </c>
      <c r="E88" s="5">
        <f t="shared" si="14"/>
        <v>167.53857168256491</v>
      </c>
      <c r="F88" s="5">
        <f t="shared" si="18"/>
        <v>268</v>
      </c>
      <c r="G88" s="5">
        <f t="shared" si="19"/>
        <v>829.46380207651589</v>
      </c>
      <c r="H88" s="6">
        <f t="shared" si="20"/>
        <v>105419.90951648915</v>
      </c>
    </row>
    <row r="89" spans="1:8" ht="15" thickBot="1" x14ac:dyDescent="0.4">
      <c r="A89" s="16">
        <v>78</v>
      </c>
      <c r="B89" s="26">
        <f t="shared" si="15"/>
        <v>2025</v>
      </c>
      <c r="C89" s="30">
        <f t="shared" si="17"/>
        <v>45813</v>
      </c>
      <c r="D89" s="5">
        <f t="shared" si="16"/>
        <v>394.54894534207472</v>
      </c>
      <c r="E89" s="5">
        <f t="shared" si="14"/>
        <v>166.91485673444114</v>
      </c>
      <c r="F89" s="5">
        <f t="shared" si="18"/>
        <v>268</v>
      </c>
      <c r="G89" s="5">
        <f t="shared" si="19"/>
        <v>829.46380207651589</v>
      </c>
      <c r="H89" s="6">
        <f t="shared" si="20"/>
        <v>105025.36057114707</v>
      </c>
    </row>
    <row r="90" spans="1:8" ht="15" thickBot="1" x14ac:dyDescent="0.4">
      <c r="A90" s="16">
        <v>79</v>
      </c>
      <c r="B90" s="26">
        <f t="shared" si="15"/>
        <v>2025</v>
      </c>
      <c r="C90" s="30">
        <f t="shared" si="17"/>
        <v>45843</v>
      </c>
      <c r="D90" s="5">
        <f t="shared" si="16"/>
        <v>395.17364783886637</v>
      </c>
      <c r="E90" s="5">
        <f t="shared" si="14"/>
        <v>166.29015423764952</v>
      </c>
      <c r="F90" s="5">
        <f t="shared" si="18"/>
        <v>268</v>
      </c>
      <c r="G90" s="5">
        <f t="shared" si="19"/>
        <v>829.46380207651589</v>
      </c>
      <c r="H90" s="6">
        <f t="shared" si="20"/>
        <v>104630.18692330821</v>
      </c>
    </row>
    <row r="91" spans="1:8" ht="15" thickBot="1" x14ac:dyDescent="0.4">
      <c r="A91" s="16">
        <v>80</v>
      </c>
      <c r="B91" s="26">
        <f t="shared" si="15"/>
        <v>2025</v>
      </c>
      <c r="C91" s="30">
        <f t="shared" si="17"/>
        <v>45874</v>
      </c>
      <c r="D91" s="5">
        <f t="shared" si="16"/>
        <v>395.79933944794459</v>
      </c>
      <c r="E91" s="5">
        <f t="shared" si="14"/>
        <v>165.66446262857133</v>
      </c>
      <c r="F91" s="5">
        <f t="shared" si="18"/>
        <v>268</v>
      </c>
      <c r="G91" s="5">
        <f t="shared" si="19"/>
        <v>829.46380207651589</v>
      </c>
      <c r="H91" s="6">
        <f t="shared" si="20"/>
        <v>104234.38758386027</v>
      </c>
    </row>
    <row r="92" spans="1:8" ht="15" thickBot="1" x14ac:dyDescent="0.4">
      <c r="A92" s="16">
        <v>81</v>
      </c>
      <c r="B92" s="26">
        <f t="shared" si="15"/>
        <v>2025</v>
      </c>
      <c r="C92" s="30">
        <f t="shared" si="17"/>
        <v>45905</v>
      </c>
      <c r="D92" s="5">
        <f t="shared" si="16"/>
        <v>396.42602173540376</v>
      </c>
      <c r="E92" s="5">
        <f t="shared" si="14"/>
        <v>165.0377803411121</v>
      </c>
      <c r="F92" s="5">
        <f t="shared" si="18"/>
        <v>268</v>
      </c>
      <c r="G92" s="5">
        <f t="shared" si="19"/>
        <v>829.46380207651589</v>
      </c>
      <c r="H92" s="6">
        <f t="shared" si="20"/>
        <v>103837.96156212487</v>
      </c>
    </row>
    <row r="93" spans="1:8" ht="15" thickBot="1" x14ac:dyDescent="0.4">
      <c r="A93" s="16">
        <v>82</v>
      </c>
      <c r="B93" s="26">
        <f t="shared" si="15"/>
        <v>2025</v>
      </c>
      <c r="C93" s="30">
        <f t="shared" si="17"/>
        <v>45935</v>
      </c>
      <c r="D93" s="5">
        <f t="shared" si="16"/>
        <v>397.05369626981815</v>
      </c>
      <c r="E93" s="5">
        <f t="shared" si="14"/>
        <v>164.41010580669771</v>
      </c>
      <c r="F93" s="5">
        <f t="shared" si="18"/>
        <v>268</v>
      </c>
      <c r="G93" s="5">
        <f t="shared" si="19"/>
        <v>829.46380207651589</v>
      </c>
      <c r="H93" s="6">
        <f t="shared" si="20"/>
        <v>103440.90786585504</v>
      </c>
    </row>
    <row r="94" spans="1:8" ht="15" thickBot="1" x14ac:dyDescent="0.4">
      <c r="A94" s="16">
        <v>83</v>
      </c>
      <c r="B94" s="26">
        <f t="shared" si="15"/>
        <v>2025</v>
      </c>
      <c r="C94" s="30">
        <f t="shared" si="17"/>
        <v>45966</v>
      </c>
      <c r="D94" s="5">
        <f t="shared" si="16"/>
        <v>397.68236462224536</v>
      </c>
      <c r="E94" s="5">
        <f t="shared" si="14"/>
        <v>163.78143745427047</v>
      </c>
      <c r="F94" s="5">
        <f t="shared" si="18"/>
        <v>268</v>
      </c>
      <c r="G94" s="5">
        <f t="shared" si="19"/>
        <v>829.46380207651578</v>
      </c>
      <c r="H94" s="6">
        <f t="shared" si="20"/>
        <v>103043.2255012328</v>
      </c>
    </row>
    <row r="95" spans="1:8" ht="15" thickBot="1" x14ac:dyDescent="0.4">
      <c r="A95" s="16">
        <v>84</v>
      </c>
      <c r="B95" s="26">
        <f t="shared" si="15"/>
        <v>2025</v>
      </c>
      <c r="C95" s="30">
        <f t="shared" si="17"/>
        <v>45996</v>
      </c>
      <c r="D95" s="5">
        <f t="shared" si="16"/>
        <v>398.31202836623061</v>
      </c>
      <c r="E95" s="5">
        <f t="shared" si="14"/>
        <v>163.15177371028525</v>
      </c>
      <c r="F95" s="5">
        <f t="shared" si="18"/>
        <v>268</v>
      </c>
      <c r="G95" s="5">
        <f t="shared" si="19"/>
        <v>829.46380207651589</v>
      </c>
      <c r="H95" s="6">
        <f t="shared" si="20"/>
        <v>102644.91347286657</v>
      </c>
    </row>
    <row r="96" spans="1:8" ht="15" thickBot="1" x14ac:dyDescent="0.4">
      <c r="A96" s="16">
        <v>85</v>
      </c>
      <c r="B96" s="26">
        <f t="shared" si="15"/>
        <v>2026</v>
      </c>
      <c r="C96" s="30">
        <f t="shared" si="17"/>
        <v>46027</v>
      </c>
      <c r="D96" s="5">
        <f t="shared" si="16"/>
        <v>398.94268907781043</v>
      </c>
      <c r="E96" s="5">
        <f t="shared" si="14"/>
        <v>162.52111299870541</v>
      </c>
      <c r="F96" s="5">
        <f t="shared" si="18"/>
        <v>268</v>
      </c>
      <c r="G96" s="5">
        <f t="shared" si="19"/>
        <v>829.46380207651578</v>
      </c>
      <c r="H96" s="6">
        <f t="shared" si="20"/>
        <v>102245.97078378875</v>
      </c>
    </row>
    <row r="97" spans="1:8" ht="15" thickBot="1" x14ac:dyDescent="0.4">
      <c r="A97" s="16">
        <v>86</v>
      </c>
      <c r="B97" s="26">
        <f t="shared" si="15"/>
        <v>2026</v>
      </c>
      <c r="C97" s="30">
        <f t="shared" si="17"/>
        <v>46058</v>
      </c>
      <c r="D97" s="5">
        <f t="shared" si="16"/>
        <v>399.57434833551702</v>
      </c>
      <c r="E97" s="5">
        <f t="shared" si="14"/>
        <v>161.88945374099885</v>
      </c>
      <c r="F97" s="5">
        <f t="shared" si="18"/>
        <v>268</v>
      </c>
      <c r="G97" s="5">
        <f t="shared" si="19"/>
        <v>829.46380207651589</v>
      </c>
      <c r="H97" s="6">
        <f t="shared" si="20"/>
        <v>101846.39643545324</v>
      </c>
    </row>
    <row r="98" spans="1:8" ht="15" thickBot="1" x14ac:dyDescent="0.4">
      <c r="A98" s="16">
        <v>87</v>
      </c>
      <c r="B98" s="26">
        <f t="shared" si="15"/>
        <v>2026</v>
      </c>
      <c r="C98" s="30">
        <f t="shared" si="17"/>
        <v>46086</v>
      </c>
      <c r="D98" s="5">
        <f t="shared" si="16"/>
        <v>400.20700772038163</v>
      </c>
      <c r="E98" s="5">
        <f t="shared" si="14"/>
        <v>161.25679435613429</v>
      </c>
      <c r="F98" s="5">
        <f t="shared" si="18"/>
        <v>268</v>
      </c>
      <c r="G98" s="5">
        <f t="shared" si="19"/>
        <v>829.46380207651589</v>
      </c>
      <c r="H98" s="6">
        <f t="shared" si="20"/>
        <v>101446.18942773285</v>
      </c>
    </row>
    <row r="99" spans="1:8" ht="15" thickBot="1" x14ac:dyDescent="0.4">
      <c r="A99" s="16">
        <v>88</v>
      </c>
      <c r="B99" s="26">
        <f t="shared" si="15"/>
        <v>2026</v>
      </c>
      <c r="C99" s="30">
        <f t="shared" si="17"/>
        <v>46117</v>
      </c>
      <c r="D99" s="5">
        <f t="shared" si="16"/>
        <v>400.8406688159389</v>
      </c>
      <c r="E99" s="5">
        <f t="shared" si="14"/>
        <v>160.62313326057702</v>
      </c>
      <c r="F99" s="5">
        <f t="shared" si="18"/>
        <v>268</v>
      </c>
      <c r="G99" s="5">
        <f t="shared" si="19"/>
        <v>829.46380207651589</v>
      </c>
      <c r="H99" s="6">
        <f t="shared" si="20"/>
        <v>101045.34875891691</v>
      </c>
    </row>
    <row r="100" spans="1:8" ht="15" thickBot="1" x14ac:dyDescent="0.4">
      <c r="A100" s="16">
        <v>89</v>
      </c>
      <c r="B100" s="26">
        <f t="shared" si="15"/>
        <v>2026</v>
      </c>
      <c r="C100" s="30">
        <f t="shared" si="17"/>
        <v>46147</v>
      </c>
      <c r="D100" s="5">
        <f t="shared" si="16"/>
        <v>401.47533320823072</v>
      </c>
      <c r="E100" s="5">
        <f t="shared" si="14"/>
        <v>159.98846886828511</v>
      </c>
      <c r="F100" s="5">
        <f t="shared" si="18"/>
        <v>268</v>
      </c>
      <c r="G100" s="5">
        <f t="shared" si="19"/>
        <v>829.46380207651578</v>
      </c>
      <c r="H100" s="6">
        <f t="shared" si="20"/>
        <v>100643.87342570868</v>
      </c>
    </row>
    <row r="101" spans="1:8" ht="15" thickBot="1" x14ac:dyDescent="0.4">
      <c r="A101" s="16">
        <v>90</v>
      </c>
      <c r="B101" s="26">
        <f t="shared" si="15"/>
        <v>2026</v>
      </c>
      <c r="C101" s="30">
        <f t="shared" si="17"/>
        <v>46178</v>
      </c>
      <c r="D101" s="5">
        <f t="shared" si="16"/>
        <v>402.11100248581056</v>
      </c>
      <c r="E101" s="5">
        <f t="shared" si="14"/>
        <v>159.35279959070539</v>
      </c>
      <c r="F101" s="5">
        <f t="shared" si="18"/>
        <v>268</v>
      </c>
      <c r="G101" s="5">
        <f t="shared" si="19"/>
        <v>829.463802076516</v>
      </c>
      <c r="H101" s="6">
        <f t="shared" si="20"/>
        <v>100241.76242322287</v>
      </c>
    </row>
    <row r="102" spans="1:8" ht="15" thickBot="1" x14ac:dyDescent="0.4">
      <c r="A102" s="16">
        <v>91</v>
      </c>
      <c r="B102" s="26">
        <f t="shared" si="15"/>
        <v>2026</v>
      </c>
      <c r="C102" s="30">
        <f t="shared" si="17"/>
        <v>46208</v>
      </c>
      <c r="D102" s="5">
        <f t="shared" si="16"/>
        <v>402.74767823974639</v>
      </c>
      <c r="E102" s="5">
        <f t="shared" si="14"/>
        <v>158.71612383676953</v>
      </c>
      <c r="F102" s="5">
        <f t="shared" si="18"/>
        <v>268</v>
      </c>
      <c r="G102" s="5">
        <f t="shared" si="19"/>
        <v>829.46380207651589</v>
      </c>
      <c r="H102" s="6">
        <f t="shared" si="20"/>
        <v>99839.014744983127</v>
      </c>
    </row>
    <row r="103" spans="1:8" ht="15" thickBot="1" x14ac:dyDescent="0.4">
      <c r="A103" s="16">
        <v>92</v>
      </c>
      <c r="B103" s="26">
        <f t="shared" si="15"/>
        <v>2026</v>
      </c>
      <c r="C103" s="30">
        <f t="shared" si="17"/>
        <v>46239</v>
      </c>
      <c r="D103" s="5">
        <f t="shared" si="16"/>
        <v>403.38536206362596</v>
      </c>
      <c r="E103" s="5">
        <f t="shared" si="14"/>
        <v>158.07844001288996</v>
      </c>
      <c r="F103" s="5">
        <f t="shared" si="18"/>
        <v>268</v>
      </c>
      <c r="G103" s="5">
        <f t="shared" si="19"/>
        <v>829.46380207651589</v>
      </c>
      <c r="H103" s="6">
        <f t="shared" si="20"/>
        <v>99435.629382919506</v>
      </c>
    </row>
    <row r="104" spans="1:8" ht="15" thickBot="1" x14ac:dyDescent="0.4">
      <c r="A104" s="16">
        <v>93</v>
      </c>
      <c r="B104" s="26">
        <f t="shared" si="15"/>
        <v>2026</v>
      </c>
      <c r="C104" s="30">
        <f t="shared" si="17"/>
        <v>46270</v>
      </c>
      <c r="D104" s="5">
        <f t="shared" si="16"/>
        <v>404.02405555355995</v>
      </c>
      <c r="E104" s="5">
        <f t="shared" si="14"/>
        <v>157.43974652295589</v>
      </c>
      <c r="F104" s="5">
        <f t="shared" si="18"/>
        <v>268</v>
      </c>
      <c r="G104" s="5">
        <f t="shared" si="19"/>
        <v>829.46380207651578</v>
      </c>
      <c r="H104" s="6">
        <f t="shared" si="20"/>
        <v>99031.605327365949</v>
      </c>
    </row>
    <row r="105" spans="1:8" ht="15" thickBot="1" x14ac:dyDescent="0.4">
      <c r="A105" s="16">
        <v>94</v>
      </c>
      <c r="B105" s="26">
        <f t="shared" si="15"/>
        <v>2026</v>
      </c>
      <c r="C105" s="30">
        <f t="shared" si="17"/>
        <v>46300</v>
      </c>
      <c r="D105" s="5">
        <f t="shared" si="16"/>
        <v>404.66376030818651</v>
      </c>
      <c r="E105" s="5">
        <f t="shared" si="14"/>
        <v>156.80004176832941</v>
      </c>
      <c r="F105" s="5">
        <f t="shared" si="18"/>
        <v>268</v>
      </c>
      <c r="G105" s="5">
        <f t="shared" si="19"/>
        <v>829.46380207651589</v>
      </c>
      <c r="H105" s="6">
        <f t="shared" si="20"/>
        <v>98626.941567057758</v>
      </c>
    </row>
    <row r="106" spans="1:8" ht="15" thickBot="1" x14ac:dyDescent="0.4">
      <c r="A106" s="16">
        <v>95</v>
      </c>
      <c r="B106" s="26">
        <f t="shared" si="15"/>
        <v>2026</v>
      </c>
      <c r="C106" s="30">
        <f t="shared" si="17"/>
        <v>46331</v>
      </c>
      <c r="D106" s="5">
        <f t="shared" si="16"/>
        <v>405.30447792867449</v>
      </c>
      <c r="E106" s="5">
        <f t="shared" si="14"/>
        <v>156.15932414784146</v>
      </c>
      <c r="F106" s="5">
        <f t="shared" si="18"/>
        <v>268</v>
      </c>
      <c r="G106" s="5">
        <f t="shared" si="19"/>
        <v>829.463802076516</v>
      </c>
      <c r="H106" s="6">
        <f t="shared" si="20"/>
        <v>98221.637089129086</v>
      </c>
    </row>
    <row r="107" spans="1:8" ht="15" thickBot="1" x14ac:dyDescent="0.4">
      <c r="A107" s="16">
        <v>96</v>
      </c>
      <c r="B107" s="26">
        <f t="shared" si="15"/>
        <v>2026</v>
      </c>
      <c r="C107" s="30">
        <f t="shared" si="17"/>
        <v>46361</v>
      </c>
      <c r="D107" s="5">
        <f t="shared" si="16"/>
        <v>405.94621001872815</v>
      </c>
      <c r="E107" s="5">
        <f t="shared" si="14"/>
        <v>155.51759205778771</v>
      </c>
      <c r="F107" s="5">
        <f t="shared" si="18"/>
        <v>268</v>
      </c>
      <c r="G107" s="5">
        <f t="shared" si="19"/>
        <v>829.46380207651589</v>
      </c>
      <c r="H107" s="6">
        <f t="shared" si="20"/>
        <v>97815.690879110363</v>
      </c>
    </row>
    <row r="108" spans="1:8" ht="15" thickBot="1" x14ac:dyDescent="0.4">
      <c r="A108" s="16">
        <v>97</v>
      </c>
      <c r="B108" s="26">
        <f t="shared" si="15"/>
        <v>2027</v>
      </c>
      <c r="C108" s="30">
        <f t="shared" si="17"/>
        <v>46392</v>
      </c>
      <c r="D108" s="5">
        <f t="shared" si="16"/>
        <v>406.58895818459109</v>
      </c>
      <c r="E108" s="5">
        <f t="shared" ref="E108:E139" si="21">$E$3*H107</f>
        <v>154.87484389192474</v>
      </c>
      <c r="F108" s="5">
        <f t="shared" si="18"/>
        <v>268</v>
      </c>
      <c r="G108" s="5">
        <f t="shared" si="19"/>
        <v>829.46380207651578</v>
      </c>
      <c r="H108" s="6">
        <f t="shared" si="20"/>
        <v>97409.101920925779</v>
      </c>
    </row>
    <row r="109" spans="1:8" ht="15" thickBot="1" x14ac:dyDescent="0.4">
      <c r="A109" s="16">
        <v>98</v>
      </c>
      <c r="B109" s="26">
        <f t="shared" si="15"/>
        <v>2027</v>
      </c>
      <c r="C109" s="30">
        <f t="shared" si="17"/>
        <v>46423</v>
      </c>
      <c r="D109" s="5">
        <f t="shared" si="16"/>
        <v>407.23272403505007</v>
      </c>
      <c r="E109" s="5">
        <f t="shared" si="21"/>
        <v>154.23107804146582</v>
      </c>
      <c r="F109" s="5">
        <f t="shared" si="18"/>
        <v>268</v>
      </c>
      <c r="G109" s="5">
        <f t="shared" si="19"/>
        <v>829.46380207651589</v>
      </c>
      <c r="H109" s="6">
        <f t="shared" si="20"/>
        <v>97001.869196890722</v>
      </c>
    </row>
    <row r="110" spans="1:8" ht="15" thickBot="1" x14ac:dyDescent="0.4">
      <c r="A110" s="16">
        <v>99</v>
      </c>
      <c r="B110" s="26">
        <f t="shared" si="15"/>
        <v>2027</v>
      </c>
      <c r="C110" s="30">
        <f t="shared" si="17"/>
        <v>46451</v>
      </c>
      <c r="D110" s="5">
        <f t="shared" si="16"/>
        <v>407.87750918143888</v>
      </c>
      <c r="E110" s="5">
        <f t="shared" si="21"/>
        <v>153.58629289507698</v>
      </c>
      <c r="F110" s="5">
        <f t="shared" si="18"/>
        <v>268</v>
      </c>
      <c r="G110" s="5">
        <f t="shared" si="19"/>
        <v>829.46380207651589</v>
      </c>
      <c r="H110" s="6">
        <f t="shared" si="20"/>
        <v>96593.991687709276</v>
      </c>
    </row>
    <row r="111" spans="1:8" ht="15" thickBot="1" x14ac:dyDescent="0.4">
      <c r="A111" s="16">
        <v>100</v>
      </c>
      <c r="B111" s="26">
        <f t="shared" si="15"/>
        <v>2027</v>
      </c>
      <c r="C111" s="30">
        <f t="shared" si="17"/>
        <v>46482</v>
      </c>
      <c r="D111" s="5">
        <f t="shared" si="16"/>
        <v>408.52331523764292</v>
      </c>
      <c r="E111" s="5">
        <f t="shared" si="21"/>
        <v>152.94048683887303</v>
      </c>
      <c r="F111" s="5">
        <f t="shared" si="18"/>
        <v>268</v>
      </c>
      <c r="G111" s="5">
        <f t="shared" si="19"/>
        <v>829.463802076516</v>
      </c>
      <c r="H111" s="6">
        <f t="shared" si="20"/>
        <v>96185.468372471631</v>
      </c>
    </row>
    <row r="112" spans="1:8" ht="15" thickBot="1" x14ac:dyDescent="0.4">
      <c r="A112" s="16">
        <v>101</v>
      </c>
      <c r="B112" s="26">
        <f t="shared" si="15"/>
        <v>2027</v>
      </c>
      <c r="C112" s="30">
        <f t="shared" si="17"/>
        <v>46512</v>
      </c>
      <c r="D112" s="5">
        <f t="shared" si="16"/>
        <v>409.17014382010245</v>
      </c>
      <c r="E112" s="5">
        <f t="shared" si="21"/>
        <v>152.29365825641341</v>
      </c>
      <c r="F112" s="5">
        <f t="shared" si="18"/>
        <v>268</v>
      </c>
      <c r="G112" s="5">
        <f t="shared" si="19"/>
        <v>829.46380207651589</v>
      </c>
      <c r="H112" s="6">
        <f t="shared" si="20"/>
        <v>95776.298228651533</v>
      </c>
    </row>
    <row r="113" spans="1:8" ht="15" thickBot="1" x14ac:dyDescent="0.4">
      <c r="A113" s="16">
        <v>102</v>
      </c>
      <c r="B113" s="26">
        <f t="shared" si="15"/>
        <v>2027</v>
      </c>
      <c r="C113" s="30">
        <f t="shared" si="17"/>
        <v>46543</v>
      </c>
      <c r="D113" s="5">
        <f t="shared" si="16"/>
        <v>409.81799654781764</v>
      </c>
      <c r="E113" s="5">
        <f t="shared" si="21"/>
        <v>151.64580552869825</v>
      </c>
      <c r="F113" s="5">
        <f t="shared" si="18"/>
        <v>268</v>
      </c>
      <c r="G113" s="5">
        <f t="shared" si="19"/>
        <v>829.46380207651589</v>
      </c>
      <c r="H113" s="6">
        <f t="shared" si="20"/>
        <v>95366.480232103713</v>
      </c>
    </row>
    <row r="114" spans="1:8" ht="15" thickBot="1" x14ac:dyDescent="0.4">
      <c r="A114" s="16">
        <v>103</v>
      </c>
      <c r="B114" s="26">
        <f t="shared" si="15"/>
        <v>2027</v>
      </c>
      <c r="C114" s="30">
        <f t="shared" si="17"/>
        <v>46573</v>
      </c>
      <c r="D114" s="5">
        <f t="shared" si="16"/>
        <v>410.46687504235172</v>
      </c>
      <c r="E114" s="5">
        <f t="shared" si="21"/>
        <v>150.9969270341642</v>
      </c>
      <c r="F114" s="5">
        <f t="shared" si="18"/>
        <v>268</v>
      </c>
      <c r="G114" s="5">
        <f t="shared" si="19"/>
        <v>829.46380207651589</v>
      </c>
      <c r="H114" s="6">
        <f t="shared" si="20"/>
        <v>94956.013357061354</v>
      </c>
    </row>
    <row r="115" spans="1:8" ht="15" thickBot="1" x14ac:dyDescent="0.4">
      <c r="A115" s="16">
        <v>104</v>
      </c>
      <c r="B115" s="26">
        <f t="shared" si="15"/>
        <v>2027</v>
      </c>
      <c r="C115" s="30">
        <f t="shared" si="17"/>
        <v>46604</v>
      </c>
      <c r="D115" s="5">
        <f t="shared" si="16"/>
        <v>411.11678092783541</v>
      </c>
      <c r="E115" s="5">
        <f t="shared" si="21"/>
        <v>150.34702114868048</v>
      </c>
      <c r="F115" s="5">
        <f t="shared" si="18"/>
        <v>268</v>
      </c>
      <c r="G115" s="5">
        <f t="shared" si="19"/>
        <v>829.46380207651589</v>
      </c>
      <c r="H115" s="6">
        <f t="shared" si="20"/>
        <v>94544.896576133513</v>
      </c>
    </row>
    <row r="116" spans="1:8" ht="15" thickBot="1" x14ac:dyDescent="0.4">
      <c r="A116" s="16">
        <v>105</v>
      </c>
      <c r="B116" s="26">
        <f t="shared" si="15"/>
        <v>2027</v>
      </c>
      <c r="C116" s="30">
        <f t="shared" si="17"/>
        <v>46635</v>
      </c>
      <c r="D116" s="5">
        <f t="shared" si="16"/>
        <v>411.76771583097116</v>
      </c>
      <c r="E116" s="5">
        <f t="shared" si="21"/>
        <v>149.69608624554473</v>
      </c>
      <c r="F116" s="5">
        <f t="shared" si="18"/>
        <v>268</v>
      </c>
      <c r="G116" s="5">
        <f t="shared" si="19"/>
        <v>829.46380207651589</v>
      </c>
      <c r="H116" s="6">
        <f t="shared" si="20"/>
        <v>94133.128860302546</v>
      </c>
    </row>
    <row r="117" spans="1:8" ht="15" thickBot="1" x14ac:dyDescent="0.4">
      <c r="A117" s="16">
        <v>106</v>
      </c>
      <c r="B117" s="26">
        <f t="shared" si="15"/>
        <v>2027</v>
      </c>
      <c r="C117" s="30">
        <f t="shared" si="17"/>
        <v>46665</v>
      </c>
      <c r="D117" s="5">
        <f t="shared" si="16"/>
        <v>412.41968138103687</v>
      </c>
      <c r="E117" s="5">
        <f t="shared" si="21"/>
        <v>149.04412069547902</v>
      </c>
      <c r="F117" s="5">
        <f t="shared" si="18"/>
        <v>268</v>
      </c>
      <c r="G117" s="5">
        <f t="shared" si="19"/>
        <v>829.46380207651589</v>
      </c>
      <c r="H117" s="6">
        <f t="shared" si="20"/>
        <v>93720.709178921505</v>
      </c>
    </row>
    <row r="118" spans="1:8" ht="15" thickBot="1" x14ac:dyDescent="0.4">
      <c r="A118" s="16">
        <v>107</v>
      </c>
      <c r="B118" s="26">
        <f t="shared" si="15"/>
        <v>2027</v>
      </c>
      <c r="C118" s="30">
        <f t="shared" si="17"/>
        <v>46696</v>
      </c>
      <c r="D118" s="5">
        <f t="shared" si="16"/>
        <v>413.07267920989011</v>
      </c>
      <c r="E118" s="5">
        <f t="shared" si="21"/>
        <v>148.39112286662572</v>
      </c>
      <c r="F118" s="5">
        <f t="shared" si="18"/>
        <v>268</v>
      </c>
      <c r="G118" s="5">
        <f t="shared" si="19"/>
        <v>829.46380207651578</v>
      </c>
      <c r="H118" s="6">
        <f t="shared" si="20"/>
        <v>93307.636499711618</v>
      </c>
    </row>
    <row r="119" spans="1:8" ht="15" thickBot="1" x14ac:dyDescent="0.4">
      <c r="A119" s="16">
        <v>108</v>
      </c>
      <c r="B119" s="26">
        <f t="shared" si="15"/>
        <v>2027</v>
      </c>
      <c r="C119" s="30">
        <f t="shared" si="17"/>
        <v>46726</v>
      </c>
      <c r="D119" s="5">
        <f t="shared" si="16"/>
        <v>413.72671095197256</v>
      </c>
      <c r="E119" s="5">
        <f t="shared" si="21"/>
        <v>147.73709112454338</v>
      </c>
      <c r="F119" s="5">
        <f t="shared" si="18"/>
        <v>268</v>
      </c>
      <c r="G119" s="5">
        <f t="shared" si="19"/>
        <v>829.463802076516</v>
      </c>
      <c r="H119" s="6">
        <f t="shared" si="20"/>
        <v>92893.909788759644</v>
      </c>
    </row>
    <row r="120" spans="1:8" ht="15" thickBot="1" x14ac:dyDescent="0.4">
      <c r="A120" s="16">
        <v>109</v>
      </c>
      <c r="B120" s="26">
        <f t="shared" si="15"/>
        <v>2028</v>
      </c>
      <c r="C120" s="30">
        <f t="shared" si="17"/>
        <v>46757</v>
      </c>
      <c r="D120" s="5">
        <f t="shared" si="16"/>
        <v>414.38177824431318</v>
      </c>
      <c r="E120" s="5">
        <f t="shared" si="21"/>
        <v>147.08202383220276</v>
      </c>
      <c r="F120" s="5">
        <f t="shared" si="18"/>
        <v>268</v>
      </c>
      <c r="G120" s="5">
        <f t="shared" si="19"/>
        <v>829.463802076516</v>
      </c>
      <c r="H120" s="6">
        <f t="shared" si="20"/>
        <v>92479.528010515336</v>
      </c>
    </row>
    <row r="121" spans="1:8" ht="15" thickBot="1" x14ac:dyDescent="0.4">
      <c r="A121" s="16">
        <v>110</v>
      </c>
      <c r="B121" s="26">
        <f t="shared" si="15"/>
        <v>2028</v>
      </c>
      <c r="C121" s="30">
        <f t="shared" si="17"/>
        <v>46788</v>
      </c>
      <c r="D121" s="5">
        <f t="shared" si="16"/>
        <v>415.03788272653333</v>
      </c>
      <c r="E121" s="5">
        <f t="shared" si="21"/>
        <v>146.42591934998262</v>
      </c>
      <c r="F121" s="5">
        <f t="shared" si="18"/>
        <v>268</v>
      </c>
      <c r="G121" s="5">
        <f t="shared" si="19"/>
        <v>829.463802076516</v>
      </c>
      <c r="H121" s="6">
        <f t="shared" si="20"/>
        <v>92064.490127788798</v>
      </c>
    </row>
    <row r="122" spans="1:8" ht="15" thickBot="1" x14ac:dyDescent="0.4">
      <c r="A122" s="16">
        <v>111</v>
      </c>
      <c r="B122" s="26">
        <f t="shared" si="15"/>
        <v>2028</v>
      </c>
      <c r="C122" s="30">
        <f t="shared" si="17"/>
        <v>46817</v>
      </c>
      <c r="D122" s="5">
        <f t="shared" si="16"/>
        <v>415.69502604085028</v>
      </c>
      <c r="E122" s="5">
        <f t="shared" si="21"/>
        <v>145.76877603566558</v>
      </c>
      <c r="F122" s="5">
        <f t="shared" si="18"/>
        <v>268</v>
      </c>
      <c r="G122" s="5">
        <f t="shared" si="19"/>
        <v>829.46380207651589</v>
      </c>
      <c r="H122" s="6">
        <f t="shared" si="20"/>
        <v>91648.79510174795</v>
      </c>
    </row>
    <row r="123" spans="1:8" ht="15" thickBot="1" x14ac:dyDescent="0.4">
      <c r="A123" s="16">
        <v>112</v>
      </c>
      <c r="B123" s="26">
        <f t="shared" si="15"/>
        <v>2028</v>
      </c>
      <c r="C123" s="30">
        <f t="shared" si="17"/>
        <v>46848</v>
      </c>
      <c r="D123" s="5">
        <f t="shared" si="16"/>
        <v>416.35320983208157</v>
      </c>
      <c r="E123" s="5">
        <f t="shared" si="21"/>
        <v>145.11059224443426</v>
      </c>
      <c r="F123" s="5">
        <f t="shared" si="18"/>
        <v>268</v>
      </c>
      <c r="G123" s="5">
        <f t="shared" si="19"/>
        <v>829.46380207651578</v>
      </c>
      <c r="H123" s="6">
        <f t="shared" si="20"/>
        <v>91232.441891915863</v>
      </c>
    </row>
    <row r="124" spans="1:8" ht="15" thickBot="1" x14ac:dyDescent="0.4">
      <c r="A124" s="16">
        <v>113</v>
      </c>
      <c r="B124" s="26">
        <f t="shared" si="15"/>
        <v>2028</v>
      </c>
      <c r="C124" s="30">
        <f t="shared" si="17"/>
        <v>46878</v>
      </c>
      <c r="D124" s="5">
        <f t="shared" si="16"/>
        <v>417.01243574764908</v>
      </c>
      <c r="E124" s="5">
        <f t="shared" si="21"/>
        <v>144.45136632886678</v>
      </c>
      <c r="F124" s="5">
        <f t="shared" si="18"/>
        <v>268</v>
      </c>
      <c r="G124" s="5">
        <f t="shared" si="19"/>
        <v>829.46380207651589</v>
      </c>
      <c r="H124" s="6">
        <f t="shared" si="20"/>
        <v>90815.429456168218</v>
      </c>
    </row>
    <row r="125" spans="1:8" ht="15" thickBot="1" x14ac:dyDescent="0.4">
      <c r="A125" s="16">
        <v>114</v>
      </c>
      <c r="B125" s="26">
        <f t="shared" si="15"/>
        <v>2028</v>
      </c>
      <c r="C125" s="30">
        <f t="shared" si="17"/>
        <v>46909</v>
      </c>
      <c r="D125" s="5">
        <f t="shared" si="16"/>
        <v>417.67270543758286</v>
      </c>
      <c r="E125" s="5">
        <f t="shared" si="21"/>
        <v>143.791096638933</v>
      </c>
      <c r="F125" s="5">
        <f t="shared" si="18"/>
        <v>268</v>
      </c>
      <c r="G125" s="5">
        <f t="shared" si="19"/>
        <v>829.46380207651589</v>
      </c>
      <c r="H125" s="6">
        <f t="shared" si="20"/>
        <v>90397.756750730638</v>
      </c>
    </row>
    <row r="126" spans="1:8" ht="15" thickBot="1" x14ac:dyDescent="0.4">
      <c r="A126" s="16">
        <v>115</v>
      </c>
      <c r="B126" s="26">
        <f t="shared" si="15"/>
        <v>2028</v>
      </c>
      <c r="C126" s="30">
        <f t="shared" si="17"/>
        <v>46939</v>
      </c>
      <c r="D126" s="5">
        <f t="shared" si="16"/>
        <v>418.33402055452575</v>
      </c>
      <c r="E126" s="5">
        <f t="shared" si="21"/>
        <v>143.12978152199017</v>
      </c>
      <c r="F126" s="5">
        <f t="shared" si="18"/>
        <v>268</v>
      </c>
      <c r="G126" s="5">
        <f t="shared" si="19"/>
        <v>829.46380207651589</v>
      </c>
      <c r="H126" s="6">
        <f t="shared" si="20"/>
        <v>89979.422730176113</v>
      </c>
    </row>
    <row r="127" spans="1:8" ht="15" thickBot="1" x14ac:dyDescent="0.4">
      <c r="A127" s="16">
        <v>116</v>
      </c>
      <c r="B127" s="26">
        <f t="shared" si="15"/>
        <v>2028</v>
      </c>
      <c r="C127" s="30">
        <f t="shared" si="17"/>
        <v>46970</v>
      </c>
      <c r="D127" s="5">
        <f t="shared" si="16"/>
        <v>418.99638275373707</v>
      </c>
      <c r="E127" s="5">
        <f t="shared" si="21"/>
        <v>142.46741932277885</v>
      </c>
      <c r="F127" s="5">
        <f t="shared" si="18"/>
        <v>268</v>
      </c>
      <c r="G127" s="5">
        <f t="shared" si="19"/>
        <v>829.46380207651589</v>
      </c>
      <c r="H127" s="6">
        <f t="shared" si="20"/>
        <v>89560.42634742237</v>
      </c>
    </row>
    <row r="128" spans="1:8" ht="15" thickBot="1" x14ac:dyDescent="0.4">
      <c r="A128" s="16">
        <v>117</v>
      </c>
      <c r="B128" s="26">
        <f t="shared" si="15"/>
        <v>2028</v>
      </c>
      <c r="C128" s="30">
        <f t="shared" si="17"/>
        <v>47001</v>
      </c>
      <c r="D128" s="5">
        <f t="shared" si="16"/>
        <v>419.65979369309707</v>
      </c>
      <c r="E128" s="5">
        <f t="shared" si="21"/>
        <v>141.80400838341876</v>
      </c>
      <c r="F128" s="5">
        <f t="shared" si="18"/>
        <v>268</v>
      </c>
      <c r="G128" s="5">
        <f t="shared" si="19"/>
        <v>829.46380207651578</v>
      </c>
      <c r="H128" s="6">
        <f t="shared" si="20"/>
        <v>89140.766553729278</v>
      </c>
    </row>
    <row r="129" spans="1:8" ht="15" thickBot="1" x14ac:dyDescent="0.4">
      <c r="A129" s="16">
        <v>118</v>
      </c>
      <c r="B129" s="26">
        <f t="shared" si="15"/>
        <v>2028</v>
      </c>
      <c r="C129" s="30">
        <f t="shared" si="17"/>
        <v>47031</v>
      </c>
      <c r="D129" s="5">
        <f t="shared" si="16"/>
        <v>420.32425503311117</v>
      </c>
      <c r="E129" s="5">
        <f t="shared" si="21"/>
        <v>141.13954704340469</v>
      </c>
      <c r="F129" s="5">
        <f t="shared" si="18"/>
        <v>268</v>
      </c>
      <c r="G129" s="5">
        <f t="shared" si="19"/>
        <v>829.46380207651589</v>
      </c>
      <c r="H129" s="6">
        <f t="shared" si="20"/>
        <v>88720.442298696173</v>
      </c>
    </row>
    <row r="130" spans="1:8" ht="15" thickBot="1" x14ac:dyDescent="0.4">
      <c r="A130" s="16">
        <v>119</v>
      </c>
      <c r="B130" s="26">
        <f t="shared" si="15"/>
        <v>2028</v>
      </c>
      <c r="C130" s="30">
        <f t="shared" si="17"/>
        <v>47062</v>
      </c>
      <c r="D130" s="5">
        <f t="shared" si="16"/>
        <v>420.98976843691366</v>
      </c>
      <c r="E130" s="5">
        <f t="shared" si="21"/>
        <v>140.47403363960228</v>
      </c>
      <c r="F130" s="5">
        <f t="shared" si="18"/>
        <v>268</v>
      </c>
      <c r="G130" s="5">
        <f t="shared" si="19"/>
        <v>829.463802076516</v>
      </c>
      <c r="H130" s="6">
        <f t="shared" si="20"/>
        <v>88299.452530259252</v>
      </c>
    </row>
    <row r="131" spans="1:8" ht="15" thickBot="1" x14ac:dyDescent="0.4">
      <c r="A131" s="16">
        <v>120</v>
      </c>
      <c r="B131" s="26">
        <f t="shared" si="15"/>
        <v>2028</v>
      </c>
      <c r="C131" s="30">
        <f t="shared" si="17"/>
        <v>47092</v>
      </c>
      <c r="D131" s="5">
        <f t="shared" si="16"/>
        <v>421.65633557027206</v>
      </c>
      <c r="E131" s="5">
        <f t="shared" si="21"/>
        <v>139.8074665062438</v>
      </c>
      <c r="F131" s="5">
        <f t="shared" si="18"/>
        <v>268</v>
      </c>
      <c r="G131" s="5">
        <f t="shared" si="19"/>
        <v>829.46380207651589</v>
      </c>
      <c r="H131" s="6">
        <f t="shared" si="20"/>
        <v>87877.796194688985</v>
      </c>
    </row>
    <row r="132" spans="1:8" ht="15" thickBot="1" x14ac:dyDescent="0.4">
      <c r="A132" s="16">
        <v>121</v>
      </c>
      <c r="B132" s="26">
        <f t="shared" si="15"/>
        <v>2029</v>
      </c>
      <c r="C132" s="30">
        <f t="shared" si="17"/>
        <v>47123</v>
      </c>
      <c r="D132" s="5">
        <f t="shared" si="16"/>
        <v>422.32395810159164</v>
      </c>
      <c r="E132" s="5">
        <f t="shared" si="21"/>
        <v>139.13984397492422</v>
      </c>
      <c r="F132" s="5">
        <f t="shared" si="18"/>
        <v>268</v>
      </c>
      <c r="G132" s="5">
        <f t="shared" si="19"/>
        <v>829.46380207651589</v>
      </c>
      <c r="H132" s="6">
        <f t="shared" si="20"/>
        <v>87455.472236587389</v>
      </c>
    </row>
    <row r="133" spans="1:8" ht="15" thickBot="1" x14ac:dyDescent="0.4">
      <c r="A133" s="16">
        <v>122</v>
      </c>
      <c r="B133" s="26">
        <f t="shared" si="15"/>
        <v>2029</v>
      </c>
      <c r="C133" s="30">
        <f t="shared" si="17"/>
        <v>47154</v>
      </c>
      <c r="D133" s="5">
        <f t="shared" si="16"/>
        <v>422.99263770191919</v>
      </c>
      <c r="E133" s="5">
        <f t="shared" si="21"/>
        <v>138.4711643745967</v>
      </c>
      <c r="F133" s="5">
        <f t="shared" si="18"/>
        <v>268</v>
      </c>
      <c r="G133" s="5">
        <f t="shared" si="19"/>
        <v>829.46380207651589</v>
      </c>
      <c r="H133" s="6">
        <f t="shared" si="20"/>
        <v>87032.479598885475</v>
      </c>
    </row>
    <row r="134" spans="1:8" ht="15" thickBot="1" x14ac:dyDescent="0.4">
      <c r="A134" s="16">
        <v>123</v>
      </c>
      <c r="B134" s="26">
        <f t="shared" si="15"/>
        <v>2029</v>
      </c>
      <c r="C134" s="30">
        <f t="shared" si="17"/>
        <v>47182</v>
      </c>
      <c r="D134" s="5">
        <f t="shared" si="16"/>
        <v>423.66237604494722</v>
      </c>
      <c r="E134" s="5">
        <f t="shared" si="21"/>
        <v>137.80142603156867</v>
      </c>
      <c r="F134" s="5">
        <f t="shared" si="18"/>
        <v>268</v>
      </c>
      <c r="G134" s="5">
        <f t="shared" si="19"/>
        <v>829.46380207651589</v>
      </c>
      <c r="H134" s="6">
        <f t="shared" si="20"/>
        <v>86608.817222840531</v>
      </c>
    </row>
    <row r="135" spans="1:8" ht="15" thickBot="1" x14ac:dyDescent="0.4">
      <c r="A135" s="16">
        <v>124</v>
      </c>
      <c r="B135" s="26">
        <f t="shared" si="15"/>
        <v>2029</v>
      </c>
      <c r="C135" s="30">
        <f t="shared" si="17"/>
        <v>47213</v>
      </c>
      <c r="D135" s="5">
        <f t="shared" si="16"/>
        <v>424.33317480701839</v>
      </c>
      <c r="E135" s="5">
        <f t="shared" si="21"/>
        <v>137.1306272694975</v>
      </c>
      <c r="F135" s="5">
        <f t="shared" si="18"/>
        <v>268</v>
      </c>
      <c r="G135" s="5">
        <f t="shared" si="19"/>
        <v>829.46380207651589</v>
      </c>
      <c r="H135" s="6">
        <f t="shared" si="20"/>
        <v>86184.484048033511</v>
      </c>
    </row>
    <row r="136" spans="1:8" ht="15" thickBot="1" x14ac:dyDescent="0.4">
      <c r="A136" s="16">
        <v>125</v>
      </c>
      <c r="B136" s="26">
        <f t="shared" si="15"/>
        <v>2029</v>
      </c>
      <c r="C136" s="30">
        <f t="shared" si="17"/>
        <v>47243</v>
      </c>
      <c r="D136" s="5">
        <f t="shared" si="16"/>
        <v>425.0050356671295</v>
      </c>
      <c r="E136" s="5">
        <f t="shared" si="21"/>
        <v>136.45876640938639</v>
      </c>
      <c r="F136" s="5">
        <f t="shared" si="18"/>
        <v>268</v>
      </c>
      <c r="G136" s="5">
        <f t="shared" si="19"/>
        <v>829.46380207651589</v>
      </c>
      <c r="H136" s="6">
        <f t="shared" si="20"/>
        <v>85759.479012366384</v>
      </c>
    </row>
    <row r="137" spans="1:8" ht="15" thickBot="1" x14ac:dyDescent="0.4">
      <c r="A137" s="16">
        <v>126</v>
      </c>
      <c r="B137" s="26">
        <f t="shared" si="15"/>
        <v>2029</v>
      </c>
      <c r="C137" s="30">
        <f t="shared" si="17"/>
        <v>47274</v>
      </c>
      <c r="D137" s="5">
        <f t="shared" si="16"/>
        <v>425.6779603069358</v>
      </c>
      <c r="E137" s="5">
        <f t="shared" si="21"/>
        <v>135.78584176958012</v>
      </c>
      <c r="F137" s="5">
        <f t="shared" si="18"/>
        <v>268</v>
      </c>
      <c r="G137" s="5">
        <f t="shared" si="19"/>
        <v>829.46380207651589</v>
      </c>
      <c r="H137" s="6">
        <f t="shared" si="20"/>
        <v>85333.801052059454</v>
      </c>
    </row>
    <row r="138" spans="1:8" ht="15" thickBot="1" x14ac:dyDescent="0.4">
      <c r="A138" s="16">
        <v>127</v>
      </c>
      <c r="B138" s="26">
        <f t="shared" si="15"/>
        <v>2029</v>
      </c>
      <c r="C138" s="30">
        <f t="shared" si="17"/>
        <v>47304</v>
      </c>
      <c r="D138" s="5">
        <f t="shared" si="16"/>
        <v>426.35195041075508</v>
      </c>
      <c r="E138" s="5">
        <f t="shared" si="21"/>
        <v>135.11185166576081</v>
      </c>
      <c r="F138" s="5">
        <f t="shared" si="18"/>
        <v>268</v>
      </c>
      <c r="G138" s="5">
        <f t="shared" si="19"/>
        <v>829.46380207651589</v>
      </c>
      <c r="H138" s="6">
        <f t="shared" si="20"/>
        <v>84907.449101648701</v>
      </c>
    </row>
    <row r="139" spans="1:8" ht="15" thickBot="1" x14ac:dyDescent="0.4">
      <c r="A139" s="16">
        <v>128</v>
      </c>
      <c r="B139" s="26">
        <f t="shared" si="15"/>
        <v>2029</v>
      </c>
      <c r="C139" s="30">
        <f t="shared" si="17"/>
        <v>47335</v>
      </c>
      <c r="D139" s="5">
        <f t="shared" si="16"/>
        <v>427.02700766557211</v>
      </c>
      <c r="E139" s="5">
        <f t="shared" si="21"/>
        <v>134.43679441094378</v>
      </c>
      <c r="F139" s="5">
        <f t="shared" si="18"/>
        <v>268</v>
      </c>
      <c r="G139" s="5">
        <f t="shared" si="19"/>
        <v>829.46380207651589</v>
      </c>
      <c r="H139" s="6">
        <f t="shared" si="20"/>
        <v>84480.422093983128</v>
      </c>
    </row>
    <row r="140" spans="1:8" ht="15" thickBot="1" x14ac:dyDescent="0.4">
      <c r="A140" s="16">
        <v>129</v>
      </c>
      <c r="B140" s="26">
        <f t="shared" si="15"/>
        <v>2029</v>
      </c>
      <c r="C140" s="30">
        <f t="shared" si="17"/>
        <v>47366</v>
      </c>
      <c r="D140" s="5">
        <f t="shared" si="16"/>
        <v>427.70313376104264</v>
      </c>
      <c r="E140" s="5">
        <f t="shared" ref="E140:E171" si="22">$E$3*H139</f>
        <v>133.76066831547328</v>
      </c>
      <c r="F140" s="5">
        <f t="shared" si="18"/>
        <v>268</v>
      </c>
      <c r="G140" s="5">
        <f t="shared" si="19"/>
        <v>829.46380207651589</v>
      </c>
      <c r="H140" s="6">
        <f t="shared" si="20"/>
        <v>84052.71896022209</v>
      </c>
    </row>
    <row r="141" spans="1:8" ht="15" thickBot="1" x14ac:dyDescent="0.4">
      <c r="A141" s="16">
        <v>130</v>
      </c>
      <c r="B141" s="26">
        <f t="shared" ref="B141:B191" si="23">YEAR(C141)</f>
        <v>2029</v>
      </c>
      <c r="C141" s="30">
        <f t="shared" si="17"/>
        <v>47396</v>
      </c>
      <c r="D141" s="5">
        <f t="shared" ref="D141:D191" si="24">IF(H140&gt;$E$5,$E$5-E141-F141,H140)</f>
        <v>428.38033038949754</v>
      </c>
      <c r="E141" s="5">
        <f t="shared" si="22"/>
        <v>133.08347168701832</v>
      </c>
      <c r="F141" s="5">
        <f t="shared" si="18"/>
        <v>268</v>
      </c>
      <c r="G141" s="5">
        <f t="shared" si="19"/>
        <v>829.46380207651589</v>
      </c>
      <c r="H141" s="6">
        <f t="shared" si="20"/>
        <v>83624.338629832593</v>
      </c>
    </row>
    <row r="142" spans="1:8" ht="15" thickBot="1" x14ac:dyDescent="0.4">
      <c r="A142" s="16">
        <v>131</v>
      </c>
      <c r="B142" s="26">
        <f t="shared" si="23"/>
        <v>2029</v>
      </c>
      <c r="C142" s="30">
        <f t="shared" ref="C142:C205" si="25">EDATE(C141,1)</f>
        <v>47427</v>
      </c>
      <c r="D142" s="5">
        <f t="shared" si="24"/>
        <v>429.05859924594756</v>
      </c>
      <c r="E142" s="5">
        <f t="shared" si="22"/>
        <v>132.40520283056827</v>
      </c>
      <c r="F142" s="5">
        <f t="shared" ref="F142:F205" si="26">IF(H141=0,0,$E$1*$E$4/12)</f>
        <v>268</v>
      </c>
      <c r="G142" s="5">
        <f t="shared" ref="G142:G191" si="27">D142+E142+F142</f>
        <v>829.46380207651578</v>
      </c>
      <c r="H142" s="6">
        <f t="shared" ref="H142:H191" si="28">H141-D142</f>
        <v>83195.28003058664</v>
      </c>
    </row>
    <row r="143" spans="1:8" ht="15" thickBot="1" x14ac:dyDescent="0.4">
      <c r="A143" s="16">
        <v>132</v>
      </c>
      <c r="B143" s="26">
        <f t="shared" si="23"/>
        <v>2029</v>
      </c>
      <c r="C143" s="30">
        <f t="shared" si="25"/>
        <v>47457</v>
      </c>
      <c r="D143" s="5">
        <f t="shared" si="24"/>
        <v>429.73794202808699</v>
      </c>
      <c r="E143" s="5">
        <f t="shared" si="22"/>
        <v>131.72586004842884</v>
      </c>
      <c r="F143" s="5">
        <f t="shared" si="26"/>
        <v>268</v>
      </c>
      <c r="G143" s="5">
        <f t="shared" si="27"/>
        <v>829.46380207651578</v>
      </c>
      <c r="H143" s="6">
        <f t="shared" si="28"/>
        <v>82765.542088558548</v>
      </c>
    </row>
    <row r="144" spans="1:8" ht="15" thickBot="1" x14ac:dyDescent="0.4">
      <c r="A144" s="16">
        <v>133</v>
      </c>
      <c r="B144" s="26">
        <f t="shared" si="23"/>
        <v>2030</v>
      </c>
      <c r="C144" s="30">
        <f t="shared" si="25"/>
        <v>47488</v>
      </c>
      <c r="D144" s="5">
        <f t="shared" si="24"/>
        <v>430.41836043629814</v>
      </c>
      <c r="E144" s="5">
        <f t="shared" si="22"/>
        <v>131.04544164021769</v>
      </c>
      <c r="F144" s="5">
        <f t="shared" si="26"/>
        <v>268</v>
      </c>
      <c r="G144" s="5">
        <f t="shared" si="27"/>
        <v>829.46380207651578</v>
      </c>
      <c r="H144" s="6">
        <f t="shared" si="28"/>
        <v>82335.123728122257</v>
      </c>
    </row>
    <row r="145" spans="1:8" ht="15" thickBot="1" x14ac:dyDescent="0.4">
      <c r="A145" s="16">
        <v>134</v>
      </c>
      <c r="B145" s="26">
        <f t="shared" si="23"/>
        <v>2030</v>
      </c>
      <c r="C145" s="30">
        <f t="shared" si="25"/>
        <v>47519</v>
      </c>
      <c r="D145" s="5">
        <f t="shared" si="24"/>
        <v>431.09985617365567</v>
      </c>
      <c r="E145" s="5">
        <f t="shared" si="22"/>
        <v>130.36394590286022</v>
      </c>
      <c r="F145" s="5">
        <f t="shared" si="26"/>
        <v>268</v>
      </c>
      <c r="G145" s="5">
        <f t="shared" si="27"/>
        <v>829.46380207651589</v>
      </c>
      <c r="H145" s="6">
        <f t="shared" si="28"/>
        <v>81904.023871948608</v>
      </c>
    </row>
    <row r="146" spans="1:8" ht="15" thickBot="1" x14ac:dyDescent="0.4">
      <c r="A146" s="16">
        <v>135</v>
      </c>
      <c r="B146" s="26">
        <f t="shared" si="23"/>
        <v>2030</v>
      </c>
      <c r="C146" s="30">
        <f t="shared" si="25"/>
        <v>47547</v>
      </c>
      <c r="D146" s="5">
        <f t="shared" si="24"/>
        <v>431.78243094593063</v>
      </c>
      <c r="E146" s="5">
        <f t="shared" si="22"/>
        <v>129.68137113058529</v>
      </c>
      <c r="F146" s="5">
        <f t="shared" si="26"/>
        <v>268</v>
      </c>
      <c r="G146" s="5">
        <f t="shared" si="27"/>
        <v>829.46380207651589</v>
      </c>
      <c r="H146" s="6">
        <f t="shared" si="28"/>
        <v>81472.241441002683</v>
      </c>
    </row>
    <row r="147" spans="1:8" ht="15" thickBot="1" x14ac:dyDescent="0.4">
      <c r="A147" s="16">
        <v>136</v>
      </c>
      <c r="B147" s="26">
        <f t="shared" si="23"/>
        <v>2030</v>
      </c>
      <c r="C147" s="30">
        <f t="shared" si="25"/>
        <v>47578</v>
      </c>
      <c r="D147" s="5">
        <f t="shared" si="24"/>
        <v>432.46608646159495</v>
      </c>
      <c r="E147" s="5">
        <f t="shared" si="22"/>
        <v>128.99771561492091</v>
      </c>
      <c r="F147" s="5">
        <f t="shared" si="26"/>
        <v>268</v>
      </c>
      <c r="G147" s="5">
        <f t="shared" si="27"/>
        <v>829.46380207651589</v>
      </c>
      <c r="H147" s="6">
        <f t="shared" si="28"/>
        <v>81039.775354541081</v>
      </c>
    </row>
    <row r="148" spans="1:8" ht="15" thickBot="1" x14ac:dyDescent="0.4">
      <c r="A148" s="16">
        <v>137</v>
      </c>
      <c r="B148" s="26">
        <f t="shared" si="23"/>
        <v>2030</v>
      </c>
      <c r="C148" s="30">
        <f t="shared" si="25"/>
        <v>47608</v>
      </c>
      <c r="D148" s="5">
        <f t="shared" si="24"/>
        <v>433.15082443182587</v>
      </c>
      <c r="E148" s="5">
        <f t="shared" si="22"/>
        <v>128.31297764469005</v>
      </c>
      <c r="F148" s="5">
        <f t="shared" si="26"/>
        <v>268</v>
      </c>
      <c r="G148" s="5">
        <f t="shared" si="27"/>
        <v>829.46380207651589</v>
      </c>
      <c r="H148" s="6">
        <f t="shared" si="28"/>
        <v>80606.624530109257</v>
      </c>
    </row>
    <row r="149" spans="1:8" ht="15" thickBot="1" x14ac:dyDescent="0.4">
      <c r="A149" s="16">
        <v>138</v>
      </c>
      <c r="B149" s="26">
        <f t="shared" si="23"/>
        <v>2030</v>
      </c>
      <c r="C149" s="30">
        <f t="shared" si="25"/>
        <v>47639</v>
      </c>
      <c r="D149" s="5">
        <f t="shared" si="24"/>
        <v>433.83664657050963</v>
      </c>
      <c r="E149" s="5">
        <f t="shared" si="22"/>
        <v>127.62715550600632</v>
      </c>
      <c r="F149" s="5">
        <f t="shared" si="26"/>
        <v>268</v>
      </c>
      <c r="G149" s="5">
        <f t="shared" si="27"/>
        <v>829.463802076516</v>
      </c>
      <c r="H149" s="6">
        <f t="shared" si="28"/>
        <v>80172.787883538753</v>
      </c>
    </row>
    <row r="150" spans="1:8" ht="15" thickBot="1" x14ac:dyDescent="0.4">
      <c r="A150" s="16">
        <v>139</v>
      </c>
      <c r="B150" s="26">
        <f t="shared" si="23"/>
        <v>2030</v>
      </c>
      <c r="C150" s="30">
        <f t="shared" si="25"/>
        <v>47669</v>
      </c>
      <c r="D150" s="5">
        <f t="shared" si="24"/>
        <v>434.52355459424621</v>
      </c>
      <c r="E150" s="5">
        <f t="shared" si="22"/>
        <v>126.94024748226968</v>
      </c>
      <c r="F150" s="5">
        <f t="shared" si="26"/>
        <v>268</v>
      </c>
      <c r="G150" s="5">
        <f t="shared" si="27"/>
        <v>829.46380207651589</v>
      </c>
      <c r="H150" s="6">
        <f t="shared" si="28"/>
        <v>79738.264328944511</v>
      </c>
    </row>
    <row r="151" spans="1:8" ht="15" thickBot="1" x14ac:dyDescent="0.4">
      <c r="A151" s="16">
        <v>140</v>
      </c>
      <c r="B151" s="26">
        <f t="shared" si="23"/>
        <v>2030</v>
      </c>
      <c r="C151" s="30">
        <f t="shared" si="25"/>
        <v>47700</v>
      </c>
      <c r="D151" s="5">
        <f t="shared" si="24"/>
        <v>435.21155022235371</v>
      </c>
      <c r="E151" s="5">
        <f t="shared" si="22"/>
        <v>126.25225185416214</v>
      </c>
      <c r="F151" s="5">
        <f t="shared" si="26"/>
        <v>268</v>
      </c>
      <c r="G151" s="5">
        <f t="shared" si="27"/>
        <v>829.46380207651589</v>
      </c>
      <c r="H151" s="6">
        <f t="shared" si="28"/>
        <v>79303.052778722151</v>
      </c>
    </row>
    <row r="152" spans="1:8" ht="15" thickBot="1" x14ac:dyDescent="0.4">
      <c r="A152" s="16">
        <v>141</v>
      </c>
      <c r="B152" s="26">
        <f t="shared" si="23"/>
        <v>2030</v>
      </c>
      <c r="C152" s="30">
        <f t="shared" si="25"/>
        <v>47731</v>
      </c>
      <c r="D152" s="5">
        <f t="shared" si="24"/>
        <v>435.90063517687247</v>
      </c>
      <c r="E152" s="5">
        <f t="shared" si="22"/>
        <v>125.56316689964341</v>
      </c>
      <c r="F152" s="5">
        <f t="shared" si="26"/>
        <v>268</v>
      </c>
      <c r="G152" s="5">
        <f t="shared" si="27"/>
        <v>829.46380207651589</v>
      </c>
      <c r="H152" s="6">
        <f t="shared" si="28"/>
        <v>78867.152143545274</v>
      </c>
    </row>
    <row r="153" spans="1:8" ht="15" thickBot="1" x14ac:dyDescent="0.4">
      <c r="A153" s="16">
        <v>142</v>
      </c>
      <c r="B153" s="26">
        <f t="shared" si="23"/>
        <v>2030</v>
      </c>
      <c r="C153" s="30">
        <f t="shared" si="25"/>
        <v>47761</v>
      </c>
      <c r="D153" s="5">
        <f t="shared" si="24"/>
        <v>436.59081118256927</v>
      </c>
      <c r="E153" s="5">
        <f t="shared" si="22"/>
        <v>124.87299089394668</v>
      </c>
      <c r="F153" s="5">
        <f t="shared" si="26"/>
        <v>268</v>
      </c>
      <c r="G153" s="5">
        <f t="shared" si="27"/>
        <v>829.463802076516</v>
      </c>
      <c r="H153" s="6">
        <f t="shared" si="28"/>
        <v>78430.561332362704</v>
      </c>
    </row>
    <row r="154" spans="1:8" ht="15" thickBot="1" x14ac:dyDescent="0.4">
      <c r="A154" s="16">
        <v>143</v>
      </c>
      <c r="B154" s="26">
        <f t="shared" si="23"/>
        <v>2030</v>
      </c>
      <c r="C154" s="30">
        <f t="shared" si="25"/>
        <v>47792</v>
      </c>
      <c r="D154" s="5">
        <f t="shared" si="24"/>
        <v>437.28207996694164</v>
      </c>
      <c r="E154" s="5">
        <f t="shared" si="22"/>
        <v>124.18172210957428</v>
      </c>
      <c r="F154" s="5">
        <f t="shared" si="26"/>
        <v>268</v>
      </c>
      <c r="G154" s="5">
        <f t="shared" si="27"/>
        <v>829.46380207651589</v>
      </c>
      <c r="H154" s="6">
        <f t="shared" si="28"/>
        <v>77993.279252395761</v>
      </c>
    </row>
    <row r="155" spans="1:8" ht="15" thickBot="1" x14ac:dyDescent="0.4">
      <c r="A155" s="16">
        <v>144</v>
      </c>
      <c r="B155" s="26">
        <f t="shared" si="23"/>
        <v>2030</v>
      </c>
      <c r="C155" s="30">
        <f t="shared" si="25"/>
        <v>47822</v>
      </c>
      <c r="D155" s="5">
        <f t="shared" si="24"/>
        <v>437.97444326022264</v>
      </c>
      <c r="E155" s="5">
        <f t="shared" si="22"/>
        <v>123.48935881629329</v>
      </c>
      <c r="F155" s="5">
        <f t="shared" si="26"/>
        <v>268</v>
      </c>
      <c r="G155" s="5">
        <f t="shared" si="27"/>
        <v>829.46380207651589</v>
      </c>
      <c r="H155" s="6">
        <f t="shared" si="28"/>
        <v>77555.304809135545</v>
      </c>
    </row>
    <row r="156" spans="1:8" ht="15" thickBot="1" x14ac:dyDescent="0.4">
      <c r="A156" s="16">
        <v>145</v>
      </c>
      <c r="B156" s="26">
        <f t="shared" si="23"/>
        <v>2031</v>
      </c>
      <c r="C156" s="30">
        <f t="shared" si="25"/>
        <v>47853</v>
      </c>
      <c r="D156" s="5">
        <f t="shared" si="24"/>
        <v>438.66790279538463</v>
      </c>
      <c r="E156" s="5">
        <f t="shared" si="22"/>
        <v>122.79589928113127</v>
      </c>
      <c r="F156" s="5">
        <f t="shared" si="26"/>
        <v>268</v>
      </c>
      <c r="G156" s="5">
        <f t="shared" si="27"/>
        <v>829.46380207651589</v>
      </c>
      <c r="H156" s="6">
        <f t="shared" si="28"/>
        <v>77116.636906340165</v>
      </c>
    </row>
    <row r="157" spans="1:8" ht="15" thickBot="1" x14ac:dyDescent="0.4">
      <c r="A157" s="16">
        <v>146</v>
      </c>
      <c r="B157" s="26">
        <f t="shared" si="23"/>
        <v>2031</v>
      </c>
      <c r="C157" s="30">
        <f t="shared" si="25"/>
        <v>47884</v>
      </c>
      <c r="D157" s="5">
        <f t="shared" si="24"/>
        <v>439.36246030814391</v>
      </c>
      <c r="E157" s="5">
        <f t="shared" si="22"/>
        <v>122.10134176837192</v>
      </c>
      <c r="F157" s="5">
        <f t="shared" si="26"/>
        <v>268</v>
      </c>
      <c r="G157" s="5">
        <f t="shared" si="27"/>
        <v>829.46380207651578</v>
      </c>
      <c r="H157" s="6">
        <f t="shared" si="28"/>
        <v>76677.274446032025</v>
      </c>
    </row>
    <row r="158" spans="1:8" ht="15" thickBot="1" x14ac:dyDescent="0.4">
      <c r="A158" s="16">
        <v>147</v>
      </c>
      <c r="B158" s="26">
        <f t="shared" si="23"/>
        <v>2031</v>
      </c>
      <c r="C158" s="30">
        <f t="shared" si="25"/>
        <v>47912</v>
      </c>
      <c r="D158" s="5">
        <f t="shared" si="24"/>
        <v>440.05811753696514</v>
      </c>
      <c r="E158" s="5">
        <f t="shared" si="22"/>
        <v>121.40568453955071</v>
      </c>
      <c r="F158" s="5">
        <f t="shared" si="26"/>
        <v>268</v>
      </c>
      <c r="G158" s="5">
        <f t="shared" si="27"/>
        <v>829.46380207651589</v>
      </c>
      <c r="H158" s="6">
        <f t="shared" si="28"/>
        <v>76237.216328495066</v>
      </c>
    </row>
    <row r="159" spans="1:8" ht="15" thickBot="1" x14ac:dyDescent="0.4">
      <c r="A159" s="16">
        <v>148</v>
      </c>
      <c r="B159" s="26">
        <f t="shared" si="23"/>
        <v>2031</v>
      </c>
      <c r="C159" s="30">
        <f t="shared" si="25"/>
        <v>47943</v>
      </c>
      <c r="D159" s="5">
        <f t="shared" si="24"/>
        <v>440.75487622306537</v>
      </c>
      <c r="E159" s="5">
        <f t="shared" si="22"/>
        <v>120.70892585345052</v>
      </c>
      <c r="F159" s="5">
        <f t="shared" si="26"/>
        <v>268</v>
      </c>
      <c r="G159" s="5">
        <f t="shared" si="27"/>
        <v>829.46380207651589</v>
      </c>
      <c r="H159" s="6">
        <f t="shared" si="28"/>
        <v>75796.461452271993</v>
      </c>
    </row>
    <row r="160" spans="1:8" ht="15" thickBot="1" x14ac:dyDescent="0.4">
      <c r="A160" s="16">
        <v>149</v>
      </c>
      <c r="B160" s="26">
        <f t="shared" si="23"/>
        <v>2031</v>
      </c>
      <c r="C160" s="30">
        <f t="shared" si="25"/>
        <v>47973</v>
      </c>
      <c r="D160" s="5">
        <f t="shared" si="24"/>
        <v>441.45273811041852</v>
      </c>
      <c r="E160" s="5">
        <f t="shared" si="22"/>
        <v>120.01106396609732</v>
      </c>
      <c r="F160" s="5">
        <f t="shared" si="26"/>
        <v>268</v>
      </c>
      <c r="G160" s="5">
        <f t="shared" si="27"/>
        <v>829.46380207651589</v>
      </c>
      <c r="H160" s="6">
        <f t="shared" si="28"/>
        <v>75355.00871416158</v>
      </c>
    </row>
    <row r="161" spans="1:8" ht="15" thickBot="1" x14ac:dyDescent="0.4">
      <c r="A161" s="16">
        <v>150</v>
      </c>
      <c r="B161" s="26">
        <f t="shared" si="23"/>
        <v>2031</v>
      </c>
      <c r="C161" s="30">
        <f t="shared" si="25"/>
        <v>48004</v>
      </c>
      <c r="D161" s="5">
        <f t="shared" si="24"/>
        <v>442.15170494576</v>
      </c>
      <c r="E161" s="5">
        <f t="shared" si="22"/>
        <v>119.31209713075583</v>
      </c>
      <c r="F161" s="5">
        <f t="shared" si="26"/>
        <v>268</v>
      </c>
      <c r="G161" s="5">
        <f t="shared" si="27"/>
        <v>829.46380207651578</v>
      </c>
      <c r="H161" s="6">
        <f t="shared" si="28"/>
        <v>74912.857009215819</v>
      </c>
    </row>
    <row r="162" spans="1:8" ht="15" thickBot="1" x14ac:dyDescent="0.4">
      <c r="A162" s="16">
        <v>151</v>
      </c>
      <c r="B162" s="26">
        <f t="shared" si="23"/>
        <v>2031</v>
      </c>
      <c r="C162" s="30">
        <f t="shared" si="25"/>
        <v>48034</v>
      </c>
      <c r="D162" s="5">
        <f t="shared" si="24"/>
        <v>442.85177847859086</v>
      </c>
      <c r="E162" s="5">
        <f t="shared" si="22"/>
        <v>118.61202359792505</v>
      </c>
      <c r="F162" s="5">
        <f t="shared" si="26"/>
        <v>268</v>
      </c>
      <c r="G162" s="5">
        <f t="shared" si="27"/>
        <v>829.46380207651589</v>
      </c>
      <c r="H162" s="6">
        <f t="shared" si="28"/>
        <v>74470.005230737224</v>
      </c>
    </row>
    <row r="163" spans="1:8" ht="15" thickBot="1" x14ac:dyDescent="0.4">
      <c r="A163" s="16">
        <v>152</v>
      </c>
      <c r="B163" s="26">
        <f t="shared" si="23"/>
        <v>2031</v>
      </c>
      <c r="C163" s="30">
        <f t="shared" si="25"/>
        <v>48065</v>
      </c>
      <c r="D163" s="5">
        <f t="shared" si="24"/>
        <v>443.55296046118201</v>
      </c>
      <c r="E163" s="5">
        <f t="shared" si="22"/>
        <v>117.91084161533394</v>
      </c>
      <c r="F163" s="5">
        <f t="shared" si="26"/>
        <v>268</v>
      </c>
      <c r="G163" s="5">
        <f t="shared" si="27"/>
        <v>829.463802076516</v>
      </c>
      <c r="H163" s="6">
        <f t="shared" si="28"/>
        <v>74026.452270276044</v>
      </c>
    </row>
    <row r="164" spans="1:8" ht="15" thickBot="1" x14ac:dyDescent="0.4">
      <c r="A164" s="16">
        <v>153</v>
      </c>
      <c r="B164" s="26">
        <f t="shared" si="23"/>
        <v>2031</v>
      </c>
      <c r="C164" s="30">
        <f t="shared" si="25"/>
        <v>48096</v>
      </c>
      <c r="D164" s="5">
        <f t="shared" si="24"/>
        <v>444.25525264857879</v>
      </c>
      <c r="E164" s="5">
        <f t="shared" si="22"/>
        <v>117.20854942793707</v>
      </c>
      <c r="F164" s="5">
        <f t="shared" si="26"/>
        <v>268</v>
      </c>
      <c r="G164" s="5">
        <f t="shared" si="27"/>
        <v>829.46380207651589</v>
      </c>
      <c r="H164" s="6">
        <f t="shared" si="28"/>
        <v>73582.197017627463</v>
      </c>
    </row>
    <row r="165" spans="1:8" ht="15" thickBot="1" x14ac:dyDescent="0.4">
      <c r="A165" s="16">
        <v>154</v>
      </c>
      <c r="B165" s="26">
        <f t="shared" si="23"/>
        <v>2031</v>
      </c>
      <c r="C165" s="30">
        <f t="shared" si="25"/>
        <v>48126</v>
      </c>
      <c r="D165" s="5">
        <f t="shared" si="24"/>
        <v>444.95865679860572</v>
      </c>
      <c r="E165" s="5">
        <f t="shared" si="22"/>
        <v>116.50514527791015</v>
      </c>
      <c r="F165" s="5">
        <f t="shared" si="26"/>
        <v>268</v>
      </c>
      <c r="G165" s="5">
        <f t="shared" si="27"/>
        <v>829.46380207651589</v>
      </c>
      <c r="H165" s="6">
        <f t="shared" si="28"/>
        <v>73137.238360828851</v>
      </c>
    </row>
    <row r="166" spans="1:8" ht="15" thickBot="1" x14ac:dyDescent="0.4">
      <c r="A166" s="16">
        <v>155</v>
      </c>
      <c r="B166" s="26">
        <f t="shared" si="23"/>
        <v>2031</v>
      </c>
      <c r="C166" s="30">
        <f t="shared" si="25"/>
        <v>48157</v>
      </c>
      <c r="D166" s="5">
        <f t="shared" si="24"/>
        <v>445.66317467187025</v>
      </c>
      <c r="E166" s="5">
        <f t="shared" si="22"/>
        <v>115.80062740464568</v>
      </c>
      <c r="F166" s="5">
        <f t="shared" si="26"/>
        <v>268</v>
      </c>
      <c r="G166" s="5">
        <f t="shared" si="27"/>
        <v>829.46380207651589</v>
      </c>
      <c r="H166" s="6">
        <f t="shared" si="28"/>
        <v>72691.575186156988</v>
      </c>
    </row>
    <row r="167" spans="1:8" ht="15" thickBot="1" x14ac:dyDescent="0.4">
      <c r="A167" s="16">
        <v>156</v>
      </c>
      <c r="B167" s="26">
        <f t="shared" si="23"/>
        <v>2031</v>
      </c>
      <c r="C167" s="30">
        <f t="shared" si="25"/>
        <v>48187</v>
      </c>
      <c r="D167" s="5">
        <f t="shared" si="24"/>
        <v>446.36880803176734</v>
      </c>
      <c r="E167" s="5">
        <f t="shared" si="22"/>
        <v>115.09499404474856</v>
      </c>
      <c r="F167" s="5">
        <f t="shared" si="26"/>
        <v>268</v>
      </c>
      <c r="G167" s="5">
        <f t="shared" si="27"/>
        <v>829.46380207651589</v>
      </c>
      <c r="H167" s="6">
        <f t="shared" si="28"/>
        <v>72245.206378125222</v>
      </c>
    </row>
    <row r="168" spans="1:8" ht="15" thickBot="1" x14ac:dyDescent="0.4">
      <c r="A168" s="16">
        <v>157</v>
      </c>
      <c r="B168" s="26">
        <f t="shared" si="23"/>
        <v>2032</v>
      </c>
      <c r="C168" s="30">
        <f t="shared" si="25"/>
        <v>48218</v>
      </c>
      <c r="D168" s="5">
        <f t="shared" si="24"/>
        <v>447.07555864448432</v>
      </c>
      <c r="E168" s="5">
        <f t="shared" si="22"/>
        <v>114.3882434320316</v>
      </c>
      <c r="F168" s="5">
        <f t="shared" si="26"/>
        <v>268</v>
      </c>
      <c r="G168" s="5">
        <f t="shared" si="27"/>
        <v>829.46380207651589</v>
      </c>
      <c r="H168" s="6">
        <f t="shared" si="28"/>
        <v>71798.130819480735</v>
      </c>
    </row>
    <row r="169" spans="1:8" ht="15" thickBot="1" x14ac:dyDescent="0.4">
      <c r="A169" s="16">
        <v>158</v>
      </c>
      <c r="B169" s="26">
        <f t="shared" si="23"/>
        <v>2032</v>
      </c>
      <c r="C169" s="30">
        <f t="shared" si="25"/>
        <v>48249</v>
      </c>
      <c r="D169" s="5">
        <f t="shared" si="24"/>
        <v>447.78342827900474</v>
      </c>
      <c r="E169" s="5">
        <f t="shared" si="22"/>
        <v>113.68037379751117</v>
      </c>
      <c r="F169" s="5">
        <f t="shared" si="26"/>
        <v>268</v>
      </c>
      <c r="G169" s="5">
        <f t="shared" si="27"/>
        <v>829.46380207651589</v>
      </c>
      <c r="H169" s="6">
        <f t="shared" si="28"/>
        <v>71350.347391201736</v>
      </c>
    </row>
    <row r="170" spans="1:8" ht="15" thickBot="1" x14ac:dyDescent="0.4">
      <c r="A170" s="16">
        <v>159</v>
      </c>
      <c r="B170" s="26">
        <f t="shared" si="23"/>
        <v>2032</v>
      </c>
      <c r="C170" s="30">
        <f t="shared" si="25"/>
        <v>48278</v>
      </c>
      <c r="D170" s="5">
        <f t="shared" si="24"/>
        <v>448.49241870711319</v>
      </c>
      <c r="E170" s="5">
        <f t="shared" si="22"/>
        <v>112.97138336940274</v>
      </c>
      <c r="F170" s="5">
        <f t="shared" si="26"/>
        <v>268</v>
      </c>
      <c r="G170" s="5">
        <f t="shared" si="27"/>
        <v>829.46380207651589</v>
      </c>
      <c r="H170" s="6">
        <f t="shared" si="28"/>
        <v>70901.854972494621</v>
      </c>
    </row>
    <row r="171" spans="1:8" ht="15" thickBot="1" x14ac:dyDescent="0.4">
      <c r="A171" s="16">
        <v>160</v>
      </c>
      <c r="B171" s="26">
        <f t="shared" si="23"/>
        <v>2032</v>
      </c>
      <c r="C171" s="30">
        <f t="shared" si="25"/>
        <v>48309</v>
      </c>
      <c r="D171" s="5">
        <f t="shared" si="24"/>
        <v>449.20253170339947</v>
      </c>
      <c r="E171" s="5">
        <f t="shared" si="22"/>
        <v>112.26127037311647</v>
      </c>
      <c r="F171" s="5">
        <f t="shared" si="26"/>
        <v>268</v>
      </c>
      <c r="G171" s="5">
        <f t="shared" si="27"/>
        <v>829.463802076516</v>
      </c>
      <c r="H171" s="6">
        <f t="shared" si="28"/>
        <v>70452.652440791222</v>
      </c>
    </row>
    <row r="172" spans="1:8" ht="15" thickBot="1" x14ac:dyDescent="0.4">
      <c r="A172" s="16">
        <v>161</v>
      </c>
      <c r="B172" s="26">
        <f t="shared" si="23"/>
        <v>2032</v>
      </c>
      <c r="C172" s="30">
        <f t="shared" si="25"/>
        <v>48339</v>
      </c>
      <c r="D172" s="5">
        <f t="shared" si="24"/>
        <v>449.91376904526317</v>
      </c>
      <c r="E172" s="5">
        <f t="shared" ref="E172:E191" si="29">$E$3*H171</f>
        <v>111.55003303125277</v>
      </c>
      <c r="F172" s="5">
        <f t="shared" si="26"/>
        <v>268</v>
      </c>
      <c r="G172" s="5">
        <f t="shared" si="27"/>
        <v>829.46380207651589</v>
      </c>
      <c r="H172" s="6">
        <f t="shared" si="28"/>
        <v>70002.738671745959</v>
      </c>
    </row>
    <row r="173" spans="1:8" ht="15" thickBot="1" x14ac:dyDescent="0.4">
      <c r="A173" s="16">
        <v>162</v>
      </c>
      <c r="B173" s="26">
        <f t="shared" si="23"/>
        <v>2032</v>
      </c>
      <c r="C173" s="30">
        <f t="shared" si="25"/>
        <v>48370</v>
      </c>
      <c r="D173" s="5">
        <f t="shared" si="24"/>
        <v>450.62613251291816</v>
      </c>
      <c r="E173" s="5">
        <f t="shared" si="29"/>
        <v>110.83766956359777</v>
      </c>
      <c r="F173" s="5">
        <f t="shared" si="26"/>
        <v>268</v>
      </c>
      <c r="G173" s="5">
        <f t="shared" si="27"/>
        <v>829.46380207651589</v>
      </c>
      <c r="H173" s="6">
        <f t="shared" si="28"/>
        <v>69552.112539233043</v>
      </c>
    </row>
    <row r="174" spans="1:8" ht="15" thickBot="1" x14ac:dyDescent="0.4">
      <c r="A174" s="16">
        <v>163</v>
      </c>
      <c r="B174" s="26">
        <f t="shared" si="23"/>
        <v>2032</v>
      </c>
      <c r="C174" s="30">
        <f t="shared" si="25"/>
        <v>48400</v>
      </c>
      <c r="D174" s="5">
        <f t="shared" si="24"/>
        <v>451.33962388939688</v>
      </c>
      <c r="E174" s="5">
        <f t="shared" si="29"/>
        <v>110.12417818711899</v>
      </c>
      <c r="F174" s="5">
        <f t="shared" si="26"/>
        <v>268</v>
      </c>
      <c r="G174" s="5">
        <f t="shared" si="27"/>
        <v>829.46380207651589</v>
      </c>
      <c r="H174" s="6">
        <f t="shared" si="28"/>
        <v>69100.772915343652</v>
      </c>
    </row>
    <row r="175" spans="1:8" ht="15" thickBot="1" x14ac:dyDescent="0.4">
      <c r="A175" s="16">
        <v>164</v>
      </c>
      <c r="B175" s="26">
        <f t="shared" si="23"/>
        <v>2032</v>
      </c>
      <c r="C175" s="30">
        <f t="shared" si="25"/>
        <v>48431</v>
      </c>
      <c r="D175" s="5">
        <f t="shared" si="24"/>
        <v>452.05424496055514</v>
      </c>
      <c r="E175" s="5">
        <f t="shared" si="29"/>
        <v>109.40955711596078</v>
      </c>
      <c r="F175" s="5">
        <f t="shared" si="26"/>
        <v>268</v>
      </c>
      <c r="G175" s="5">
        <f t="shared" si="27"/>
        <v>829.46380207651589</v>
      </c>
      <c r="H175" s="6">
        <f t="shared" si="28"/>
        <v>68648.718670383096</v>
      </c>
    </row>
    <row r="176" spans="1:8" ht="15" thickBot="1" x14ac:dyDescent="0.4">
      <c r="A176" s="16">
        <v>165</v>
      </c>
      <c r="B176" s="26">
        <f t="shared" si="23"/>
        <v>2032</v>
      </c>
      <c r="C176" s="30">
        <f t="shared" si="25"/>
        <v>48462</v>
      </c>
      <c r="D176" s="5">
        <f t="shared" si="24"/>
        <v>452.76999751507594</v>
      </c>
      <c r="E176" s="5">
        <f t="shared" si="29"/>
        <v>108.6938045614399</v>
      </c>
      <c r="F176" s="5">
        <f t="shared" si="26"/>
        <v>268</v>
      </c>
      <c r="G176" s="5">
        <f t="shared" si="27"/>
        <v>829.46380207651589</v>
      </c>
      <c r="H176" s="6">
        <f t="shared" si="28"/>
        <v>68195.94867286802</v>
      </c>
    </row>
    <row r="177" spans="1:8" ht="15" thickBot="1" x14ac:dyDescent="0.4">
      <c r="A177" s="16">
        <v>166</v>
      </c>
      <c r="B177" s="26">
        <f t="shared" si="23"/>
        <v>2032</v>
      </c>
      <c r="C177" s="30">
        <f t="shared" si="25"/>
        <v>48492</v>
      </c>
      <c r="D177" s="5">
        <f t="shared" si="24"/>
        <v>453.4868833444749</v>
      </c>
      <c r="E177" s="5">
        <f t="shared" si="29"/>
        <v>107.97691873204103</v>
      </c>
      <c r="F177" s="5">
        <f t="shared" si="26"/>
        <v>268</v>
      </c>
      <c r="G177" s="5">
        <f t="shared" si="27"/>
        <v>829.46380207651589</v>
      </c>
      <c r="H177" s="6">
        <f t="shared" si="28"/>
        <v>67742.461789523542</v>
      </c>
    </row>
    <row r="178" spans="1:8" ht="15" thickBot="1" x14ac:dyDescent="0.4">
      <c r="A178" s="16">
        <v>167</v>
      </c>
      <c r="B178" s="26">
        <f t="shared" si="23"/>
        <v>2032</v>
      </c>
      <c r="C178" s="30">
        <f t="shared" si="25"/>
        <v>48523</v>
      </c>
      <c r="D178" s="5">
        <f t="shared" si="24"/>
        <v>454.20490424310356</v>
      </c>
      <c r="E178" s="5">
        <f t="shared" si="29"/>
        <v>107.25889783341228</v>
      </c>
      <c r="F178" s="5">
        <f t="shared" si="26"/>
        <v>268</v>
      </c>
      <c r="G178" s="5">
        <f t="shared" si="27"/>
        <v>829.46380207651578</v>
      </c>
      <c r="H178" s="6">
        <f t="shared" si="28"/>
        <v>67288.25688528044</v>
      </c>
    </row>
    <row r="179" spans="1:8" ht="15" thickBot="1" x14ac:dyDescent="0.4">
      <c r="A179" s="16">
        <v>168</v>
      </c>
      <c r="B179" s="26">
        <f t="shared" si="23"/>
        <v>2032</v>
      </c>
      <c r="C179" s="30">
        <f t="shared" si="25"/>
        <v>48553</v>
      </c>
      <c r="D179" s="5">
        <f t="shared" si="24"/>
        <v>454.92406200815515</v>
      </c>
      <c r="E179" s="5">
        <f t="shared" si="29"/>
        <v>106.5397400683607</v>
      </c>
      <c r="F179" s="5">
        <f t="shared" si="26"/>
        <v>268</v>
      </c>
      <c r="G179" s="5">
        <f t="shared" si="27"/>
        <v>829.46380207651589</v>
      </c>
      <c r="H179" s="6">
        <f t="shared" si="28"/>
        <v>66833.332823272285</v>
      </c>
    </row>
    <row r="180" spans="1:8" ht="15" thickBot="1" x14ac:dyDescent="0.4">
      <c r="A180" s="16">
        <v>169</v>
      </c>
      <c r="B180" s="26">
        <f t="shared" si="23"/>
        <v>2033</v>
      </c>
      <c r="C180" s="30">
        <f t="shared" si="25"/>
        <v>48584</v>
      </c>
      <c r="D180" s="5">
        <f t="shared" si="24"/>
        <v>455.64435843966817</v>
      </c>
      <c r="E180" s="5">
        <f t="shared" si="29"/>
        <v>105.81944363684778</v>
      </c>
      <c r="F180" s="5">
        <f t="shared" si="26"/>
        <v>268</v>
      </c>
      <c r="G180" s="5">
        <f t="shared" si="27"/>
        <v>829.463802076516</v>
      </c>
      <c r="H180" s="6">
        <f t="shared" si="28"/>
        <v>66377.688464832623</v>
      </c>
    </row>
    <row r="181" spans="1:8" ht="15" thickBot="1" x14ac:dyDescent="0.4">
      <c r="A181" s="16">
        <v>170</v>
      </c>
      <c r="B181" s="26">
        <f t="shared" si="23"/>
        <v>2033</v>
      </c>
      <c r="C181" s="30">
        <f t="shared" si="25"/>
        <v>48615</v>
      </c>
      <c r="D181" s="5">
        <f t="shared" si="24"/>
        <v>456.36579534053089</v>
      </c>
      <c r="E181" s="5">
        <f t="shared" si="29"/>
        <v>105.09800673598498</v>
      </c>
      <c r="F181" s="5">
        <f t="shared" si="26"/>
        <v>268</v>
      </c>
      <c r="G181" s="5">
        <f t="shared" si="27"/>
        <v>829.46380207651589</v>
      </c>
      <c r="H181" s="6">
        <f t="shared" si="28"/>
        <v>65921.322669492089</v>
      </c>
    </row>
    <row r="182" spans="1:8" ht="15" thickBot="1" x14ac:dyDescent="0.4">
      <c r="A182" s="16">
        <v>171</v>
      </c>
      <c r="B182" s="26">
        <f t="shared" si="23"/>
        <v>2033</v>
      </c>
      <c r="C182" s="30">
        <f t="shared" si="25"/>
        <v>48643</v>
      </c>
      <c r="D182" s="5">
        <f t="shared" si="24"/>
        <v>457.08837451648674</v>
      </c>
      <c r="E182" s="5">
        <f t="shared" si="29"/>
        <v>104.37542756002914</v>
      </c>
      <c r="F182" s="5">
        <f t="shared" si="26"/>
        <v>268</v>
      </c>
      <c r="G182" s="5">
        <f t="shared" si="27"/>
        <v>829.46380207651589</v>
      </c>
      <c r="H182" s="6">
        <f t="shared" si="28"/>
        <v>65464.234294975598</v>
      </c>
    </row>
    <row r="183" spans="1:8" ht="15" thickBot="1" x14ac:dyDescent="0.4">
      <c r="A183" s="16">
        <v>172</v>
      </c>
      <c r="B183" s="26">
        <f t="shared" si="23"/>
        <v>2033</v>
      </c>
      <c r="C183" s="30">
        <f t="shared" si="25"/>
        <v>48674</v>
      </c>
      <c r="D183" s="5">
        <f t="shared" si="24"/>
        <v>457.81209777613788</v>
      </c>
      <c r="E183" s="5">
        <f t="shared" si="29"/>
        <v>103.65170430037803</v>
      </c>
      <c r="F183" s="5">
        <f t="shared" si="26"/>
        <v>268</v>
      </c>
      <c r="G183" s="5">
        <f t="shared" si="27"/>
        <v>829.46380207651589</v>
      </c>
      <c r="H183" s="6">
        <f t="shared" si="28"/>
        <v>65006.422197199463</v>
      </c>
    </row>
    <row r="184" spans="1:8" ht="15" thickBot="1" x14ac:dyDescent="0.4">
      <c r="A184" s="16">
        <v>173</v>
      </c>
      <c r="B184" s="26">
        <f t="shared" si="23"/>
        <v>2033</v>
      </c>
      <c r="C184" s="30">
        <f t="shared" si="25"/>
        <v>48704</v>
      </c>
      <c r="D184" s="5">
        <f t="shared" si="24"/>
        <v>458.53696693095003</v>
      </c>
      <c r="E184" s="5">
        <f t="shared" si="29"/>
        <v>102.92683514556582</v>
      </c>
      <c r="F184" s="5">
        <f t="shared" si="26"/>
        <v>268</v>
      </c>
      <c r="G184" s="5">
        <f t="shared" si="27"/>
        <v>829.46380207651589</v>
      </c>
      <c r="H184" s="6">
        <f t="shared" si="28"/>
        <v>64547.885230268512</v>
      </c>
    </row>
    <row r="185" spans="1:8" ht="15" thickBot="1" x14ac:dyDescent="0.4">
      <c r="A185" s="16">
        <v>174</v>
      </c>
      <c r="B185" s="26">
        <f t="shared" si="23"/>
        <v>2033</v>
      </c>
      <c r="C185" s="30">
        <f t="shared" si="25"/>
        <v>48735</v>
      </c>
      <c r="D185" s="5">
        <f t="shared" si="24"/>
        <v>459.26298379525747</v>
      </c>
      <c r="E185" s="5">
        <f t="shared" si="29"/>
        <v>102.20081828125848</v>
      </c>
      <c r="F185" s="5">
        <f t="shared" si="26"/>
        <v>268</v>
      </c>
      <c r="G185" s="5">
        <f t="shared" si="27"/>
        <v>829.463802076516</v>
      </c>
      <c r="H185" s="6">
        <f t="shared" si="28"/>
        <v>64088.622246473256</v>
      </c>
    </row>
    <row r="186" spans="1:8" ht="15" thickBot="1" x14ac:dyDescent="0.4">
      <c r="A186" s="16">
        <v>175</v>
      </c>
      <c r="B186" s="26">
        <f t="shared" si="23"/>
        <v>2033</v>
      </c>
      <c r="C186" s="30">
        <f t="shared" si="25"/>
        <v>48765</v>
      </c>
      <c r="D186" s="5">
        <f t="shared" si="24"/>
        <v>459.99015018626653</v>
      </c>
      <c r="E186" s="5">
        <f t="shared" si="29"/>
        <v>101.47365189024931</v>
      </c>
      <c r="F186" s="5">
        <f t="shared" si="26"/>
        <v>268</v>
      </c>
      <c r="G186" s="5">
        <f t="shared" si="27"/>
        <v>829.46380207651589</v>
      </c>
      <c r="H186" s="6">
        <f t="shared" si="28"/>
        <v>63628.632096286987</v>
      </c>
    </row>
    <row r="187" spans="1:8" ht="15" thickBot="1" x14ac:dyDescent="0.4">
      <c r="A187" s="16">
        <v>176</v>
      </c>
      <c r="B187" s="26">
        <f t="shared" si="23"/>
        <v>2033</v>
      </c>
      <c r="C187" s="30">
        <f t="shared" si="25"/>
        <v>48796</v>
      </c>
      <c r="D187" s="5">
        <f t="shared" si="24"/>
        <v>460.71846792406154</v>
      </c>
      <c r="E187" s="5">
        <f t="shared" si="29"/>
        <v>100.74533415245439</v>
      </c>
      <c r="F187" s="5">
        <f t="shared" si="26"/>
        <v>268</v>
      </c>
      <c r="G187" s="5">
        <f t="shared" si="27"/>
        <v>829.46380207651589</v>
      </c>
      <c r="H187" s="6">
        <f t="shared" si="28"/>
        <v>63167.913628362927</v>
      </c>
    </row>
    <row r="188" spans="1:8" ht="15" thickBot="1" x14ac:dyDescent="0.4">
      <c r="A188" s="16">
        <v>177</v>
      </c>
      <c r="B188" s="26">
        <f t="shared" si="23"/>
        <v>2033</v>
      </c>
      <c r="C188" s="30">
        <f t="shared" si="25"/>
        <v>48827</v>
      </c>
      <c r="D188" s="5">
        <f t="shared" si="24"/>
        <v>461.44793883160787</v>
      </c>
      <c r="E188" s="5">
        <f t="shared" si="29"/>
        <v>100.01586324490796</v>
      </c>
      <c r="F188" s="5">
        <f t="shared" si="26"/>
        <v>268</v>
      </c>
      <c r="G188" s="5">
        <f t="shared" si="27"/>
        <v>829.46380207651578</v>
      </c>
      <c r="H188" s="6">
        <f t="shared" si="28"/>
        <v>62706.465689531316</v>
      </c>
    </row>
    <row r="189" spans="1:8" ht="15" thickBot="1" x14ac:dyDescent="0.4">
      <c r="A189" s="16">
        <v>178</v>
      </c>
      <c r="B189" s="26">
        <f t="shared" si="23"/>
        <v>2033</v>
      </c>
      <c r="C189" s="30">
        <f t="shared" si="25"/>
        <v>48857</v>
      </c>
      <c r="D189" s="5">
        <f t="shared" si="24"/>
        <v>462.17856473475797</v>
      </c>
      <c r="E189" s="5">
        <f t="shared" si="29"/>
        <v>99.28523734175792</v>
      </c>
      <c r="F189" s="5">
        <f t="shared" si="26"/>
        <v>268</v>
      </c>
      <c r="G189" s="5">
        <f t="shared" si="27"/>
        <v>829.46380207651589</v>
      </c>
      <c r="H189" s="6">
        <f t="shared" si="28"/>
        <v>62244.28712479656</v>
      </c>
    </row>
    <row r="190" spans="1:8" ht="15" thickBot="1" x14ac:dyDescent="0.4">
      <c r="A190" s="16">
        <v>179</v>
      </c>
      <c r="B190" s="26">
        <f t="shared" si="23"/>
        <v>2033</v>
      </c>
      <c r="C190" s="30">
        <f t="shared" si="25"/>
        <v>48888</v>
      </c>
      <c r="D190" s="5">
        <f t="shared" si="24"/>
        <v>462.91034746225466</v>
      </c>
      <c r="E190" s="5">
        <f t="shared" si="29"/>
        <v>98.553454614261213</v>
      </c>
      <c r="F190" s="5">
        <f t="shared" si="26"/>
        <v>268</v>
      </c>
      <c r="G190" s="5">
        <f t="shared" si="27"/>
        <v>829.46380207651589</v>
      </c>
      <c r="H190" s="6">
        <f>H189-D190</f>
        <v>61781.376777334306</v>
      </c>
    </row>
    <row r="191" spans="1:8" ht="15" thickBot="1" x14ac:dyDescent="0.4">
      <c r="A191" s="17">
        <v>180</v>
      </c>
      <c r="B191" s="26">
        <f t="shared" si="23"/>
        <v>2033</v>
      </c>
      <c r="C191" s="30">
        <f t="shared" si="25"/>
        <v>48918</v>
      </c>
      <c r="D191" s="5">
        <f t="shared" si="24"/>
        <v>463.64328884573661</v>
      </c>
      <c r="E191" s="7">
        <f t="shared" si="29"/>
        <v>97.820513230779312</v>
      </c>
      <c r="F191" s="5">
        <f t="shared" si="26"/>
        <v>268</v>
      </c>
      <c r="G191" s="7">
        <f t="shared" si="27"/>
        <v>829.46380207651589</v>
      </c>
      <c r="H191" s="8">
        <f t="shared" si="28"/>
        <v>61317.733488488571</v>
      </c>
    </row>
    <row r="192" spans="1:8" ht="15" thickBot="1" x14ac:dyDescent="0.4">
      <c r="A192" s="17">
        <v>181</v>
      </c>
      <c r="B192" s="26">
        <f t="shared" ref="B192:B215" si="30">YEAR(C192)</f>
        <v>2034</v>
      </c>
      <c r="C192" s="30">
        <f t="shared" si="25"/>
        <v>48949</v>
      </c>
      <c r="D192" s="5">
        <f t="shared" ref="D192:D215" si="31">IF(H191&gt;$E$5,$E$5-E192-F192,H191)</f>
        <v>464.37739071974238</v>
      </c>
      <c r="E192" s="7">
        <f t="shared" ref="E192:E215" si="32">$E$3*H191</f>
        <v>97.086411356773567</v>
      </c>
      <c r="F192" s="5">
        <f t="shared" si="26"/>
        <v>268</v>
      </c>
      <c r="G192" s="7">
        <f t="shared" ref="G192:G215" si="33">D192+E192+F192</f>
        <v>829.463802076516</v>
      </c>
      <c r="H192" s="8">
        <f t="shared" ref="H192:H215" si="34">H191-D192</f>
        <v>60853.356097768832</v>
      </c>
    </row>
    <row r="193" spans="1:8" ht="15" thickBot="1" x14ac:dyDescent="0.4">
      <c r="A193" s="17">
        <v>182</v>
      </c>
      <c r="B193" s="26">
        <f t="shared" si="30"/>
        <v>2034</v>
      </c>
      <c r="C193" s="30">
        <f t="shared" si="25"/>
        <v>48980</v>
      </c>
      <c r="D193" s="5">
        <f t="shared" si="31"/>
        <v>465.11265492171526</v>
      </c>
      <c r="E193" s="7">
        <f t="shared" si="32"/>
        <v>96.351147154800643</v>
      </c>
      <c r="F193" s="5">
        <f t="shared" si="26"/>
        <v>268</v>
      </c>
      <c r="G193" s="7">
        <f t="shared" si="33"/>
        <v>829.46380207651589</v>
      </c>
      <c r="H193" s="8">
        <f t="shared" si="34"/>
        <v>60388.243442847117</v>
      </c>
    </row>
    <row r="194" spans="1:8" ht="15" thickBot="1" x14ac:dyDescent="0.4">
      <c r="A194" s="17">
        <v>183</v>
      </c>
      <c r="B194" s="26">
        <f t="shared" si="30"/>
        <v>2034</v>
      </c>
      <c r="C194" s="30">
        <f t="shared" si="25"/>
        <v>49008</v>
      </c>
      <c r="D194" s="5">
        <f t="shared" si="31"/>
        <v>465.849083292008</v>
      </c>
      <c r="E194" s="7">
        <f t="shared" si="32"/>
        <v>95.614718784507929</v>
      </c>
      <c r="F194" s="5">
        <f t="shared" si="26"/>
        <v>268</v>
      </c>
      <c r="G194" s="7">
        <f t="shared" si="33"/>
        <v>829.46380207651589</v>
      </c>
      <c r="H194" s="8">
        <f t="shared" si="34"/>
        <v>59922.39435955511</v>
      </c>
    </row>
    <row r="195" spans="1:8" ht="15" thickBot="1" x14ac:dyDescent="0.4">
      <c r="A195" s="17">
        <v>184</v>
      </c>
      <c r="B195" s="26">
        <f t="shared" si="30"/>
        <v>2034</v>
      </c>
      <c r="C195" s="30">
        <f t="shared" si="25"/>
        <v>49039</v>
      </c>
      <c r="D195" s="5">
        <f t="shared" si="31"/>
        <v>466.58667767388692</v>
      </c>
      <c r="E195" s="7">
        <f t="shared" si="32"/>
        <v>94.877124402628922</v>
      </c>
      <c r="F195" s="5">
        <f t="shared" si="26"/>
        <v>268</v>
      </c>
      <c r="G195" s="7">
        <f t="shared" si="33"/>
        <v>829.46380207651589</v>
      </c>
      <c r="H195" s="8">
        <f t="shared" si="34"/>
        <v>59455.807681881226</v>
      </c>
    </row>
    <row r="196" spans="1:8" ht="15" thickBot="1" x14ac:dyDescent="0.4">
      <c r="A196" s="17">
        <v>185</v>
      </c>
      <c r="B196" s="26">
        <f t="shared" si="30"/>
        <v>2034</v>
      </c>
      <c r="C196" s="30">
        <f t="shared" si="25"/>
        <v>49069</v>
      </c>
      <c r="D196" s="5">
        <f t="shared" si="31"/>
        <v>467.32543991353725</v>
      </c>
      <c r="E196" s="7">
        <f t="shared" si="32"/>
        <v>94.138362162978609</v>
      </c>
      <c r="F196" s="5">
        <f t="shared" si="26"/>
        <v>268</v>
      </c>
      <c r="G196" s="7">
        <f t="shared" si="33"/>
        <v>829.46380207651589</v>
      </c>
      <c r="H196" s="8">
        <f t="shared" si="34"/>
        <v>58988.482241967686</v>
      </c>
    </row>
    <row r="197" spans="1:8" ht="15" thickBot="1" x14ac:dyDescent="0.4">
      <c r="A197" s="17">
        <v>186</v>
      </c>
      <c r="B197" s="26">
        <f t="shared" si="30"/>
        <v>2034</v>
      </c>
      <c r="C197" s="30">
        <f t="shared" si="25"/>
        <v>49100</v>
      </c>
      <c r="D197" s="5">
        <f t="shared" si="31"/>
        <v>468.0653718600671</v>
      </c>
      <c r="E197" s="7">
        <f t="shared" si="32"/>
        <v>93.39843021644883</v>
      </c>
      <c r="F197" s="5">
        <f t="shared" si="26"/>
        <v>268</v>
      </c>
      <c r="G197" s="7">
        <f t="shared" si="33"/>
        <v>829.46380207651589</v>
      </c>
      <c r="H197" s="8">
        <f t="shared" si="34"/>
        <v>58520.41687010762</v>
      </c>
    </row>
    <row r="198" spans="1:8" ht="15" thickBot="1" x14ac:dyDescent="0.4">
      <c r="A198" s="17">
        <v>187</v>
      </c>
      <c r="B198" s="26">
        <f t="shared" si="30"/>
        <v>2034</v>
      </c>
      <c r="C198" s="30">
        <f t="shared" si="25"/>
        <v>49130</v>
      </c>
      <c r="D198" s="5">
        <f t="shared" si="31"/>
        <v>468.80647536551214</v>
      </c>
      <c r="E198" s="7">
        <f t="shared" si="32"/>
        <v>92.657326711003734</v>
      </c>
      <c r="F198" s="5">
        <f t="shared" si="26"/>
        <v>268</v>
      </c>
      <c r="G198" s="7">
        <f t="shared" si="33"/>
        <v>829.46380207651589</v>
      </c>
      <c r="H198" s="8">
        <f t="shared" si="34"/>
        <v>58051.610394742107</v>
      </c>
    </row>
    <row r="199" spans="1:8" ht="15" thickBot="1" x14ac:dyDescent="0.4">
      <c r="A199" s="17">
        <v>188</v>
      </c>
      <c r="B199" s="26">
        <f t="shared" si="30"/>
        <v>2034</v>
      </c>
      <c r="C199" s="30">
        <f t="shared" si="25"/>
        <v>49161</v>
      </c>
      <c r="D199" s="5">
        <f t="shared" si="31"/>
        <v>469.54875228484093</v>
      </c>
      <c r="E199" s="7">
        <f t="shared" si="32"/>
        <v>91.915049791675003</v>
      </c>
      <c r="F199" s="5">
        <f t="shared" si="26"/>
        <v>268</v>
      </c>
      <c r="G199" s="7">
        <f t="shared" si="33"/>
        <v>829.46380207651589</v>
      </c>
      <c r="H199" s="8">
        <f t="shared" si="34"/>
        <v>57582.061642457265</v>
      </c>
    </row>
    <row r="200" spans="1:8" ht="15" thickBot="1" x14ac:dyDescent="0.4">
      <c r="A200" s="17">
        <v>189</v>
      </c>
      <c r="B200" s="26">
        <f t="shared" si="30"/>
        <v>2034</v>
      </c>
      <c r="C200" s="30">
        <f t="shared" si="25"/>
        <v>49192</v>
      </c>
      <c r="D200" s="5">
        <f t="shared" si="31"/>
        <v>470.29220447595856</v>
      </c>
      <c r="E200" s="7">
        <f t="shared" si="32"/>
        <v>91.171597600557334</v>
      </c>
      <c r="F200" s="5">
        <f t="shared" si="26"/>
        <v>268</v>
      </c>
      <c r="G200" s="7">
        <f t="shared" si="33"/>
        <v>829.46380207651589</v>
      </c>
      <c r="H200" s="8">
        <f t="shared" si="34"/>
        <v>57111.769437981304</v>
      </c>
    </row>
    <row r="201" spans="1:8" ht="15" thickBot="1" x14ac:dyDescent="0.4">
      <c r="A201" s="17">
        <v>190</v>
      </c>
      <c r="B201" s="26">
        <f t="shared" si="30"/>
        <v>2034</v>
      </c>
      <c r="C201" s="30">
        <f t="shared" si="25"/>
        <v>49222</v>
      </c>
      <c r="D201" s="5">
        <f t="shared" si="31"/>
        <v>471.03683379971221</v>
      </c>
      <c r="E201" s="7">
        <f t="shared" si="32"/>
        <v>90.426968276803734</v>
      </c>
      <c r="F201" s="5">
        <f t="shared" si="26"/>
        <v>268</v>
      </c>
      <c r="G201" s="7">
        <f t="shared" si="33"/>
        <v>829.463802076516</v>
      </c>
      <c r="H201" s="8">
        <f t="shared" si="34"/>
        <v>56640.73260418159</v>
      </c>
    </row>
    <row r="202" spans="1:8" ht="15" thickBot="1" x14ac:dyDescent="0.4">
      <c r="A202" s="17">
        <v>191</v>
      </c>
      <c r="B202" s="26">
        <f t="shared" si="30"/>
        <v>2034</v>
      </c>
      <c r="C202" s="30">
        <f t="shared" si="25"/>
        <v>49253</v>
      </c>
      <c r="D202" s="5">
        <f t="shared" si="31"/>
        <v>471.78264211989506</v>
      </c>
      <c r="E202" s="7">
        <f t="shared" si="32"/>
        <v>89.681159956620846</v>
      </c>
      <c r="F202" s="5">
        <f t="shared" si="26"/>
        <v>268</v>
      </c>
      <c r="G202" s="7">
        <f t="shared" si="33"/>
        <v>829.46380207651589</v>
      </c>
      <c r="H202" s="8">
        <f t="shared" si="34"/>
        <v>56168.949962061699</v>
      </c>
    </row>
    <row r="203" spans="1:8" ht="15" thickBot="1" x14ac:dyDescent="0.4">
      <c r="A203" s="17">
        <v>192</v>
      </c>
      <c r="B203" s="26">
        <f t="shared" si="30"/>
        <v>2034</v>
      </c>
      <c r="C203" s="30">
        <f t="shared" si="25"/>
        <v>49283</v>
      </c>
      <c r="D203" s="5">
        <f t="shared" si="31"/>
        <v>472.52963130325156</v>
      </c>
      <c r="E203" s="7">
        <f t="shared" si="32"/>
        <v>88.934170773264356</v>
      </c>
      <c r="F203" s="5">
        <f t="shared" si="26"/>
        <v>268</v>
      </c>
      <c r="G203" s="7">
        <f t="shared" si="33"/>
        <v>829.46380207651589</v>
      </c>
      <c r="H203" s="8">
        <f t="shared" si="34"/>
        <v>55696.420330758447</v>
      </c>
    </row>
    <row r="204" spans="1:8" ht="15" thickBot="1" x14ac:dyDescent="0.4">
      <c r="A204" s="17">
        <v>193</v>
      </c>
      <c r="B204" s="26">
        <f t="shared" si="30"/>
        <v>2035</v>
      </c>
      <c r="C204" s="30">
        <f t="shared" si="25"/>
        <v>49314</v>
      </c>
      <c r="D204" s="5">
        <f t="shared" si="31"/>
        <v>473.27780321948171</v>
      </c>
      <c r="E204" s="7">
        <f t="shared" si="32"/>
        <v>88.185998857034207</v>
      </c>
      <c r="F204" s="5">
        <f t="shared" si="26"/>
        <v>268</v>
      </c>
      <c r="G204" s="7">
        <f t="shared" si="33"/>
        <v>829.46380207651589</v>
      </c>
      <c r="H204" s="8">
        <f t="shared" si="34"/>
        <v>55223.142527538963</v>
      </c>
    </row>
    <row r="205" spans="1:8" ht="15" thickBot="1" x14ac:dyDescent="0.4">
      <c r="A205" s="17">
        <v>194</v>
      </c>
      <c r="B205" s="26">
        <f t="shared" si="30"/>
        <v>2035</v>
      </c>
      <c r="C205" s="30">
        <f t="shared" si="25"/>
        <v>49345</v>
      </c>
      <c r="D205" s="5">
        <f t="shared" si="31"/>
        <v>474.0271597412459</v>
      </c>
      <c r="E205" s="7">
        <f t="shared" si="32"/>
        <v>87.436642335270022</v>
      </c>
      <c r="F205" s="5">
        <f t="shared" si="26"/>
        <v>268</v>
      </c>
      <c r="G205" s="7">
        <f t="shared" si="33"/>
        <v>829.46380207651589</v>
      </c>
      <c r="H205" s="8">
        <f t="shared" si="34"/>
        <v>54749.11536779772</v>
      </c>
    </row>
    <row r="206" spans="1:8" ht="15" thickBot="1" x14ac:dyDescent="0.4">
      <c r="A206" s="17">
        <v>195</v>
      </c>
      <c r="B206" s="26">
        <f t="shared" si="30"/>
        <v>2035</v>
      </c>
      <c r="C206" s="30">
        <f t="shared" ref="C206:C269" si="35">EDATE(C205,1)</f>
        <v>49373</v>
      </c>
      <c r="D206" s="5">
        <f t="shared" si="31"/>
        <v>474.77770274416946</v>
      </c>
      <c r="E206" s="7">
        <f t="shared" si="32"/>
        <v>86.686099332346387</v>
      </c>
      <c r="F206" s="5">
        <f t="shared" ref="F206:F251" si="36">IF(H205=0,0,$E$1*$E$4/12)</f>
        <v>268</v>
      </c>
      <c r="G206" s="7">
        <f t="shared" si="33"/>
        <v>829.46380207651589</v>
      </c>
      <c r="H206" s="8">
        <f t="shared" si="34"/>
        <v>54274.33766505355</v>
      </c>
    </row>
    <row r="207" spans="1:8" ht="15" thickBot="1" x14ac:dyDescent="0.4">
      <c r="A207" s="17">
        <v>196</v>
      </c>
      <c r="B207" s="26">
        <f t="shared" si="30"/>
        <v>2035</v>
      </c>
      <c r="C207" s="30">
        <f t="shared" si="35"/>
        <v>49404</v>
      </c>
      <c r="D207" s="5">
        <f t="shared" si="31"/>
        <v>475.52943410684782</v>
      </c>
      <c r="E207" s="7">
        <f t="shared" si="32"/>
        <v>85.934367969668116</v>
      </c>
      <c r="F207" s="5">
        <f t="shared" si="36"/>
        <v>268</v>
      </c>
      <c r="G207" s="7">
        <f t="shared" si="33"/>
        <v>829.46380207651589</v>
      </c>
      <c r="H207" s="8">
        <f t="shared" si="34"/>
        <v>53798.808230946699</v>
      </c>
    </row>
    <row r="208" spans="1:8" ht="15" thickBot="1" x14ac:dyDescent="0.4">
      <c r="A208" s="17">
        <v>197</v>
      </c>
      <c r="B208" s="26">
        <f t="shared" si="30"/>
        <v>2035</v>
      </c>
      <c r="C208" s="30">
        <f t="shared" si="35"/>
        <v>49434</v>
      </c>
      <c r="D208" s="5">
        <f t="shared" si="31"/>
        <v>476.28235571085031</v>
      </c>
      <c r="E208" s="7">
        <f t="shared" si="32"/>
        <v>85.181446365665607</v>
      </c>
      <c r="F208" s="5">
        <f t="shared" si="36"/>
        <v>268</v>
      </c>
      <c r="G208" s="7">
        <f t="shared" si="33"/>
        <v>829.46380207651589</v>
      </c>
      <c r="H208" s="8">
        <f t="shared" si="34"/>
        <v>53322.52587523585</v>
      </c>
    </row>
    <row r="209" spans="1:8" ht="15" thickBot="1" x14ac:dyDescent="0.4">
      <c r="A209" s="17">
        <v>198</v>
      </c>
      <c r="B209" s="26">
        <f t="shared" si="30"/>
        <v>2035</v>
      </c>
      <c r="C209" s="30">
        <f t="shared" si="35"/>
        <v>49465</v>
      </c>
      <c r="D209" s="5">
        <f t="shared" si="31"/>
        <v>477.0364694407258</v>
      </c>
      <c r="E209" s="7">
        <f t="shared" si="32"/>
        <v>84.427332635790094</v>
      </c>
      <c r="F209" s="5">
        <f t="shared" si="36"/>
        <v>268</v>
      </c>
      <c r="G209" s="7">
        <f t="shared" si="33"/>
        <v>829.46380207651589</v>
      </c>
      <c r="H209" s="8">
        <f t="shared" si="34"/>
        <v>52845.489405795124</v>
      </c>
    </row>
    <row r="210" spans="1:8" ht="15" thickBot="1" x14ac:dyDescent="0.4">
      <c r="A210" s="17">
        <v>199</v>
      </c>
      <c r="B210" s="26">
        <f t="shared" si="30"/>
        <v>2035</v>
      </c>
      <c r="C210" s="30">
        <f t="shared" si="35"/>
        <v>49495</v>
      </c>
      <c r="D210" s="5">
        <f t="shared" si="31"/>
        <v>477.79177718400695</v>
      </c>
      <c r="E210" s="7">
        <f t="shared" si="32"/>
        <v>83.672024892508944</v>
      </c>
      <c r="F210" s="5">
        <f t="shared" si="36"/>
        <v>268</v>
      </c>
      <c r="G210" s="7">
        <f t="shared" si="33"/>
        <v>829.46380207651589</v>
      </c>
      <c r="H210" s="8">
        <f t="shared" si="34"/>
        <v>52367.697628611117</v>
      </c>
    </row>
    <row r="211" spans="1:8" ht="15" thickBot="1" x14ac:dyDescent="0.4">
      <c r="A211" s="17">
        <v>200</v>
      </c>
      <c r="B211" s="26">
        <f t="shared" si="30"/>
        <v>2035</v>
      </c>
      <c r="C211" s="30">
        <f t="shared" si="35"/>
        <v>49526</v>
      </c>
      <c r="D211" s="5">
        <f t="shared" si="31"/>
        <v>478.54828083121492</v>
      </c>
      <c r="E211" s="7">
        <f t="shared" si="32"/>
        <v>82.915521245300937</v>
      </c>
      <c r="F211" s="5">
        <f t="shared" si="36"/>
        <v>268</v>
      </c>
      <c r="G211" s="7">
        <f t="shared" si="33"/>
        <v>829.46380207651589</v>
      </c>
      <c r="H211" s="8">
        <f t="shared" si="34"/>
        <v>51889.149347779901</v>
      </c>
    </row>
    <row r="212" spans="1:8" ht="15" thickBot="1" x14ac:dyDescent="0.4">
      <c r="A212" s="17">
        <v>201</v>
      </c>
      <c r="B212" s="26">
        <f t="shared" si="30"/>
        <v>2035</v>
      </c>
      <c r="C212" s="30">
        <f t="shared" si="35"/>
        <v>49557</v>
      </c>
      <c r="D212" s="5">
        <f t="shared" si="31"/>
        <v>479.30598227586438</v>
      </c>
      <c r="E212" s="7">
        <f t="shared" si="32"/>
        <v>82.157819800651509</v>
      </c>
      <c r="F212" s="5">
        <f t="shared" si="36"/>
        <v>268</v>
      </c>
      <c r="G212" s="7">
        <f t="shared" si="33"/>
        <v>829.46380207651589</v>
      </c>
      <c r="H212" s="8">
        <f t="shared" si="34"/>
        <v>51409.843365504035</v>
      </c>
    </row>
    <row r="213" spans="1:8" ht="15" thickBot="1" x14ac:dyDescent="0.4">
      <c r="A213" s="17">
        <v>202</v>
      </c>
      <c r="B213" s="26">
        <f t="shared" si="30"/>
        <v>2035</v>
      </c>
      <c r="C213" s="30">
        <f t="shared" si="35"/>
        <v>49587</v>
      </c>
      <c r="D213" s="5">
        <f t="shared" si="31"/>
        <v>480.06488341446789</v>
      </c>
      <c r="E213" s="7">
        <f t="shared" si="32"/>
        <v>81.398918662048061</v>
      </c>
      <c r="F213" s="5">
        <f t="shared" si="36"/>
        <v>268</v>
      </c>
      <c r="G213" s="7">
        <f t="shared" si="33"/>
        <v>829.463802076516</v>
      </c>
      <c r="H213" s="8">
        <f t="shared" si="34"/>
        <v>50929.778482089569</v>
      </c>
    </row>
    <row r="214" spans="1:8" ht="15" thickBot="1" x14ac:dyDescent="0.4">
      <c r="A214" s="17">
        <v>203</v>
      </c>
      <c r="B214" s="26">
        <f t="shared" si="30"/>
        <v>2035</v>
      </c>
      <c r="C214" s="30">
        <f t="shared" si="35"/>
        <v>49618</v>
      </c>
      <c r="D214" s="5">
        <f t="shared" si="31"/>
        <v>480.82498614654071</v>
      </c>
      <c r="E214" s="7">
        <f t="shared" si="32"/>
        <v>80.638815929975152</v>
      </c>
      <c r="F214" s="5">
        <f t="shared" si="36"/>
        <v>268</v>
      </c>
      <c r="G214" s="7">
        <f t="shared" si="33"/>
        <v>829.46380207651589</v>
      </c>
      <c r="H214" s="8">
        <f t="shared" si="34"/>
        <v>50448.953495943031</v>
      </c>
    </row>
    <row r="215" spans="1:8" ht="15" thickBot="1" x14ac:dyDescent="0.4">
      <c r="A215" s="17">
        <v>204</v>
      </c>
      <c r="B215" s="26">
        <f t="shared" si="30"/>
        <v>2035</v>
      </c>
      <c r="C215" s="30">
        <f t="shared" si="35"/>
        <v>49648</v>
      </c>
      <c r="D215" s="5">
        <f t="shared" si="31"/>
        <v>481.58629237460605</v>
      </c>
      <c r="E215" s="7">
        <f t="shared" si="32"/>
        <v>79.877509701909801</v>
      </c>
      <c r="F215" s="5">
        <f t="shared" si="36"/>
        <v>268</v>
      </c>
      <c r="G215" s="7">
        <f t="shared" si="33"/>
        <v>829.46380207651589</v>
      </c>
      <c r="H215" s="8">
        <f t="shared" si="34"/>
        <v>49967.367203568429</v>
      </c>
    </row>
    <row r="216" spans="1:8" ht="15" thickBot="1" x14ac:dyDescent="0.4">
      <c r="A216" s="17">
        <v>205</v>
      </c>
      <c r="B216" s="26">
        <f t="shared" ref="B216:B230" si="37">YEAR(C216)</f>
        <v>2036</v>
      </c>
      <c r="C216" s="30">
        <f t="shared" si="35"/>
        <v>49679</v>
      </c>
      <c r="D216" s="5">
        <f t="shared" ref="D216:D230" si="38">IF(H215&gt;$E$5,$E$5-E216-F216,H215)</f>
        <v>482.34880400419922</v>
      </c>
      <c r="E216" s="7">
        <f t="shared" ref="E216:E230" si="39">$E$3*H215</f>
        <v>79.114998072316681</v>
      </c>
      <c r="F216" s="5">
        <f t="shared" si="36"/>
        <v>268</v>
      </c>
      <c r="G216" s="7">
        <f t="shared" ref="G216:G230" si="40">D216+E216+F216</f>
        <v>829.46380207651589</v>
      </c>
      <c r="H216" s="8">
        <f t="shared" ref="H216:H230" si="41">H215-D216</f>
        <v>49485.018399564229</v>
      </c>
    </row>
    <row r="217" spans="1:8" ht="15" thickBot="1" x14ac:dyDescent="0.4">
      <c r="A217" s="17">
        <v>206</v>
      </c>
      <c r="B217" s="26">
        <f t="shared" si="37"/>
        <v>2036</v>
      </c>
      <c r="C217" s="30">
        <f t="shared" si="35"/>
        <v>49710</v>
      </c>
      <c r="D217" s="5">
        <f t="shared" si="38"/>
        <v>483.11252294387259</v>
      </c>
      <c r="E217" s="7">
        <f t="shared" si="39"/>
        <v>78.351279132643356</v>
      </c>
      <c r="F217" s="5">
        <f t="shared" si="36"/>
        <v>268</v>
      </c>
      <c r="G217" s="7">
        <f t="shared" si="40"/>
        <v>829.463802076516</v>
      </c>
      <c r="H217" s="8">
        <f t="shared" si="41"/>
        <v>49001.90587662036</v>
      </c>
    </row>
    <row r="218" spans="1:8" ht="15" thickBot="1" x14ac:dyDescent="0.4">
      <c r="A218" s="17">
        <v>207</v>
      </c>
      <c r="B218" s="26">
        <f t="shared" si="37"/>
        <v>2036</v>
      </c>
      <c r="C218" s="30">
        <f t="shared" si="35"/>
        <v>49739</v>
      </c>
      <c r="D218" s="5">
        <f t="shared" si="38"/>
        <v>483.87745110520029</v>
      </c>
      <c r="E218" s="7">
        <f t="shared" si="39"/>
        <v>77.586350971315568</v>
      </c>
      <c r="F218" s="5">
        <f t="shared" si="36"/>
        <v>268</v>
      </c>
      <c r="G218" s="7">
        <f t="shared" si="40"/>
        <v>829.46380207651589</v>
      </c>
      <c r="H218" s="8">
        <f t="shared" si="41"/>
        <v>48518.028425515156</v>
      </c>
    </row>
    <row r="219" spans="1:8" ht="15" thickBot="1" x14ac:dyDescent="0.4">
      <c r="A219" s="17">
        <v>208</v>
      </c>
      <c r="B219" s="26">
        <f t="shared" si="37"/>
        <v>2036</v>
      </c>
      <c r="C219" s="30">
        <f t="shared" si="35"/>
        <v>49770</v>
      </c>
      <c r="D219" s="5">
        <f t="shared" si="38"/>
        <v>484.6435904027835</v>
      </c>
      <c r="E219" s="7">
        <f t="shared" si="39"/>
        <v>76.820211673732331</v>
      </c>
      <c r="F219" s="5">
        <f t="shared" si="36"/>
        <v>268</v>
      </c>
      <c r="G219" s="7">
        <f t="shared" si="40"/>
        <v>829.46380207651578</v>
      </c>
      <c r="H219" s="8">
        <f t="shared" si="41"/>
        <v>48033.384835112374</v>
      </c>
    </row>
    <row r="220" spans="1:8" ht="15" thickBot="1" x14ac:dyDescent="0.4">
      <c r="A220" s="17">
        <v>209</v>
      </c>
      <c r="B220" s="26">
        <f t="shared" si="37"/>
        <v>2036</v>
      </c>
      <c r="C220" s="30">
        <f t="shared" si="35"/>
        <v>49800</v>
      </c>
      <c r="D220" s="5">
        <f t="shared" si="38"/>
        <v>485.41094275425462</v>
      </c>
      <c r="E220" s="7">
        <f t="shared" si="39"/>
        <v>76.052859322261256</v>
      </c>
      <c r="F220" s="5">
        <f t="shared" si="36"/>
        <v>268</v>
      </c>
      <c r="G220" s="7">
        <f t="shared" si="40"/>
        <v>829.46380207651589</v>
      </c>
      <c r="H220" s="8">
        <f t="shared" si="41"/>
        <v>47547.973892358117</v>
      </c>
    </row>
    <row r="221" spans="1:8" ht="15" thickBot="1" x14ac:dyDescent="0.4">
      <c r="A221" s="17">
        <v>210</v>
      </c>
      <c r="B221" s="26">
        <f t="shared" si="37"/>
        <v>2036</v>
      </c>
      <c r="C221" s="30">
        <f t="shared" si="35"/>
        <v>49831</v>
      </c>
      <c r="D221" s="5">
        <f t="shared" si="38"/>
        <v>486.17951008028217</v>
      </c>
      <c r="E221" s="7">
        <f t="shared" si="39"/>
        <v>75.284291996233691</v>
      </c>
      <c r="F221" s="5">
        <f t="shared" si="36"/>
        <v>268</v>
      </c>
      <c r="G221" s="7">
        <f t="shared" si="40"/>
        <v>829.46380207651589</v>
      </c>
      <c r="H221" s="8">
        <f t="shared" si="41"/>
        <v>47061.794382277832</v>
      </c>
    </row>
    <row r="222" spans="1:8" ht="15" thickBot="1" x14ac:dyDescent="0.4">
      <c r="A222" s="17">
        <v>211</v>
      </c>
      <c r="B222" s="26">
        <f t="shared" si="37"/>
        <v>2036</v>
      </c>
      <c r="C222" s="30">
        <f t="shared" si="35"/>
        <v>49861</v>
      </c>
      <c r="D222" s="5">
        <f t="shared" si="38"/>
        <v>486.94929430457603</v>
      </c>
      <c r="E222" s="7">
        <f t="shared" si="39"/>
        <v>74.514507771939904</v>
      </c>
      <c r="F222" s="5">
        <f t="shared" si="36"/>
        <v>268</v>
      </c>
      <c r="G222" s="7">
        <f t="shared" si="40"/>
        <v>829.46380207651589</v>
      </c>
      <c r="H222" s="8">
        <f t="shared" si="41"/>
        <v>46574.845087973255</v>
      </c>
    </row>
    <row r="223" spans="1:8" ht="15" thickBot="1" x14ac:dyDescent="0.4">
      <c r="A223" s="17">
        <v>212</v>
      </c>
      <c r="B223" s="26">
        <f t="shared" si="37"/>
        <v>2036</v>
      </c>
      <c r="C223" s="30">
        <f t="shared" si="35"/>
        <v>49892</v>
      </c>
      <c r="D223" s="5">
        <f t="shared" si="38"/>
        <v>487.72029735389151</v>
      </c>
      <c r="E223" s="7">
        <f t="shared" si="39"/>
        <v>73.743504722624323</v>
      </c>
      <c r="F223" s="5">
        <f t="shared" si="36"/>
        <v>268</v>
      </c>
      <c r="G223" s="7">
        <f t="shared" si="40"/>
        <v>829.46380207651578</v>
      </c>
      <c r="H223" s="8">
        <f t="shared" si="41"/>
        <v>46087.12479061936</v>
      </c>
    </row>
    <row r="224" spans="1:8" ht="15" thickBot="1" x14ac:dyDescent="0.4">
      <c r="A224" s="17">
        <v>213</v>
      </c>
      <c r="B224" s="26">
        <f t="shared" si="37"/>
        <v>2036</v>
      </c>
      <c r="C224" s="30">
        <f t="shared" si="35"/>
        <v>49923</v>
      </c>
      <c r="D224" s="5">
        <f t="shared" si="38"/>
        <v>488.49252115803529</v>
      </c>
      <c r="E224" s="7">
        <f t="shared" si="39"/>
        <v>72.971280918480659</v>
      </c>
      <c r="F224" s="5">
        <f t="shared" si="36"/>
        <v>268</v>
      </c>
      <c r="G224" s="7">
        <f t="shared" si="40"/>
        <v>829.463802076516</v>
      </c>
      <c r="H224" s="8">
        <f t="shared" si="41"/>
        <v>45598.632269461326</v>
      </c>
    </row>
    <row r="225" spans="1:8" ht="15" thickBot="1" x14ac:dyDescent="0.4">
      <c r="A225" s="17">
        <v>214</v>
      </c>
      <c r="B225" s="26">
        <f t="shared" si="37"/>
        <v>2036</v>
      </c>
      <c r="C225" s="30">
        <f t="shared" si="35"/>
        <v>49953</v>
      </c>
      <c r="D225" s="5">
        <f t="shared" si="38"/>
        <v>489.2659676498688</v>
      </c>
      <c r="E225" s="7">
        <f t="shared" si="39"/>
        <v>72.197834426647091</v>
      </c>
      <c r="F225" s="5">
        <f t="shared" si="36"/>
        <v>268</v>
      </c>
      <c r="G225" s="7">
        <f t="shared" si="40"/>
        <v>829.46380207651589</v>
      </c>
      <c r="H225" s="8">
        <f t="shared" si="41"/>
        <v>45109.36630181146</v>
      </c>
    </row>
    <row r="226" spans="1:8" ht="15" thickBot="1" x14ac:dyDescent="0.4">
      <c r="A226" s="17">
        <v>215</v>
      </c>
      <c r="B226" s="26">
        <f t="shared" si="37"/>
        <v>2036</v>
      </c>
      <c r="C226" s="30">
        <f t="shared" si="35"/>
        <v>49984</v>
      </c>
      <c r="D226" s="5">
        <f t="shared" si="38"/>
        <v>490.04063876531438</v>
      </c>
      <c r="E226" s="7">
        <f t="shared" si="39"/>
        <v>71.423163311201478</v>
      </c>
      <c r="F226" s="5">
        <f t="shared" si="36"/>
        <v>268</v>
      </c>
      <c r="G226" s="7">
        <f t="shared" si="40"/>
        <v>829.46380207651589</v>
      </c>
      <c r="H226" s="8">
        <f t="shared" si="41"/>
        <v>44619.325663046147</v>
      </c>
    </row>
    <row r="227" spans="1:8" ht="15" thickBot="1" x14ac:dyDescent="0.4">
      <c r="A227" s="17">
        <v>216</v>
      </c>
      <c r="B227" s="26">
        <f t="shared" si="37"/>
        <v>2036</v>
      </c>
      <c r="C227" s="30">
        <f t="shared" si="35"/>
        <v>50014</v>
      </c>
      <c r="D227" s="5">
        <f t="shared" si="38"/>
        <v>490.8165364433595</v>
      </c>
      <c r="E227" s="7">
        <f t="shared" si="39"/>
        <v>70.647265633156394</v>
      </c>
      <c r="F227" s="5">
        <f t="shared" si="36"/>
        <v>268</v>
      </c>
      <c r="G227" s="7">
        <f t="shared" si="40"/>
        <v>829.46380207651589</v>
      </c>
      <c r="H227" s="8">
        <f t="shared" si="41"/>
        <v>44128.509126602788</v>
      </c>
    </row>
    <row r="228" spans="1:8" ht="15" thickBot="1" x14ac:dyDescent="0.4">
      <c r="A228" s="17">
        <v>217</v>
      </c>
      <c r="B228" s="26">
        <f t="shared" si="37"/>
        <v>2037</v>
      </c>
      <c r="C228" s="30">
        <f t="shared" si="35"/>
        <v>50045</v>
      </c>
      <c r="D228" s="5">
        <f t="shared" si="38"/>
        <v>491.59366262606147</v>
      </c>
      <c r="E228" s="7">
        <f t="shared" si="39"/>
        <v>69.870139450454417</v>
      </c>
      <c r="F228" s="5">
        <f t="shared" si="36"/>
        <v>268</v>
      </c>
      <c r="G228" s="7">
        <f t="shared" si="40"/>
        <v>829.46380207651589</v>
      </c>
      <c r="H228" s="8">
        <f t="shared" si="41"/>
        <v>43636.915463976729</v>
      </c>
    </row>
    <row r="229" spans="1:8" ht="15" thickBot="1" x14ac:dyDescent="0.4">
      <c r="A229" s="17">
        <v>218</v>
      </c>
      <c r="B229" s="26">
        <f t="shared" si="37"/>
        <v>2037</v>
      </c>
      <c r="C229" s="30">
        <f t="shared" si="35"/>
        <v>50076</v>
      </c>
      <c r="D229" s="5">
        <f t="shared" si="38"/>
        <v>492.37201925855277</v>
      </c>
      <c r="E229" s="7">
        <f t="shared" si="39"/>
        <v>69.09178281796315</v>
      </c>
      <c r="F229" s="5">
        <f t="shared" si="36"/>
        <v>268</v>
      </c>
      <c r="G229" s="7">
        <f t="shared" si="40"/>
        <v>829.46380207651589</v>
      </c>
      <c r="H229" s="8">
        <f t="shared" si="41"/>
        <v>43144.543444718176</v>
      </c>
    </row>
    <row r="230" spans="1:8" ht="15" thickBot="1" x14ac:dyDescent="0.4">
      <c r="A230" s="17">
        <v>219</v>
      </c>
      <c r="B230" s="26">
        <f t="shared" si="37"/>
        <v>2037</v>
      </c>
      <c r="C230" s="30">
        <f t="shared" si="35"/>
        <v>50104</v>
      </c>
      <c r="D230" s="5">
        <f t="shared" si="38"/>
        <v>493.1516082890455</v>
      </c>
      <c r="E230" s="7">
        <f t="shared" si="39"/>
        <v>68.312193787470449</v>
      </c>
      <c r="F230" s="5">
        <f t="shared" si="36"/>
        <v>268</v>
      </c>
      <c r="G230" s="7">
        <f t="shared" si="40"/>
        <v>829.463802076516</v>
      </c>
      <c r="H230" s="8">
        <f t="shared" si="41"/>
        <v>42651.391836429131</v>
      </c>
    </row>
    <row r="231" spans="1:8" ht="15" thickBot="1" x14ac:dyDescent="0.4">
      <c r="A231" s="17">
        <v>220</v>
      </c>
      <c r="B231" s="26">
        <f t="shared" ref="B231:B251" si="42">YEAR(C231)</f>
        <v>2037</v>
      </c>
      <c r="C231" s="30">
        <f t="shared" si="35"/>
        <v>50135</v>
      </c>
      <c r="D231" s="5">
        <f t="shared" ref="D231:D251" si="43">IF(H230&gt;$E$5,$E$5-E231-F231,H230)</f>
        <v>493.93243166883644</v>
      </c>
      <c r="E231" s="7">
        <f t="shared" ref="E231:E251" si="44">$E$3*H230</f>
        <v>67.531370407679461</v>
      </c>
      <c r="F231" s="5">
        <f t="shared" si="36"/>
        <v>268</v>
      </c>
      <c r="G231" s="7">
        <f t="shared" ref="G231:G251" si="45">D231+E231+F231</f>
        <v>829.46380207651589</v>
      </c>
      <c r="H231" s="8">
        <f t="shared" ref="H231:H251" si="46">H230-D231</f>
        <v>42157.459404760295</v>
      </c>
    </row>
    <row r="232" spans="1:8" ht="15" thickBot="1" x14ac:dyDescent="0.4">
      <c r="A232" s="17">
        <v>221</v>
      </c>
      <c r="B232" s="26">
        <f t="shared" si="42"/>
        <v>2037</v>
      </c>
      <c r="C232" s="30">
        <f t="shared" si="35"/>
        <v>50165</v>
      </c>
      <c r="D232" s="5">
        <f t="shared" si="43"/>
        <v>494.71449135231205</v>
      </c>
      <c r="E232" s="7">
        <f t="shared" si="44"/>
        <v>66.749310724203795</v>
      </c>
      <c r="F232" s="5">
        <f t="shared" si="36"/>
        <v>268</v>
      </c>
      <c r="G232" s="7">
        <f t="shared" si="45"/>
        <v>829.46380207651589</v>
      </c>
      <c r="H232" s="8">
        <f t="shared" si="46"/>
        <v>41662.74491340798</v>
      </c>
    </row>
    <row r="233" spans="1:8" ht="15" thickBot="1" x14ac:dyDescent="0.4">
      <c r="A233" s="17">
        <v>222</v>
      </c>
      <c r="B233" s="26">
        <f t="shared" si="42"/>
        <v>2037</v>
      </c>
      <c r="C233" s="30">
        <f t="shared" si="35"/>
        <v>50196</v>
      </c>
      <c r="D233" s="5">
        <f t="shared" si="43"/>
        <v>495.49778929695321</v>
      </c>
      <c r="E233" s="7">
        <f t="shared" si="44"/>
        <v>65.966012779562632</v>
      </c>
      <c r="F233" s="5">
        <f t="shared" si="36"/>
        <v>268</v>
      </c>
      <c r="G233" s="7">
        <f t="shared" si="45"/>
        <v>829.46380207651589</v>
      </c>
      <c r="H233" s="8">
        <f t="shared" si="46"/>
        <v>41167.247124111025</v>
      </c>
    </row>
    <row r="234" spans="1:8" ht="15" thickBot="1" x14ac:dyDescent="0.4">
      <c r="A234" s="17">
        <v>223</v>
      </c>
      <c r="B234" s="26">
        <f t="shared" si="42"/>
        <v>2037</v>
      </c>
      <c r="C234" s="30">
        <f t="shared" si="35"/>
        <v>50226</v>
      </c>
      <c r="D234" s="5">
        <f t="shared" si="43"/>
        <v>496.28232746334015</v>
      </c>
      <c r="E234" s="7">
        <f t="shared" si="44"/>
        <v>65.181474613175794</v>
      </c>
      <c r="F234" s="5">
        <f t="shared" si="36"/>
        <v>268</v>
      </c>
      <c r="G234" s="7">
        <f t="shared" si="45"/>
        <v>829.463802076516</v>
      </c>
      <c r="H234" s="8">
        <f t="shared" si="46"/>
        <v>40670.964796647684</v>
      </c>
    </row>
    <row r="235" spans="1:8" ht="15" thickBot="1" x14ac:dyDescent="0.4">
      <c r="A235" s="17">
        <v>224</v>
      </c>
      <c r="B235" s="26">
        <f t="shared" si="42"/>
        <v>2037</v>
      </c>
      <c r="C235" s="30">
        <f t="shared" si="35"/>
        <v>50257</v>
      </c>
      <c r="D235" s="5">
        <f t="shared" si="43"/>
        <v>497.06810781515708</v>
      </c>
      <c r="E235" s="7">
        <f t="shared" si="44"/>
        <v>64.395694261358827</v>
      </c>
      <c r="F235" s="5">
        <f t="shared" si="36"/>
        <v>268</v>
      </c>
      <c r="G235" s="7">
        <f t="shared" si="45"/>
        <v>829.46380207651589</v>
      </c>
      <c r="H235" s="8">
        <f t="shared" si="46"/>
        <v>40173.89668883253</v>
      </c>
    </row>
    <row r="236" spans="1:8" ht="15" thickBot="1" x14ac:dyDescent="0.4">
      <c r="A236" s="17">
        <v>225</v>
      </c>
      <c r="B236" s="26">
        <f t="shared" si="42"/>
        <v>2037</v>
      </c>
      <c r="C236" s="30">
        <f t="shared" si="35"/>
        <v>50288</v>
      </c>
      <c r="D236" s="5">
        <f t="shared" si="43"/>
        <v>497.85513231919776</v>
      </c>
      <c r="E236" s="7">
        <f t="shared" si="44"/>
        <v>63.608669757318168</v>
      </c>
      <c r="F236" s="5">
        <f t="shared" si="36"/>
        <v>268</v>
      </c>
      <c r="G236" s="7">
        <f t="shared" si="45"/>
        <v>829.46380207651589</v>
      </c>
      <c r="H236" s="8">
        <f t="shared" si="46"/>
        <v>39676.04155651333</v>
      </c>
    </row>
    <row r="237" spans="1:8" ht="15" thickBot="1" x14ac:dyDescent="0.4">
      <c r="A237" s="17">
        <v>226</v>
      </c>
      <c r="B237" s="26">
        <f t="shared" si="42"/>
        <v>2037</v>
      </c>
      <c r="C237" s="30">
        <f t="shared" si="35"/>
        <v>50318</v>
      </c>
      <c r="D237" s="5">
        <f t="shared" si="43"/>
        <v>498.64340294536976</v>
      </c>
      <c r="E237" s="7">
        <f t="shared" si="44"/>
        <v>62.820399131146104</v>
      </c>
      <c r="F237" s="5">
        <f t="shared" si="36"/>
        <v>268</v>
      </c>
      <c r="G237" s="7">
        <f t="shared" si="45"/>
        <v>829.46380207651589</v>
      </c>
      <c r="H237" s="8">
        <f t="shared" si="46"/>
        <v>39177.398153567963</v>
      </c>
    </row>
    <row r="238" spans="1:8" ht="15" thickBot="1" x14ac:dyDescent="0.4">
      <c r="A238" s="17">
        <v>227</v>
      </c>
      <c r="B238" s="26">
        <f t="shared" si="42"/>
        <v>2037</v>
      </c>
      <c r="C238" s="30">
        <f t="shared" si="35"/>
        <v>50349</v>
      </c>
      <c r="D238" s="5">
        <f t="shared" si="43"/>
        <v>499.43292166669994</v>
      </c>
      <c r="E238" s="7">
        <f t="shared" si="44"/>
        <v>62.030880409815943</v>
      </c>
      <c r="F238" s="5">
        <f t="shared" si="36"/>
        <v>268</v>
      </c>
      <c r="G238" s="7">
        <f t="shared" si="45"/>
        <v>829.46380207651589</v>
      </c>
      <c r="H238" s="8">
        <f t="shared" si="46"/>
        <v>38677.96523190126</v>
      </c>
    </row>
    <row r="239" spans="1:8" ht="15" thickBot="1" x14ac:dyDescent="0.4">
      <c r="A239" s="17">
        <v>228</v>
      </c>
      <c r="B239" s="26">
        <f t="shared" si="42"/>
        <v>2037</v>
      </c>
      <c r="C239" s="30">
        <f t="shared" si="35"/>
        <v>50379</v>
      </c>
      <c r="D239" s="5">
        <f t="shared" si="43"/>
        <v>500.22369045933885</v>
      </c>
      <c r="E239" s="7">
        <f t="shared" si="44"/>
        <v>61.240111617176993</v>
      </c>
      <c r="F239" s="5">
        <f t="shared" si="36"/>
        <v>268</v>
      </c>
      <c r="G239" s="7">
        <f t="shared" si="45"/>
        <v>829.46380207651589</v>
      </c>
      <c r="H239" s="8">
        <f t="shared" si="46"/>
        <v>38177.741541441923</v>
      </c>
    </row>
    <row r="240" spans="1:8" ht="15" thickBot="1" x14ac:dyDescent="0.4">
      <c r="A240" s="17">
        <v>229</v>
      </c>
      <c r="B240" s="26">
        <f t="shared" si="42"/>
        <v>2038</v>
      </c>
      <c r="C240" s="30">
        <f t="shared" si="35"/>
        <v>50410</v>
      </c>
      <c r="D240" s="5">
        <f t="shared" si="43"/>
        <v>501.01571130256616</v>
      </c>
      <c r="E240" s="7">
        <f t="shared" si="44"/>
        <v>60.448090773949708</v>
      </c>
      <c r="F240" s="5">
        <f t="shared" si="36"/>
        <v>268</v>
      </c>
      <c r="G240" s="7">
        <f t="shared" si="45"/>
        <v>829.46380207651589</v>
      </c>
      <c r="H240" s="8">
        <f t="shared" si="46"/>
        <v>37676.725830139359</v>
      </c>
    </row>
    <row r="241" spans="1:8" ht="15" thickBot="1" x14ac:dyDescent="0.4">
      <c r="A241" s="17">
        <v>230</v>
      </c>
      <c r="B241" s="26">
        <f t="shared" si="42"/>
        <v>2038</v>
      </c>
      <c r="C241" s="30">
        <f t="shared" si="35"/>
        <v>50441</v>
      </c>
      <c r="D241" s="5">
        <f t="shared" si="43"/>
        <v>501.80898617879529</v>
      </c>
      <c r="E241" s="7">
        <f t="shared" si="44"/>
        <v>59.654815897720653</v>
      </c>
      <c r="F241" s="5">
        <f t="shared" si="36"/>
        <v>268</v>
      </c>
      <c r="G241" s="7">
        <f t="shared" si="45"/>
        <v>829.463802076516</v>
      </c>
      <c r="H241" s="8">
        <f t="shared" si="46"/>
        <v>37174.916843960564</v>
      </c>
    </row>
    <row r="242" spans="1:8" ht="15" thickBot="1" x14ac:dyDescent="0.4">
      <c r="A242" s="17">
        <v>231</v>
      </c>
      <c r="B242" s="26">
        <f t="shared" si="42"/>
        <v>2038</v>
      </c>
      <c r="C242" s="30">
        <f t="shared" si="35"/>
        <v>50469</v>
      </c>
      <c r="D242" s="5">
        <f t="shared" si="43"/>
        <v>502.60351707357836</v>
      </c>
      <c r="E242" s="7">
        <f t="shared" si="44"/>
        <v>58.860285002937559</v>
      </c>
      <c r="F242" s="5">
        <f t="shared" si="36"/>
        <v>268</v>
      </c>
      <c r="G242" s="7">
        <f t="shared" si="45"/>
        <v>829.46380207651589</v>
      </c>
      <c r="H242" s="8">
        <f t="shared" si="46"/>
        <v>36672.313326886986</v>
      </c>
    </row>
    <row r="243" spans="1:8" ht="15" thickBot="1" x14ac:dyDescent="0.4">
      <c r="A243" s="17">
        <v>232</v>
      </c>
      <c r="B243" s="26">
        <f t="shared" si="42"/>
        <v>2038</v>
      </c>
      <c r="C243" s="30">
        <f t="shared" si="35"/>
        <v>50500</v>
      </c>
      <c r="D243" s="5">
        <f t="shared" si="43"/>
        <v>503.39930597561147</v>
      </c>
      <c r="E243" s="7">
        <f t="shared" si="44"/>
        <v>58.064496100904393</v>
      </c>
      <c r="F243" s="5">
        <f t="shared" si="36"/>
        <v>268</v>
      </c>
      <c r="G243" s="7">
        <f t="shared" si="45"/>
        <v>829.46380207651589</v>
      </c>
      <c r="H243" s="8">
        <f t="shared" si="46"/>
        <v>36168.914020911376</v>
      </c>
    </row>
    <row r="244" spans="1:8" ht="15" thickBot="1" x14ac:dyDescent="0.4">
      <c r="A244" s="17">
        <v>233</v>
      </c>
      <c r="B244" s="26">
        <f t="shared" si="42"/>
        <v>2038</v>
      </c>
      <c r="C244" s="30">
        <f t="shared" si="35"/>
        <v>50530</v>
      </c>
      <c r="D244" s="5">
        <f t="shared" si="43"/>
        <v>504.19635487673952</v>
      </c>
      <c r="E244" s="7">
        <f t="shared" si="44"/>
        <v>57.267447199776342</v>
      </c>
      <c r="F244" s="5">
        <f t="shared" si="36"/>
        <v>268</v>
      </c>
      <c r="G244" s="7">
        <f t="shared" si="45"/>
        <v>829.46380207651589</v>
      </c>
      <c r="H244" s="8">
        <f t="shared" si="46"/>
        <v>35664.717666034638</v>
      </c>
    </row>
    <row r="245" spans="1:8" ht="15" thickBot="1" x14ac:dyDescent="0.4">
      <c r="A245" s="17">
        <v>234</v>
      </c>
      <c r="B245" s="26">
        <f t="shared" si="42"/>
        <v>2038</v>
      </c>
      <c r="C245" s="30">
        <f t="shared" si="35"/>
        <v>50561</v>
      </c>
      <c r="D245" s="5">
        <f t="shared" si="43"/>
        <v>504.99466577196108</v>
      </c>
      <c r="E245" s="7">
        <f t="shared" si="44"/>
        <v>56.469136304554844</v>
      </c>
      <c r="F245" s="5">
        <f t="shared" si="36"/>
        <v>268</v>
      </c>
      <c r="G245" s="7">
        <f t="shared" si="45"/>
        <v>829.46380207651589</v>
      </c>
      <c r="H245" s="8">
        <f t="shared" si="46"/>
        <v>35159.723000262675</v>
      </c>
    </row>
    <row r="246" spans="1:8" ht="15" thickBot="1" x14ac:dyDescent="0.4">
      <c r="A246" s="17">
        <v>235</v>
      </c>
      <c r="B246" s="26">
        <f t="shared" si="42"/>
        <v>2038</v>
      </c>
      <c r="C246" s="30">
        <f t="shared" si="35"/>
        <v>50591</v>
      </c>
      <c r="D246" s="5">
        <f t="shared" si="43"/>
        <v>505.79424065943329</v>
      </c>
      <c r="E246" s="7">
        <f t="shared" si="44"/>
        <v>55.669561417082569</v>
      </c>
      <c r="F246" s="5">
        <f t="shared" si="36"/>
        <v>268</v>
      </c>
      <c r="G246" s="7">
        <f t="shared" si="45"/>
        <v>829.46380207651589</v>
      </c>
      <c r="H246" s="8">
        <f t="shared" si="46"/>
        <v>34653.928759603245</v>
      </c>
    </row>
    <row r="247" spans="1:8" ht="15" thickBot="1" x14ac:dyDescent="0.4">
      <c r="A247" s="17">
        <v>236</v>
      </c>
      <c r="B247" s="26">
        <f t="shared" si="42"/>
        <v>2038</v>
      </c>
      <c r="C247" s="30">
        <f t="shared" si="35"/>
        <v>50622</v>
      </c>
      <c r="D247" s="5">
        <f t="shared" si="43"/>
        <v>506.59508154047739</v>
      </c>
      <c r="E247" s="7">
        <f t="shared" si="44"/>
        <v>54.868720536038467</v>
      </c>
      <c r="F247" s="5">
        <f t="shared" si="36"/>
        <v>268</v>
      </c>
      <c r="G247" s="7">
        <f t="shared" si="45"/>
        <v>829.46380207651589</v>
      </c>
      <c r="H247" s="8">
        <f t="shared" si="46"/>
        <v>34147.333678062765</v>
      </c>
    </row>
    <row r="248" spans="1:8" ht="15" thickBot="1" x14ac:dyDescent="0.4">
      <c r="A248" s="17">
        <v>237</v>
      </c>
      <c r="B248" s="26">
        <f t="shared" si="42"/>
        <v>2038</v>
      </c>
      <c r="C248" s="30">
        <f t="shared" si="35"/>
        <v>50653</v>
      </c>
      <c r="D248" s="5">
        <f t="shared" si="43"/>
        <v>507.39719041958324</v>
      </c>
      <c r="E248" s="7">
        <f t="shared" si="44"/>
        <v>54.066611656932707</v>
      </c>
      <c r="F248" s="5">
        <f t="shared" si="36"/>
        <v>268</v>
      </c>
      <c r="G248" s="7">
        <f t="shared" si="45"/>
        <v>829.463802076516</v>
      </c>
      <c r="H248" s="8">
        <f t="shared" si="46"/>
        <v>33639.936487643179</v>
      </c>
    </row>
    <row r="249" spans="1:8" ht="15" thickBot="1" x14ac:dyDescent="0.4">
      <c r="A249" s="17">
        <v>238</v>
      </c>
      <c r="B249" s="26">
        <f t="shared" si="42"/>
        <v>2038</v>
      </c>
      <c r="C249" s="30">
        <f t="shared" si="35"/>
        <v>50683</v>
      </c>
      <c r="D249" s="5">
        <f t="shared" si="43"/>
        <v>508.20056930441422</v>
      </c>
      <c r="E249" s="7">
        <f t="shared" si="44"/>
        <v>53.263232772101702</v>
      </c>
      <c r="F249" s="5">
        <f t="shared" si="36"/>
        <v>268</v>
      </c>
      <c r="G249" s="7">
        <f t="shared" si="45"/>
        <v>829.46380207651589</v>
      </c>
      <c r="H249" s="8">
        <f t="shared" si="46"/>
        <v>33131.735918338767</v>
      </c>
    </row>
    <row r="250" spans="1:8" ht="15" thickBot="1" x14ac:dyDescent="0.4">
      <c r="A250" s="17">
        <v>239</v>
      </c>
      <c r="B250" s="26">
        <f t="shared" si="42"/>
        <v>2038</v>
      </c>
      <c r="C250" s="30">
        <f t="shared" si="35"/>
        <v>50714</v>
      </c>
      <c r="D250" s="5">
        <f t="shared" si="43"/>
        <v>509.00522020581286</v>
      </c>
      <c r="E250" s="7">
        <f t="shared" si="44"/>
        <v>52.45858187070305</v>
      </c>
      <c r="F250" s="5">
        <f t="shared" si="36"/>
        <v>268</v>
      </c>
      <c r="G250" s="7">
        <f t="shared" si="45"/>
        <v>829.46380207651589</v>
      </c>
      <c r="H250" s="8">
        <f t="shared" si="46"/>
        <v>32622.730698132953</v>
      </c>
    </row>
    <row r="251" spans="1:8" ht="15" thickBot="1" x14ac:dyDescent="0.4">
      <c r="A251" s="17">
        <v>240</v>
      </c>
      <c r="B251" s="26">
        <f t="shared" si="42"/>
        <v>2038</v>
      </c>
      <c r="C251" s="30">
        <f t="shared" si="35"/>
        <v>50744</v>
      </c>
      <c r="D251" s="5">
        <f t="shared" si="43"/>
        <v>509.8111451378054</v>
      </c>
      <c r="E251" s="7">
        <f t="shared" si="44"/>
        <v>51.652656938710507</v>
      </c>
      <c r="F251" s="5">
        <f t="shared" si="36"/>
        <v>268</v>
      </c>
      <c r="G251" s="7">
        <f t="shared" si="45"/>
        <v>829.46380207651589</v>
      </c>
      <c r="H251" s="8">
        <f t="shared" si="46"/>
        <v>32112.919552995147</v>
      </c>
    </row>
    <row r="252" spans="1:8" ht="15" thickBot="1" x14ac:dyDescent="0.4">
      <c r="A252" s="17">
        <v>241</v>
      </c>
      <c r="B252" s="26">
        <f t="shared" ref="B252:B281" si="47">YEAR(C252)</f>
        <v>2039</v>
      </c>
      <c r="C252" s="30">
        <f t="shared" si="35"/>
        <v>50775</v>
      </c>
      <c r="D252" s="5">
        <f t="shared" ref="D252:D281" si="48">IF(H251&gt;$E$5,$E$5-E252-F252,H251)</f>
        <v>510.61834611760696</v>
      </c>
      <c r="E252" s="7">
        <f t="shared" ref="E252:E281" si="49">$E$3*H251</f>
        <v>50.845455958908978</v>
      </c>
      <c r="F252" s="5">
        <f t="shared" ref="F252:F281" si="50">IF(H251=0,0,$E$1*$E$4/12)</f>
        <v>268</v>
      </c>
      <c r="G252" s="7">
        <f t="shared" ref="G252:G281" si="51">D252+E252+F252</f>
        <v>829.46380207651589</v>
      </c>
      <c r="H252" s="8">
        <f t="shared" ref="H252:H281" si="52">H251-D252</f>
        <v>31602.301206877539</v>
      </c>
    </row>
    <row r="253" spans="1:8" ht="15" thickBot="1" x14ac:dyDescent="0.4">
      <c r="A253" s="17">
        <v>242</v>
      </c>
      <c r="B253" s="26">
        <f t="shared" si="47"/>
        <v>2039</v>
      </c>
      <c r="C253" s="30">
        <f t="shared" si="35"/>
        <v>50806</v>
      </c>
      <c r="D253" s="5">
        <f t="shared" si="48"/>
        <v>511.4268251656265</v>
      </c>
      <c r="E253" s="7">
        <f t="shared" si="49"/>
        <v>50.036976910889436</v>
      </c>
      <c r="F253" s="5">
        <f t="shared" si="50"/>
        <v>268</v>
      </c>
      <c r="G253" s="7">
        <f t="shared" si="51"/>
        <v>829.46380207651589</v>
      </c>
      <c r="H253" s="8">
        <f t="shared" si="52"/>
        <v>31090.874381711914</v>
      </c>
    </row>
    <row r="254" spans="1:8" ht="15" thickBot="1" x14ac:dyDescent="0.4">
      <c r="A254" s="17">
        <v>243</v>
      </c>
      <c r="B254" s="26">
        <f t="shared" si="47"/>
        <v>2039</v>
      </c>
      <c r="C254" s="30">
        <f t="shared" si="35"/>
        <v>50834</v>
      </c>
      <c r="D254" s="5">
        <f t="shared" si="48"/>
        <v>512.23658430547198</v>
      </c>
      <c r="E254" s="7">
        <f t="shared" si="49"/>
        <v>49.227217771043861</v>
      </c>
      <c r="F254" s="5">
        <f t="shared" si="50"/>
        <v>268</v>
      </c>
      <c r="G254" s="7">
        <f t="shared" si="51"/>
        <v>829.46380207651589</v>
      </c>
      <c r="H254" s="8">
        <f t="shared" si="52"/>
        <v>30578.637797406442</v>
      </c>
    </row>
    <row r="255" spans="1:8" ht="15" thickBot="1" x14ac:dyDescent="0.4">
      <c r="A255" s="17">
        <v>244</v>
      </c>
      <c r="B255" s="26">
        <f t="shared" si="47"/>
        <v>2039</v>
      </c>
      <c r="C255" s="30">
        <f t="shared" si="35"/>
        <v>50865</v>
      </c>
      <c r="D255" s="5">
        <f t="shared" si="48"/>
        <v>513.04762556395565</v>
      </c>
      <c r="E255" s="7">
        <f t="shared" si="49"/>
        <v>48.416176512560199</v>
      </c>
      <c r="F255" s="5">
        <f t="shared" si="50"/>
        <v>268</v>
      </c>
      <c r="G255" s="7">
        <f t="shared" si="51"/>
        <v>829.46380207651589</v>
      </c>
      <c r="H255" s="8">
        <f t="shared" si="52"/>
        <v>30065.590171842487</v>
      </c>
    </row>
    <row r="256" spans="1:8" ht="15" thickBot="1" x14ac:dyDescent="0.4">
      <c r="A256" s="17">
        <v>245</v>
      </c>
      <c r="B256" s="26">
        <f t="shared" si="47"/>
        <v>2039</v>
      </c>
      <c r="C256" s="30">
        <f t="shared" si="35"/>
        <v>50895</v>
      </c>
      <c r="D256" s="5">
        <f t="shared" si="48"/>
        <v>513.85995097109867</v>
      </c>
      <c r="E256" s="7">
        <f t="shared" si="49"/>
        <v>47.60385110541727</v>
      </c>
      <c r="F256" s="5">
        <f t="shared" si="50"/>
        <v>268</v>
      </c>
      <c r="G256" s="7">
        <f t="shared" si="51"/>
        <v>829.46380207651589</v>
      </c>
      <c r="H256" s="8">
        <f t="shared" si="52"/>
        <v>29551.730220871388</v>
      </c>
    </row>
    <row r="257" spans="1:8" ht="15" thickBot="1" x14ac:dyDescent="0.4">
      <c r="A257" s="17">
        <v>246</v>
      </c>
      <c r="B257" s="26">
        <f t="shared" si="47"/>
        <v>2039</v>
      </c>
      <c r="C257" s="30">
        <f t="shared" si="35"/>
        <v>50926</v>
      </c>
      <c r="D257" s="5">
        <f t="shared" si="48"/>
        <v>514.67356256013613</v>
      </c>
      <c r="E257" s="7">
        <f t="shared" si="49"/>
        <v>46.7902395163797</v>
      </c>
      <c r="F257" s="5">
        <f t="shared" si="50"/>
        <v>268</v>
      </c>
      <c r="G257" s="7">
        <f t="shared" si="51"/>
        <v>829.46380207651578</v>
      </c>
      <c r="H257" s="8">
        <f t="shared" si="52"/>
        <v>29037.056658311252</v>
      </c>
    </row>
    <row r="258" spans="1:8" ht="15" thickBot="1" x14ac:dyDescent="0.4">
      <c r="A258" s="17">
        <v>247</v>
      </c>
      <c r="B258" s="26">
        <f t="shared" si="47"/>
        <v>2039</v>
      </c>
      <c r="C258" s="30">
        <f t="shared" si="35"/>
        <v>50956</v>
      </c>
      <c r="D258" s="5">
        <f t="shared" si="48"/>
        <v>515.48846236752308</v>
      </c>
      <c r="E258" s="7">
        <f t="shared" si="49"/>
        <v>45.975339708992813</v>
      </c>
      <c r="F258" s="5">
        <f t="shared" si="50"/>
        <v>268</v>
      </c>
      <c r="G258" s="7">
        <f t="shared" si="51"/>
        <v>829.46380207651589</v>
      </c>
      <c r="H258" s="8">
        <f t="shared" si="52"/>
        <v>28521.568195943728</v>
      </c>
    </row>
    <row r="259" spans="1:8" ht="15" thickBot="1" x14ac:dyDescent="0.4">
      <c r="A259" s="17">
        <v>248</v>
      </c>
      <c r="B259" s="26">
        <f t="shared" si="47"/>
        <v>2039</v>
      </c>
      <c r="C259" s="30">
        <f t="shared" si="35"/>
        <v>50987</v>
      </c>
      <c r="D259" s="5">
        <f t="shared" si="48"/>
        <v>516.30465243293827</v>
      </c>
      <c r="E259" s="7">
        <f t="shared" si="49"/>
        <v>45.159149643577571</v>
      </c>
      <c r="F259" s="5">
        <f t="shared" si="50"/>
        <v>268</v>
      </c>
      <c r="G259" s="7">
        <f t="shared" si="51"/>
        <v>829.46380207651589</v>
      </c>
      <c r="H259" s="8">
        <f t="shared" si="52"/>
        <v>28005.263543510791</v>
      </c>
    </row>
    <row r="260" spans="1:8" ht="15" thickBot="1" x14ac:dyDescent="0.4">
      <c r="A260" s="17">
        <v>249</v>
      </c>
      <c r="B260" s="26">
        <f t="shared" si="47"/>
        <v>2039</v>
      </c>
      <c r="C260" s="30">
        <f t="shared" si="35"/>
        <v>51018</v>
      </c>
      <c r="D260" s="5">
        <f t="shared" si="48"/>
        <v>517.12213479929051</v>
      </c>
      <c r="E260" s="7">
        <f t="shared" si="49"/>
        <v>44.341667277225419</v>
      </c>
      <c r="F260" s="5">
        <f t="shared" si="50"/>
        <v>268</v>
      </c>
      <c r="G260" s="7">
        <f t="shared" si="51"/>
        <v>829.46380207651589</v>
      </c>
      <c r="H260" s="8">
        <f t="shared" si="52"/>
        <v>27488.141408711501</v>
      </c>
    </row>
    <row r="261" spans="1:8" ht="15" thickBot="1" x14ac:dyDescent="0.4">
      <c r="A261" s="17">
        <v>250</v>
      </c>
      <c r="B261" s="26">
        <f t="shared" si="47"/>
        <v>2039</v>
      </c>
      <c r="C261" s="30">
        <f t="shared" si="35"/>
        <v>51048</v>
      </c>
      <c r="D261" s="5">
        <f t="shared" si="48"/>
        <v>517.94091151272266</v>
      </c>
      <c r="E261" s="7">
        <f t="shared" si="49"/>
        <v>43.522890563793212</v>
      </c>
      <c r="F261" s="5">
        <f t="shared" si="50"/>
        <v>268</v>
      </c>
      <c r="G261" s="7">
        <f t="shared" si="51"/>
        <v>829.46380207651589</v>
      </c>
      <c r="H261" s="8">
        <f t="shared" si="52"/>
        <v>26970.200497198777</v>
      </c>
    </row>
    <row r="262" spans="1:8" ht="15" thickBot="1" x14ac:dyDescent="0.4">
      <c r="A262" s="17">
        <v>251</v>
      </c>
      <c r="B262" s="26">
        <f t="shared" si="47"/>
        <v>2039</v>
      </c>
      <c r="C262" s="30">
        <f t="shared" si="35"/>
        <v>51079</v>
      </c>
      <c r="D262" s="5">
        <f t="shared" si="48"/>
        <v>518.7609846226178</v>
      </c>
      <c r="E262" s="7">
        <f t="shared" si="49"/>
        <v>42.702817453898064</v>
      </c>
      <c r="F262" s="5">
        <f t="shared" si="50"/>
        <v>268</v>
      </c>
      <c r="G262" s="7">
        <f t="shared" si="51"/>
        <v>829.46380207651589</v>
      </c>
      <c r="H262" s="8">
        <f t="shared" si="52"/>
        <v>26451.439512576158</v>
      </c>
    </row>
    <row r="263" spans="1:8" ht="15" thickBot="1" x14ac:dyDescent="0.4">
      <c r="A263" s="17">
        <v>252</v>
      </c>
      <c r="B263" s="26">
        <f t="shared" si="47"/>
        <v>2039</v>
      </c>
      <c r="C263" s="30">
        <f t="shared" si="35"/>
        <v>51109</v>
      </c>
      <c r="D263" s="5">
        <f t="shared" si="48"/>
        <v>519.5823561816037</v>
      </c>
      <c r="E263" s="7">
        <f t="shared" si="49"/>
        <v>41.881445894912247</v>
      </c>
      <c r="F263" s="5">
        <f t="shared" si="50"/>
        <v>268</v>
      </c>
      <c r="G263" s="7">
        <f t="shared" si="51"/>
        <v>829.463802076516</v>
      </c>
      <c r="H263" s="8">
        <f t="shared" si="52"/>
        <v>25931.857156394555</v>
      </c>
    </row>
    <row r="264" spans="1:8" ht="15" thickBot="1" x14ac:dyDescent="0.4">
      <c r="A264" s="17">
        <v>253</v>
      </c>
      <c r="B264" s="26">
        <f t="shared" si="47"/>
        <v>2040</v>
      </c>
      <c r="C264" s="30">
        <f t="shared" si="35"/>
        <v>51140</v>
      </c>
      <c r="D264" s="5">
        <f t="shared" si="48"/>
        <v>520.40502824555779</v>
      </c>
      <c r="E264" s="7">
        <f t="shared" si="49"/>
        <v>41.058773830958046</v>
      </c>
      <c r="F264" s="5">
        <f t="shared" si="50"/>
        <v>268</v>
      </c>
      <c r="G264" s="7">
        <f t="shared" si="51"/>
        <v>829.46380207651578</v>
      </c>
      <c r="H264" s="8">
        <f t="shared" si="52"/>
        <v>25411.452128148998</v>
      </c>
    </row>
    <row r="265" spans="1:8" ht="15" thickBot="1" x14ac:dyDescent="0.4">
      <c r="A265" s="17">
        <v>254</v>
      </c>
      <c r="B265" s="26">
        <f t="shared" si="47"/>
        <v>2040</v>
      </c>
      <c r="C265" s="30">
        <f t="shared" si="35"/>
        <v>51171</v>
      </c>
      <c r="D265" s="5">
        <f t="shared" si="48"/>
        <v>521.22900287361335</v>
      </c>
      <c r="E265" s="7">
        <f t="shared" si="49"/>
        <v>40.234799202902579</v>
      </c>
      <c r="F265" s="5">
        <f t="shared" si="50"/>
        <v>268</v>
      </c>
      <c r="G265" s="7">
        <f t="shared" si="51"/>
        <v>829.46380207651589</v>
      </c>
      <c r="H265" s="8">
        <f t="shared" si="52"/>
        <v>24890.223125275385</v>
      </c>
    </row>
    <row r="266" spans="1:8" ht="15" thickBot="1" x14ac:dyDescent="0.4">
      <c r="A266" s="17">
        <v>255</v>
      </c>
      <c r="B266" s="26">
        <f t="shared" si="47"/>
        <v>2040</v>
      </c>
      <c r="C266" s="30">
        <f t="shared" si="35"/>
        <v>51200</v>
      </c>
      <c r="D266" s="5">
        <f t="shared" si="48"/>
        <v>522.05428212816321</v>
      </c>
      <c r="E266" s="7">
        <f t="shared" si="49"/>
        <v>39.409519948352688</v>
      </c>
      <c r="F266" s="5">
        <f t="shared" si="50"/>
        <v>268</v>
      </c>
      <c r="G266" s="7">
        <f t="shared" si="51"/>
        <v>829.46380207651589</v>
      </c>
      <c r="H266" s="8">
        <f t="shared" si="52"/>
        <v>24368.168843147221</v>
      </c>
    </row>
    <row r="267" spans="1:8" ht="15" thickBot="1" x14ac:dyDescent="0.4">
      <c r="A267" s="17">
        <v>256</v>
      </c>
      <c r="B267" s="26">
        <f t="shared" si="47"/>
        <v>2040</v>
      </c>
      <c r="C267" s="30">
        <f t="shared" si="35"/>
        <v>51231</v>
      </c>
      <c r="D267" s="5">
        <f t="shared" si="48"/>
        <v>522.88086807486616</v>
      </c>
      <c r="E267" s="7">
        <f t="shared" si="49"/>
        <v>38.582934001649768</v>
      </c>
      <c r="F267" s="5">
        <f t="shared" si="50"/>
        <v>268</v>
      </c>
      <c r="G267" s="7">
        <f t="shared" si="51"/>
        <v>829.46380207651589</v>
      </c>
      <c r="H267" s="8">
        <f t="shared" si="52"/>
        <v>23845.287975072355</v>
      </c>
    </row>
    <row r="268" spans="1:8" ht="15" thickBot="1" x14ac:dyDescent="0.4">
      <c r="A268" s="17">
        <v>257</v>
      </c>
      <c r="B268" s="26">
        <f t="shared" si="47"/>
        <v>2040</v>
      </c>
      <c r="C268" s="30">
        <f t="shared" si="35"/>
        <v>51261</v>
      </c>
      <c r="D268" s="5">
        <f t="shared" si="48"/>
        <v>523.70876278265132</v>
      </c>
      <c r="E268" s="7">
        <f t="shared" si="49"/>
        <v>37.755039293864563</v>
      </c>
      <c r="F268" s="5">
        <f t="shared" si="50"/>
        <v>268</v>
      </c>
      <c r="G268" s="7">
        <f t="shared" si="51"/>
        <v>829.46380207651589</v>
      </c>
      <c r="H268" s="8">
        <f t="shared" si="52"/>
        <v>23321.579212289704</v>
      </c>
    </row>
    <row r="269" spans="1:8" ht="15" thickBot="1" x14ac:dyDescent="0.4">
      <c r="A269" s="17">
        <v>258</v>
      </c>
      <c r="B269" s="26">
        <f t="shared" si="47"/>
        <v>2040</v>
      </c>
      <c r="C269" s="30">
        <f t="shared" si="35"/>
        <v>51292</v>
      </c>
      <c r="D269" s="5">
        <f t="shared" si="48"/>
        <v>524.53796832372382</v>
      </c>
      <c r="E269" s="7">
        <f t="shared" si="49"/>
        <v>36.92583375279203</v>
      </c>
      <c r="F269" s="5">
        <f t="shared" si="50"/>
        <v>268</v>
      </c>
      <c r="G269" s="7">
        <f t="shared" si="51"/>
        <v>829.46380207651589</v>
      </c>
      <c r="H269" s="8">
        <f t="shared" si="52"/>
        <v>22797.041243965981</v>
      </c>
    </row>
    <row r="270" spans="1:8" ht="15" thickBot="1" x14ac:dyDescent="0.4">
      <c r="A270" s="17">
        <v>259</v>
      </c>
      <c r="B270" s="26">
        <f t="shared" si="47"/>
        <v>2040</v>
      </c>
      <c r="C270" s="30">
        <f t="shared" ref="C270:C311" si="53">EDATE(C269,1)</f>
        <v>51322</v>
      </c>
      <c r="D270" s="5">
        <f t="shared" si="48"/>
        <v>525.36848677356977</v>
      </c>
      <c r="E270" s="7">
        <f t="shared" si="49"/>
        <v>36.095315302946133</v>
      </c>
      <c r="F270" s="5">
        <f t="shared" si="50"/>
        <v>268</v>
      </c>
      <c r="G270" s="7">
        <f t="shared" si="51"/>
        <v>829.46380207651589</v>
      </c>
      <c r="H270" s="8">
        <f t="shared" si="52"/>
        <v>22271.672757192413</v>
      </c>
    </row>
    <row r="271" spans="1:8" ht="15" thickBot="1" x14ac:dyDescent="0.4">
      <c r="A271" s="17">
        <v>260</v>
      </c>
      <c r="B271" s="26">
        <f t="shared" si="47"/>
        <v>2040</v>
      </c>
      <c r="C271" s="30">
        <f t="shared" si="53"/>
        <v>51353</v>
      </c>
      <c r="D271" s="5">
        <f t="shared" si="48"/>
        <v>526.20032021096119</v>
      </c>
      <c r="E271" s="7">
        <f t="shared" si="49"/>
        <v>35.263481865554652</v>
      </c>
      <c r="F271" s="5">
        <f t="shared" si="50"/>
        <v>268</v>
      </c>
      <c r="G271" s="7">
        <f t="shared" si="51"/>
        <v>829.46380207651589</v>
      </c>
      <c r="H271" s="8">
        <f t="shared" si="52"/>
        <v>21745.47243698145</v>
      </c>
    </row>
    <row r="272" spans="1:8" ht="15" thickBot="1" x14ac:dyDescent="0.4">
      <c r="A272" s="17">
        <v>261</v>
      </c>
      <c r="B272" s="26">
        <f t="shared" si="47"/>
        <v>2040</v>
      </c>
      <c r="C272" s="30">
        <f t="shared" si="53"/>
        <v>51384</v>
      </c>
      <c r="D272" s="5">
        <f t="shared" si="48"/>
        <v>527.0334707179619</v>
      </c>
      <c r="E272" s="7">
        <f t="shared" si="49"/>
        <v>34.430331358553964</v>
      </c>
      <c r="F272" s="5">
        <f t="shared" si="50"/>
        <v>268</v>
      </c>
      <c r="G272" s="7">
        <f t="shared" si="51"/>
        <v>829.46380207651589</v>
      </c>
      <c r="H272" s="8">
        <f t="shared" si="52"/>
        <v>21218.438966263489</v>
      </c>
    </row>
    <row r="273" spans="1:8" ht="15" thickBot="1" x14ac:dyDescent="0.4">
      <c r="A273" s="17">
        <v>262</v>
      </c>
      <c r="B273" s="26">
        <f t="shared" si="47"/>
        <v>2040</v>
      </c>
      <c r="C273" s="30">
        <f t="shared" si="53"/>
        <v>51414</v>
      </c>
      <c r="D273" s="5">
        <f t="shared" si="48"/>
        <v>527.86794037993207</v>
      </c>
      <c r="E273" s="7">
        <f t="shared" si="49"/>
        <v>33.59586169658386</v>
      </c>
      <c r="F273" s="5">
        <f t="shared" si="50"/>
        <v>268</v>
      </c>
      <c r="G273" s="7">
        <f t="shared" si="51"/>
        <v>829.46380207651589</v>
      </c>
      <c r="H273" s="8">
        <f t="shared" si="52"/>
        <v>20690.571025883557</v>
      </c>
    </row>
    <row r="274" spans="1:8" ht="15" thickBot="1" x14ac:dyDescent="0.4">
      <c r="A274" s="17">
        <v>263</v>
      </c>
      <c r="B274" s="26">
        <f t="shared" si="47"/>
        <v>2040</v>
      </c>
      <c r="C274" s="30">
        <f t="shared" si="53"/>
        <v>51445</v>
      </c>
      <c r="D274" s="5">
        <f t="shared" si="48"/>
        <v>528.70373128553365</v>
      </c>
      <c r="E274" s="7">
        <f t="shared" si="49"/>
        <v>32.760070790982297</v>
      </c>
      <c r="F274" s="5">
        <f t="shared" si="50"/>
        <v>268</v>
      </c>
      <c r="G274" s="7">
        <f t="shared" si="51"/>
        <v>829.463802076516</v>
      </c>
      <c r="H274" s="8">
        <f t="shared" si="52"/>
        <v>20161.867294598022</v>
      </c>
    </row>
    <row r="275" spans="1:8" ht="15" thickBot="1" x14ac:dyDescent="0.4">
      <c r="A275" s="17">
        <v>264</v>
      </c>
      <c r="B275" s="26">
        <f t="shared" si="47"/>
        <v>2040</v>
      </c>
      <c r="C275" s="30">
        <f t="shared" si="53"/>
        <v>51475</v>
      </c>
      <c r="D275" s="5">
        <f t="shared" si="48"/>
        <v>529.54084552673567</v>
      </c>
      <c r="E275" s="7">
        <f t="shared" si="49"/>
        <v>31.922956549780199</v>
      </c>
      <c r="F275" s="5">
        <f t="shared" si="50"/>
        <v>268</v>
      </c>
      <c r="G275" s="7">
        <f t="shared" si="51"/>
        <v>829.46380207651589</v>
      </c>
      <c r="H275" s="8">
        <f t="shared" si="52"/>
        <v>19632.326449071286</v>
      </c>
    </row>
    <row r="276" spans="1:8" ht="15" thickBot="1" x14ac:dyDescent="0.4">
      <c r="A276" s="17">
        <v>265</v>
      </c>
      <c r="B276" s="26">
        <f t="shared" si="47"/>
        <v>2041</v>
      </c>
      <c r="C276" s="30">
        <f t="shared" si="53"/>
        <v>51506</v>
      </c>
      <c r="D276" s="5">
        <f t="shared" si="48"/>
        <v>530.37928519881973</v>
      </c>
      <c r="E276" s="7">
        <f t="shared" si="49"/>
        <v>31.084516877696203</v>
      </c>
      <c r="F276" s="5">
        <f t="shared" si="50"/>
        <v>268</v>
      </c>
      <c r="G276" s="7">
        <f t="shared" si="51"/>
        <v>829.46380207651589</v>
      </c>
      <c r="H276" s="8">
        <f t="shared" si="52"/>
        <v>19101.947163872468</v>
      </c>
    </row>
    <row r="277" spans="1:8" ht="15" thickBot="1" x14ac:dyDescent="0.4">
      <c r="A277" s="17">
        <v>266</v>
      </c>
      <c r="B277" s="26">
        <f t="shared" si="47"/>
        <v>2041</v>
      </c>
      <c r="C277" s="30">
        <f t="shared" si="53"/>
        <v>51537</v>
      </c>
      <c r="D277" s="5">
        <f t="shared" si="48"/>
        <v>531.2190524003845</v>
      </c>
      <c r="E277" s="7">
        <f t="shared" si="49"/>
        <v>30.244749676131406</v>
      </c>
      <c r="F277" s="5">
        <f t="shared" si="50"/>
        <v>268</v>
      </c>
      <c r="G277" s="7">
        <f t="shared" si="51"/>
        <v>829.46380207651589</v>
      </c>
      <c r="H277" s="8">
        <f t="shared" si="52"/>
        <v>18570.728111472083</v>
      </c>
    </row>
    <row r="278" spans="1:8" ht="15" thickBot="1" x14ac:dyDescent="0.4">
      <c r="A278" s="17">
        <v>267</v>
      </c>
      <c r="B278" s="26">
        <f t="shared" si="47"/>
        <v>2041</v>
      </c>
      <c r="C278" s="30">
        <f t="shared" si="53"/>
        <v>51565</v>
      </c>
      <c r="D278" s="5">
        <f t="shared" si="48"/>
        <v>532.06014923335181</v>
      </c>
      <c r="E278" s="7">
        <f t="shared" si="49"/>
        <v>29.403652843164132</v>
      </c>
      <c r="F278" s="5">
        <f t="shared" si="50"/>
        <v>268</v>
      </c>
      <c r="G278" s="7">
        <f t="shared" si="51"/>
        <v>829.46380207651589</v>
      </c>
      <c r="H278" s="8">
        <f t="shared" si="52"/>
        <v>18038.667962238731</v>
      </c>
    </row>
    <row r="279" spans="1:8" ht="15" thickBot="1" x14ac:dyDescent="0.4">
      <c r="A279" s="17">
        <v>268</v>
      </c>
      <c r="B279" s="26">
        <f t="shared" si="47"/>
        <v>2041</v>
      </c>
      <c r="C279" s="30">
        <f t="shared" si="53"/>
        <v>51596</v>
      </c>
      <c r="D279" s="5">
        <f t="shared" si="48"/>
        <v>532.90257780297122</v>
      </c>
      <c r="E279" s="7">
        <f t="shared" si="49"/>
        <v>28.561224273544656</v>
      </c>
      <c r="F279" s="5">
        <f t="shared" si="50"/>
        <v>268</v>
      </c>
      <c r="G279" s="7">
        <f t="shared" si="51"/>
        <v>829.46380207651589</v>
      </c>
      <c r="H279" s="8">
        <f t="shared" si="52"/>
        <v>17505.765384435759</v>
      </c>
    </row>
    <row r="280" spans="1:8" ht="15" thickBot="1" x14ac:dyDescent="0.4">
      <c r="A280" s="17">
        <v>269</v>
      </c>
      <c r="B280" s="26">
        <f t="shared" si="47"/>
        <v>2041</v>
      </c>
      <c r="C280" s="30">
        <f t="shared" si="53"/>
        <v>51626</v>
      </c>
      <c r="D280" s="5">
        <f t="shared" si="48"/>
        <v>533.74634021782595</v>
      </c>
      <c r="E280" s="7">
        <f t="shared" si="49"/>
        <v>27.717461858689951</v>
      </c>
      <c r="F280" s="5">
        <f t="shared" si="50"/>
        <v>268</v>
      </c>
      <c r="G280" s="7">
        <f t="shared" si="51"/>
        <v>829.46380207651589</v>
      </c>
      <c r="H280" s="8">
        <f t="shared" si="52"/>
        <v>16972.019044217934</v>
      </c>
    </row>
    <row r="281" spans="1:8" ht="15" thickBot="1" x14ac:dyDescent="0.4">
      <c r="A281" s="17">
        <v>270</v>
      </c>
      <c r="B281" s="26">
        <f t="shared" si="47"/>
        <v>2041</v>
      </c>
      <c r="C281" s="30">
        <f t="shared" si="53"/>
        <v>51657</v>
      </c>
      <c r="D281" s="5">
        <f t="shared" si="48"/>
        <v>534.59143858983748</v>
      </c>
      <c r="E281" s="7">
        <f t="shared" si="49"/>
        <v>26.872363486678395</v>
      </c>
      <c r="F281" s="5">
        <f t="shared" si="50"/>
        <v>268</v>
      </c>
      <c r="G281" s="7">
        <f t="shared" si="51"/>
        <v>829.46380207651589</v>
      </c>
      <c r="H281" s="8">
        <f t="shared" si="52"/>
        <v>16437.427605628098</v>
      </c>
    </row>
    <row r="282" spans="1:8" ht="15" thickBot="1" x14ac:dyDescent="0.4">
      <c r="A282" s="17">
        <v>271</v>
      </c>
      <c r="B282" s="26">
        <f t="shared" ref="B282:B303" si="54">YEAR(C282)</f>
        <v>2041</v>
      </c>
      <c r="C282" s="30">
        <f t="shared" si="53"/>
        <v>51687</v>
      </c>
      <c r="D282" s="5">
        <f t="shared" ref="D282:D303" si="55">IF(H281&gt;$E$5,$E$5-E282-F282,H281)</f>
        <v>535.43787503427143</v>
      </c>
      <c r="E282" s="7">
        <f t="shared" ref="E282:E303" si="56">$E$3*H281</f>
        <v>26.025927042244486</v>
      </c>
      <c r="F282" s="5">
        <f t="shared" ref="F282:F303" si="57">IF(H281=0,0,$E$1*$E$4/12)</f>
        <v>268</v>
      </c>
      <c r="G282" s="7">
        <f t="shared" ref="G282:G303" si="58">D282+E282+F282</f>
        <v>829.46380207651589</v>
      </c>
      <c r="H282" s="8">
        <f t="shared" ref="H282:H303" si="59">H281-D282</f>
        <v>15901.989730593827</v>
      </c>
    </row>
    <row r="283" spans="1:8" ht="15" thickBot="1" x14ac:dyDescent="0.4">
      <c r="A283" s="17">
        <v>272</v>
      </c>
      <c r="B283" s="26">
        <f t="shared" si="54"/>
        <v>2041</v>
      </c>
      <c r="C283" s="30">
        <f t="shared" si="53"/>
        <v>51718</v>
      </c>
      <c r="D283" s="5">
        <f t="shared" si="55"/>
        <v>536.28565166974238</v>
      </c>
      <c r="E283" s="7">
        <f t="shared" si="56"/>
        <v>25.178150406773558</v>
      </c>
      <c r="F283" s="5">
        <f t="shared" si="57"/>
        <v>268</v>
      </c>
      <c r="G283" s="7">
        <f t="shared" si="58"/>
        <v>829.46380207651589</v>
      </c>
      <c r="H283" s="8">
        <f t="shared" si="59"/>
        <v>15365.704078924084</v>
      </c>
    </row>
    <row r="284" spans="1:8" ht="15" thickBot="1" x14ac:dyDescent="0.4">
      <c r="A284" s="17">
        <v>273</v>
      </c>
      <c r="B284" s="26">
        <f t="shared" si="54"/>
        <v>2041</v>
      </c>
      <c r="C284" s="30">
        <f t="shared" si="53"/>
        <v>51749</v>
      </c>
      <c r="D284" s="5">
        <f t="shared" si="55"/>
        <v>537.13477061821948</v>
      </c>
      <c r="E284" s="7">
        <f t="shared" si="56"/>
        <v>24.329031458296466</v>
      </c>
      <c r="F284" s="5">
        <f t="shared" si="57"/>
        <v>268</v>
      </c>
      <c r="G284" s="7">
        <f t="shared" si="58"/>
        <v>829.46380207651589</v>
      </c>
      <c r="H284" s="8">
        <f t="shared" si="59"/>
        <v>14828.569308305865</v>
      </c>
    </row>
    <row r="285" spans="1:8" ht="15" thickBot="1" x14ac:dyDescent="0.4">
      <c r="A285" s="17">
        <v>274</v>
      </c>
      <c r="B285" s="26">
        <f t="shared" si="54"/>
        <v>2041</v>
      </c>
      <c r="C285" s="30">
        <f t="shared" si="53"/>
        <v>51779</v>
      </c>
      <c r="D285" s="5">
        <f t="shared" si="55"/>
        <v>537.98523400503166</v>
      </c>
      <c r="E285" s="7">
        <f t="shared" si="56"/>
        <v>23.478568071484286</v>
      </c>
      <c r="F285" s="5">
        <f t="shared" si="57"/>
        <v>268</v>
      </c>
      <c r="G285" s="7">
        <f t="shared" si="58"/>
        <v>829.46380207651589</v>
      </c>
      <c r="H285" s="8">
        <f t="shared" si="59"/>
        <v>14290.584074300834</v>
      </c>
    </row>
    <row r="286" spans="1:8" ht="15" thickBot="1" x14ac:dyDescent="0.4">
      <c r="A286" s="17">
        <v>275</v>
      </c>
      <c r="B286" s="26">
        <f t="shared" si="54"/>
        <v>2041</v>
      </c>
      <c r="C286" s="30">
        <f t="shared" si="53"/>
        <v>51810</v>
      </c>
      <c r="D286" s="5">
        <f t="shared" si="55"/>
        <v>538.83704395887287</v>
      </c>
      <c r="E286" s="7">
        <f t="shared" si="56"/>
        <v>22.626758117642986</v>
      </c>
      <c r="F286" s="5">
        <f t="shared" si="57"/>
        <v>268</v>
      </c>
      <c r="G286" s="7">
        <f t="shared" si="58"/>
        <v>829.46380207651589</v>
      </c>
      <c r="H286" s="8">
        <f t="shared" si="59"/>
        <v>13751.747030341961</v>
      </c>
    </row>
    <row r="287" spans="1:8" ht="15" thickBot="1" x14ac:dyDescent="0.4">
      <c r="A287" s="17">
        <v>276</v>
      </c>
      <c r="B287" s="26">
        <f t="shared" si="54"/>
        <v>2041</v>
      </c>
      <c r="C287" s="30">
        <f t="shared" si="53"/>
        <v>51840</v>
      </c>
      <c r="D287" s="5">
        <f t="shared" si="55"/>
        <v>539.69020261180776</v>
      </c>
      <c r="E287" s="7">
        <f t="shared" si="56"/>
        <v>21.773599464708106</v>
      </c>
      <c r="F287" s="5">
        <f t="shared" si="57"/>
        <v>268</v>
      </c>
      <c r="G287" s="7">
        <f t="shared" si="58"/>
        <v>829.46380207651589</v>
      </c>
      <c r="H287" s="8">
        <f t="shared" si="59"/>
        <v>13212.056827730154</v>
      </c>
    </row>
    <row r="288" spans="1:8" ht="15" thickBot="1" x14ac:dyDescent="0.4">
      <c r="A288" s="17">
        <v>277</v>
      </c>
      <c r="B288" s="26">
        <f t="shared" si="54"/>
        <v>2042</v>
      </c>
      <c r="C288" s="30">
        <f t="shared" si="53"/>
        <v>51871</v>
      </c>
      <c r="D288" s="5">
        <f t="shared" si="55"/>
        <v>540.54471209927647</v>
      </c>
      <c r="E288" s="7">
        <f t="shared" si="56"/>
        <v>20.919089977239409</v>
      </c>
      <c r="F288" s="5">
        <f t="shared" si="57"/>
        <v>268</v>
      </c>
      <c r="G288" s="7">
        <f t="shared" si="58"/>
        <v>829.46380207651589</v>
      </c>
      <c r="H288" s="8">
        <f t="shared" si="59"/>
        <v>12671.512115630878</v>
      </c>
    </row>
    <row r="289" spans="1:8" ht="15" thickBot="1" x14ac:dyDescent="0.4">
      <c r="A289" s="17">
        <v>278</v>
      </c>
      <c r="B289" s="26">
        <f t="shared" si="54"/>
        <v>2042</v>
      </c>
      <c r="C289" s="30">
        <f t="shared" si="53"/>
        <v>51902</v>
      </c>
      <c r="D289" s="5">
        <f t="shared" si="55"/>
        <v>541.40057456010038</v>
      </c>
      <c r="E289" s="7">
        <f t="shared" si="56"/>
        <v>20.063227516415555</v>
      </c>
      <c r="F289" s="5">
        <f t="shared" si="57"/>
        <v>268</v>
      </c>
      <c r="G289" s="7">
        <f t="shared" si="58"/>
        <v>829.46380207651589</v>
      </c>
      <c r="H289" s="8">
        <f t="shared" si="59"/>
        <v>12130.111541070777</v>
      </c>
    </row>
    <row r="290" spans="1:8" ht="15" thickBot="1" x14ac:dyDescent="0.4">
      <c r="A290" s="17">
        <v>279</v>
      </c>
      <c r="B290" s="26">
        <f t="shared" si="54"/>
        <v>2042</v>
      </c>
      <c r="C290" s="30">
        <f t="shared" si="53"/>
        <v>51930</v>
      </c>
      <c r="D290" s="5">
        <f t="shared" si="55"/>
        <v>542.25779213648718</v>
      </c>
      <c r="E290" s="7">
        <f t="shared" si="56"/>
        <v>19.206009940028729</v>
      </c>
      <c r="F290" s="5">
        <f t="shared" si="57"/>
        <v>268</v>
      </c>
      <c r="G290" s="7">
        <f t="shared" si="58"/>
        <v>829.46380207651589</v>
      </c>
      <c r="H290" s="8">
        <f t="shared" si="59"/>
        <v>11587.853748934291</v>
      </c>
    </row>
    <row r="291" spans="1:8" ht="15" thickBot="1" x14ac:dyDescent="0.4">
      <c r="A291" s="17">
        <v>280</v>
      </c>
      <c r="B291" s="26">
        <f t="shared" si="54"/>
        <v>2042</v>
      </c>
      <c r="C291" s="30">
        <f t="shared" si="53"/>
        <v>51961</v>
      </c>
      <c r="D291" s="5">
        <f t="shared" si="55"/>
        <v>543.11636697403662</v>
      </c>
      <c r="E291" s="7">
        <f t="shared" si="56"/>
        <v>18.347435102479292</v>
      </c>
      <c r="F291" s="5">
        <f t="shared" si="57"/>
        <v>268</v>
      </c>
      <c r="G291" s="7">
        <f t="shared" si="58"/>
        <v>829.46380207651589</v>
      </c>
      <c r="H291" s="8">
        <f t="shared" si="59"/>
        <v>11044.737381960254</v>
      </c>
    </row>
    <row r="292" spans="1:8" ht="15" thickBot="1" x14ac:dyDescent="0.4">
      <c r="A292" s="17">
        <v>281</v>
      </c>
      <c r="B292" s="26">
        <f t="shared" si="54"/>
        <v>2042</v>
      </c>
      <c r="C292" s="30">
        <f t="shared" si="53"/>
        <v>51991</v>
      </c>
      <c r="D292" s="5">
        <f t="shared" si="55"/>
        <v>543.97630122174553</v>
      </c>
      <c r="E292" s="7">
        <f t="shared" si="56"/>
        <v>17.487500854770403</v>
      </c>
      <c r="F292" s="5">
        <f t="shared" si="57"/>
        <v>268</v>
      </c>
      <c r="G292" s="7">
        <f t="shared" si="58"/>
        <v>829.46380207651589</v>
      </c>
      <c r="H292" s="8">
        <f t="shared" si="59"/>
        <v>10500.761080738508</v>
      </c>
    </row>
    <row r="293" spans="1:8" ht="15" thickBot="1" x14ac:dyDescent="0.4">
      <c r="A293" s="17">
        <v>282</v>
      </c>
      <c r="B293" s="26">
        <f t="shared" si="54"/>
        <v>2042</v>
      </c>
      <c r="C293" s="30">
        <f t="shared" si="53"/>
        <v>52022</v>
      </c>
      <c r="D293" s="5">
        <f t="shared" si="55"/>
        <v>544.83759703201326</v>
      </c>
      <c r="E293" s="7">
        <f t="shared" si="56"/>
        <v>16.626205044502637</v>
      </c>
      <c r="F293" s="5">
        <f t="shared" si="57"/>
        <v>268</v>
      </c>
      <c r="G293" s="7">
        <f t="shared" si="58"/>
        <v>829.46380207651589</v>
      </c>
      <c r="H293" s="8">
        <f t="shared" si="59"/>
        <v>9955.9234837064942</v>
      </c>
    </row>
    <row r="294" spans="1:8" ht="15" thickBot="1" x14ac:dyDescent="0.4">
      <c r="A294" s="17">
        <v>283</v>
      </c>
      <c r="B294" s="26">
        <f t="shared" si="54"/>
        <v>2042</v>
      </c>
      <c r="C294" s="30">
        <f t="shared" si="53"/>
        <v>52052</v>
      </c>
      <c r="D294" s="5">
        <f t="shared" si="55"/>
        <v>545.70025656064729</v>
      </c>
      <c r="E294" s="7">
        <f t="shared" si="56"/>
        <v>15.763545515868616</v>
      </c>
      <c r="F294" s="5">
        <f t="shared" si="57"/>
        <v>268</v>
      </c>
      <c r="G294" s="7">
        <f t="shared" si="58"/>
        <v>829.46380207651589</v>
      </c>
      <c r="H294" s="8">
        <f t="shared" si="59"/>
        <v>9410.223227145847</v>
      </c>
    </row>
    <row r="295" spans="1:8" ht="15" thickBot="1" x14ac:dyDescent="0.4">
      <c r="A295" s="17">
        <v>284</v>
      </c>
      <c r="B295" s="26">
        <f t="shared" si="54"/>
        <v>2042</v>
      </c>
      <c r="C295" s="30">
        <f t="shared" si="53"/>
        <v>52083</v>
      </c>
      <c r="D295" s="5">
        <f t="shared" si="55"/>
        <v>546.56428196686829</v>
      </c>
      <c r="E295" s="7">
        <f t="shared" si="56"/>
        <v>14.899520109647591</v>
      </c>
      <c r="F295" s="5">
        <f t="shared" si="57"/>
        <v>268</v>
      </c>
      <c r="G295" s="7">
        <f t="shared" si="58"/>
        <v>829.46380207651589</v>
      </c>
      <c r="H295" s="8">
        <f t="shared" si="59"/>
        <v>8863.6589451789787</v>
      </c>
    </row>
    <row r="296" spans="1:8" ht="15" thickBot="1" x14ac:dyDescent="0.4">
      <c r="A296" s="17">
        <v>285</v>
      </c>
      <c r="B296" s="26">
        <f t="shared" si="54"/>
        <v>2042</v>
      </c>
      <c r="C296" s="30">
        <f t="shared" si="53"/>
        <v>52114</v>
      </c>
      <c r="D296" s="5">
        <f t="shared" si="55"/>
        <v>547.42967541331586</v>
      </c>
      <c r="E296" s="7">
        <f t="shared" si="56"/>
        <v>14.03412666320005</v>
      </c>
      <c r="F296" s="5">
        <f t="shared" si="57"/>
        <v>268</v>
      </c>
      <c r="G296" s="7">
        <f t="shared" si="58"/>
        <v>829.46380207651589</v>
      </c>
      <c r="H296" s="8">
        <f t="shared" si="59"/>
        <v>8316.229269765663</v>
      </c>
    </row>
    <row r="297" spans="1:8" ht="15" thickBot="1" x14ac:dyDescent="0.4">
      <c r="A297" s="17">
        <v>286</v>
      </c>
      <c r="B297" s="26">
        <f t="shared" si="54"/>
        <v>2042</v>
      </c>
      <c r="C297" s="30">
        <f t="shared" si="53"/>
        <v>52144</v>
      </c>
      <c r="D297" s="5">
        <f t="shared" si="55"/>
        <v>548.29643906605361</v>
      </c>
      <c r="E297" s="7">
        <f t="shared" si="56"/>
        <v>13.167363010462299</v>
      </c>
      <c r="F297" s="5">
        <f t="shared" si="57"/>
        <v>268</v>
      </c>
      <c r="G297" s="7">
        <f t="shared" si="58"/>
        <v>829.46380207651589</v>
      </c>
      <c r="H297" s="8">
        <f t="shared" si="59"/>
        <v>7767.9328306996094</v>
      </c>
    </row>
    <row r="298" spans="1:8" ht="15" thickBot="1" x14ac:dyDescent="0.4">
      <c r="A298" s="17">
        <v>287</v>
      </c>
      <c r="B298" s="26">
        <f t="shared" si="54"/>
        <v>2042</v>
      </c>
      <c r="C298" s="30">
        <f t="shared" si="53"/>
        <v>52175</v>
      </c>
      <c r="D298" s="5">
        <f t="shared" si="55"/>
        <v>549.16457509457484</v>
      </c>
      <c r="E298" s="7">
        <f t="shared" si="56"/>
        <v>12.299226981941048</v>
      </c>
      <c r="F298" s="5">
        <f t="shared" si="57"/>
        <v>268</v>
      </c>
      <c r="G298" s="7">
        <f t="shared" si="58"/>
        <v>829.46380207651589</v>
      </c>
      <c r="H298" s="8">
        <f t="shared" si="59"/>
        <v>7218.7682556050349</v>
      </c>
    </row>
    <row r="299" spans="1:8" ht="15" thickBot="1" x14ac:dyDescent="0.4">
      <c r="A299" s="17">
        <v>288</v>
      </c>
      <c r="B299" s="26">
        <f t="shared" si="54"/>
        <v>2042</v>
      </c>
      <c r="C299" s="30">
        <f t="shared" si="53"/>
        <v>52205</v>
      </c>
      <c r="D299" s="5">
        <f t="shared" si="55"/>
        <v>550.03408567180793</v>
      </c>
      <c r="E299" s="7">
        <f t="shared" si="56"/>
        <v>11.429716404707971</v>
      </c>
      <c r="F299" s="5">
        <f t="shared" si="57"/>
        <v>268</v>
      </c>
      <c r="G299" s="7">
        <f t="shared" si="58"/>
        <v>829.46380207651589</v>
      </c>
      <c r="H299" s="8">
        <f t="shared" si="59"/>
        <v>6668.7341699332273</v>
      </c>
    </row>
    <row r="300" spans="1:8" ht="15" thickBot="1" x14ac:dyDescent="0.4">
      <c r="A300" s="17">
        <v>289</v>
      </c>
      <c r="B300" s="26">
        <f t="shared" si="54"/>
        <v>2043</v>
      </c>
      <c r="C300" s="30">
        <f t="shared" si="53"/>
        <v>52236</v>
      </c>
      <c r="D300" s="5">
        <f t="shared" si="55"/>
        <v>550.90497297412162</v>
      </c>
      <c r="E300" s="7">
        <f t="shared" si="56"/>
        <v>10.558829102394276</v>
      </c>
      <c r="F300" s="5">
        <f t="shared" si="57"/>
        <v>268</v>
      </c>
      <c r="G300" s="7">
        <f t="shared" si="58"/>
        <v>829.46380207651589</v>
      </c>
      <c r="H300" s="8">
        <f t="shared" si="59"/>
        <v>6117.8291969591055</v>
      </c>
    </row>
    <row r="301" spans="1:8" ht="15" thickBot="1" x14ac:dyDescent="0.4">
      <c r="A301" s="17">
        <v>290</v>
      </c>
      <c r="B301" s="26">
        <f t="shared" si="54"/>
        <v>2043</v>
      </c>
      <c r="C301" s="30">
        <f t="shared" si="53"/>
        <v>52267</v>
      </c>
      <c r="D301" s="5">
        <f t="shared" si="55"/>
        <v>551.77723918133063</v>
      </c>
      <c r="E301" s="7">
        <f t="shared" si="56"/>
        <v>9.6865628951852507</v>
      </c>
      <c r="F301" s="5">
        <f t="shared" si="57"/>
        <v>268</v>
      </c>
      <c r="G301" s="7">
        <f t="shared" si="58"/>
        <v>829.46380207651589</v>
      </c>
      <c r="H301" s="8">
        <f t="shared" si="59"/>
        <v>5566.051957777775</v>
      </c>
    </row>
    <row r="302" spans="1:8" ht="15" thickBot="1" x14ac:dyDescent="0.4">
      <c r="A302" s="17">
        <v>291</v>
      </c>
      <c r="B302" s="26">
        <f t="shared" si="54"/>
        <v>2043</v>
      </c>
      <c r="C302" s="30">
        <f t="shared" si="53"/>
        <v>52295</v>
      </c>
      <c r="D302" s="5">
        <f t="shared" si="55"/>
        <v>552.65088647670109</v>
      </c>
      <c r="E302" s="7">
        <f t="shared" si="56"/>
        <v>8.8129155998148097</v>
      </c>
      <c r="F302" s="5">
        <f t="shared" si="57"/>
        <v>268</v>
      </c>
      <c r="G302" s="7">
        <f t="shared" si="58"/>
        <v>829.46380207651589</v>
      </c>
      <c r="H302" s="8">
        <f t="shared" si="59"/>
        <v>5013.4010713010739</v>
      </c>
    </row>
    <row r="303" spans="1:8" ht="15" thickBot="1" x14ac:dyDescent="0.4">
      <c r="A303" s="17">
        <v>292</v>
      </c>
      <c r="B303" s="26">
        <f t="shared" si="54"/>
        <v>2043</v>
      </c>
      <c r="C303" s="30">
        <f t="shared" si="53"/>
        <v>52326</v>
      </c>
      <c r="D303" s="5">
        <f t="shared" si="55"/>
        <v>553.5259170469559</v>
      </c>
      <c r="E303" s="7">
        <f t="shared" si="56"/>
        <v>7.9378850295600332</v>
      </c>
      <c r="F303" s="5">
        <f t="shared" si="57"/>
        <v>268</v>
      </c>
      <c r="G303" s="7">
        <f t="shared" si="58"/>
        <v>829.46380207651589</v>
      </c>
      <c r="H303" s="8">
        <f t="shared" si="59"/>
        <v>4459.8751542541177</v>
      </c>
    </row>
    <row r="304" spans="1:8" ht="15" thickBot="1" x14ac:dyDescent="0.4">
      <c r="A304" s="17">
        <v>293</v>
      </c>
      <c r="B304" s="26">
        <f t="shared" ref="B304:B311" si="60">YEAR(C304)</f>
        <v>2043</v>
      </c>
      <c r="C304" s="30">
        <f t="shared" si="53"/>
        <v>52356</v>
      </c>
      <c r="D304" s="5">
        <f t="shared" ref="D304:D311" si="61">IF(H303&gt;$E$5,$E$5-E304-F304,H303)</f>
        <v>554.40233308228017</v>
      </c>
      <c r="E304" s="7">
        <f t="shared" ref="E304:E311" si="62">$E$3*H303</f>
        <v>7.0614689942356863</v>
      </c>
      <c r="F304" s="5">
        <f t="shared" ref="F304:F311" si="63">IF(H303=0,0,$E$1*$E$4/12)</f>
        <v>268</v>
      </c>
      <c r="G304" s="7">
        <f t="shared" ref="G304:G311" si="64">D304+E304+F304</f>
        <v>829.46380207651589</v>
      </c>
      <c r="H304" s="8">
        <f t="shared" ref="H304:H311" si="65">H303-D304</f>
        <v>3905.4728211718375</v>
      </c>
    </row>
    <row r="305" spans="1:8" ht="15" thickBot="1" x14ac:dyDescent="0.4">
      <c r="A305" s="17">
        <v>294</v>
      </c>
      <c r="B305" s="26">
        <f t="shared" si="60"/>
        <v>2043</v>
      </c>
      <c r="C305" s="30">
        <f t="shared" si="53"/>
        <v>52387</v>
      </c>
      <c r="D305" s="5">
        <f t="shared" si="61"/>
        <v>555.28013677632714</v>
      </c>
      <c r="E305" s="7">
        <f t="shared" si="62"/>
        <v>6.1836653001887427</v>
      </c>
      <c r="F305" s="5">
        <f t="shared" si="63"/>
        <v>268</v>
      </c>
      <c r="G305" s="7">
        <f t="shared" si="64"/>
        <v>829.46380207651589</v>
      </c>
      <c r="H305" s="8">
        <f t="shared" si="65"/>
        <v>3350.1926843955102</v>
      </c>
    </row>
    <row r="306" spans="1:8" ht="15" thickBot="1" x14ac:dyDescent="0.4">
      <c r="A306" s="17">
        <v>295</v>
      </c>
      <c r="B306" s="26">
        <f t="shared" si="60"/>
        <v>2043</v>
      </c>
      <c r="C306" s="30">
        <f t="shared" si="53"/>
        <v>52417</v>
      </c>
      <c r="D306" s="5">
        <f t="shared" si="61"/>
        <v>556.15933032622297</v>
      </c>
      <c r="E306" s="7">
        <f t="shared" si="62"/>
        <v>5.3044717502928913</v>
      </c>
      <c r="F306" s="5">
        <f t="shared" si="63"/>
        <v>268</v>
      </c>
      <c r="G306" s="7">
        <f t="shared" si="64"/>
        <v>829.46380207651589</v>
      </c>
      <c r="H306" s="8">
        <f t="shared" si="65"/>
        <v>2794.0333540692873</v>
      </c>
    </row>
    <row r="307" spans="1:8" ht="15" thickBot="1" x14ac:dyDescent="0.4">
      <c r="A307" s="17">
        <v>296</v>
      </c>
      <c r="B307" s="26">
        <f t="shared" si="60"/>
        <v>2043</v>
      </c>
      <c r="C307" s="30">
        <f t="shared" si="53"/>
        <v>52448</v>
      </c>
      <c r="D307" s="5">
        <f t="shared" si="61"/>
        <v>557.03991593257285</v>
      </c>
      <c r="E307" s="7">
        <f t="shared" si="62"/>
        <v>4.4238861439430384</v>
      </c>
      <c r="F307" s="5">
        <f t="shared" si="63"/>
        <v>268</v>
      </c>
      <c r="G307" s="7">
        <f t="shared" si="64"/>
        <v>829.46380207651589</v>
      </c>
      <c r="H307" s="8">
        <f t="shared" si="65"/>
        <v>2236.9934381367143</v>
      </c>
    </row>
    <row r="308" spans="1:8" ht="15" thickBot="1" x14ac:dyDescent="0.4">
      <c r="A308" s="17">
        <v>297</v>
      </c>
      <c r="B308" s="26">
        <f t="shared" si="60"/>
        <v>2043</v>
      </c>
      <c r="C308" s="30">
        <f t="shared" si="53"/>
        <v>52479</v>
      </c>
      <c r="D308" s="5">
        <f t="shared" si="61"/>
        <v>557.92189579946614</v>
      </c>
      <c r="E308" s="7">
        <f t="shared" si="62"/>
        <v>3.5419062770497978</v>
      </c>
      <c r="F308" s="5">
        <f t="shared" si="63"/>
        <v>268</v>
      </c>
      <c r="G308" s="7">
        <f t="shared" si="64"/>
        <v>829.46380207651589</v>
      </c>
      <c r="H308" s="8">
        <f t="shared" si="65"/>
        <v>1679.071542337248</v>
      </c>
    </row>
    <row r="309" spans="1:8" ht="15" thickBot="1" x14ac:dyDescent="0.4">
      <c r="A309" s="17">
        <v>298</v>
      </c>
      <c r="B309" s="26">
        <f t="shared" si="60"/>
        <v>2043</v>
      </c>
      <c r="C309" s="30">
        <f t="shared" si="53"/>
        <v>52509</v>
      </c>
      <c r="D309" s="5">
        <f t="shared" si="61"/>
        <v>558.80527213448192</v>
      </c>
      <c r="E309" s="7">
        <f t="shared" si="62"/>
        <v>2.6585299420339759</v>
      </c>
      <c r="F309" s="5">
        <f t="shared" si="63"/>
        <v>268</v>
      </c>
      <c r="G309" s="7">
        <f t="shared" si="64"/>
        <v>829.46380207651589</v>
      </c>
      <c r="H309" s="8">
        <f t="shared" si="65"/>
        <v>1120.266270202766</v>
      </c>
    </row>
    <row r="310" spans="1:8" ht="15" thickBot="1" x14ac:dyDescent="0.4">
      <c r="A310" s="17">
        <v>299</v>
      </c>
      <c r="B310" s="26">
        <f t="shared" si="60"/>
        <v>2043</v>
      </c>
      <c r="C310" s="30">
        <f t="shared" si="53"/>
        <v>52540</v>
      </c>
      <c r="D310" s="5">
        <f t="shared" si="61"/>
        <v>559.69004714869482</v>
      </c>
      <c r="E310" s="7">
        <f t="shared" si="62"/>
        <v>1.773754927821046</v>
      </c>
      <c r="F310" s="5">
        <f t="shared" si="63"/>
        <v>268</v>
      </c>
      <c r="G310" s="7">
        <f t="shared" si="64"/>
        <v>829.46380207651589</v>
      </c>
      <c r="H310" s="8">
        <f t="shared" si="65"/>
        <v>560.57622305407119</v>
      </c>
    </row>
    <row r="311" spans="1:8" ht="15" thickBot="1" x14ac:dyDescent="0.4">
      <c r="A311" s="17">
        <v>300</v>
      </c>
      <c r="B311" s="26">
        <f t="shared" si="60"/>
        <v>2043</v>
      </c>
      <c r="C311" s="30">
        <f t="shared" si="53"/>
        <v>52570</v>
      </c>
      <c r="D311" s="5">
        <f t="shared" si="61"/>
        <v>560.57622305407119</v>
      </c>
      <c r="E311" s="7">
        <f t="shared" si="62"/>
        <v>0.88757901983561271</v>
      </c>
      <c r="F311" s="5">
        <f t="shared" si="63"/>
        <v>268</v>
      </c>
      <c r="G311" s="7">
        <f t="shared" si="64"/>
        <v>829.46380207390678</v>
      </c>
      <c r="H311" s="8">
        <f t="shared" si="65"/>
        <v>0</v>
      </c>
    </row>
    <row r="312" spans="1:8" ht="5.25" customHeight="1" thickBot="1" x14ac:dyDescent="0.4">
      <c r="A312" s="16"/>
      <c r="B312" s="27"/>
      <c r="C312" s="27"/>
      <c r="D312" s="11"/>
      <c r="E312" s="7"/>
      <c r="F312" s="7"/>
      <c r="G312" s="7"/>
      <c r="H312" s="8"/>
    </row>
    <row r="313" spans="1:8" ht="35.25" customHeight="1" thickBot="1" x14ac:dyDescent="0.4">
      <c r="A313" s="9"/>
      <c r="B313" s="28"/>
      <c r="C313" s="28"/>
      <c r="D313" s="10">
        <f>+SUM(D12:D251)</f>
        <v>101887.08044700502</v>
      </c>
      <c r="E313" s="10">
        <f t="shared" ref="E313:F313" si="66">+SUM(E12:E251)</f>
        <v>32864.232051358827</v>
      </c>
      <c r="F313" s="10">
        <f t="shared" si="66"/>
        <v>64320</v>
      </c>
      <c r="G313" s="10">
        <f>+SUM(G12:G251)</f>
        <v>199071.31249836431</v>
      </c>
      <c r="H313" s="10"/>
    </row>
    <row r="315" spans="1:8" x14ac:dyDescent="0.35">
      <c r="E315" s="23"/>
      <c r="F315" s="23"/>
    </row>
  </sheetData>
  <pageMargins left="0.70866141732283472" right="0.70866141732283472" top="0.74803149606299213" bottom="0.74803149606299213" header="0.31496062992125984" footer="0.31496062992125984"/>
  <pageSetup paperSize="9" scale="75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63"/>
  <sheetViews>
    <sheetView view="pageBreakPreview" zoomScale="95" zoomScaleSheetLayoutView="95" workbookViewId="0">
      <selection activeCell="D24" sqref="D24"/>
    </sheetView>
  </sheetViews>
  <sheetFormatPr baseColWidth="10" defaultRowHeight="14.5" outlineLevelRow="1" x14ac:dyDescent="0.35"/>
  <cols>
    <col min="1" max="1" width="41" customWidth="1"/>
    <col min="2" max="2" width="6.1796875" customWidth="1"/>
    <col min="3" max="4" width="15.453125" bestFit="1" customWidth="1"/>
    <col min="5" max="8" width="15.81640625" bestFit="1" customWidth="1"/>
    <col min="9" max="10" width="15.453125" bestFit="1" customWidth="1"/>
    <col min="11" max="14" width="15.81640625" bestFit="1" customWidth="1"/>
    <col min="15" max="16" width="14.81640625" bestFit="1" customWidth="1"/>
    <col min="17" max="17" width="15.453125" bestFit="1" customWidth="1"/>
    <col min="18" max="18" width="14.81640625" bestFit="1" customWidth="1"/>
    <col min="19" max="21" width="15.81640625" bestFit="1" customWidth="1"/>
  </cols>
  <sheetData>
    <row r="1" spans="1:27" x14ac:dyDescent="0.35">
      <c r="C1" s="24">
        <f>'FINANCEMENT '!B12</f>
        <v>2019</v>
      </c>
      <c r="D1" s="24">
        <f>C1+1</f>
        <v>2020</v>
      </c>
      <c r="E1" s="24">
        <f t="shared" ref="E1:V1" si="0">D1+1</f>
        <v>2021</v>
      </c>
      <c r="F1" s="24">
        <f t="shared" si="0"/>
        <v>2022</v>
      </c>
      <c r="G1" s="24">
        <f t="shared" si="0"/>
        <v>2023</v>
      </c>
      <c r="H1" s="24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  <c r="N1" s="24">
        <f t="shared" si="0"/>
        <v>2030</v>
      </c>
      <c r="O1" s="24">
        <f t="shared" si="0"/>
        <v>2031</v>
      </c>
      <c r="P1" s="24">
        <f t="shared" si="0"/>
        <v>2032</v>
      </c>
      <c r="Q1" s="24">
        <f t="shared" si="0"/>
        <v>2033</v>
      </c>
      <c r="R1" s="24">
        <f t="shared" si="0"/>
        <v>2034</v>
      </c>
      <c r="S1" s="24">
        <f t="shared" si="0"/>
        <v>2035</v>
      </c>
      <c r="T1" s="24">
        <f t="shared" si="0"/>
        <v>2036</v>
      </c>
      <c r="U1" s="24">
        <f t="shared" si="0"/>
        <v>2037</v>
      </c>
      <c r="V1" s="24">
        <f t="shared" si="0"/>
        <v>2038</v>
      </c>
      <c r="W1" s="24">
        <f t="shared" ref="W1" si="1">V1+1</f>
        <v>2039</v>
      </c>
      <c r="X1" s="24">
        <f t="shared" ref="X1" si="2">W1+1</f>
        <v>2040</v>
      </c>
      <c r="Y1" s="24">
        <f t="shared" ref="Y1" si="3">X1+1</f>
        <v>2041</v>
      </c>
      <c r="Z1" s="24">
        <f t="shared" ref="Z1:AA1" si="4">Y1+1</f>
        <v>2042</v>
      </c>
      <c r="AA1" s="24">
        <f t="shared" si="4"/>
        <v>2043</v>
      </c>
    </row>
    <row r="2" spans="1:27" x14ac:dyDescent="0.35"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</row>
    <row r="3" spans="1:27" x14ac:dyDescent="0.35">
      <c r="A3" s="32" t="s">
        <v>67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5">
      <c r="A4" s="22" t="s">
        <v>14</v>
      </c>
      <c r="B4" s="22"/>
      <c r="C4" s="31">
        <f>SAISI!C16</f>
        <v>1</v>
      </c>
      <c r="D4" s="31">
        <f>C4</f>
        <v>1</v>
      </c>
      <c r="E4" s="31">
        <f t="shared" ref="E4:V4" si="5">D4</f>
        <v>1</v>
      </c>
      <c r="F4" s="31">
        <f t="shared" si="5"/>
        <v>1</v>
      </c>
      <c r="G4" s="31">
        <f t="shared" si="5"/>
        <v>1</v>
      </c>
      <c r="H4" s="31">
        <f t="shared" si="5"/>
        <v>1</v>
      </c>
      <c r="I4" s="31">
        <f t="shared" si="5"/>
        <v>1</v>
      </c>
      <c r="J4" s="31">
        <f t="shared" si="5"/>
        <v>1</v>
      </c>
      <c r="K4" s="31">
        <f t="shared" si="5"/>
        <v>1</v>
      </c>
      <c r="L4" s="31">
        <f t="shared" si="5"/>
        <v>1</v>
      </c>
      <c r="M4" s="31">
        <f t="shared" si="5"/>
        <v>1</v>
      </c>
      <c r="N4" s="31">
        <f t="shared" si="5"/>
        <v>1</v>
      </c>
      <c r="O4" s="31">
        <f t="shared" si="5"/>
        <v>1</v>
      </c>
      <c r="P4" s="31">
        <f t="shared" si="5"/>
        <v>1</v>
      </c>
      <c r="Q4" s="31">
        <f t="shared" si="5"/>
        <v>1</v>
      </c>
      <c r="R4" s="31">
        <f t="shared" si="5"/>
        <v>1</v>
      </c>
      <c r="S4" s="31">
        <f t="shared" si="5"/>
        <v>1</v>
      </c>
      <c r="T4" s="31">
        <f t="shared" si="5"/>
        <v>1</v>
      </c>
      <c r="U4" s="31">
        <f t="shared" si="5"/>
        <v>1</v>
      </c>
      <c r="V4" s="31">
        <f t="shared" si="5"/>
        <v>1</v>
      </c>
      <c r="W4" s="31">
        <f t="shared" ref="W4" si="6">V4</f>
        <v>1</v>
      </c>
      <c r="X4" s="31">
        <f t="shared" ref="X4" si="7">W4</f>
        <v>1</v>
      </c>
      <c r="Y4" s="31">
        <f t="shared" ref="Y4" si="8">X4</f>
        <v>1</v>
      </c>
      <c r="Z4" s="31">
        <f t="shared" ref="Z4:AA4" si="9">Y4</f>
        <v>1</v>
      </c>
      <c r="AA4" s="31">
        <f t="shared" si="9"/>
        <v>1</v>
      </c>
    </row>
    <row r="5" spans="1:27" x14ac:dyDescent="0.35">
      <c r="A5" s="22" t="s">
        <v>100</v>
      </c>
      <c r="B5" s="22"/>
      <c r="C5" s="34">
        <f>SAISI!C15</f>
        <v>0</v>
      </c>
      <c r="D5" s="34">
        <f t="shared" ref="D5:AA5" si="10">+C5+(C5*$B$59)</f>
        <v>0</v>
      </c>
      <c r="E5" s="34">
        <f t="shared" si="10"/>
        <v>0</v>
      </c>
      <c r="F5" s="34">
        <f t="shared" si="10"/>
        <v>0</v>
      </c>
      <c r="G5" s="34">
        <f t="shared" si="10"/>
        <v>0</v>
      </c>
      <c r="H5" s="34">
        <f t="shared" si="10"/>
        <v>0</v>
      </c>
      <c r="I5" s="34">
        <f t="shared" si="10"/>
        <v>0</v>
      </c>
      <c r="J5" s="34">
        <f t="shared" si="10"/>
        <v>0</v>
      </c>
      <c r="K5" s="34">
        <f t="shared" si="10"/>
        <v>0</v>
      </c>
      <c r="L5" s="34">
        <f t="shared" si="10"/>
        <v>0</v>
      </c>
      <c r="M5" s="34">
        <f t="shared" si="10"/>
        <v>0</v>
      </c>
      <c r="N5" s="34">
        <f t="shared" si="10"/>
        <v>0</v>
      </c>
      <c r="O5" s="34">
        <f t="shared" si="10"/>
        <v>0</v>
      </c>
      <c r="P5" s="34">
        <f t="shared" si="10"/>
        <v>0</v>
      </c>
      <c r="Q5" s="34">
        <f t="shared" si="10"/>
        <v>0</v>
      </c>
      <c r="R5" s="34">
        <f t="shared" si="10"/>
        <v>0</v>
      </c>
      <c r="S5" s="34">
        <f t="shared" si="10"/>
        <v>0</v>
      </c>
      <c r="T5" s="34">
        <f t="shared" si="10"/>
        <v>0</v>
      </c>
      <c r="U5" s="34">
        <f t="shared" si="10"/>
        <v>0</v>
      </c>
      <c r="V5" s="34">
        <f t="shared" si="10"/>
        <v>0</v>
      </c>
      <c r="W5" s="34">
        <f t="shared" si="10"/>
        <v>0</v>
      </c>
      <c r="X5" s="34">
        <f t="shared" si="10"/>
        <v>0</v>
      </c>
      <c r="Y5" s="34">
        <f t="shared" si="10"/>
        <v>0</v>
      </c>
      <c r="Z5" s="34">
        <f t="shared" si="10"/>
        <v>0</v>
      </c>
      <c r="AA5" s="34">
        <f t="shared" si="10"/>
        <v>0</v>
      </c>
    </row>
    <row r="6" spans="1:27" x14ac:dyDescent="0.35">
      <c r="A6" s="22" t="s">
        <v>15</v>
      </c>
      <c r="B6" s="22"/>
      <c r="C6" s="33">
        <f>-(C5*0.1)</f>
        <v>0</v>
      </c>
      <c r="D6" s="33">
        <f t="shared" ref="D6:M6" si="11">-(D5*0.1)</f>
        <v>0</v>
      </c>
      <c r="E6" s="33">
        <f t="shared" si="11"/>
        <v>0</v>
      </c>
      <c r="F6" s="33">
        <f t="shared" si="11"/>
        <v>0</v>
      </c>
      <c r="G6" s="33">
        <f t="shared" si="11"/>
        <v>0</v>
      </c>
      <c r="H6" s="33">
        <f t="shared" si="11"/>
        <v>0</v>
      </c>
      <c r="I6" s="33">
        <f t="shared" si="11"/>
        <v>0</v>
      </c>
      <c r="J6" s="33">
        <f t="shared" si="11"/>
        <v>0</v>
      </c>
      <c r="K6" s="33">
        <f t="shared" si="11"/>
        <v>0</v>
      </c>
      <c r="L6" s="33">
        <f t="shared" si="11"/>
        <v>0</v>
      </c>
      <c r="M6" s="33">
        <f t="shared" si="11"/>
        <v>0</v>
      </c>
      <c r="N6" s="33">
        <f t="shared" ref="N6" si="12">-(N5*0.1)</f>
        <v>0</v>
      </c>
      <c r="O6" s="33">
        <f t="shared" ref="O6" si="13">-(O5*0.1)</f>
        <v>0</v>
      </c>
      <c r="P6" s="33">
        <f t="shared" ref="P6" si="14">-(P5*0.1)</f>
        <v>0</v>
      </c>
      <c r="Q6" s="33">
        <f t="shared" ref="Q6" si="15">-(Q5*0.1)</f>
        <v>0</v>
      </c>
      <c r="R6" s="33">
        <f t="shared" ref="R6" si="16">-(R5*0.1)</f>
        <v>0</v>
      </c>
      <c r="S6" s="33">
        <f t="shared" ref="S6" si="17">-(S5*0.1)</f>
        <v>0</v>
      </c>
      <c r="T6" s="33">
        <f t="shared" ref="T6" si="18">-(T5*0.1)</f>
        <v>0</v>
      </c>
      <c r="U6" s="33">
        <f t="shared" ref="U6" si="19">-(U5*0.1)</f>
        <v>0</v>
      </c>
      <c r="V6" s="33">
        <f t="shared" ref="V6:Z6" si="20">-(V5*0.1)</f>
        <v>0</v>
      </c>
      <c r="W6" s="33">
        <f t="shared" si="20"/>
        <v>0</v>
      </c>
      <c r="X6" s="33">
        <f t="shared" si="20"/>
        <v>0</v>
      </c>
      <c r="Y6" s="33">
        <f t="shared" si="20"/>
        <v>0</v>
      </c>
      <c r="Z6" s="33">
        <f t="shared" si="20"/>
        <v>0</v>
      </c>
      <c r="AA6" s="33">
        <f t="shared" ref="AA6" si="21">-(AA5*0.1)</f>
        <v>0</v>
      </c>
    </row>
    <row r="7" spans="1:27" x14ac:dyDescent="0.35">
      <c r="A7" s="22" t="s">
        <v>119</v>
      </c>
      <c r="B7" s="22"/>
      <c r="C7" s="117">
        <f>'DEFICITE FONCIER'!C15</f>
        <v>0</v>
      </c>
      <c r="D7" s="117">
        <f>'DEFICITE FONCIER'!D15</f>
        <v>0</v>
      </c>
      <c r="E7" s="117">
        <f>'DEFICITE FONCIER'!E15</f>
        <v>0</v>
      </c>
      <c r="F7" s="117">
        <f>'DEFICITE FONCIER'!F15</f>
        <v>0</v>
      </c>
      <c r="G7" s="117">
        <f>'DEFICITE FONCIER'!G15</f>
        <v>0</v>
      </c>
      <c r="H7" s="117">
        <f>'DEFICITE FONCIER'!H15</f>
        <v>0</v>
      </c>
      <c r="I7" s="117">
        <f>'DEFICITE FONCIER'!I15</f>
        <v>0</v>
      </c>
      <c r="J7" s="117">
        <f>'DEFICITE FONCIER'!J15</f>
        <v>0</v>
      </c>
      <c r="K7" s="117">
        <f>'DEFICITE FONCIER'!K15</f>
        <v>0</v>
      </c>
      <c r="L7" s="117">
        <f>'DEFICITE FONCIER'!L15</f>
        <v>0</v>
      </c>
      <c r="M7" s="117">
        <f>'DEFICITE FONCIER'!M15</f>
        <v>0</v>
      </c>
      <c r="N7" s="117">
        <f>'DEFICITE FONCIER'!N15</f>
        <v>0</v>
      </c>
      <c r="O7" s="117">
        <f>'DEFICITE FONCIER'!O15</f>
        <v>0</v>
      </c>
      <c r="P7" s="117">
        <f>'DEFICITE FONCIER'!P15</f>
        <v>0</v>
      </c>
      <c r="Q7" s="117">
        <f>'DEFICITE FONCIER'!Q15</f>
        <v>0</v>
      </c>
      <c r="R7" s="117">
        <f>'DEFICITE FONCIER'!R15</f>
        <v>0</v>
      </c>
      <c r="S7" s="117">
        <f>'DEFICITE FONCIER'!S15</f>
        <v>0</v>
      </c>
      <c r="T7" s="117">
        <f>'DEFICITE FONCIER'!T15</f>
        <v>0</v>
      </c>
      <c r="U7" s="117">
        <f>'DEFICITE FONCIER'!U15</f>
        <v>0</v>
      </c>
      <c r="V7" s="117">
        <f>'DEFICITE FONCIER'!V15</f>
        <v>0</v>
      </c>
      <c r="W7" s="117">
        <f>'DEFICITE FONCIER'!W15</f>
        <v>0</v>
      </c>
      <c r="X7" s="117">
        <f>'DEFICITE FONCIER'!X15</f>
        <v>0</v>
      </c>
      <c r="Y7" s="117">
        <f>'DEFICITE FONCIER'!Y15</f>
        <v>0</v>
      </c>
      <c r="Z7" s="117">
        <f>'DEFICITE FONCIER'!Z15</f>
        <v>0</v>
      </c>
      <c r="AA7" s="117">
        <f>'DEFICITE FONCIER'!AA15</f>
        <v>0</v>
      </c>
    </row>
    <row r="8" spans="1:27" ht="6" customHeight="1" x14ac:dyDescent="0.35">
      <c r="A8" s="22"/>
      <c r="B8" s="22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 x14ac:dyDescent="0.35">
      <c r="A9" s="46" t="s">
        <v>16</v>
      </c>
      <c r="B9" s="46"/>
      <c r="C9" s="47">
        <f>C5+C6+C7</f>
        <v>0</v>
      </c>
      <c r="D9" s="47">
        <f t="shared" ref="D9:AA9" si="22">D5+D6+D7</f>
        <v>0</v>
      </c>
      <c r="E9" s="47">
        <f t="shared" si="22"/>
        <v>0</v>
      </c>
      <c r="F9" s="47">
        <f t="shared" si="22"/>
        <v>0</v>
      </c>
      <c r="G9" s="47">
        <f t="shared" si="22"/>
        <v>0</v>
      </c>
      <c r="H9" s="47">
        <f t="shared" si="22"/>
        <v>0</v>
      </c>
      <c r="I9" s="47">
        <f t="shared" si="22"/>
        <v>0</v>
      </c>
      <c r="J9" s="47">
        <f t="shared" si="22"/>
        <v>0</v>
      </c>
      <c r="K9" s="47">
        <f t="shared" si="22"/>
        <v>0</v>
      </c>
      <c r="L9" s="47">
        <f t="shared" si="22"/>
        <v>0</v>
      </c>
      <c r="M9" s="47">
        <f t="shared" si="22"/>
        <v>0</v>
      </c>
      <c r="N9" s="47">
        <f t="shared" si="22"/>
        <v>0</v>
      </c>
      <c r="O9" s="47">
        <f t="shared" si="22"/>
        <v>0</v>
      </c>
      <c r="P9" s="47">
        <f t="shared" si="22"/>
        <v>0</v>
      </c>
      <c r="Q9" s="47">
        <f t="shared" si="22"/>
        <v>0</v>
      </c>
      <c r="R9" s="47">
        <f t="shared" si="22"/>
        <v>0</v>
      </c>
      <c r="S9" s="47">
        <f t="shared" si="22"/>
        <v>0</v>
      </c>
      <c r="T9" s="47">
        <f t="shared" si="22"/>
        <v>0</v>
      </c>
      <c r="U9" s="47">
        <f t="shared" si="22"/>
        <v>0</v>
      </c>
      <c r="V9" s="47">
        <f t="shared" si="22"/>
        <v>0</v>
      </c>
      <c r="W9" s="47">
        <f t="shared" si="22"/>
        <v>0</v>
      </c>
      <c r="X9" s="47">
        <f t="shared" si="22"/>
        <v>0</v>
      </c>
      <c r="Y9" s="47">
        <f t="shared" si="22"/>
        <v>0</v>
      </c>
      <c r="Z9" s="47">
        <f t="shared" si="22"/>
        <v>0</v>
      </c>
      <c r="AA9" s="47">
        <f t="shared" si="22"/>
        <v>0</v>
      </c>
    </row>
    <row r="10" spans="1:27" hidden="1" outlineLevel="1" x14ac:dyDescent="0.35">
      <c r="A10" s="46"/>
      <c r="B10" s="46"/>
      <c r="C10" s="79">
        <f t="shared" ref="C10:V10" si="23">C9/C4</f>
        <v>0</v>
      </c>
      <c r="D10" s="79">
        <f t="shared" si="23"/>
        <v>0</v>
      </c>
      <c r="E10" s="79">
        <f t="shared" si="23"/>
        <v>0</v>
      </c>
      <c r="F10" s="79">
        <f t="shared" si="23"/>
        <v>0</v>
      </c>
      <c r="G10" s="79">
        <f t="shared" si="23"/>
        <v>0</v>
      </c>
      <c r="H10" s="79">
        <f t="shared" si="23"/>
        <v>0</v>
      </c>
      <c r="I10" s="79">
        <f t="shared" si="23"/>
        <v>0</v>
      </c>
      <c r="J10" s="79">
        <f t="shared" si="23"/>
        <v>0</v>
      </c>
      <c r="K10" s="79">
        <f t="shared" si="23"/>
        <v>0</v>
      </c>
      <c r="L10" s="79">
        <f t="shared" si="23"/>
        <v>0</v>
      </c>
      <c r="M10" s="79">
        <f t="shared" si="23"/>
        <v>0</v>
      </c>
      <c r="N10" s="79">
        <f t="shared" si="23"/>
        <v>0</v>
      </c>
      <c r="O10" s="79">
        <f t="shared" si="23"/>
        <v>0</v>
      </c>
      <c r="P10" s="79">
        <f t="shared" si="23"/>
        <v>0</v>
      </c>
      <c r="Q10" s="79">
        <f t="shared" si="23"/>
        <v>0</v>
      </c>
      <c r="R10" s="79">
        <f t="shared" si="23"/>
        <v>0</v>
      </c>
      <c r="S10" s="79">
        <f t="shared" si="23"/>
        <v>0</v>
      </c>
      <c r="T10" s="79">
        <f t="shared" si="23"/>
        <v>0</v>
      </c>
      <c r="U10" s="79">
        <f t="shared" si="23"/>
        <v>0</v>
      </c>
      <c r="V10" s="79">
        <f t="shared" si="23"/>
        <v>0</v>
      </c>
      <c r="W10" s="79">
        <f t="shared" ref="W10" si="24">W9/W4</f>
        <v>0</v>
      </c>
      <c r="X10" s="79">
        <f t="shared" ref="X10" si="25">X9/X4</f>
        <v>0</v>
      </c>
      <c r="Y10" s="79">
        <f t="shared" ref="Y10" si="26">Y9/Y4</f>
        <v>0</v>
      </c>
      <c r="Z10" s="79">
        <f t="shared" ref="Z10:AA10" si="27">Z9/Z4</f>
        <v>0</v>
      </c>
      <c r="AA10" s="79">
        <f t="shared" si="27"/>
        <v>0</v>
      </c>
    </row>
    <row r="11" spans="1:27" collapsed="1" x14ac:dyDescent="0.35"/>
    <row r="12" spans="1:27" x14ac:dyDescent="0.35">
      <c r="A12" s="32" t="s">
        <v>98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5">
      <c r="A13" s="35" t="s">
        <v>101</v>
      </c>
      <c r="B13" s="35"/>
      <c r="C13" s="72">
        <f>SAISI!$C$47</f>
        <v>11520</v>
      </c>
      <c r="D13" s="72">
        <f t="shared" ref="D13:AA13" si="28">+C13+(C13*$B$60)</f>
        <v>11531.52</v>
      </c>
      <c r="E13" s="72">
        <f t="shared" si="28"/>
        <v>11543.051520000001</v>
      </c>
      <c r="F13" s="72">
        <f t="shared" si="28"/>
        <v>11554.594571520001</v>
      </c>
      <c r="G13" s="72">
        <f t="shared" si="28"/>
        <v>11566.149166091522</v>
      </c>
      <c r="H13" s="72">
        <f t="shared" si="28"/>
        <v>11577.715315257614</v>
      </c>
      <c r="I13" s="72">
        <f t="shared" si="28"/>
        <v>11589.293030572871</v>
      </c>
      <c r="J13" s="72">
        <f t="shared" si="28"/>
        <v>11600.882323603444</v>
      </c>
      <c r="K13" s="72">
        <f t="shared" si="28"/>
        <v>11612.483205927048</v>
      </c>
      <c r="L13" s="72">
        <f t="shared" si="28"/>
        <v>11624.095689132975</v>
      </c>
      <c r="M13" s="72">
        <f t="shared" si="28"/>
        <v>11635.719784822108</v>
      </c>
      <c r="N13" s="72">
        <f t="shared" si="28"/>
        <v>11647.35550460693</v>
      </c>
      <c r="O13" s="72">
        <f t="shared" si="28"/>
        <v>11659.002860111537</v>
      </c>
      <c r="P13" s="72">
        <f t="shared" si="28"/>
        <v>11670.661862971649</v>
      </c>
      <c r="Q13" s="72">
        <f t="shared" si="28"/>
        <v>11682.332524834621</v>
      </c>
      <c r="R13" s="72">
        <f t="shared" si="28"/>
        <v>11694.014857359456</v>
      </c>
      <c r="S13" s="72">
        <f t="shared" si="28"/>
        <v>11705.708872216816</v>
      </c>
      <c r="T13" s="72">
        <f t="shared" si="28"/>
        <v>11717.414581089033</v>
      </c>
      <c r="U13" s="72">
        <f t="shared" si="28"/>
        <v>11729.131995670123</v>
      </c>
      <c r="V13" s="72">
        <f t="shared" si="28"/>
        <v>11740.861127665792</v>
      </c>
      <c r="W13" s="72">
        <f t="shared" si="28"/>
        <v>11752.601988793458</v>
      </c>
      <c r="X13" s="72">
        <f t="shared" si="28"/>
        <v>11764.354590782252</v>
      </c>
      <c r="Y13" s="72">
        <f t="shared" si="28"/>
        <v>11776.118945373035</v>
      </c>
      <c r="Z13" s="72">
        <f t="shared" si="28"/>
        <v>11787.895064318407</v>
      </c>
      <c r="AA13" s="72">
        <f t="shared" si="28"/>
        <v>11799.682959382726</v>
      </c>
    </row>
    <row r="14" spans="1:27" x14ac:dyDescent="0.35">
      <c r="A14" s="35" t="s">
        <v>17</v>
      </c>
      <c r="B14" s="35"/>
      <c r="C14" s="73">
        <f>SUMIF('FINANCEMENT '!$B$12:$B$311,FISCALITE!C1,'FINANCEMENT '!$E$12:$E$311)+SUMIF('FINANCEMENT '!$B$12:$B$311,FISCALITE!C1,'FINANCEMENT '!$F$12:$F$311)</f>
        <v>5725.3051142297409</v>
      </c>
      <c r="D14" s="73">
        <f>SUMIF('FINANCEMENT '!$B$12:$B$311,FISCALITE!D1,'FINANCEMENT '!$E$12:$E$311)+SUMIF('FINANCEMENT '!$B$12:$B$311,FISCALITE!D1,'FINANCEMENT '!$F$12:$F$311)</f>
        <v>5644.2648580640453</v>
      </c>
      <c r="E14" s="73">
        <f>SUMIF('FINANCEMENT '!$B$12:$B$311,FISCALITE!E1,'FINANCEMENT '!$E$12:$E$311)+SUMIF('FINANCEMENT '!$B$12:$B$311,FISCALITE!E1,'FINANCEMENT '!$F$12:$F$311)</f>
        <v>5561.6713572241379</v>
      </c>
      <c r="F14" s="73">
        <f>SUMIF('FINANCEMENT '!$B$12:$B$311,FISCALITE!F1,'FINANCEMENT '!$E$12:$E$311)+SUMIF('FINANCEMENT '!$B$12:$B$311,FISCALITE!F1,'FINANCEMENT '!$F$12:$F$311)</f>
        <v>5477.4948417027153</v>
      </c>
      <c r="G14" s="73">
        <f>SUMIF('FINANCEMENT '!$B$12:$B$311,FISCALITE!G1,'FINANCEMENT '!$E$12:$E$311)+SUMIF('FINANCEMENT '!$B$12:$B$311,FISCALITE!G1,'FINANCEMENT '!$F$12:$F$311)</f>
        <v>5391.7049709105522</v>
      </c>
      <c r="H14" s="73">
        <f>SUMIF('FINANCEMENT '!$B$12:$B$311,FISCALITE!H1,'FINANCEMENT '!$E$12:$E$311)+SUMIF('FINANCEMENT '!$B$12:$B$311,FISCALITE!H1,'FINANCEMENT '!$F$12:$F$311)</f>
        <v>5304.2708227405292</v>
      </c>
      <c r="I14" s="73">
        <f>SUMIF('FINANCEMENT '!$B$12:$B$311,FISCALITE!I1,'FINANCEMENT '!$E$12:$E$311)+SUMIF('FINANCEMENT '!$B$12:$B$311,FISCALITE!I1,'FINANCEMENT '!$F$12:$F$311)</f>
        <v>5215.1608824220748</v>
      </c>
      <c r="J14" s="73">
        <f>SUMIF('FINANCEMENT '!$B$12:$B$311,FISCALITE!J1,'FINANCEMENT '!$E$12:$E$311)+SUMIF('FINANCEMENT '!$B$12:$B$311,FISCALITE!J1,'FINANCEMENT '!$F$12:$F$311)</f>
        <v>5124.3430311619804</v>
      </c>
      <c r="K14" s="73">
        <f>SUMIF('FINANCEMENT '!$B$12:$B$311,FISCALITE!K1,'FINANCEMENT '!$E$12:$E$311)+SUMIF('FINANCEMENT '!$B$12:$B$311,FISCALITE!K1,'FINANCEMENT '!$F$12:$F$311)</f>
        <v>5031.7845345674896</v>
      </c>
      <c r="L14" s="73">
        <f>SUMIF('FINANCEMENT '!$B$12:$B$311,FISCALITE!L1,'FINANCEMENT '!$E$12:$E$311)+SUMIF('FINANCEMENT '!$B$12:$B$311,FISCALITE!L1,'FINANCEMENT '!$F$12:$F$311)</f>
        <v>4937.4520308475239</v>
      </c>
      <c r="M14" s="73">
        <f>SUMIF('FINANCEMENT '!$B$12:$B$311,FISCALITE!M1,'FINANCEMENT '!$E$12:$E$311)+SUMIF('FINANCEMENT '!$B$12:$B$311,FISCALITE!M1,'FINANCEMENT '!$F$12:$F$311)</f>
        <v>4841.3115187877465</v>
      </c>
      <c r="N14" s="73">
        <f>SUMIF('FINANCEMENT '!$B$12:$B$311,FISCALITE!N1,'FINANCEMENT '!$E$12:$E$311)+SUMIF('FINANCEMENT '!$B$12:$B$311,FISCALITE!N1,'FINANCEMENT '!$F$12:$F$311)</f>
        <v>4743.3283454951707</v>
      </c>
      <c r="O14" s="73">
        <f>SUMIF('FINANCEMENT '!$B$12:$B$311,FISCALITE!O1,'FINANCEMENT '!$E$12:$E$311)+SUMIF('FINANCEMENT '!$B$12:$B$311,FISCALITE!O1,'FINANCEMENT '!$F$12:$F$311)</f>
        <v>4643.467193907858</v>
      </c>
      <c r="P14" s="73">
        <f>SUMIF('FINANCEMENT '!$B$12:$B$311,FISCALITE!P1,'FINANCEMENT '!$E$12:$E$311)+SUMIF('FINANCEMENT '!$B$12:$B$311,FISCALITE!P1,'FINANCEMENT '!$F$12:$F$311)</f>
        <v>4541.6920700652463</v>
      </c>
      <c r="Q14" s="73">
        <f>SUMIF('FINANCEMENT '!$B$12:$B$311,FISCALITE!Q1,'FINANCEMENT '!$E$12:$E$311)+SUMIF('FINANCEMENT '!$B$12:$B$311,FISCALITE!Q1,'FINANCEMENT '!$F$12:$F$311)</f>
        <v>4437.9662901344745</v>
      </c>
      <c r="R14" s="73">
        <f>SUMIF('FINANCEMENT '!$B$12:$B$311,FISCALITE!R1,'FINANCEMENT '!$E$12:$E$311)+SUMIF('FINANCEMENT '!$B$12:$B$311,FISCALITE!R1,'FINANCEMENT '!$F$12:$F$311)</f>
        <v>4332.2524671880637</v>
      </c>
      <c r="S14" s="73">
        <f>SUMIF('FINANCEMENT '!$B$12:$B$311,FISCALITE!S1,'FINANCEMENT '!$E$12:$E$311)+SUMIF('FINANCEMENT '!$B$12:$B$311,FISCALITE!S1,'FINANCEMENT '!$F$12:$F$311)</f>
        <v>4224.5124977281694</v>
      </c>
      <c r="T14" s="73">
        <f>SUMIF('FINANCEMENT '!$B$12:$B$311,FISCALITE!T1,'FINANCEMENT '!$E$12:$E$311)+SUMIF('FINANCEMENT '!$B$12:$B$311,FISCALITE!T1,'FINANCEMENT '!$F$12:$F$311)</f>
        <v>4114.7075479525529</v>
      </c>
      <c r="U14" s="73">
        <f>SUMIF('FINANCEMENT '!$B$12:$B$311,FISCALITE!U1,'FINANCEMENT '!$E$12:$E$311)+SUMIF('FINANCEMENT '!$B$12:$B$311,FISCALITE!U1,'FINANCEMENT '!$F$12:$F$311)</f>
        <v>4002.7980397573256</v>
      </c>
      <c r="V14" s="73">
        <f>SUMIF('FINANCEMENT '!$B$12:$B$311,FISCALITE!V1,'FINANCEMENT '!$E$12:$E$311)+SUMIF('FINANCEMENT '!$B$12:$B$311,FISCALITE!V1,'FINANCEMENT '!$F$12:$F$311)</f>
        <v>3888.7436364714126</v>
      </c>
      <c r="W14" s="73">
        <f>SUMIF('FINANCEMENT '!$B$12:$B$311,FISCALITE!W1,'FINANCEMENT '!$E$12:$E$311)+SUMIF('FINANCEMENT '!$B$12:$B$311,FISCALITE!W1,'FINANCEMENT '!$F$12:$F$311)</f>
        <v>3772.5032283175988</v>
      </c>
      <c r="X14" s="73">
        <f>SUMIF('FINANCEMENT '!$B$12:$B$311,FISCALITE!X1,'FINANCEMENT '!$E$12:$E$311)+SUMIF('FINANCEMENT '!$B$12:$B$311,FISCALITE!X1,'FINANCEMENT '!$F$12:$F$311)</f>
        <v>3654.0349175949209</v>
      </c>
      <c r="Y14" s="73">
        <f>SUMIF('FINANCEMENT '!$B$12:$B$311,FISCALITE!Y1,'FINANCEMENT '!$E$12:$E$311)+SUMIF('FINANCEMENT '!$B$12:$B$311,FISCALITE!Y1,'FINANCEMENT '!$F$12:$F$311)</f>
        <v>3533.2960035770548</v>
      </c>
      <c r="Z14" s="73">
        <f>SUMIF('FINANCEMENT '!$B$12:$B$311,FISCALITE!Z1,'FINANCEMENT '!$E$12:$E$311)+SUMIF('FINANCEMENT '!$B$12:$B$311,FISCALITE!Z1,'FINANCEMENT '!$F$12:$F$311)</f>
        <v>3410.2429671212635</v>
      </c>
      <c r="AA14" s="73">
        <f>SUMIF('FINANCEMENT '!$B$12:$B$311,FISCALITE!AA1,'FINANCEMENT '!$E$12:$E$311)+SUMIF('FINANCEMENT '!$B$12:$B$311,FISCALITE!AA1,'FINANCEMENT '!$F$12:$F$311)</f>
        <v>3284.8314549823554</v>
      </c>
    </row>
    <row r="15" spans="1:27" x14ac:dyDescent="0.35">
      <c r="A15" s="35" t="s">
        <v>88</v>
      </c>
      <c r="B15" s="35"/>
      <c r="C15" s="72">
        <f>'FINANCEMENT '!$E$6+'FINANCEMENT '!$E$7</f>
        <v>2666</v>
      </c>
      <c r="D15" s="72">
        <v>0</v>
      </c>
      <c r="E15" s="72">
        <v>0</v>
      </c>
      <c r="F15" s="72">
        <v>0</v>
      </c>
      <c r="G15" s="72">
        <v>0</v>
      </c>
      <c r="H15" s="72">
        <v>0</v>
      </c>
      <c r="I15" s="72">
        <v>0</v>
      </c>
      <c r="J15" s="72">
        <v>0</v>
      </c>
      <c r="K15" s="72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0</v>
      </c>
      <c r="Z15" s="72">
        <v>0</v>
      </c>
      <c r="AA15" s="72">
        <v>0</v>
      </c>
    </row>
    <row r="16" spans="1:27" x14ac:dyDescent="0.35">
      <c r="A16" s="35" t="s">
        <v>18</v>
      </c>
      <c r="B16" s="35"/>
      <c r="C16" s="72">
        <f>SAISI!$C$54</f>
        <v>800</v>
      </c>
      <c r="D16" s="72">
        <f>SAISI!$C$54</f>
        <v>800</v>
      </c>
      <c r="E16" s="72">
        <f>SAISI!$C$54</f>
        <v>800</v>
      </c>
      <c r="F16" s="72">
        <f>SAISI!$C$54</f>
        <v>800</v>
      </c>
      <c r="G16" s="72">
        <f>SAISI!$C$54</f>
        <v>800</v>
      </c>
      <c r="H16" s="72">
        <f>SAISI!$C$54</f>
        <v>800</v>
      </c>
      <c r="I16" s="72">
        <f>SAISI!$C$54</f>
        <v>800</v>
      </c>
      <c r="J16" s="72">
        <f>SAISI!$C$54</f>
        <v>800</v>
      </c>
      <c r="K16" s="72">
        <f>SAISI!$C$54</f>
        <v>800</v>
      </c>
      <c r="L16" s="72">
        <f>SAISI!$C$54</f>
        <v>800</v>
      </c>
      <c r="M16" s="72">
        <f>SAISI!$C$54</f>
        <v>800</v>
      </c>
      <c r="N16" s="72">
        <f>SAISI!$C$54</f>
        <v>800</v>
      </c>
      <c r="O16" s="72">
        <f>SAISI!$C$54</f>
        <v>800</v>
      </c>
      <c r="P16" s="72">
        <f>SAISI!$C$54</f>
        <v>800</v>
      </c>
      <c r="Q16" s="72">
        <f>SAISI!$C$54</f>
        <v>800</v>
      </c>
      <c r="R16" s="72">
        <f>SAISI!$C$54</f>
        <v>800</v>
      </c>
      <c r="S16" s="72">
        <f>SAISI!$C$54</f>
        <v>800</v>
      </c>
      <c r="T16" s="72">
        <f>SAISI!$C$54</f>
        <v>800</v>
      </c>
      <c r="U16" s="72">
        <f>SAISI!$C$54</f>
        <v>800</v>
      </c>
      <c r="V16" s="72">
        <f>SAISI!$C$54</f>
        <v>800</v>
      </c>
      <c r="W16" s="72">
        <f>SAISI!$C$54</f>
        <v>800</v>
      </c>
      <c r="X16" s="72">
        <f>SAISI!$C$54</f>
        <v>800</v>
      </c>
      <c r="Y16" s="72">
        <f>SAISI!$C$54</f>
        <v>800</v>
      </c>
      <c r="Z16" s="72">
        <f>SAISI!$C$54</f>
        <v>800</v>
      </c>
      <c r="AA16" s="72">
        <f>SAISI!$C$54</f>
        <v>800</v>
      </c>
    </row>
    <row r="17" spans="1:27" x14ac:dyDescent="0.35">
      <c r="A17" s="35" t="s">
        <v>19</v>
      </c>
      <c r="B17" s="35"/>
      <c r="C17" s="72">
        <f>SAISI!$C$57</f>
        <v>0</v>
      </c>
      <c r="D17" s="72">
        <f>SAISI!$C$57</f>
        <v>0</v>
      </c>
      <c r="E17" s="72">
        <f>SAISI!$C$57</f>
        <v>0</v>
      </c>
      <c r="F17" s="72">
        <f>SAISI!$C$57</f>
        <v>0</v>
      </c>
      <c r="G17" s="72">
        <f>SAISI!$C$57</f>
        <v>0</v>
      </c>
      <c r="H17" s="72">
        <f>SAISI!$C$57</f>
        <v>0</v>
      </c>
      <c r="I17" s="72">
        <f>SAISI!$C$57</f>
        <v>0</v>
      </c>
      <c r="J17" s="72">
        <f>SAISI!$C$57</f>
        <v>0</v>
      </c>
      <c r="K17" s="72">
        <f>SAISI!$C$57</f>
        <v>0</v>
      </c>
      <c r="L17" s="72">
        <f>SAISI!$C$57</f>
        <v>0</v>
      </c>
      <c r="M17" s="72">
        <f>SAISI!$C$57</f>
        <v>0</v>
      </c>
      <c r="N17" s="72">
        <f>SAISI!$C$57</f>
        <v>0</v>
      </c>
      <c r="O17" s="72">
        <f>SAISI!$C$57</f>
        <v>0</v>
      </c>
      <c r="P17" s="72">
        <f>SAISI!$C$57</f>
        <v>0</v>
      </c>
      <c r="Q17" s="72">
        <f>SAISI!$C$57</f>
        <v>0</v>
      </c>
      <c r="R17" s="72">
        <f>SAISI!$C$57</f>
        <v>0</v>
      </c>
      <c r="S17" s="72">
        <f>SAISI!$C$57</f>
        <v>0</v>
      </c>
      <c r="T17" s="72">
        <f>SAISI!$C$57</f>
        <v>0</v>
      </c>
      <c r="U17" s="72">
        <f>SAISI!$C$57</f>
        <v>0</v>
      </c>
      <c r="V17" s="72">
        <f>SAISI!$C$57</f>
        <v>0</v>
      </c>
      <c r="W17" s="72">
        <f>SAISI!$C$57</f>
        <v>0</v>
      </c>
      <c r="X17" s="72">
        <f>SAISI!$C$57</f>
        <v>0</v>
      </c>
      <c r="Y17" s="72">
        <f>SAISI!$C$57</f>
        <v>0</v>
      </c>
      <c r="Z17" s="72">
        <f>SAISI!$C$57</f>
        <v>0</v>
      </c>
      <c r="AA17" s="72">
        <f>SAISI!$C$57</f>
        <v>0</v>
      </c>
    </row>
    <row r="18" spans="1:27" x14ac:dyDescent="0.35">
      <c r="A18" s="35" t="s">
        <v>6</v>
      </c>
      <c r="B18" s="35"/>
      <c r="C18" s="72">
        <f>SAISI!$C$55+SAISI!$C$56</f>
        <v>0</v>
      </c>
      <c r="D18" s="72">
        <f>SAISI!$C$55+SAISI!$C$56</f>
        <v>0</v>
      </c>
      <c r="E18" s="72">
        <f>SAISI!$C$55+SAISI!$C$56</f>
        <v>0</v>
      </c>
      <c r="F18" s="72">
        <f>SAISI!$C$55+SAISI!$C$56</f>
        <v>0</v>
      </c>
      <c r="G18" s="72">
        <f>SAISI!$C$55+SAISI!$C$56</f>
        <v>0</v>
      </c>
      <c r="H18" s="72">
        <f>SAISI!$C$55+SAISI!$C$56</f>
        <v>0</v>
      </c>
      <c r="I18" s="72">
        <f>SAISI!$C$55+SAISI!$C$56</f>
        <v>0</v>
      </c>
      <c r="J18" s="72">
        <f>SAISI!$C$55+SAISI!$C$56</f>
        <v>0</v>
      </c>
      <c r="K18" s="72">
        <f>SAISI!$C$55+SAISI!$C$56</f>
        <v>0</v>
      </c>
      <c r="L18" s="72">
        <f>SAISI!$C$55+SAISI!$C$56</f>
        <v>0</v>
      </c>
      <c r="M18" s="72">
        <f>SAISI!$C$55+SAISI!$C$56</f>
        <v>0</v>
      </c>
      <c r="N18" s="72">
        <f>SAISI!$C$55+SAISI!$C$56</f>
        <v>0</v>
      </c>
      <c r="O18" s="72">
        <f>SAISI!$C$55+SAISI!$C$56</f>
        <v>0</v>
      </c>
      <c r="P18" s="72">
        <f>SAISI!$C$55+SAISI!$C$56</f>
        <v>0</v>
      </c>
      <c r="Q18" s="72">
        <f>SAISI!$C$55+SAISI!$C$56</f>
        <v>0</v>
      </c>
      <c r="R18" s="72">
        <f>SAISI!$C$55+SAISI!$C$56</f>
        <v>0</v>
      </c>
      <c r="S18" s="72">
        <f>SAISI!$C$55+SAISI!$C$56</f>
        <v>0</v>
      </c>
      <c r="T18" s="72">
        <f>SAISI!$C$55+SAISI!$C$56</f>
        <v>0</v>
      </c>
      <c r="U18" s="72">
        <f>SAISI!$C$55+SAISI!$C$56</f>
        <v>0</v>
      </c>
      <c r="V18" s="72">
        <f>SAISI!$C$55+SAISI!$C$56</f>
        <v>0</v>
      </c>
      <c r="W18" s="72">
        <f>SAISI!$C$55+SAISI!$C$56</f>
        <v>0</v>
      </c>
      <c r="X18" s="72">
        <f>SAISI!$C$55+SAISI!$C$56</f>
        <v>0</v>
      </c>
      <c r="Y18" s="72">
        <f>SAISI!$C$55+SAISI!$C$56</f>
        <v>0</v>
      </c>
      <c r="Z18" s="72">
        <f>SAISI!$C$55+SAISI!$C$56</f>
        <v>0</v>
      </c>
      <c r="AA18" s="72">
        <f>SAISI!$C$55+SAISI!$C$56</f>
        <v>0</v>
      </c>
    </row>
    <row r="19" spans="1:27" x14ac:dyDescent="0.35">
      <c r="A19" s="35" t="s">
        <v>78</v>
      </c>
      <c r="B19" s="35"/>
      <c r="C19" s="72">
        <v>20</v>
      </c>
      <c r="D19" s="72">
        <v>20</v>
      </c>
      <c r="E19" s="72">
        <v>20</v>
      </c>
      <c r="F19" s="72">
        <v>20</v>
      </c>
      <c r="G19" s="72">
        <v>20</v>
      </c>
      <c r="H19" s="72">
        <v>20</v>
      </c>
      <c r="I19" s="72">
        <v>20</v>
      </c>
      <c r="J19" s="72">
        <v>20</v>
      </c>
      <c r="K19" s="72">
        <v>20</v>
      </c>
      <c r="L19" s="72">
        <v>20</v>
      </c>
      <c r="M19" s="72">
        <v>20</v>
      </c>
      <c r="N19" s="72">
        <v>20</v>
      </c>
      <c r="O19" s="72">
        <v>20</v>
      </c>
      <c r="P19" s="72">
        <v>20</v>
      </c>
      <c r="Q19" s="72">
        <v>20</v>
      </c>
      <c r="R19" s="72">
        <v>20</v>
      </c>
      <c r="S19" s="72">
        <v>20</v>
      </c>
      <c r="T19" s="72">
        <v>20</v>
      </c>
      <c r="U19" s="72">
        <v>20</v>
      </c>
      <c r="V19" s="72">
        <v>20</v>
      </c>
      <c r="W19" s="72">
        <v>20</v>
      </c>
      <c r="X19" s="72">
        <v>20</v>
      </c>
      <c r="Y19" s="72">
        <v>20</v>
      </c>
      <c r="Z19" s="72">
        <v>20</v>
      </c>
      <c r="AA19" s="72">
        <v>20</v>
      </c>
    </row>
    <row r="20" spans="1:27" x14ac:dyDescent="0.35">
      <c r="A20" s="35" t="s">
        <v>46</v>
      </c>
      <c r="B20" s="35"/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  <c r="R20" s="83">
        <v>0</v>
      </c>
      <c r="S20" s="83">
        <v>0</v>
      </c>
      <c r="T20" s="83">
        <v>0</v>
      </c>
      <c r="U20" s="83">
        <v>0</v>
      </c>
      <c r="V20" s="83">
        <v>0</v>
      </c>
      <c r="W20" s="83">
        <v>0</v>
      </c>
      <c r="X20" s="83">
        <v>0</v>
      </c>
      <c r="Y20" s="83">
        <v>0</v>
      </c>
      <c r="Z20" s="83">
        <v>0</v>
      </c>
      <c r="AA20" s="83">
        <v>0</v>
      </c>
    </row>
    <row r="21" spans="1:27" x14ac:dyDescent="0.35">
      <c r="A21" s="35" t="s">
        <v>102</v>
      </c>
      <c r="B21" s="35"/>
      <c r="C21" s="72">
        <f>SAISI!$C$51-SAISI!$C$52</f>
        <v>1520</v>
      </c>
      <c r="D21" s="72">
        <f t="shared" ref="D21:AA21" si="29">C21+(C21*$B$61)</f>
        <v>1550.4</v>
      </c>
      <c r="E21" s="72">
        <f t="shared" si="29"/>
        <v>1581.4080000000001</v>
      </c>
      <c r="F21" s="72">
        <f t="shared" si="29"/>
        <v>1613.0361600000001</v>
      </c>
      <c r="G21" s="72">
        <f t="shared" si="29"/>
        <v>1645.2968832000001</v>
      </c>
      <c r="H21" s="72">
        <f t="shared" si="29"/>
        <v>1678.2028208640002</v>
      </c>
      <c r="I21" s="72">
        <f t="shared" si="29"/>
        <v>1711.7668772812801</v>
      </c>
      <c r="J21" s="72">
        <f t="shared" si="29"/>
        <v>1746.0022148269056</v>
      </c>
      <c r="K21" s="72">
        <f t="shared" si="29"/>
        <v>1780.9222591234438</v>
      </c>
      <c r="L21" s="72">
        <f t="shared" si="29"/>
        <v>1816.5407043059126</v>
      </c>
      <c r="M21" s="72">
        <f t="shared" si="29"/>
        <v>1852.8715183920308</v>
      </c>
      <c r="N21" s="72">
        <f t="shared" si="29"/>
        <v>1889.9289487598714</v>
      </c>
      <c r="O21" s="72">
        <f t="shared" si="29"/>
        <v>1927.7275277350689</v>
      </c>
      <c r="P21" s="72">
        <f t="shared" si="29"/>
        <v>1966.2820782897702</v>
      </c>
      <c r="Q21" s="72">
        <f t="shared" si="29"/>
        <v>2005.6077198555656</v>
      </c>
      <c r="R21" s="72">
        <f t="shared" si="29"/>
        <v>2045.7198742526768</v>
      </c>
      <c r="S21" s="72">
        <f t="shared" si="29"/>
        <v>2086.6342717377302</v>
      </c>
      <c r="T21" s="72">
        <f t="shared" si="29"/>
        <v>2128.3669571724849</v>
      </c>
      <c r="U21" s="72">
        <f t="shared" si="29"/>
        <v>2170.9342963159347</v>
      </c>
      <c r="V21" s="72">
        <f t="shared" si="29"/>
        <v>2214.3529822422533</v>
      </c>
      <c r="W21" s="72">
        <f t="shared" si="29"/>
        <v>2258.6400418870985</v>
      </c>
      <c r="X21" s="72">
        <f t="shared" si="29"/>
        <v>2303.8128427248403</v>
      </c>
      <c r="Y21" s="72">
        <f t="shared" si="29"/>
        <v>2349.8890995793372</v>
      </c>
      <c r="Z21" s="72">
        <f t="shared" si="29"/>
        <v>2396.8868815709238</v>
      </c>
      <c r="AA21" s="72">
        <f t="shared" si="29"/>
        <v>2444.8246192023421</v>
      </c>
    </row>
    <row r="22" spans="1:27" x14ac:dyDescent="0.35">
      <c r="A22" s="35" t="s">
        <v>123</v>
      </c>
      <c r="B22" s="35"/>
      <c r="C22" s="72">
        <f>'DEFICITE FONCIER'!C16</f>
        <v>0</v>
      </c>
      <c r="D22" s="72">
        <f>'DEFICITE FONCIER'!D16</f>
        <v>0</v>
      </c>
      <c r="E22" s="72">
        <f>'DEFICITE FONCIER'!E16</f>
        <v>0</v>
      </c>
      <c r="F22" s="72">
        <f>'DEFICITE FONCIER'!F16</f>
        <v>0</v>
      </c>
      <c r="G22" s="72">
        <f>'DEFICITE FONCIER'!G16</f>
        <v>0</v>
      </c>
      <c r="H22" s="72">
        <f>'DEFICITE FONCIER'!H16</f>
        <v>0</v>
      </c>
      <c r="I22" s="72">
        <f>'DEFICITE FONCIER'!I16</f>
        <v>0</v>
      </c>
      <c r="J22" s="72">
        <f>'DEFICITE FONCIER'!J16</f>
        <v>0</v>
      </c>
      <c r="K22" s="72">
        <f>'DEFICITE FONCIER'!K16</f>
        <v>0</v>
      </c>
      <c r="L22" s="72">
        <f>'DEFICITE FONCIER'!L16</f>
        <v>0</v>
      </c>
      <c r="M22" s="72">
        <f>'DEFICITE FONCIER'!M16</f>
        <v>0</v>
      </c>
      <c r="N22" s="72">
        <f>'DEFICITE FONCIER'!N16</f>
        <v>0</v>
      </c>
      <c r="O22" s="72">
        <f>'DEFICITE FONCIER'!O16</f>
        <v>0</v>
      </c>
      <c r="P22" s="72">
        <f>'DEFICITE FONCIER'!P16</f>
        <v>0</v>
      </c>
      <c r="Q22" s="72">
        <f>'DEFICITE FONCIER'!Q16</f>
        <v>0</v>
      </c>
      <c r="R22" s="72">
        <f>'DEFICITE FONCIER'!R16</f>
        <v>0</v>
      </c>
      <c r="S22" s="72">
        <f>'DEFICITE FONCIER'!S16</f>
        <v>0</v>
      </c>
      <c r="T22" s="72">
        <f>'DEFICITE FONCIER'!T16</f>
        <v>0</v>
      </c>
      <c r="U22" s="72">
        <f>'DEFICITE FONCIER'!U16</f>
        <v>0</v>
      </c>
      <c r="V22" s="72">
        <f>'DEFICITE FONCIER'!V16</f>
        <v>0</v>
      </c>
      <c r="W22" s="72">
        <f>'DEFICITE FONCIER'!W16</f>
        <v>0</v>
      </c>
      <c r="X22" s="72">
        <f>'DEFICITE FONCIER'!X16</f>
        <v>0</v>
      </c>
      <c r="Y22" s="72">
        <f>'DEFICITE FONCIER'!Y16</f>
        <v>0</v>
      </c>
      <c r="Z22" s="72">
        <f>'DEFICITE FONCIER'!Z16</f>
        <v>0</v>
      </c>
      <c r="AA22" s="72">
        <f>'DEFICITE FONCIER'!AA16</f>
        <v>0</v>
      </c>
    </row>
    <row r="23" spans="1:27" ht="6.75" customHeight="1" x14ac:dyDescent="0.35">
      <c r="A23" s="22"/>
      <c r="B23" s="22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 x14ac:dyDescent="0.35">
      <c r="A24" s="46" t="s">
        <v>20</v>
      </c>
      <c r="B24" s="46"/>
      <c r="C24" s="47">
        <f>C13-C14-C15-C16-C17-C18-C19-C20-C21+C22</f>
        <v>788.69488577025913</v>
      </c>
      <c r="D24" s="47">
        <f t="shared" ref="D24:AA24" si="30">D13-D14-D15-D16-D17-D18-D19-D20-D21+D22</f>
        <v>3516.8551419359551</v>
      </c>
      <c r="E24" s="47">
        <f t="shared" si="30"/>
        <v>3579.9721627758627</v>
      </c>
      <c r="F24" s="47">
        <f t="shared" si="30"/>
        <v>3644.063569817286</v>
      </c>
      <c r="G24" s="47">
        <f t="shared" si="30"/>
        <v>3709.1473119809693</v>
      </c>
      <c r="H24" s="47">
        <f t="shared" si="30"/>
        <v>3775.2416716530843</v>
      </c>
      <c r="I24" s="47">
        <f t="shared" si="30"/>
        <v>3842.3652708695163</v>
      </c>
      <c r="J24" s="47">
        <f t="shared" si="30"/>
        <v>3910.5370776145583</v>
      </c>
      <c r="K24" s="47">
        <f t="shared" si="30"/>
        <v>3979.776412236115</v>
      </c>
      <c r="L24" s="47">
        <f t="shared" si="30"/>
        <v>4050.1029539795386</v>
      </c>
      <c r="M24" s="47">
        <f t="shared" si="30"/>
        <v>4121.5367476423307</v>
      </c>
      <c r="N24" s="47">
        <f t="shared" si="30"/>
        <v>4194.0982103518882</v>
      </c>
      <c r="O24" s="47">
        <f t="shared" si="30"/>
        <v>4267.8081384686102</v>
      </c>
      <c r="P24" s="47">
        <f t="shared" si="30"/>
        <v>4342.6877146166316</v>
      </c>
      <c r="Q24" s="47">
        <f t="shared" si="30"/>
        <v>4418.7585148445805</v>
      </c>
      <c r="R24" s="47">
        <f t="shared" si="30"/>
        <v>4496.0425159187153</v>
      </c>
      <c r="S24" s="47">
        <f t="shared" si="30"/>
        <v>4574.562102750916</v>
      </c>
      <c r="T24" s="47">
        <f t="shared" si="30"/>
        <v>4654.3400759639953</v>
      </c>
      <c r="U24" s="47">
        <f t="shared" si="30"/>
        <v>4735.399659596862</v>
      </c>
      <c r="V24" s="47">
        <f t="shared" si="30"/>
        <v>4817.7645089521266</v>
      </c>
      <c r="W24" s="47">
        <f t="shared" si="30"/>
        <v>4901.4587185887613</v>
      </c>
      <c r="X24" s="47">
        <f t="shared" si="30"/>
        <v>4986.5068304624901</v>
      </c>
      <c r="Y24" s="47">
        <f t="shared" si="30"/>
        <v>5072.9338422166438</v>
      </c>
      <c r="Z24" s="47">
        <f t="shared" si="30"/>
        <v>5160.7652156262202</v>
      </c>
      <c r="AA24" s="47">
        <f t="shared" si="30"/>
        <v>5250.026885198029</v>
      </c>
    </row>
    <row r="25" spans="1:27" x14ac:dyDescent="0.35">
      <c r="A25" s="46" t="s">
        <v>21</v>
      </c>
      <c r="B25" s="46"/>
      <c r="C25" s="47">
        <f t="shared" ref="C25:AA25" si="31">C13-(C13*0.3)</f>
        <v>8064</v>
      </c>
      <c r="D25" s="47">
        <f t="shared" si="31"/>
        <v>8072.0640000000003</v>
      </c>
      <c r="E25" s="47">
        <f t="shared" si="31"/>
        <v>8080.1360640000003</v>
      </c>
      <c r="F25" s="47">
        <f t="shared" si="31"/>
        <v>8088.216200064001</v>
      </c>
      <c r="G25" s="47">
        <f t="shared" si="31"/>
        <v>8096.3044162640654</v>
      </c>
      <c r="H25" s="47">
        <f t="shared" si="31"/>
        <v>8104.4007206803299</v>
      </c>
      <c r="I25" s="47">
        <f t="shared" si="31"/>
        <v>8112.50512140101</v>
      </c>
      <c r="J25" s="47">
        <f t="shared" si="31"/>
        <v>8120.6176265224112</v>
      </c>
      <c r="K25" s="47">
        <f t="shared" si="31"/>
        <v>8128.7382441489335</v>
      </c>
      <c r="L25" s="47">
        <f t="shared" si="31"/>
        <v>8136.8669823930832</v>
      </c>
      <c r="M25" s="47">
        <f t="shared" si="31"/>
        <v>8145.0038493754755</v>
      </c>
      <c r="N25" s="47">
        <f t="shared" si="31"/>
        <v>8153.1488532248513</v>
      </c>
      <c r="O25" s="47">
        <f t="shared" si="31"/>
        <v>8161.3020020780768</v>
      </c>
      <c r="P25" s="47">
        <f t="shared" si="31"/>
        <v>8169.4633040801546</v>
      </c>
      <c r="Q25" s="47">
        <f t="shared" si="31"/>
        <v>8177.6327673842352</v>
      </c>
      <c r="R25" s="47">
        <f t="shared" si="31"/>
        <v>8185.8104001516194</v>
      </c>
      <c r="S25" s="47">
        <f t="shared" si="31"/>
        <v>8193.9962105517716</v>
      </c>
      <c r="T25" s="47">
        <f t="shared" si="31"/>
        <v>8202.1902067623232</v>
      </c>
      <c r="U25" s="47">
        <f t="shared" si="31"/>
        <v>8210.3923969690859</v>
      </c>
      <c r="V25" s="47">
        <f t="shared" si="31"/>
        <v>8218.6027893660539</v>
      </c>
      <c r="W25" s="47">
        <f t="shared" si="31"/>
        <v>8226.8213921554197</v>
      </c>
      <c r="X25" s="47">
        <f t="shared" si="31"/>
        <v>8235.0482135475759</v>
      </c>
      <c r="Y25" s="47">
        <f t="shared" si="31"/>
        <v>8243.2832617611239</v>
      </c>
      <c r="Z25" s="47">
        <f t="shared" si="31"/>
        <v>8251.5265450228853</v>
      </c>
      <c r="AA25" s="47">
        <f t="shared" si="31"/>
        <v>8259.7780715679073</v>
      </c>
    </row>
    <row r="26" spans="1:27" x14ac:dyDescent="0.35">
      <c r="A26" s="46"/>
      <c r="B26" s="46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 x14ac:dyDescent="0.35">
      <c r="A27" s="32" t="s">
        <v>66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 x14ac:dyDescent="0.35">
      <c r="A28" s="43" t="s">
        <v>30</v>
      </c>
      <c r="B28" s="43"/>
      <c r="C28" s="42">
        <f>IF(C24&lt;0,C9,C9+(MIN(C24,C25)))</f>
        <v>788.69488577025913</v>
      </c>
      <c r="D28" s="42">
        <f t="shared" ref="D28:AA28" si="32">IF(D24&lt;0,D9,D9+(MIN(D24,D25)))</f>
        <v>3516.8551419359551</v>
      </c>
      <c r="E28" s="42">
        <f t="shared" si="32"/>
        <v>3579.9721627758627</v>
      </c>
      <c r="F28" s="42">
        <f t="shared" si="32"/>
        <v>3644.063569817286</v>
      </c>
      <c r="G28" s="42">
        <f t="shared" si="32"/>
        <v>3709.1473119809693</v>
      </c>
      <c r="H28" s="42">
        <f t="shared" si="32"/>
        <v>3775.2416716530843</v>
      </c>
      <c r="I28" s="42">
        <f t="shared" si="32"/>
        <v>3842.3652708695163</v>
      </c>
      <c r="J28" s="42">
        <f t="shared" si="32"/>
        <v>3910.5370776145583</v>
      </c>
      <c r="K28" s="42">
        <f t="shared" si="32"/>
        <v>3979.776412236115</v>
      </c>
      <c r="L28" s="42">
        <f t="shared" si="32"/>
        <v>4050.1029539795386</v>
      </c>
      <c r="M28" s="42">
        <f t="shared" si="32"/>
        <v>4121.5367476423307</v>
      </c>
      <c r="N28" s="42">
        <f t="shared" si="32"/>
        <v>4194.0982103518882</v>
      </c>
      <c r="O28" s="42">
        <f t="shared" si="32"/>
        <v>4267.8081384686102</v>
      </c>
      <c r="P28" s="42">
        <f t="shared" si="32"/>
        <v>4342.6877146166316</v>
      </c>
      <c r="Q28" s="42">
        <f t="shared" si="32"/>
        <v>4418.7585148445805</v>
      </c>
      <c r="R28" s="42">
        <f t="shared" si="32"/>
        <v>4496.0425159187153</v>
      </c>
      <c r="S28" s="42">
        <f t="shared" si="32"/>
        <v>4574.562102750916</v>
      </c>
      <c r="T28" s="42">
        <f t="shared" si="32"/>
        <v>4654.3400759639953</v>
      </c>
      <c r="U28" s="42">
        <f t="shared" si="32"/>
        <v>4735.399659596862</v>
      </c>
      <c r="V28" s="42">
        <f t="shared" si="32"/>
        <v>4817.7645089521266</v>
      </c>
      <c r="W28" s="42">
        <f t="shared" si="32"/>
        <v>4901.4587185887613</v>
      </c>
      <c r="X28" s="42">
        <f t="shared" si="32"/>
        <v>4986.5068304624901</v>
      </c>
      <c r="Y28" s="42">
        <f t="shared" si="32"/>
        <v>5072.9338422166438</v>
      </c>
      <c r="Z28" s="42">
        <f t="shared" si="32"/>
        <v>5160.7652156262202</v>
      </c>
      <c r="AA28" s="42">
        <f t="shared" si="32"/>
        <v>5250.026885198029</v>
      </c>
    </row>
    <row r="29" spans="1:27" hidden="1" outlineLevel="1" x14ac:dyDescent="0.35">
      <c r="A29" s="43"/>
      <c r="B29" s="43"/>
      <c r="C29" s="79">
        <f t="shared" ref="C29:AA29" si="33">C28/C4</f>
        <v>788.69488577025913</v>
      </c>
      <c r="D29" s="79">
        <f t="shared" si="33"/>
        <v>3516.8551419359551</v>
      </c>
      <c r="E29" s="79">
        <f t="shared" si="33"/>
        <v>3579.9721627758627</v>
      </c>
      <c r="F29" s="79">
        <f t="shared" si="33"/>
        <v>3644.063569817286</v>
      </c>
      <c r="G29" s="79">
        <f t="shared" si="33"/>
        <v>3709.1473119809693</v>
      </c>
      <c r="H29" s="79">
        <f t="shared" si="33"/>
        <v>3775.2416716530843</v>
      </c>
      <c r="I29" s="79">
        <f t="shared" si="33"/>
        <v>3842.3652708695163</v>
      </c>
      <c r="J29" s="79">
        <f t="shared" si="33"/>
        <v>3910.5370776145583</v>
      </c>
      <c r="K29" s="79">
        <f t="shared" si="33"/>
        <v>3979.776412236115</v>
      </c>
      <c r="L29" s="79">
        <f t="shared" si="33"/>
        <v>4050.1029539795386</v>
      </c>
      <c r="M29" s="79">
        <f t="shared" si="33"/>
        <v>4121.5367476423307</v>
      </c>
      <c r="N29" s="79">
        <f t="shared" si="33"/>
        <v>4194.0982103518882</v>
      </c>
      <c r="O29" s="79">
        <f t="shared" si="33"/>
        <v>4267.8081384686102</v>
      </c>
      <c r="P29" s="79">
        <f t="shared" si="33"/>
        <v>4342.6877146166316</v>
      </c>
      <c r="Q29" s="79">
        <f t="shared" si="33"/>
        <v>4418.7585148445805</v>
      </c>
      <c r="R29" s="79">
        <f t="shared" si="33"/>
        <v>4496.0425159187153</v>
      </c>
      <c r="S29" s="79">
        <f t="shared" si="33"/>
        <v>4574.562102750916</v>
      </c>
      <c r="T29" s="79">
        <f t="shared" si="33"/>
        <v>4654.3400759639953</v>
      </c>
      <c r="U29" s="79">
        <f t="shared" si="33"/>
        <v>4735.399659596862</v>
      </c>
      <c r="V29" s="79">
        <f t="shared" si="33"/>
        <v>4817.7645089521266</v>
      </c>
      <c r="W29" s="79">
        <f t="shared" si="33"/>
        <v>4901.4587185887613</v>
      </c>
      <c r="X29" s="79">
        <f t="shared" si="33"/>
        <v>4986.5068304624901</v>
      </c>
      <c r="Y29" s="79">
        <f t="shared" si="33"/>
        <v>5072.9338422166438</v>
      </c>
      <c r="Z29" s="79">
        <f t="shared" si="33"/>
        <v>5160.7652156262202</v>
      </c>
      <c r="AA29" s="79">
        <f t="shared" si="33"/>
        <v>5250.026885198029</v>
      </c>
    </row>
    <row r="30" spans="1:27" collapsed="1" x14ac:dyDescent="0.35">
      <c r="A30" s="43"/>
      <c r="B30" s="43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</row>
    <row r="31" spans="1:27" hidden="1" outlineLevel="1" x14ac:dyDescent="0.35">
      <c r="A31" s="35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27" hidden="1" outlineLevel="1" x14ac:dyDescent="0.35">
      <c r="A32" s="32" t="s">
        <v>22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 hidden="1" outlineLevel="1" x14ac:dyDescent="0.35">
      <c r="A33" s="37">
        <v>0</v>
      </c>
      <c r="B33" s="37"/>
      <c r="C33" s="38">
        <f>IF(C10&lt;DATA!$D$4,"-",(MIN(C10,DATA!$E$4)-DATA!$D$4)*$A$33)</f>
        <v>0</v>
      </c>
      <c r="D33" s="38">
        <f>IF(D10&lt;DATA!$D$4,"-",(MIN(D10,DATA!$E$4)-DATA!$D$4)*$A$33)</f>
        <v>0</v>
      </c>
      <c r="E33" s="38">
        <f>IF(E10&lt;DATA!$D$4,"-",(MIN(E10,DATA!$E$4)-DATA!$D$4)*$A$33)</f>
        <v>0</v>
      </c>
      <c r="F33" s="38">
        <f>IF(F10&lt;DATA!$D$4,"-",(MIN(F10,DATA!$E$4)-DATA!$D$4)*$A$33)</f>
        <v>0</v>
      </c>
      <c r="G33" s="38">
        <f>IF(G10&lt;DATA!$D$4,"-",(MIN(G10,DATA!$E$4)-DATA!$D$4)*$A$33)</f>
        <v>0</v>
      </c>
      <c r="H33" s="38">
        <f>IF(H10&lt;DATA!$D$4,"-",(MIN(H10,DATA!$E$4)-DATA!$D$4)*$A$33)</f>
        <v>0</v>
      </c>
      <c r="I33" s="38">
        <f>IF(I10&lt;DATA!$D$4,"-",(MIN(I10,DATA!$E$4)-DATA!$D$4)*$A$33)</f>
        <v>0</v>
      </c>
      <c r="J33" s="38">
        <f>IF(J10&lt;DATA!$D$4,"-",(MIN(J10,DATA!$E$4)-DATA!$D$4)*$A$33)</f>
        <v>0</v>
      </c>
      <c r="K33" s="38">
        <f>IF(K10&lt;DATA!$D$4,"-",(MIN(K10,DATA!$E$4)-DATA!$D$4)*$A$33)</f>
        <v>0</v>
      </c>
      <c r="L33" s="38">
        <f>IF(L10&lt;DATA!$D$4,"-",(MIN(L10,DATA!$E$4)-DATA!$D$4)*$A$33)</f>
        <v>0</v>
      </c>
      <c r="M33" s="38">
        <f>IF(M10&lt;DATA!$D$4,"-",(MIN(M10,DATA!$E$4)-DATA!$D$4)*$A$33)</f>
        <v>0</v>
      </c>
      <c r="N33" s="38">
        <f>IF(N10&lt;DATA!$D$4,"-",(MIN(N10,DATA!$E$4)-DATA!$D$4)*$A$33)</f>
        <v>0</v>
      </c>
      <c r="O33" s="38">
        <f>IF(O10&lt;DATA!$D$4,"-",(MIN(O10,DATA!$E$4)-DATA!$D$4)*$A$33)</f>
        <v>0</v>
      </c>
      <c r="P33" s="38">
        <f>IF(P10&lt;DATA!$D$4,"-",(MIN(P10,DATA!$E$4)-DATA!$D$4)*$A$33)</f>
        <v>0</v>
      </c>
      <c r="Q33" s="38">
        <f>IF(Q10&lt;DATA!$D$4,"-",(MIN(Q10,DATA!$E$4)-DATA!$D$4)*$A$33)</f>
        <v>0</v>
      </c>
      <c r="R33" s="38">
        <f>IF(R10&lt;DATA!$D$4,"-",(MIN(R10,DATA!$E$4)-DATA!$D$4)*$A$33)</f>
        <v>0</v>
      </c>
      <c r="S33" s="38">
        <f>IF(S10&lt;DATA!$D$4,"-",(MIN(S10,DATA!$E$4)-DATA!$D$4)*$A$33)</f>
        <v>0</v>
      </c>
      <c r="T33" s="38">
        <f>IF(T10&lt;DATA!$D$4,"-",(MIN(T10,DATA!$E$4)-DATA!$D$4)*$A$33)</f>
        <v>0</v>
      </c>
      <c r="U33" s="38">
        <f>IF(U10&lt;DATA!$D$4,"-",(MIN(U10,DATA!$E$4)-DATA!$D$4)*$A$33)</f>
        <v>0</v>
      </c>
      <c r="V33" s="38">
        <f>IF(V10&lt;DATA!$D$4,"-",(MIN(V10,DATA!$E$4)-DATA!$D$4)*$A$33)</f>
        <v>0</v>
      </c>
      <c r="W33" s="38">
        <f>IF(W10&lt;DATA!$D$4,"-",(MIN(W10,DATA!$E$4)-DATA!$D$4)*$A$33)</f>
        <v>0</v>
      </c>
      <c r="X33" s="38">
        <f>IF(X10&lt;DATA!$D$4,"-",(MIN(X10,DATA!$E$4)-DATA!$D$4)*$A$33)</f>
        <v>0</v>
      </c>
      <c r="Y33" s="38">
        <f>IF(Y10&lt;DATA!$D$4,"-",(MIN(Y10,DATA!$E$4)-DATA!$D$4)*$A$33)</f>
        <v>0</v>
      </c>
      <c r="Z33" s="38">
        <f>IF(Z10&lt;DATA!$D$4,"-",(MIN(Z10,DATA!$E$4)-DATA!$D$4)*$A$33)</f>
        <v>0</v>
      </c>
      <c r="AA33" s="38">
        <f>IF(AA10&lt;DATA!$D$4,"-",(MIN(AA10,DATA!$E$4)-DATA!$D$4)*$A$33)</f>
        <v>0</v>
      </c>
    </row>
    <row r="34" spans="1:27" hidden="1" outlineLevel="1" x14ac:dyDescent="0.35">
      <c r="A34" s="37">
        <v>0.14000000000000001</v>
      </c>
      <c r="B34" s="37"/>
      <c r="C34" s="38" t="str">
        <f>IF(C10&lt;DATA!$D$5,"-",(MIN(C10,DATA!$E$5)-DATA!$D$5)*$A$34)</f>
        <v>-</v>
      </c>
      <c r="D34" s="38" t="str">
        <f>IF(D10&lt;DATA!$D$5,"-",(MIN(D10,DATA!$E$5)-DATA!$D$5)*$A$34)</f>
        <v>-</v>
      </c>
      <c r="E34" s="38" t="str">
        <f>IF(E10&lt;DATA!$D$5,"-",(MIN(E10,DATA!$E$5)-DATA!$D$5)*$A$34)</f>
        <v>-</v>
      </c>
      <c r="F34" s="38" t="str">
        <f>IF(F10&lt;DATA!$D$5,"-",(MIN(F10,DATA!$E$5)-DATA!$D$5)*$A$34)</f>
        <v>-</v>
      </c>
      <c r="G34" s="38" t="str">
        <f>IF(G10&lt;DATA!$D$5,"-",(MIN(G10,DATA!$E$5)-DATA!$D$5)*$A$34)</f>
        <v>-</v>
      </c>
      <c r="H34" s="38" t="str">
        <f>IF(H10&lt;DATA!$D$5,"-",(MIN(H10,DATA!$E$5)-DATA!$D$5)*$A$34)</f>
        <v>-</v>
      </c>
      <c r="I34" s="38" t="str">
        <f>IF(I10&lt;DATA!$D$5,"-",(MIN(I10,DATA!$E$5)-DATA!$D$5)*$A$34)</f>
        <v>-</v>
      </c>
      <c r="J34" s="38" t="str">
        <f>IF(J10&lt;DATA!$D$5,"-",(MIN(J10,DATA!$E$5)-DATA!$D$5)*$A$34)</f>
        <v>-</v>
      </c>
      <c r="K34" s="38" t="str">
        <f>IF(K10&lt;DATA!$D$5,"-",(MIN(K10,DATA!$E$5)-DATA!$D$5)*$A$34)</f>
        <v>-</v>
      </c>
      <c r="L34" s="38" t="str">
        <f>IF(L10&lt;DATA!$D$5,"-",(MIN(L10,DATA!$E$5)-DATA!$D$5)*$A$34)</f>
        <v>-</v>
      </c>
      <c r="M34" s="38" t="str">
        <f>IF(M10&lt;DATA!$D$5,"-",(MIN(M10,DATA!$E$5)-DATA!$D$5)*$A$34)</f>
        <v>-</v>
      </c>
      <c r="N34" s="38" t="str">
        <f>IF(N10&lt;DATA!$D$5,"-",(MIN(N10,DATA!$E$5)-DATA!$D$5)*$A$34)</f>
        <v>-</v>
      </c>
      <c r="O34" s="38" t="str">
        <f>IF(O10&lt;DATA!$D$5,"-",(MIN(O10,DATA!$E$5)-DATA!$D$5)*$A$34)</f>
        <v>-</v>
      </c>
      <c r="P34" s="38" t="str">
        <f>IF(P10&lt;DATA!$D$5,"-",(MIN(P10,DATA!$E$5)-DATA!$D$5)*$A$34)</f>
        <v>-</v>
      </c>
      <c r="Q34" s="38" t="str">
        <f>IF(Q10&lt;DATA!$D$5,"-",(MIN(Q10,DATA!$E$5)-DATA!$D$5)*$A$34)</f>
        <v>-</v>
      </c>
      <c r="R34" s="38" t="str">
        <f>IF(R10&lt;DATA!$D$5,"-",(MIN(R10,DATA!$E$5)-DATA!$D$5)*$A$34)</f>
        <v>-</v>
      </c>
      <c r="S34" s="38" t="str">
        <f>IF(S10&lt;DATA!$D$5,"-",(MIN(S10,DATA!$E$5)-DATA!$D$5)*$A$34)</f>
        <v>-</v>
      </c>
      <c r="T34" s="38" t="str">
        <f>IF(T10&lt;DATA!$D$5,"-",(MIN(T10,DATA!$E$5)-DATA!$D$5)*$A$34)</f>
        <v>-</v>
      </c>
      <c r="U34" s="38" t="str">
        <f>IF(U10&lt;DATA!$D$5,"-",(MIN(U10,DATA!$E$5)-DATA!$D$5)*$A$34)</f>
        <v>-</v>
      </c>
      <c r="V34" s="38" t="str">
        <f>IF(V10&lt;DATA!$D$5,"-",(MIN(V10,DATA!$E$5)-DATA!$D$5)*$A$34)</f>
        <v>-</v>
      </c>
      <c r="W34" s="38" t="str">
        <f>IF(W10&lt;DATA!$D$5,"-",(MIN(W10,DATA!$E$5)-DATA!$D$5)*$A$34)</f>
        <v>-</v>
      </c>
      <c r="X34" s="38" t="str">
        <f>IF(X10&lt;DATA!$D$5,"-",(MIN(X10,DATA!$E$5)-DATA!$D$5)*$A$34)</f>
        <v>-</v>
      </c>
      <c r="Y34" s="38" t="str">
        <f>IF(Y10&lt;DATA!$D$5,"-",(MIN(Y10,DATA!$E$5)-DATA!$D$5)*$A$34)</f>
        <v>-</v>
      </c>
      <c r="Z34" s="38" t="str">
        <f>IF(Z10&lt;DATA!$D$5,"-",(MIN(Z10,DATA!$E$5)-DATA!$D$5)*$A$34)</f>
        <v>-</v>
      </c>
      <c r="AA34" s="38" t="str">
        <f>IF(AA10&lt;DATA!$D$5,"-",(MIN(AA10,DATA!$E$5)-DATA!$D$5)*$A$34)</f>
        <v>-</v>
      </c>
    </row>
    <row r="35" spans="1:27" hidden="1" outlineLevel="1" x14ac:dyDescent="0.35">
      <c r="A35" s="37">
        <v>0.3</v>
      </c>
      <c r="B35" s="37"/>
      <c r="C35" s="38" t="str">
        <f>IF(C10&lt;DATA!$D$6,"-",(MIN(C10,DATA!$E$6)-DATA!$D$6)*$A$35)</f>
        <v>-</v>
      </c>
      <c r="D35" s="38" t="str">
        <f>IF(D10&lt;DATA!$D$6,"-",(MIN(D10,DATA!$E$6)-DATA!$D$6)*$A$35)</f>
        <v>-</v>
      </c>
      <c r="E35" s="38" t="str">
        <f>IF(E10&lt;DATA!$D$6,"-",(MIN(E10,DATA!$E$6)-DATA!$D$6)*$A$35)</f>
        <v>-</v>
      </c>
      <c r="F35" s="38" t="str">
        <f>IF(F10&lt;DATA!$D$6,"-",(MIN(F10,DATA!$E$6)-DATA!$D$6)*$A$35)</f>
        <v>-</v>
      </c>
      <c r="G35" s="38" t="str">
        <f>IF(G10&lt;DATA!$D$6,"-",(MIN(G10,DATA!$E$6)-DATA!$D$6)*$A$35)</f>
        <v>-</v>
      </c>
      <c r="H35" s="38" t="str">
        <f>IF(H10&lt;DATA!$D$6,"-",(MIN(H10,DATA!$E$6)-DATA!$D$6)*$A$35)</f>
        <v>-</v>
      </c>
      <c r="I35" s="38" t="str">
        <f>IF(I10&lt;DATA!$D$6,"-",(MIN(I10,DATA!$E$6)-DATA!$D$6)*$A$35)</f>
        <v>-</v>
      </c>
      <c r="J35" s="38" t="str">
        <f>IF(J10&lt;DATA!$D$6,"-",(MIN(J10,DATA!$E$6)-DATA!$D$6)*$A$35)</f>
        <v>-</v>
      </c>
      <c r="K35" s="38" t="str">
        <f>IF(K10&lt;DATA!$D$6,"-",(MIN(K10,DATA!$E$6)-DATA!$D$6)*$A$35)</f>
        <v>-</v>
      </c>
      <c r="L35" s="38" t="str">
        <f>IF(L10&lt;DATA!$D$6,"-",(MIN(L10,DATA!$E$6)-DATA!$D$6)*$A$35)</f>
        <v>-</v>
      </c>
      <c r="M35" s="38" t="str">
        <f>IF(M10&lt;DATA!$D$6,"-",(MIN(M10,DATA!$E$6)-DATA!$D$6)*$A$35)</f>
        <v>-</v>
      </c>
      <c r="N35" s="38" t="str">
        <f>IF(N10&lt;DATA!$D$6,"-",(MIN(N10,DATA!$E$6)-DATA!$D$6)*$A$35)</f>
        <v>-</v>
      </c>
      <c r="O35" s="38" t="str">
        <f>IF(O10&lt;DATA!$D$6,"-",(MIN(O10,DATA!$E$6)-DATA!$D$6)*$A$35)</f>
        <v>-</v>
      </c>
      <c r="P35" s="38" t="str">
        <f>IF(P10&lt;DATA!$D$6,"-",(MIN(P10,DATA!$E$6)-DATA!$D$6)*$A$35)</f>
        <v>-</v>
      </c>
      <c r="Q35" s="38" t="str">
        <f>IF(Q10&lt;DATA!$D$6,"-",(MIN(Q10,DATA!$E$6)-DATA!$D$6)*$A$35)</f>
        <v>-</v>
      </c>
      <c r="R35" s="38" t="str">
        <f>IF(R10&lt;DATA!$D$6,"-",(MIN(R10,DATA!$E$6)-DATA!$D$6)*$A$35)</f>
        <v>-</v>
      </c>
      <c r="S35" s="38" t="str">
        <f>IF(S10&lt;DATA!$D$6,"-",(MIN(S10,DATA!$E$6)-DATA!$D$6)*$A$35)</f>
        <v>-</v>
      </c>
      <c r="T35" s="38" t="str">
        <f>IF(T10&lt;DATA!$D$6,"-",(MIN(T10,DATA!$E$6)-DATA!$D$6)*$A$35)</f>
        <v>-</v>
      </c>
      <c r="U35" s="38" t="str">
        <f>IF(U10&lt;DATA!$D$6,"-",(MIN(U10,DATA!$E$6)-DATA!$D$6)*$A$35)</f>
        <v>-</v>
      </c>
      <c r="V35" s="38" t="str">
        <f>IF(V10&lt;DATA!$D$6,"-",(MIN(V10,DATA!$E$6)-DATA!$D$6)*$A$35)</f>
        <v>-</v>
      </c>
      <c r="W35" s="38" t="str">
        <f>IF(W10&lt;DATA!$D$6,"-",(MIN(W10,DATA!$E$6)-DATA!$D$6)*$A$35)</f>
        <v>-</v>
      </c>
      <c r="X35" s="38" t="str">
        <f>IF(X10&lt;DATA!$D$6,"-",(MIN(X10,DATA!$E$6)-DATA!$D$6)*$A$35)</f>
        <v>-</v>
      </c>
      <c r="Y35" s="38" t="str">
        <f>IF(Y10&lt;DATA!$D$6,"-",(MIN(Y10,DATA!$E$6)-DATA!$D$6)*$A$35)</f>
        <v>-</v>
      </c>
      <c r="Z35" s="38" t="str">
        <f>IF(Z10&lt;DATA!$D$6,"-",(MIN(Z10,DATA!$E$6)-DATA!$D$6)*$A$35)</f>
        <v>-</v>
      </c>
      <c r="AA35" s="38" t="str">
        <f>IF(AA10&lt;DATA!$D$6,"-",(MIN(AA10,DATA!$E$6)-DATA!$D$6)*$A$35)</f>
        <v>-</v>
      </c>
    </row>
    <row r="36" spans="1:27" hidden="1" outlineLevel="1" x14ac:dyDescent="0.35">
      <c r="A36" s="37">
        <v>0.41</v>
      </c>
      <c r="B36" s="37"/>
      <c r="C36" s="38" t="str">
        <f>IF(C9&lt;DATA!$D$7,"-",(MIN(C9,DATA!$E$7)-DATA!$D$7)*$A$36)</f>
        <v>-</v>
      </c>
      <c r="D36" s="38" t="str">
        <f>IF(D9&lt;DATA!$D$7,"-",(MIN(D9,DATA!$E$7)-DATA!$D$7)*$A$36)</f>
        <v>-</v>
      </c>
      <c r="E36" s="38" t="str">
        <f>IF(E9&lt;DATA!$D$7,"-",(MIN(E9,DATA!$E$7)-DATA!$D$7)*$A$36)</f>
        <v>-</v>
      </c>
      <c r="F36" s="38" t="str">
        <f>IF(F9&lt;DATA!$D$7,"-",(MIN(F9,DATA!$E$7)-DATA!$D$7)*$A$36)</f>
        <v>-</v>
      </c>
      <c r="G36" s="38" t="str">
        <f>IF(G9&lt;DATA!$D$7,"-",(MIN(G9,DATA!$E$7)-DATA!$D$7)*$A$36)</f>
        <v>-</v>
      </c>
      <c r="H36" s="38" t="str">
        <f>IF(H9&lt;DATA!$D$7,"-",(MIN(H9,DATA!$E$7)-DATA!$D$7)*$A$36)</f>
        <v>-</v>
      </c>
      <c r="I36" s="38" t="str">
        <f>IF(I9&lt;DATA!$D$7,"-",(MIN(I9,DATA!$E$7)-DATA!$D$7)*$A$36)</f>
        <v>-</v>
      </c>
      <c r="J36" s="38" t="str">
        <f>IF(J9&lt;DATA!$D$7,"-",(MIN(J9,DATA!$E$7)-DATA!$D$7)*$A$36)</f>
        <v>-</v>
      </c>
      <c r="K36" s="38" t="str">
        <f>IF(K9&lt;DATA!$D$7,"-",(MIN(K9,DATA!$E$7)-DATA!$D$7)*$A$36)</f>
        <v>-</v>
      </c>
      <c r="L36" s="38" t="str">
        <f>IF(L9&lt;DATA!$D$7,"-",(MIN(L9,DATA!$E$7)-DATA!$D$7)*$A$36)</f>
        <v>-</v>
      </c>
      <c r="M36" s="38" t="str">
        <f>IF(M9&lt;DATA!$D$7,"-",(MIN(M9,DATA!$E$7)-DATA!$D$7)*$A$36)</f>
        <v>-</v>
      </c>
      <c r="N36" s="38" t="str">
        <f>IF(N9&lt;DATA!$D$7,"-",(MIN(N9,DATA!$E$7)-DATA!$D$7)*$A$36)</f>
        <v>-</v>
      </c>
      <c r="O36" s="38" t="str">
        <f>IF(O9&lt;DATA!$D$7,"-",(MIN(O9,DATA!$E$7)-DATA!$D$7)*$A$36)</f>
        <v>-</v>
      </c>
      <c r="P36" s="38" t="str">
        <f>IF(P9&lt;DATA!$D$7,"-",(MIN(P9,DATA!$E$7)-DATA!$D$7)*$A$36)</f>
        <v>-</v>
      </c>
      <c r="Q36" s="38" t="str">
        <f>IF(Q9&lt;DATA!$D$7,"-",(MIN(Q9,DATA!$E$7)-DATA!$D$7)*$A$36)</f>
        <v>-</v>
      </c>
      <c r="R36" s="38" t="str">
        <f>IF(R9&lt;DATA!$D$7,"-",(MIN(R9,DATA!$E$7)-DATA!$D$7)*$A$36)</f>
        <v>-</v>
      </c>
      <c r="S36" s="38" t="str">
        <f>IF(S9&lt;DATA!$D$7,"-",(MIN(S9,DATA!$E$7)-DATA!$D$7)*$A$36)</f>
        <v>-</v>
      </c>
      <c r="T36" s="38" t="str">
        <f>IF(T9&lt;DATA!$D$7,"-",(MIN(T9,DATA!$E$7)-DATA!$D$7)*$A$36)</f>
        <v>-</v>
      </c>
      <c r="U36" s="38" t="str">
        <f>IF(U9&lt;DATA!$D$7,"-",(MIN(U9,DATA!$E$7)-DATA!$D$7)*$A$36)</f>
        <v>-</v>
      </c>
      <c r="V36" s="38" t="str">
        <f>IF(V9&lt;DATA!$D$7,"-",(MIN(V9,DATA!$E$7)-DATA!$D$7)*$A$36)</f>
        <v>-</v>
      </c>
      <c r="W36" s="38" t="str">
        <f>IF(W9&lt;DATA!$D$7,"-",(MIN(W9,DATA!$E$7)-DATA!$D$7)*$A$36)</f>
        <v>-</v>
      </c>
      <c r="X36" s="38" t="str">
        <f>IF(X9&lt;DATA!$D$7,"-",(MIN(X9,DATA!$E$7)-DATA!$D$7)*$A$36)</f>
        <v>-</v>
      </c>
      <c r="Y36" s="38" t="str">
        <f>IF(Y9&lt;DATA!$D$7,"-",(MIN(Y9,DATA!$E$7)-DATA!$D$7)*$A$36)</f>
        <v>-</v>
      </c>
      <c r="Z36" s="38" t="str">
        <f>IF(Z9&lt;DATA!$D$7,"-",(MIN(Z9,DATA!$E$7)-DATA!$D$7)*$A$36)</f>
        <v>-</v>
      </c>
      <c r="AA36" s="38" t="str">
        <f>IF(AA9&lt;DATA!$D$7,"-",(MIN(AA9,DATA!$E$7)-DATA!$D$7)*$A$36)</f>
        <v>-</v>
      </c>
    </row>
    <row r="37" spans="1:27" hidden="1" outlineLevel="1" x14ac:dyDescent="0.35">
      <c r="A37" s="37">
        <v>0.45</v>
      </c>
      <c r="B37" s="37"/>
      <c r="C37" s="38" t="str">
        <f>IF(C9&lt;DATA!$D$8,"-",(MIN(C9,DATA!$E$8)-DATA!$D$8)*$A$37)</f>
        <v>-</v>
      </c>
      <c r="D37" s="38" t="str">
        <f>IF(D9&lt;DATA!$D$8,"-",(MIN(D9,DATA!$E$8)-DATA!$D$8)*$A$37)</f>
        <v>-</v>
      </c>
      <c r="E37" s="38" t="str">
        <f>IF(E9&lt;DATA!$D$8,"-",(MIN(E9,DATA!$E$8)-DATA!$D$8)*$A$37)</f>
        <v>-</v>
      </c>
      <c r="F37" s="38" t="str">
        <f>IF(F9&lt;DATA!$D$8,"-",(MIN(F9,DATA!$E$8)-DATA!$D$8)*$A$37)</f>
        <v>-</v>
      </c>
      <c r="G37" s="38" t="str">
        <f>IF(G9&lt;DATA!$D$8,"-",(MIN(G9,DATA!$E$8)-DATA!$D$8)*$A$37)</f>
        <v>-</v>
      </c>
      <c r="H37" s="38" t="str">
        <f>IF(H9&lt;DATA!$D$8,"-",(MIN(H9,DATA!$E$8)-DATA!$D$8)*$A$37)</f>
        <v>-</v>
      </c>
      <c r="I37" s="38" t="str">
        <f>IF(I9&lt;DATA!$D$8,"-",(MIN(I9,DATA!$E$8)-DATA!$D$8)*$A$37)</f>
        <v>-</v>
      </c>
      <c r="J37" s="38" t="str">
        <f>IF(J9&lt;DATA!$D$8,"-",(MIN(J9,DATA!$E$8)-DATA!$D$8)*$A$37)</f>
        <v>-</v>
      </c>
      <c r="K37" s="38" t="str">
        <f>IF(K9&lt;DATA!$D$8,"-",(MIN(K9,DATA!$E$8)-DATA!$D$8)*$A$37)</f>
        <v>-</v>
      </c>
      <c r="L37" s="38" t="str">
        <f>IF(L9&lt;DATA!$D$8,"-",(MIN(L9,DATA!$E$8)-DATA!$D$8)*$A$37)</f>
        <v>-</v>
      </c>
      <c r="M37" s="38" t="str">
        <f>IF(M9&lt;DATA!$D$8,"-",(MIN(M9,DATA!$E$8)-DATA!$D$8)*$A$37)</f>
        <v>-</v>
      </c>
      <c r="N37" s="38" t="str">
        <f>IF(N9&lt;DATA!$D$8,"-",(MIN(N9,DATA!$E$8)-DATA!$D$8)*$A$37)</f>
        <v>-</v>
      </c>
      <c r="O37" s="38" t="str">
        <f>IF(O9&lt;DATA!$D$8,"-",(MIN(O9,DATA!$E$8)-DATA!$D$8)*$A$37)</f>
        <v>-</v>
      </c>
      <c r="P37" s="38" t="str">
        <f>IF(P9&lt;DATA!$D$8,"-",(MIN(P9,DATA!$E$8)-DATA!$D$8)*$A$37)</f>
        <v>-</v>
      </c>
      <c r="Q37" s="38" t="str">
        <f>IF(Q9&lt;DATA!$D$8,"-",(MIN(Q9,DATA!$E$8)-DATA!$D$8)*$A$37)</f>
        <v>-</v>
      </c>
      <c r="R37" s="38" t="str">
        <f>IF(R9&lt;DATA!$D$8,"-",(MIN(R9,DATA!$E$8)-DATA!$D$8)*$A$37)</f>
        <v>-</v>
      </c>
      <c r="S37" s="38" t="str">
        <f>IF(S9&lt;DATA!$D$8,"-",(MIN(S9,DATA!$E$8)-DATA!$D$8)*$A$37)</f>
        <v>-</v>
      </c>
      <c r="T37" s="38" t="str">
        <f>IF(T9&lt;DATA!$D$8,"-",(MIN(T9,DATA!$E$8)-DATA!$D$8)*$A$37)</f>
        <v>-</v>
      </c>
      <c r="U37" s="38" t="str">
        <f>IF(U9&lt;DATA!$D$8,"-",(MIN(U9,DATA!$E$8)-DATA!$D$8)*$A$37)</f>
        <v>-</v>
      </c>
      <c r="V37" s="38" t="str">
        <f>IF(V9&lt;DATA!$D$8,"-",(MIN(V9,DATA!$E$8)-DATA!$D$8)*$A$37)</f>
        <v>-</v>
      </c>
      <c r="W37" s="38" t="str">
        <f>IF(W9&lt;DATA!$D$8,"-",(MIN(W9,DATA!$E$8)-DATA!$D$8)*$A$37)</f>
        <v>-</v>
      </c>
      <c r="X37" s="38" t="str">
        <f>IF(X9&lt;DATA!$D$8,"-",(MIN(X9,DATA!$E$8)-DATA!$D$8)*$A$37)</f>
        <v>-</v>
      </c>
      <c r="Y37" s="38" t="str">
        <f>IF(Y9&lt;DATA!$D$8,"-",(MIN(Y9,DATA!$E$8)-DATA!$D$8)*$A$37)</f>
        <v>-</v>
      </c>
      <c r="Z37" s="38" t="str">
        <f>IF(Z9&lt;DATA!$D$8,"-",(MIN(Z9,DATA!$E$8)-DATA!$D$8)*$A$37)</f>
        <v>-</v>
      </c>
      <c r="AA37" s="38" t="str">
        <f>IF(AA9&lt;DATA!$D$8,"-",(MIN(AA9,DATA!$E$8)-DATA!$D$8)*$A$37)</f>
        <v>-</v>
      </c>
    </row>
    <row r="38" spans="1:27" hidden="1" outlineLevel="1" x14ac:dyDescent="0.35">
      <c r="A38" s="40" t="s">
        <v>26</v>
      </c>
      <c r="B38" s="40"/>
      <c r="C38" s="41">
        <f t="shared" ref="C38:AA38" si="34">SUM(C33:C37)*C4</f>
        <v>0</v>
      </c>
      <c r="D38" s="41">
        <f t="shared" si="34"/>
        <v>0</v>
      </c>
      <c r="E38" s="41">
        <f t="shared" si="34"/>
        <v>0</v>
      </c>
      <c r="F38" s="41">
        <f t="shared" si="34"/>
        <v>0</v>
      </c>
      <c r="G38" s="41">
        <f t="shared" si="34"/>
        <v>0</v>
      </c>
      <c r="H38" s="41">
        <f t="shared" si="34"/>
        <v>0</v>
      </c>
      <c r="I38" s="41">
        <f t="shared" si="34"/>
        <v>0</v>
      </c>
      <c r="J38" s="41">
        <f t="shared" si="34"/>
        <v>0</v>
      </c>
      <c r="K38" s="41">
        <f t="shared" si="34"/>
        <v>0</v>
      </c>
      <c r="L38" s="41">
        <f t="shared" si="34"/>
        <v>0</v>
      </c>
      <c r="M38" s="41">
        <f t="shared" si="34"/>
        <v>0</v>
      </c>
      <c r="N38" s="41">
        <f t="shared" si="34"/>
        <v>0</v>
      </c>
      <c r="O38" s="41">
        <f t="shared" si="34"/>
        <v>0</v>
      </c>
      <c r="P38" s="41">
        <f t="shared" si="34"/>
        <v>0</v>
      </c>
      <c r="Q38" s="41">
        <f t="shared" si="34"/>
        <v>0</v>
      </c>
      <c r="R38" s="41">
        <f t="shared" si="34"/>
        <v>0</v>
      </c>
      <c r="S38" s="41">
        <f t="shared" si="34"/>
        <v>0</v>
      </c>
      <c r="T38" s="41">
        <f t="shared" si="34"/>
        <v>0</v>
      </c>
      <c r="U38" s="41">
        <f t="shared" si="34"/>
        <v>0</v>
      </c>
      <c r="V38" s="41">
        <f t="shared" si="34"/>
        <v>0</v>
      </c>
      <c r="W38" s="41">
        <f t="shared" si="34"/>
        <v>0</v>
      </c>
      <c r="X38" s="41">
        <f t="shared" si="34"/>
        <v>0</v>
      </c>
      <c r="Y38" s="41">
        <f t="shared" si="34"/>
        <v>0</v>
      </c>
      <c r="Z38" s="41">
        <f t="shared" si="34"/>
        <v>0</v>
      </c>
      <c r="AA38" s="41">
        <f t="shared" si="34"/>
        <v>0</v>
      </c>
    </row>
    <row r="39" spans="1:27" hidden="1" outlineLevel="1" x14ac:dyDescent="0.35">
      <c r="A39" s="35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spans="1:27" hidden="1" outlineLevel="1" x14ac:dyDescent="0.35">
      <c r="A40" s="32" t="s">
        <v>22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 hidden="1" outlineLevel="1" x14ac:dyDescent="0.35">
      <c r="A41" s="37">
        <v>0</v>
      </c>
      <c r="B41" s="37"/>
      <c r="C41" s="38">
        <f>IF(C29&lt;DATA!$D$4,"-",(MIN(C29,DATA!$E$4)-DATA!$D$4)*$A$41)</f>
        <v>0</v>
      </c>
      <c r="D41" s="38">
        <f>IF(D29&lt;DATA!$D$4,"-",(MIN(D29,DATA!$E$4)-DATA!$D$4)*$A$41)</f>
        <v>0</v>
      </c>
      <c r="E41" s="38">
        <f>IF(E29&lt;DATA!$D$4,"-",(MIN(E29,DATA!$E$4)-DATA!$D$4)*$A$41)</f>
        <v>0</v>
      </c>
      <c r="F41" s="38">
        <f>IF(F29&lt;DATA!$D$4,"-",(MIN(F29,DATA!$E$4)-DATA!$D$4)*$A$41)</f>
        <v>0</v>
      </c>
      <c r="G41" s="38">
        <f>IF(G29&lt;DATA!$D$4,"-",(MIN(G29,DATA!$E$4)-DATA!$D$4)*$A$41)</f>
        <v>0</v>
      </c>
      <c r="H41" s="38">
        <f>IF(H29&lt;DATA!$D$4,"-",(MIN(H29,DATA!$E$4)-DATA!$D$4)*$A$41)</f>
        <v>0</v>
      </c>
      <c r="I41" s="38">
        <f>IF(I29&lt;DATA!$D$4,"-",(MIN(I29,DATA!$E$4)-DATA!$D$4)*$A$41)</f>
        <v>0</v>
      </c>
      <c r="J41" s="38">
        <f>IF(J29&lt;DATA!$D$4,"-",(MIN(J29,DATA!$E$4)-DATA!$D$4)*$A$41)</f>
        <v>0</v>
      </c>
      <c r="K41" s="38">
        <f>IF(K29&lt;DATA!$D$4,"-",(MIN(K29,DATA!$E$4)-DATA!$D$4)*$A$41)</f>
        <v>0</v>
      </c>
      <c r="L41" s="38">
        <f>IF(L29&lt;DATA!$D$4,"-",(MIN(L29,DATA!$E$4)-DATA!$D$4)*$A$41)</f>
        <v>0</v>
      </c>
      <c r="M41" s="38">
        <f>IF(M29&lt;DATA!$D$4,"-",(MIN(M29,DATA!$E$4)-DATA!$D$4)*$A$41)</f>
        <v>0</v>
      </c>
      <c r="N41" s="38">
        <f>IF(N29&lt;DATA!$D$4,"-",(MIN(N29,DATA!$E$4)-DATA!$D$4)*$A$41)</f>
        <v>0</v>
      </c>
      <c r="O41" s="38">
        <f>IF(O29&lt;DATA!$D$4,"-",(MIN(O29,DATA!$E$4)-DATA!$D$4)*$A$41)</f>
        <v>0</v>
      </c>
      <c r="P41" s="38">
        <f>IF(P29&lt;DATA!$D$4,"-",(MIN(P29,DATA!$E$4)-DATA!$D$4)*$A$41)</f>
        <v>0</v>
      </c>
      <c r="Q41" s="38">
        <f>IF(Q29&lt;DATA!$D$4,"-",(MIN(Q29,DATA!$E$4)-DATA!$D$4)*$A$41)</f>
        <v>0</v>
      </c>
      <c r="R41" s="38">
        <f>IF(R29&lt;DATA!$D$4,"-",(MIN(R29,DATA!$E$4)-DATA!$D$4)*$A$41)</f>
        <v>0</v>
      </c>
      <c r="S41" s="38">
        <f>IF(S29&lt;DATA!$D$4,"-",(MIN(S29,DATA!$E$4)-DATA!$D$4)*$A$41)</f>
        <v>0</v>
      </c>
      <c r="T41" s="38">
        <f>IF(T29&lt;DATA!$D$4,"-",(MIN(T29,DATA!$E$4)-DATA!$D$4)*$A$41)</f>
        <v>0</v>
      </c>
      <c r="U41" s="38">
        <f>IF(U29&lt;DATA!$D$4,"-",(MIN(U29,DATA!$E$4)-DATA!$D$4)*$A$41)</f>
        <v>0</v>
      </c>
      <c r="V41" s="38">
        <f>IF(V29&lt;DATA!$D$4,"-",(MIN(V29,DATA!$E$4)-DATA!$D$4)*$A$41)</f>
        <v>0</v>
      </c>
      <c r="W41" s="38">
        <f>IF(W29&lt;DATA!$D$4,"-",(MIN(W29,DATA!$E$4)-DATA!$D$4)*$A$41)</f>
        <v>0</v>
      </c>
      <c r="X41" s="38">
        <f>IF(X29&lt;DATA!$D$4,"-",(MIN(X29,DATA!$E$4)-DATA!$D$4)*$A$41)</f>
        <v>0</v>
      </c>
      <c r="Y41" s="38">
        <f>IF(Y29&lt;DATA!$D$4,"-",(MIN(Y29,DATA!$E$4)-DATA!$D$4)*$A$41)</f>
        <v>0</v>
      </c>
      <c r="Z41" s="38">
        <f>IF(Z29&lt;DATA!$D$4,"-",(MIN(Z29,DATA!$E$4)-DATA!$D$4)*$A$41)</f>
        <v>0</v>
      </c>
      <c r="AA41" s="38">
        <f>IF(AA29&lt;DATA!$D$4,"-",(MIN(AA29,DATA!$E$4)-DATA!$D$4)*$A$41)</f>
        <v>0</v>
      </c>
    </row>
    <row r="42" spans="1:27" hidden="1" outlineLevel="1" x14ac:dyDescent="0.35">
      <c r="A42" s="37">
        <v>0.14000000000000001</v>
      </c>
      <c r="B42" s="37"/>
      <c r="C42" s="38" t="str">
        <f>IF(C29&lt;DATA!$D$5,"-",(MIN(C29,DATA!$E$5)-DATA!$D$5)*$A$42)</f>
        <v>-</v>
      </c>
      <c r="D42" s="38" t="str">
        <f>IF(D29&lt;DATA!$D$5,"-",(MIN(D29,DATA!$E$5)-DATA!$D$5)*$A$42)</f>
        <v>-</v>
      </c>
      <c r="E42" s="38" t="str">
        <f>IF(E29&lt;DATA!$D$5,"-",(MIN(E29,DATA!$E$5)-DATA!$D$5)*$A$42)</f>
        <v>-</v>
      </c>
      <c r="F42" s="38" t="str">
        <f>IF(F29&lt;DATA!$D$5,"-",(MIN(F29,DATA!$E$5)-DATA!$D$5)*$A$42)</f>
        <v>-</v>
      </c>
      <c r="G42" s="38" t="str">
        <f>IF(G29&lt;DATA!$D$5,"-",(MIN(G29,DATA!$E$5)-DATA!$D$5)*$A$42)</f>
        <v>-</v>
      </c>
      <c r="H42" s="38" t="str">
        <f>IF(H29&lt;DATA!$D$5,"-",(MIN(H29,DATA!$E$5)-DATA!$D$5)*$A$42)</f>
        <v>-</v>
      </c>
      <c r="I42" s="38" t="str">
        <f>IF(I29&lt;DATA!$D$5,"-",(MIN(I29,DATA!$E$5)-DATA!$D$5)*$A$42)</f>
        <v>-</v>
      </c>
      <c r="J42" s="38" t="str">
        <f>IF(J29&lt;DATA!$D$5,"-",(MIN(J29,DATA!$E$5)-DATA!$D$5)*$A$42)</f>
        <v>-</v>
      </c>
      <c r="K42" s="38" t="str">
        <f>IF(K29&lt;DATA!$D$5,"-",(MIN(K29,DATA!$E$5)-DATA!$D$5)*$A$42)</f>
        <v>-</v>
      </c>
      <c r="L42" s="38" t="str">
        <f>IF(L29&lt;DATA!$D$5,"-",(MIN(L29,DATA!$E$5)-DATA!$D$5)*$A$42)</f>
        <v>-</v>
      </c>
      <c r="M42" s="38" t="str">
        <f>IF(M29&lt;DATA!$D$5,"-",(MIN(M29,DATA!$E$5)-DATA!$D$5)*$A$42)</f>
        <v>-</v>
      </c>
      <c r="N42" s="38" t="str">
        <f>IF(N29&lt;DATA!$D$5,"-",(MIN(N29,DATA!$E$5)-DATA!$D$5)*$A$42)</f>
        <v>-</v>
      </c>
      <c r="O42" s="38" t="str">
        <f>IF(O29&lt;DATA!$D$5,"-",(MIN(O29,DATA!$E$5)-DATA!$D$5)*$A$42)</f>
        <v>-</v>
      </c>
      <c r="P42" s="38" t="str">
        <f>IF(P29&lt;DATA!$D$5,"-",(MIN(P29,DATA!$E$5)-DATA!$D$5)*$A$42)</f>
        <v>-</v>
      </c>
      <c r="Q42" s="38" t="str">
        <f>IF(Q29&lt;DATA!$D$5,"-",(MIN(Q29,DATA!$E$5)-DATA!$D$5)*$A$42)</f>
        <v>-</v>
      </c>
      <c r="R42" s="38" t="str">
        <f>IF(R29&lt;DATA!$D$5,"-",(MIN(R29,DATA!$E$5)-DATA!$D$5)*$A$42)</f>
        <v>-</v>
      </c>
      <c r="S42" s="38" t="str">
        <f>IF(S29&lt;DATA!$D$5,"-",(MIN(S29,DATA!$E$5)-DATA!$D$5)*$A$42)</f>
        <v>-</v>
      </c>
      <c r="T42" s="38" t="str">
        <f>IF(T29&lt;DATA!$D$5,"-",(MIN(T29,DATA!$E$5)-DATA!$D$5)*$A$42)</f>
        <v>-</v>
      </c>
      <c r="U42" s="38" t="str">
        <f>IF(U29&lt;DATA!$D$5,"-",(MIN(U29,DATA!$E$5)-DATA!$D$5)*$A$42)</f>
        <v>-</v>
      </c>
      <c r="V42" s="38" t="str">
        <f>IF(V29&lt;DATA!$D$5,"-",(MIN(V29,DATA!$E$5)-DATA!$D$5)*$A$42)</f>
        <v>-</v>
      </c>
      <c r="W42" s="38" t="str">
        <f>IF(W29&lt;DATA!$D$5,"-",(MIN(W29,DATA!$E$5)-DATA!$D$5)*$A$42)</f>
        <v>-</v>
      </c>
      <c r="X42" s="38" t="str">
        <f>IF(X29&lt;DATA!$D$5,"-",(MIN(X29,DATA!$E$5)-DATA!$D$5)*$A$42)</f>
        <v>-</v>
      </c>
      <c r="Y42" s="38" t="str">
        <f>IF(Y29&lt;DATA!$D$5,"-",(MIN(Y29,DATA!$E$5)-DATA!$D$5)*$A$42)</f>
        <v>-</v>
      </c>
      <c r="Z42" s="38" t="str">
        <f>IF(Z29&lt;DATA!$D$5,"-",(MIN(Z29,DATA!$E$5)-DATA!$D$5)*$A$42)</f>
        <v>-</v>
      </c>
      <c r="AA42" s="38" t="str">
        <f>IF(AA29&lt;DATA!$D$5,"-",(MIN(AA29,DATA!$E$5)-DATA!$D$5)*$A$42)</f>
        <v>-</v>
      </c>
    </row>
    <row r="43" spans="1:27" hidden="1" outlineLevel="1" x14ac:dyDescent="0.35">
      <c r="A43" s="37">
        <v>0.3</v>
      </c>
      <c r="B43" s="37"/>
      <c r="C43" s="38" t="str">
        <f>IF(C29&lt;DATA!$D$6,"-",(MIN(C29,DATA!$E$6)-DATA!$D$6)*$A$43)</f>
        <v>-</v>
      </c>
      <c r="D43" s="38" t="str">
        <f>IF(D29&lt;DATA!$D$6,"-",(MIN(D29,DATA!$E$6)-DATA!$D$6)*$A$43)</f>
        <v>-</v>
      </c>
      <c r="E43" s="38" t="str">
        <f>IF(E29&lt;DATA!$D$6,"-",(MIN(E29,DATA!$E$6)-DATA!$D$6)*$A$43)</f>
        <v>-</v>
      </c>
      <c r="F43" s="38" t="str">
        <f>IF(F29&lt;DATA!$D$6,"-",(MIN(F29,DATA!$E$6)-DATA!$D$6)*$A$43)</f>
        <v>-</v>
      </c>
      <c r="G43" s="38" t="str">
        <f>IF(G29&lt;DATA!$D$6,"-",(MIN(G29,DATA!$E$6)-DATA!$D$6)*$A$43)</f>
        <v>-</v>
      </c>
      <c r="H43" s="38" t="str">
        <f>IF(H29&lt;DATA!$D$6,"-",(MIN(H29,DATA!$E$6)-DATA!$D$6)*$A$43)</f>
        <v>-</v>
      </c>
      <c r="I43" s="38" t="str">
        <f>IF(I29&lt;DATA!$D$6,"-",(MIN(I29,DATA!$E$6)-DATA!$D$6)*$A$43)</f>
        <v>-</v>
      </c>
      <c r="J43" s="38" t="str">
        <f>IF(J29&lt;DATA!$D$6,"-",(MIN(J29,DATA!$E$6)-DATA!$D$6)*$A$43)</f>
        <v>-</v>
      </c>
      <c r="K43" s="38" t="str">
        <f>IF(K29&lt;DATA!$D$6,"-",(MIN(K29,DATA!$E$6)-DATA!$D$6)*$A$43)</f>
        <v>-</v>
      </c>
      <c r="L43" s="38" t="str">
        <f>IF(L29&lt;DATA!$D$6,"-",(MIN(L29,DATA!$E$6)-DATA!$D$6)*$A$43)</f>
        <v>-</v>
      </c>
      <c r="M43" s="38" t="str">
        <f>IF(M29&lt;DATA!$D$6,"-",(MIN(M29,DATA!$E$6)-DATA!$D$6)*$A$43)</f>
        <v>-</v>
      </c>
      <c r="N43" s="38" t="str">
        <f>IF(N29&lt;DATA!$D$6,"-",(MIN(N29,DATA!$E$6)-DATA!$D$6)*$A$43)</f>
        <v>-</v>
      </c>
      <c r="O43" s="38" t="str">
        <f>IF(O29&lt;DATA!$D$6,"-",(MIN(O29,DATA!$E$6)-DATA!$D$6)*$A$43)</f>
        <v>-</v>
      </c>
      <c r="P43" s="38" t="str">
        <f>IF(P29&lt;DATA!$D$6,"-",(MIN(P29,DATA!$E$6)-DATA!$D$6)*$A$43)</f>
        <v>-</v>
      </c>
      <c r="Q43" s="38" t="str">
        <f>IF(Q29&lt;DATA!$D$6,"-",(MIN(Q29,DATA!$E$6)-DATA!$D$6)*$A$43)</f>
        <v>-</v>
      </c>
      <c r="R43" s="38" t="str">
        <f>IF(R29&lt;DATA!$D$6,"-",(MIN(R29,DATA!$E$6)-DATA!$D$6)*$A$43)</f>
        <v>-</v>
      </c>
      <c r="S43" s="38" t="str">
        <f>IF(S29&lt;DATA!$D$6,"-",(MIN(S29,DATA!$E$6)-DATA!$D$6)*$A$43)</f>
        <v>-</v>
      </c>
      <c r="T43" s="38" t="str">
        <f>IF(T29&lt;DATA!$D$6,"-",(MIN(T29,DATA!$E$6)-DATA!$D$6)*$A$43)</f>
        <v>-</v>
      </c>
      <c r="U43" s="38" t="str">
        <f>IF(U29&lt;DATA!$D$6,"-",(MIN(U29,DATA!$E$6)-DATA!$D$6)*$A$43)</f>
        <v>-</v>
      </c>
      <c r="V43" s="38" t="str">
        <f>IF(V29&lt;DATA!$D$6,"-",(MIN(V29,DATA!$E$6)-DATA!$D$6)*$A$43)</f>
        <v>-</v>
      </c>
      <c r="W43" s="38" t="str">
        <f>IF(W29&lt;DATA!$D$6,"-",(MIN(W29,DATA!$E$6)-DATA!$D$6)*$A$43)</f>
        <v>-</v>
      </c>
      <c r="X43" s="38" t="str">
        <f>IF(X29&lt;DATA!$D$6,"-",(MIN(X29,DATA!$E$6)-DATA!$D$6)*$A$43)</f>
        <v>-</v>
      </c>
      <c r="Y43" s="38" t="str">
        <f>IF(Y29&lt;DATA!$D$6,"-",(MIN(Y29,DATA!$E$6)-DATA!$D$6)*$A$43)</f>
        <v>-</v>
      </c>
      <c r="Z43" s="38" t="str">
        <f>IF(Z29&lt;DATA!$D$6,"-",(MIN(Z29,DATA!$E$6)-DATA!$D$6)*$A$43)</f>
        <v>-</v>
      </c>
      <c r="AA43" s="38" t="str">
        <f>IF(AA29&lt;DATA!$D$6,"-",(MIN(AA29,DATA!$E$6)-DATA!$D$6)*$A$43)</f>
        <v>-</v>
      </c>
    </row>
    <row r="44" spans="1:27" hidden="1" outlineLevel="1" x14ac:dyDescent="0.35">
      <c r="A44" s="37">
        <v>0.41</v>
      </c>
      <c r="B44" s="37"/>
      <c r="C44" s="38" t="str">
        <f>IF(C28&lt;DATA!$D$7,"-",(MIN(C28,DATA!$E$7)-DATA!$D$7)*$A$44)</f>
        <v>-</v>
      </c>
      <c r="D44" s="38" t="str">
        <f>IF(D28&lt;DATA!$D$7,"-",(MIN(D28,DATA!$E$7)-DATA!$D$7)*$A$44)</f>
        <v>-</v>
      </c>
      <c r="E44" s="38" t="str">
        <f>IF(E28&lt;DATA!$D$7,"-",(MIN(E28,DATA!$E$7)-DATA!$D$7)*$A$44)</f>
        <v>-</v>
      </c>
      <c r="F44" s="38" t="str">
        <f>IF(F28&lt;DATA!$D$7,"-",(MIN(F28,DATA!$E$7)-DATA!$D$7)*$A$44)</f>
        <v>-</v>
      </c>
      <c r="G44" s="38" t="str">
        <f>IF(G28&lt;DATA!$D$7,"-",(MIN(G28,DATA!$E$7)-DATA!$D$7)*$A$44)</f>
        <v>-</v>
      </c>
      <c r="H44" s="38" t="str">
        <f>IF(H28&lt;DATA!$D$7,"-",(MIN(H28,DATA!$E$7)-DATA!$D$7)*$A$44)</f>
        <v>-</v>
      </c>
      <c r="I44" s="38" t="str">
        <f>IF(I28&lt;DATA!$D$7,"-",(MIN(I28,DATA!$E$7)-DATA!$D$7)*$A$44)</f>
        <v>-</v>
      </c>
      <c r="J44" s="38" t="str">
        <f>IF(J28&lt;DATA!$D$7,"-",(MIN(J28,DATA!$E$7)-DATA!$D$7)*$A$44)</f>
        <v>-</v>
      </c>
      <c r="K44" s="38" t="str">
        <f>IF(K28&lt;DATA!$D$7,"-",(MIN(K28,DATA!$E$7)-DATA!$D$7)*$A$44)</f>
        <v>-</v>
      </c>
      <c r="L44" s="38" t="str">
        <f>IF(L28&lt;DATA!$D$7,"-",(MIN(L28,DATA!$E$7)-DATA!$D$7)*$A$44)</f>
        <v>-</v>
      </c>
      <c r="M44" s="38" t="str">
        <f>IF(M28&lt;DATA!$D$7,"-",(MIN(M28,DATA!$E$7)-DATA!$D$7)*$A$44)</f>
        <v>-</v>
      </c>
      <c r="N44" s="38" t="str">
        <f>IF(N28&lt;DATA!$D$7,"-",(MIN(N28,DATA!$E$7)-DATA!$D$7)*$A$44)</f>
        <v>-</v>
      </c>
      <c r="O44" s="38" t="str">
        <f>IF(O28&lt;DATA!$D$7,"-",(MIN(O28,DATA!$E$7)-DATA!$D$7)*$A$44)</f>
        <v>-</v>
      </c>
      <c r="P44" s="38" t="str">
        <f>IF(P28&lt;DATA!$D$7,"-",(MIN(P28,DATA!$E$7)-DATA!$D$7)*$A$44)</f>
        <v>-</v>
      </c>
      <c r="Q44" s="38" t="str">
        <f>IF(Q28&lt;DATA!$D$7,"-",(MIN(Q28,DATA!$E$7)-DATA!$D$7)*$A$44)</f>
        <v>-</v>
      </c>
      <c r="R44" s="38" t="str">
        <f>IF(R28&lt;DATA!$D$7,"-",(MIN(R28,DATA!$E$7)-DATA!$D$7)*$A$44)</f>
        <v>-</v>
      </c>
      <c r="S44" s="38" t="str">
        <f>IF(S28&lt;DATA!$D$7,"-",(MIN(S28,DATA!$E$7)-DATA!$D$7)*$A$44)</f>
        <v>-</v>
      </c>
      <c r="T44" s="38" t="str">
        <f>IF(T28&lt;DATA!$D$7,"-",(MIN(T28,DATA!$E$7)-DATA!$D$7)*$A$44)</f>
        <v>-</v>
      </c>
      <c r="U44" s="38" t="str">
        <f>IF(U28&lt;DATA!$D$7,"-",(MIN(U28,DATA!$E$7)-DATA!$D$7)*$A$44)</f>
        <v>-</v>
      </c>
      <c r="V44" s="38" t="str">
        <f>IF(V28&lt;DATA!$D$7,"-",(MIN(V28,DATA!$E$7)-DATA!$D$7)*$A$44)</f>
        <v>-</v>
      </c>
      <c r="W44" s="38" t="str">
        <f>IF(W28&lt;DATA!$D$7,"-",(MIN(W28,DATA!$E$7)-DATA!$D$7)*$A$44)</f>
        <v>-</v>
      </c>
      <c r="X44" s="38" t="str">
        <f>IF(X28&lt;DATA!$D$7,"-",(MIN(X28,DATA!$E$7)-DATA!$D$7)*$A$44)</f>
        <v>-</v>
      </c>
      <c r="Y44" s="38" t="str">
        <f>IF(Y28&lt;DATA!$D$7,"-",(MIN(Y28,DATA!$E$7)-DATA!$D$7)*$A$44)</f>
        <v>-</v>
      </c>
      <c r="Z44" s="38" t="str">
        <f>IF(Z28&lt;DATA!$D$7,"-",(MIN(Z28,DATA!$E$7)-DATA!$D$7)*$A$44)</f>
        <v>-</v>
      </c>
      <c r="AA44" s="38" t="str">
        <f>IF(AA28&lt;DATA!$D$7,"-",(MIN(AA28,DATA!$E$7)-DATA!$D$7)*$A$44)</f>
        <v>-</v>
      </c>
    </row>
    <row r="45" spans="1:27" hidden="1" outlineLevel="1" x14ac:dyDescent="0.35">
      <c r="A45" s="37">
        <v>0.45</v>
      </c>
      <c r="B45" s="37"/>
      <c r="C45" s="38" t="str">
        <f>IF(C28&lt;DATA!$D$8,"-",(MIN(C28,DATA!$E$8)-DATA!$D$8)*$A$45)</f>
        <v>-</v>
      </c>
      <c r="D45" s="38" t="str">
        <f>IF(D28&lt;DATA!$D$8,"-",(MIN(D28,DATA!$E$8)-DATA!$D$8)*$A$45)</f>
        <v>-</v>
      </c>
      <c r="E45" s="38" t="str">
        <f>IF(E28&lt;DATA!$D$8,"-",(MIN(E28,DATA!$E$8)-DATA!$D$8)*$A$45)</f>
        <v>-</v>
      </c>
      <c r="F45" s="38" t="str">
        <f>IF(F28&lt;DATA!$D$8,"-",(MIN(F28,DATA!$E$8)-DATA!$D$8)*$A$45)</f>
        <v>-</v>
      </c>
      <c r="G45" s="38" t="str">
        <f>IF(G28&lt;DATA!$D$8,"-",(MIN(G28,DATA!$E$8)-DATA!$D$8)*$A$45)</f>
        <v>-</v>
      </c>
      <c r="H45" s="38" t="str">
        <f>IF(H28&lt;DATA!$D$8,"-",(MIN(H28,DATA!$E$8)-DATA!$D$8)*$A$45)</f>
        <v>-</v>
      </c>
      <c r="I45" s="38" t="str">
        <f>IF(I28&lt;DATA!$D$8,"-",(MIN(I28,DATA!$E$8)-DATA!$D$8)*$A$45)</f>
        <v>-</v>
      </c>
      <c r="J45" s="38" t="str">
        <f>IF(J28&lt;DATA!$D$8,"-",(MIN(J28,DATA!$E$8)-DATA!$D$8)*$A$45)</f>
        <v>-</v>
      </c>
      <c r="K45" s="38" t="str">
        <f>IF(K28&lt;DATA!$D$8,"-",(MIN(K28,DATA!$E$8)-DATA!$D$8)*$A$45)</f>
        <v>-</v>
      </c>
      <c r="L45" s="38" t="str">
        <f>IF(L28&lt;DATA!$D$8,"-",(MIN(L28,DATA!$E$8)-DATA!$D$8)*$A$45)</f>
        <v>-</v>
      </c>
      <c r="M45" s="38" t="str">
        <f>IF(M28&lt;DATA!$D$8,"-",(MIN(M28,DATA!$E$8)-DATA!$D$8)*$A$45)</f>
        <v>-</v>
      </c>
      <c r="N45" s="38" t="str">
        <f>IF(N28&lt;DATA!$D$8,"-",(MIN(N28,DATA!$E$8)-DATA!$D$8)*$A$45)</f>
        <v>-</v>
      </c>
      <c r="O45" s="38" t="str">
        <f>IF(O28&lt;DATA!$D$8,"-",(MIN(O28,DATA!$E$8)-DATA!$D$8)*$A$45)</f>
        <v>-</v>
      </c>
      <c r="P45" s="38" t="str">
        <f>IF(P28&lt;DATA!$D$8,"-",(MIN(P28,DATA!$E$8)-DATA!$D$8)*$A$45)</f>
        <v>-</v>
      </c>
      <c r="Q45" s="38" t="str">
        <f>IF(Q28&lt;DATA!$D$8,"-",(MIN(Q28,DATA!$E$8)-DATA!$D$8)*$A$45)</f>
        <v>-</v>
      </c>
      <c r="R45" s="38" t="str">
        <f>IF(R28&lt;DATA!$D$8,"-",(MIN(R28,DATA!$E$8)-DATA!$D$8)*$A$45)</f>
        <v>-</v>
      </c>
      <c r="S45" s="38" t="str">
        <f>IF(S28&lt;DATA!$D$8,"-",(MIN(S28,DATA!$E$8)-DATA!$D$8)*$A$45)</f>
        <v>-</v>
      </c>
      <c r="T45" s="38" t="str">
        <f>IF(T28&lt;DATA!$D$8,"-",(MIN(T28,DATA!$E$8)-DATA!$D$8)*$A$45)</f>
        <v>-</v>
      </c>
      <c r="U45" s="38" t="str">
        <f>IF(U28&lt;DATA!$D$8,"-",(MIN(U28,DATA!$E$8)-DATA!$D$8)*$A$45)</f>
        <v>-</v>
      </c>
      <c r="V45" s="38" t="str">
        <f>IF(V28&lt;DATA!$D$8,"-",(MIN(V28,DATA!$E$8)-DATA!$D$8)*$A$45)</f>
        <v>-</v>
      </c>
      <c r="W45" s="38" t="str">
        <f>IF(W28&lt;DATA!$D$8,"-",(MIN(W28,DATA!$E$8)-DATA!$D$8)*$A$45)</f>
        <v>-</v>
      </c>
      <c r="X45" s="38" t="str">
        <f>IF(X28&lt;DATA!$D$8,"-",(MIN(X28,DATA!$E$8)-DATA!$D$8)*$A$45)</f>
        <v>-</v>
      </c>
      <c r="Y45" s="38" t="str">
        <f>IF(Y28&lt;DATA!$D$8,"-",(MIN(Y28,DATA!$E$8)-DATA!$D$8)*$A$45)</f>
        <v>-</v>
      </c>
      <c r="Z45" s="38" t="str">
        <f>IF(Z28&lt;DATA!$D$8,"-",(MIN(Z28,DATA!$E$8)-DATA!$D$8)*$A$45)</f>
        <v>-</v>
      </c>
      <c r="AA45" s="38" t="str">
        <f>IF(AA28&lt;DATA!$D$8,"-",(MIN(AA28,DATA!$E$8)-DATA!$D$8)*$A$45)</f>
        <v>-</v>
      </c>
    </row>
    <row r="46" spans="1:27" hidden="1" outlineLevel="1" x14ac:dyDescent="0.35">
      <c r="A46" s="40" t="s">
        <v>27</v>
      </c>
      <c r="B46" s="40"/>
      <c r="C46" s="36">
        <f t="shared" ref="C46:AA46" si="35">SUM(C41:C45)*C4</f>
        <v>0</v>
      </c>
      <c r="D46" s="36">
        <f t="shared" si="35"/>
        <v>0</v>
      </c>
      <c r="E46" s="36">
        <f t="shared" si="35"/>
        <v>0</v>
      </c>
      <c r="F46" s="36">
        <f t="shared" si="35"/>
        <v>0</v>
      </c>
      <c r="G46" s="36">
        <f t="shared" si="35"/>
        <v>0</v>
      </c>
      <c r="H46" s="36">
        <f t="shared" si="35"/>
        <v>0</v>
      </c>
      <c r="I46" s="36">
        <f t="shared" si="35"/>
        <v>0</v>
      </c>
      <c r="J46" s="36">
        <f t="shared" si="35"/>
        <v>0</v>
      </c>
      <c r="K46" s="36">
        <f t="shared" si="35"/>
        <v>0</v>
      </c>
      <c r="L46" s="36">
        <f t="shared" si="35"/>
        <v>0</v>
      </c>
      <c r="M46" s="36">
        <f t="shared" si="35"/>
        <v>0</v>
      </c>
      <c r="N46" s="36">
        <f t="shared" si="35"/>
        <v>0</v>
      </c>
      <c r="O46" s="36">
        <f t="shared" si="35"/>
        <v>0</v>
      </c>
      <c r="P46" s="36">
        <f t="shared" si="35"/>
        <v>0</v>
      </c>
      <c r="Q46" s="36">
        <f t="shared" si="35"/>
        <v>0</v>
      </c>
      <c r="R46" s="36">
        <f t="shared" si="35"/>
        <v>0</v>
      </c>
      <c r="S46" s="36">
        <f t="shared" si="35"/>
        <v>0</v>
      </c>
      <c r="T46" s="36">
        <f t="shared" si="35"/>
        <v>0</v>
      </c>
      <c r="U46" s="36">
        <f t="shared" si="35"/>
        <v>0</v>
      </c>
      <c r="V46" s="36">
        <f t="shared" si="35"/>
        <v>0</v>
      </c>
      <c r="W46" s="36">
        <f t="shared" si="35"/>
        <v>0</v>
      </c>
      <c r="X46" s="36">
        <f t="shared" si="35"/>
        <v>0</v>
      </c>
      <c r="Y46" s="36">
        <f t="shared" si="35"/>
        <v>0</v>
      </c>
      <c r="Z46" s="36">
        <f t="shared" si="35"/>
        <v>0</v>
      </c>
      <c r="AA46" s="36">
        <f t="shared" si="35"/>
        <v>0</v>
      </c>
    </row>
    <row r="47" spans="1:27" hidden="1" outlineLevel="1" x14ac:dyDescent="0.35"/>
    <row r="48" spans="1:27" collapsed="1" x14ac:dyDescent="0.35">
      <c r="A48" s="74" t="s">
        <v>25</v>
      </c>
      <c r="B48" s="74"/>
      <c r="C48" s="42">
        <f t="shared" ref="C48:D48" si="36">C46</f>
        <v>0</v>
      </c>
      <c r="D48" s="42">
        <f t="shared" si="36"/>
        <v>0</v>
      </c>
      <c r="E48" s="42">
        <f t="shared" ref="E48:M48" si="37">E46</f>
        <v>0</v>
      </c>
      <c r="F48" s="42">
        <f t="shared" si="37"/>
        <v>0</v>
      </c>
      <c r="G48" s="42">
        <f t="shared" si="37"/>
        <v>0</v>
      </c>
      <c r="H48" s="42">
        <f t="shared" si="37"/>
        <v>0</v>
      </c>
      <c r="I48" s="42">
        <f t="shared" si="37"/>
        <v>0</v>
      </c>
      <c r="J48" s="42">
        <f t="shared" si="37"/>
        <v>0</v>
      </c>
      <c r="K48" s="42">
        <f t="shared" si="37"/>
        <v>0</v>
      </c>
      <c r="L48" s="42">
        <f t="shared" si="37"/>
        <v>0</v>
      </c>
      <c r="M48" s="42">
        <f t="shared" si="37"/>
        <v>0</v>
      </c>
      <c r="N48" s="42">
        <f t="shared" ref="N48:V48" si="38">N46</f>
        <v>0</v>
      </c>
      <c r="O48" s="42">
        <f t="shared" si="38"/>
        <v>0</v>
      </c>
      <c r="P48" s="42">
        <f t="shared" si="38"/>
        <v>0</v>
      </c>
      <c r="Q48" s="42">
        <f t="shared" si="38"/>
        <v>0</v>
      </c>
      <c r="R48" s="42">
        <f t="shared" si="38"/>
        <v>0</v>
      </c>
      <c r="S48" s="42">
        <f t="shared" si="38"/>
        <v>0</v>
      </c>
      <c r="T48" s="42">
        <f t="shared" si="38"/>
        <v>0</v>
      </c>
      <c r="U48" s="42">
        <f t="shared" si="38"/>
        <v>0</v>
      </c>
      <c r="V48" s="42">
        <f t="shared" si="38"/>
        <v>0</v>
      </c>
      <c r="W48" s="42">
        <f t="shared" ref="W48:AA48" si="39">W46</f>
        <v>0</v>
      </c>
      <c r="X48" s="42">
        <f t="shared" si="39"/>
        <v>0</v>
      </c>
      <c r="Y48" s="42">
        <f t="shared" si="39"/>
        <v>0</v>
      </c>
      <c r="Z48" s="42">
        <f t="shared" si="39"/>
        <v>0</v>
      </c>
      <c r="AA48" s="42">
        <f t="shared" si="39"/>
        <v>0</v>
      </c>
    </row>
    <row r="49" spans="1:27" ht="5.25" customHeight="1" x14ac:dyDescent="0.35">
      <c r="A49" s="39"/>
      <c r="B49" s="39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35">
      <c r="A50" s="43" t="s">
        <v>28</v>
      </c>
      <c r="B50" s="4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35">
      <c r="A51" s="35" t="s">
        <v>29</v>
      </c>
      <c r="B51" s="35"/>
      <c r="C51" s="34">
        <f t="shared" ref="C51:D51" si="40">C38</f>
        <v>0</v>
      </c>
      <c r="D51" s="34">
        <f t="shared" si="40"/>
        <v>0</v>
      </c>
      <c r="E51" s="34">
        <f t="shared" ref="E51:M51" si="41">E38</f>
        <v>0</v>
      </c>
      <c r="F51" s="34">
        <f t="shared" si="41"/>
        <v>0</v>
      </c>
      <c r="G51" s="34">
        <f t="shared" si="41"/>
        <v>0</v>
      </c>
      <c r="H51" s="34">
        <f t="shared" si="41"/>
        <v>0</v>
      </c>
      <c r="I51" s="34">
        <f t="shared" si="41"/>
        <v>0</v>
      </c>
      <c r="J51" s="34">
        <f t="shared" si="41"/>
        <v>0</v>
      </c>
      <c r="K51" s="34">
        <f t="shared" si="41"/>
        <v>0</v>
      </c>
      <c r="L51" s="34">
        <f t="shared" si="41"/>
        <v>0</v>
      </c>
      <c r="M51" s="34">
        <f t="shared" si="41"/>
        <v>0</v>
      </c>
      <c r="N51" s="34">
        <f t="shared" ref="N51:V51" si="42">N38</f>
        <v>0</v>
      </c>
      <c r="O51" s="34">
        <f t="shared" si="42"/>
        <v>0</v>
      </c>
      <c r="P51" s="34">
        <f t="shared" si="42"/>
        <v>0</v>
      </c>
      <c r="Q51" s="34">
        <f t="shared" si="42"/>
        <v>0</v>
      </c>
      <c r="R51" s="34">
        <f t="shared" si="42"/>
        <v>0</v>
      </c>
      <c r="S51" s="34">
        <f t="shared" si="42"/>
        <v>0</v>
      </c>
      <c r="T51" s="34">
        <f t="shared" si="42"/>
        <v>0</v>
      </c>
      <c r="U51" s="34">
        <f t="shared" si="42"/>
        <v>0</v>
      </c>
      <c r="V51" s="34">
        <f t="shared" si="42"/>
        <v>0</v>
      </c>
      <c r="W51" s="34">
        <f t="shared" ref="W51:AA51" si="43">W38</f>
        <v>0</v>
      </c>
      <c r="X51" s="34">
        <f t="shared" si="43"/>
        <v>0</v>
      </c>
      <c r="Y51" s="34">
        <f t="shared" si="43"/>
        <v>0</v>
      </c>
      <c r="Z51" s="34">
        <f t="shared" si="43"/>
        <v>0</v>
      </c>
      <c r="AA51" s="34">
        <f t="shared" si="43"/>
        <v>0</v>
      </c>
    </row>
    <row r="52" spans="1:27" x14ac:dyDescent="0.35">
      <c r="A52" s="35" t="s">
        <v>24</v>
      </c>
      <c r="B52" s="35"/>
      <c r="C52" s="34">
        <f t="shared" ref="C52:D52" si="44">C56-C38-C54</f>
        <v>0</v>
      </c>
      <c r="D52" s="34">
        <f t="shared" si="44"/>
        <v>0</v>
      </c>
      <c r="E52" s="34">
        <f t="shared" ref="E52:V52" si="45">E56-E38-E54</f>
        <v>0</v>
      </c>
      <c r="F52" s="34">
        <f t="shared" si="45"/>
        <v>0</v>
      </c>
      <c r="G52" s="34">
        <f t="shared" si="45"/>
        <v>0</v>
      </c>
      <c r="H52" s="34">
        <f t="shared" si="45"/>
        <v>0</v>
      </c>
      <c r="I52" s="34">
        <f t="shared" si="45"/>
        <v>0</v>
      </c>
      <c r="J52" s="34">
        <f t="shared" si="45"/>
        <v>0</v>
      </c>
      <c r="K52" s="34">
        <f t="shared" si="45"/>
        <v>0</v>
      </c>
      <c r="L52" s="34">
        <f t="shared" si="45"/>
        <v>0</v>
      </c>
      <c r="M52" s="34">
        <f t="shared" si="45"/>
        <v>0</v>
      </c>
      <c r="N52" s="34">
        <f t="shared" si="45"/>
        <v>0</v>
      </c>
      <c r="O52" s="34">
        <f t="shared" si="45"/>
        <v>0</v>
      </c>
      <c r="P52" s="34">
        <f t="shared" si="45"/>
        <v>0</v>
      </c>
      <c r="Q52" s="34">
        <f t="shared" si="45"/>
        <v>0</v>
      </c>
      <c r="R52" s="34">
        <f t="shared" si="45"/>
        <v>0</v>
      </c>
      <c r="S52" s="34">
        <f t="shared" si="45"/>
        <v>0</v>
      </c>
      <c r="T52" s="34">
        <f t="shared" si="45"/>
        <v>0</v>
      </c>
      <c r="U52" s="34">
        <f t="shared" si="45"/>
        <v>0</v>
      </c>
      <c r="V52" s="34">
        <f t="shared" si="45"/>
        <v>0</v>
      </c>
      <c r="W52" s="34">
        <f t="shared" ref="W52:AA52" si="46">W56-W38-W54</f>
        <v>0</v>
      </c>
      <c r="X52" s="34">
        <f t="shared" si="46"/>
        <v>0</v>
      </c>
      <c r="Y52" s="34">
        <f t="shared" si="46"/>
        <v>0</v>
      </c>
      <c r="Z52" s="34">
        <f t="shared" si="46"/>
        <v>0</v>
      </c>
      <c r="AA52" s="34">
        <f t="shared" si="46"/>
        <v>0</v>
      </c>
    </row>
    <row r="53" spans="1:27" x14ac:dyDescent="0.35">
      <c r="A53" s="35"/>
      <c r="B53" s="35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spans="1:27" x14ac:dyDescent="0.35">
      <c r="A54" s="74" t="s">
        <v>72</v>
      </c>
      <c r="B54" s="74"/>
      <c r="C54" s="42">
        <f t="shared" ref="C54:AA54" si="47">IF(MIN(C25,C24)*0.172&lt;0,0,MIN(C25,C24)*0.172)</f>
        <v>135.65552035248456</v>
      </c>
      <c r="D54" s="42">
        <f t="shared" si="47"/>
        <v>604.89908441298428</v>
      </c>
      <c r="E54" s="42">
        <f t="shared" si="47"/>
        <v>615.75521199744833</v>
      </c>
      <c r="F54" s="42">
        <f t="shared" si="47"/>
        <v>626.77893400857317</v>
      </c>
      <c r="G54" s="42">
        <f t="shared" si="47"/>
        <v>637.97333766072666</v>
      </c>
      <c r="H54" s="42">
        <f t="shared" si="47"/>
        <v>649.34156752433046</v>
      </c>
      <c r="I54" s="42">
        <f t="shared" si="47"/>
        <v>660.88682658955679</v>
      </c>
      <c r="J54" s="42">
        <f t="shared" si="47"/>
        <v>672.61237734970393</v>
      </c>
      <c r="K54" s="42">
        <f t="shared" si="47"/>
        <v>684.52154290461169</v>
      </c>
      <c r="L54" s="42">
        <f t="shared" si="47"/>
        <v>696.61770808448057</v>
      </c>
      <c r="M54" s="42">
        <f t="shared" si="47"/>
        <v>708.90432059448085</v>
      </c>
      <c r="N54" s="42">
        <f t="shared" si="47"/>
        <v>721.38489218052473</v>
      </c>
      <c r="O54" s="42">
        <f t="shared" si="47"/>
        <v>734.06299981660095</v>
      </c>
      <c r="P54" s="42">
        <f t="shared" si="47"/>
        <v>746.94228691406056</v>
      </c>
      <c r="Q54" s="42">
        <f t="shared" si="47"/>
        <v>760.02646455326783</v>
      </c>
      <c r="R54" s="42">
        <f t="shared" si="47"/>
        <v>773.31931273801899</v>
      </c>
      <c r="S54" s="42">
        <f t="shared" si="47"/>
        <v>786.82468167315744</v>
      </c>
      <c r="T54" s="42">
        <f t="shared" si="47"/>
        <v>800.54649306580711</v>
      </c>
      <c r="U54" s="42">
        <f t="shared" si="47"/>
        <v>814.4887414506602</v>
      </c>
      <c r="V54" s="42">
        <f t="shared" si="47"/>
        <v>828.65549553976575</v>
      </c>
      <c r="W54" s="42">
        <f t="shared" si="47"/>
        <v>843.05089959726683</v>
      </c>
      <c r="X54" s="42">
        <f t="shared" si="47"/>
        <v>857.67917483954818</v>
      </c>
      <c r="Y54" s="42">
        <f t="shared" si="47"/>
        <v>872.54462086126262</v>
      </c>
      <c r="Z54" s="42">
        <f t="shared" si="47"/>
        <v>887.65161708770984</v>
      </c>
      <c r="AA54" s="42">
        <f t="shared" si="47"/>
        <v>903.0046242540609</v>
      </c>
    </row>
    <row r="55" spans="1:27" x14ac:dyDescent="0.35">
      <c r="A55" s="39"/>
      <c r="B55" s="39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spans="1:27" x14ac:dyDescent="0.35">
      <c r="A56" s="44" t="s">
        <v>89</v>
      </c>
      <c r="B56" s="44"/>
      <c r="C56" s="45">
        <f>C48+C54</f>
        <v>135.65552035248456</v>
      </c>
      <c r="D56" s="45">
        <f>D46+D54</f>
        <v>604.89908441298428</v>
      </c>
      <c r="E56" s="45">
        <f t="shared" ref="E56:V56" si="48">E46+E54</f>
        <v>615.75521199744833</v>
      </c>
      <c r="F56" s="45">
        <f t="shared" si="48"/>
        <v>626.77893400857317</v>
      </c>
      <c r="G56" s="45">
        <f t="shared" si="48"/>
        <v>637.97333766072666</v>
      </c>
      <c r="H56" s="45">
        <f t="shared" si="48"/>
        <v>649.34156752433046</v>
      </c>
      <c r="I56" s="45">
        <f t="shared" si="48"/>
        <v>660.88682658955679</v>
      </c>
      <c r="J56" s="45">
        <f t="shared" si="48"/>
        <v>672.61237734970393</v>
      </c>
      <c r="K56" s="45">
        <f t="shared" si="48"/>
        <v>684.52154290461169</v>
      </c>
      <c r="L56" s="45">
        <f t="shared" si="48"/>
        <v>696.61770808448057</v>
      </c>
      <c r="M56" s="45">
        <f t="shared" si="48"/>
        <v>708.90432059448085</v>
      </c>
      <c r="N56" s="45">
        <f t="shared" si="48"/>
        <v>721.38489218052473</v>
      </c>
      <c r="O56" s="45">
        <f t="shared" si="48"/>
        <v>734.06299981660095</v>
      </c>
      <c r="P56" s="45">
        <f t="shared" si="48"/>
        <v>746.94228691406056</v>
      </c>
      <c r="Q56" s="45">
        <f t="shared" si="48"/>
        <v>760.02646455326783</v>
      </c>
      <c r="R56" s="45">
        <f t="shared" si="48"/>
        <v>773.31931273801899</v>
      </c>
      <c r="S56" s="45">
        <f t="shared" si="48"/>
        <v>786.82468167315744</v>
      </c>
      <c r="T56" s="45">
        <f t="shared" si="48"/>
        <v>800.54649306580711</v>
      </c>
      <c r="U56" s="45">
        <f t="shared" si="48"/>
        <v>814.4887414506602</v>
      </c>
      <c r="V56" s="45">
        <f t="shared" si="48"/>
        <v>828.65549553976575</v>
      </c>
      <c r="W56" s="45">
        <f t="shared" ref="W56:AA56" si="49">W46+W54</f>
        <v>843.05089959726683</v>
      </c>
      <c r="X56" s="45">
        <f t="shared" si="49"/>
        <v>857.67917483954818</v>
      </c>
      <c r="Y56" s="45">
        <f t="shared" si="49"/>
        <v>872.54462086126262</v>
      </c>
      <c r="Z56" s="45">
        <f t="shared" si="49"/>
        <v>887.65161708770984</v>
      </c>
      <c r="AA56" s="45">
        <f t="shared" si="49"/>
        <v>903.0046242540609</v>
      </c>
    </row>
    <row r="58" spans="1:27" x14ac:dyDescent="0.35">
      <c r="A58" s="76" t="s">
        <v>68</v>
      </c>
      <c r="B58" s="76"/>
      <c r="C58" s="23"/>
      <c r="D58" s="23"/>
      <c r="F58" s="23"/>
    </row>
    <row r="59" spans="1:27" x14ac:dyDescent="0.35">
      <c r="A59" t="s">
        <v>71</v>
      </c>
      <c r="B59" s="77">
        <v>5.0000000000000001E-3</v>
      </c>
      <c r="C59" s="23"/>
      <c r="D59" s="23"/>
    </row>
    <row r="60" spans="1:27" x14ac:dyDescent="0.35">
      <c r="A60" t="s">
        <v>69</v>
      </c>
      <c r="B60" s="77">
        <v>1E-3</v>
      </c>
      <c r="F60" s="23"/>
    </row>
    <row r="61" spans="1:27" x14ac:dyDescent="0.35">
      <c r="A61" t="s">
        <v>70</v>
      </c>
      <c r="B61" s="77">
        <v>0.02</v>
      </c>
      <c r="F61" s="23"/>
    </row>
    <row r="62" spans="1:27" x14ac:dyDescent="0.35">
      <c r="A62" s="23"/>
      <c r="B62" s="23"/>
    </row>
    <row r="63" spans="1:27" x14ac:dyDescent="0.35">
      <c r="F63" s="23"/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colBreaks count="2" manualBreakCount="2">
    <brk id="10" max="67" man="1"/>
    <brk id="19" max="6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9"/>
  <sheetViews>
    <sheetView view="pageBreakPreview" zoomScale="95" zoomScaleSheetLayoutView="95" workbookViewId="0">
      <selection activeCell="C14" sqref="C14"/>
    </sheetView>
  </sheetViews>
  <sheetFormatPr baseColWidth="10" defaultColWidth="11.453125" defaultRowHeight="14.5" outlineLevelRow="1" x14ac:dyDescent="0.35"/>
  <cols>
    <col min="1" max="1" width="41" customWidth="1"/>
    <col min="2" max="2" width="6.1796875" customWidth="1"/>
    <col min="3" max="4" width="15.453125" bestFit="1" customWidth="1"/>
    <col min="5" max="8" width="15.81640625" bestFit="1" customWidth="1"/>
    <col min="9" max="10" width="15.453125" bestFit="1" customWidth="1"/>
    <col min="11" max="14" width="15.81640625" bestFit="1" customWidth="1"/>
    <col min="15" max="16" width="14.81640625" bestFit="1" customWidth="1"/>
    <col min="17" max="17" width="15.453125" bestFit="1" customWidth="1"/>
    <col min="18" max="18" width="14.81640625" bestFit="1" customWidth="1"/>
    <col min="19" max="21" width="15.81640625" bestFit="1" customWidth="1"/>
  </cols>
  <sheetData>
    <row r="1" spans="1:27" x14ac:dyDescent="0.35">
      <c r="C1" s="24">
        <f>'FINANCEMENT '!B12</f>
        <v>2019</v>
      </c>
      <c r="D1" s="24">
        <f>C1+1</f>
        <v>2020</v>
      </c>
      <c r="E1" s="24">
        <f t="shared" ref="E1:AA1" si="0">D1+1</f>
        <v>2021</v>
      </c>
      <c r="F1" s="24">
        <f t="shared" si="0"/>
        <v>2022</v>
      </c>
      <c r="G1" s="24">
        <f t="shared" si="0"/>
        <v>2023</v>
      </c>
      <c r="H1" s="24">
        <f t="shared" si="0"/>
        <v>2024</v>
      </c>
      <c r="I1" s="24">
        <f t="shared" si="0"/>
        <v>2025</v>
      </c>
      <c r="J1" s="24">
        <f t="shared" si="0"/>
        <v>2026</v>
      </c>
      <c r="K1" s="24">
        <f t="shared" si="0"/>
        <v>2027</v>
      </c>
      <c r="L1" s="24">
        <f t="shared" si="0"/>
        <v>2028</v>
      </c>
      <c r="M1" s="24">
        <f t="shared" si="0"/>
        <v>2029</v>
      </c>
      <c r="N1" s="24">
        <f t="shared" si="0"/>
        <v>2030</v>
      </c>
      <c r="O1" s="24">
        <f t="shared" si="0"/>
        <v>2031</v>
      </c>
      <c r="P1" s="24">
        <f t="shared" si="0"/>
        <v>2032</v>
      </c>
      <c r="Q1" s="24">
        <f t="shared" si="0"/>
        <v>2033</v>
      </c>
      <c r="R1" s="24">
        <f t="shared" si="0"/>
        <v>2034</v>
      </c>
      <c r="S1" s="24">
        <f t="shared" si="0"/>
        <v>2035</v>
      </c>
      <c r="T1" s="24">
        <f t="shared" si="0"/>
        <v>2036</v>
      </c>
      <c r="U1" s="24">
        <f t="shared" si="0"/>
        <v>2037</v>
      </c>
      <c r="V1" s="24">
        <f t="shared" si="0"/>
        <v>2038</v>
      </c>
      <c r="W1" s="24">
        <f t="shared" si="0"/>
        <v>2039</v>
      </c>
      <c r="X1" s="24">
        <f t="shared" si="0"/>
        <v>2040</v>
      </c>
      <c r="Y1" s="24">
        <f t="shared" si="0"/>
        <v>2041</v>
      </c>
      <c r="Z1" s="24">
        <f t="shared" si="0"/>
        <v>2042</v>
      </c>
      <c r="AA1" s="24">
        <f t="shared" si="0"/>
        <v>2043</v>
      </c>
    </row>
    <row r="2" spans="1:27" x14ac:dyDescent="0.35">
      <c r="C2" s="31">
        <v>1</v>
      </c>
      <c r="D2" s="31">
        <v>2</v>
      </c>
      <c r="E2" s="31">
        <v>3</v>
      </c>
      <c r="F2" s="31">
        <v>4</v>
      </c>
      <c r="G2" s="31">
        <v>5</v>
      </c>
      <c r="H2" s="31">
        <v>6</v>
      </c>
      <c r="I2" s="31">
        <v>7</v>
      </c>
      <c r="J2" s="31">
        <v>8</v>
      </c>
      <c r="K2" s="31">
        <v>9</v>
      </c>
      <c r="L2" s="31">
        <v>10</v>
      </c>
      <c r="M2" s="31">
        <v>11</v>
      </c>
      <c r="N2" s="31">
        <v>12</v>
      </c>
      <c r="O2" s="31">
        <v>13</v>
      </c>
      <c r="P2" s="31">
        <v>14</v>
      </c>
      <c r="Q2" s="31">
        <v>15</v>
      </c>
      <c r="R2" s="31">
        <v>16</v>
      </c>
      <c r="S2" s="31">
        <v>17</v>
      </c>
      <c r="T2" s="31">
        <v>18</v>
      </c>
      <c r="U2" s="31">
        <v>19</v>
      </c>
      <c r="V2" s="31">
        <v>20</v>
      </c>
      <c r="W2" s="31">
        <v>21</v>
      </c>
      <c r="X2" s="31">
        <v>22</v>
      </c>
      <c r="Y2" s="31">
        <v>23</v>
      </c>
      <c r="Z2" s="31">
        <v>24</v>
      </c>
      <c r="AA2" s="31">
        <v>25</v>
      </c>
    </row>
    <row r="3" spans="1:27" hidden="1" outlineLevel="1" x14ac:dyDescent="0.35">
      <c r="A3" s="46"/>
      <c r="B3" s="46"/>
      <c r="C3" s="79" t="e">
        <f>#REF!/#REF!</f>
        <v>#REF!</v>
      </c>
      <c r="D3" s="79" t="e">
        <f>#REF!/#REF!</f>
        <v>#REF!</v>
      </c>
      <c r="E3" s="79" t="e">
        <f>#REF!/#REF!</f>
        <v>#REF!</v>
      </c>
      <c r="F3" s="79" t="e">
        <f>#REF!/#REF!</f>
        <v>#REF!</v>
      </c>
      <c r="G3" s="79" t="e">
        <f>#REF!/#REF!</f>
        <v>#REF!</v>
      </c>
      <c r="H3" s="79" t="e">
        <f>#REF!/#REF!</f>
        <v>#REF!</v>
      </c>
      <c r="I3" s="79" t="e">
        <f>#REF!/#REF!</f>
        <v>#REF!</v>
      </c>
      <c r="J3" s="79" t="e">
        <f>#REF!/#REF!</f>
        <v>#REF!</v>
      </c>
      <c r="K3" s="79" t="e">
        <f>#REF!/#REF!</f>
        <v>#REF!</v>
      </c>
      <c r="L3" s="79" t="e">
        <f>#REF!/#REF!</f>
        <v>#REF!</v>
      </c>
      <c r="M3" s="79" t="e">
        <f>#REF!/#REF!</f>
        <v>#REF!</v>
      </c>
      <c r="N3" s="79" t="e">
        <f>#REF!/#REF!</f>
        <v>#REF!</v>
      </c>
      <c r="O3" s="79" t="e">
        <f>#REF!/#REF!</f>
        <v>#REF!</v>
      </c>
      <c r="P3" s="79" t="e">
        <f>#REF!/#REF!</f>
        <v>#REF!</v>
      </c>
      <c r="Q3" s="79" t="e">
        <f>#REF!/#REF!</f>
        <v>#REF!</v>
      </c>
      <c r="R3" s="79" t="e">
        <f>#REF!/#REF!</f>
        <v>#REF!</v>
      </c>
      <c r="S3" s="79" t="e">
        <f>#REF!/#REF!</f>
        <v>#REF!</v>
      </c>
      <c r="T3" s="79" t="e">
        <f>#REF!/#REF!</f>
        <v>#REF!</v>
      </c>
      <c r="U3" s="79" t="e">
        <f>#REF!/#REF!</f>
        <v>#REF!</v>
      </c>
      <c r="V3" s="79" t="e">
        <f>#REF!/#REF!</f>
        <v>#REF!</v>
      </c>
      <c r="W3" s="79" t="e">
        <f>#REF!/#REF!</f>
        <v>#REF!</v>
      </c>
      <c r="X3" s="79" t="e">
        <f>#REF!/#REF!</f>
        <v>#REF!</v>
      </c>
      <c r="Y3" s="79" t="e">
        <f>#REF!/#REF!</f>
        <v>#REF!</v>
      </c>
      <c r="Z3" s="79" t="e">
        <f>#REF!/#REF!</f>
        <v>#REF!</v>
      </c>
      <c r="AA3" s="79" t="e">
        <f>#REF!/#REF!</f>
        <v>#REF!</v>
      </c>
    </row>
    <row r="4" spans="1:27" collapsed="1" x14ac:dyDescent="0.35"/>
    <row r="6" spans="1:27" x14ac:dyDescent="0.35">
      <c r="A6" s="46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 x14ac:dyDescent="0.35">
      <c r="A7" s="32" t="s">
        <v>99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5">
      <c r="A8" s="35" t="s">
        <v>101</v>
      </c>
      <c r="B8" s="35"/>
      <c r="C8" s="72">
        <f>SAISI!$C$47</f>
        <v>11520</v>
      </c>
      <c r="D8" s="72">
        <f>SAISI!$C$47</f>
        <v>11520</v>
      </c>
      <c r="E8" s="72">
        <f>SAISI!$C$47</f>
        <v>11520</v>
      </c>
      <c r="F8" s="72">
        <f>SAISI!$C$47</f>
        <v>11520</v>
      </c>
      <c r="G8" s="72">
        <f>SAISI!$C$47</f>
        <v>11520</v>
      </c>
      <c r="H8" s="72">
        <f>SAISI!$C$47</f>
        <v>11520</v>
      </c>
      <c r="I8" s="72">
        <f>SAISI!$C$47</f>
        <v>11520</v>
      </c>
      <c r="J8" s="72">
        <f>SAISI!$C$47</f>
        <v>11520</v>
      </c>
      <c r="K8" s="72">
        <f>SAISI!$C$47</f>
        <v>11520</v>
      </c>
      <c r="L8" s="72">
        <f>SAISI!$C$47</f>
        <v>11520</v>
      </c>
      <c r="M8" s="72">
        <f>SAISI!$C$47</f>
        <v>11520</v>
      </c>
      <c r="N8" s="72">
        <f>SAISI!$C$47</f>
        <v>11520</v>
      </c>
      <c r="O8" s="72">
        <f>SAISI!$C$47</f>
        <v>11520</v>
      </c>
      <c r="P8" s="72">
        <f>SAISI!$C$47</f>
        <v>11520</v>
      </c>
      <c r="Q8" s="72">
        <f>SAISI!$C$47</f>
        <v>11520</v>
      </c>
      <c r="R8" s="72">
        <f>SAISI!$C$47</f>
        <v>11520</v>
      </c>
      <c r="S8" s="72">
        <f>SAISI!$C$47</f>
        <v>11520</v>
      </c>
      <c r="T8" s="72">
        <f>SAISI!$C$47</f>
        <v>11520</v>
      </c>
      <c r="U8" s="72">
        <f>SAISI!$C$47</f>
        <v>11520</v>
      </c>
      <c r="V8" s="72">
        <f>SAISI!$C$47</f>
        <v>11520</v>
      </c>
      <c r="W8" s="72">
        <f>SAISI!$C$47</f>
        <v>11520</v>
      </c>
      <c r="X8" s="72">
        <f>SAISI!$C$47</f>
        <v>11520</v>
      </c>
      <c r="Y8" s="72">
        <f>SAISI!$C$47</f>
        <v>11520</v>
      </c>
      <c r="Z8" s="72">
        <f>SAISI!$C$47</f>
        <v>11520</v>
      </c>
      <c r="AA8" s="72">
        <f>SAISI!$C$47</f>
        <v>11520</v>
      </c>
    </row>
    <row r="9" spans="1:27" x14ac:dyDescent="0.35">
      <c r="A9" s="35" t="s">
        <v>86</v>
      </c>
      <c r="B9" s="46"/>
      <c r="C9" s="100">
        <f>-(FISCALITE!C14+FISCALITE!C15)</f>
        <v>-8391.3051142297409</v>
      </c>
      <c r="D9" s="100">
        <f>-(FISCALITE!D14+FISCALITE!D15)</f>
        <v>-5644.2648580640453</v>
      </c>
      <c r="E9" s="100">
        <f>-(FISCALITE!E14+FISCALITE!E15)</f>
        <v>-5561.6713572241379</v>
      </c>
      <c r="F9" s="100">
        <f>-(FISCALITE!F14+FISCALITE!F15)</f>
        <v>-5477.4948417027153</v>
      </c>
      <c r="G9" s="100">
        <f>-(FISCALITE!G14+FISCALITE!G15)</f>
        <v>-5391.7049709105522</v>
      </c>
      <c r="H9" s="100">
        <f>-(FISCALITE!H14+FISCALITE!H15)</f>
        <v>-5304.2708227405292</v>
      </c>
      <c r="I9" s="100">
        <f>-(FISCALITE!I14+FISCALITE!I15)</f>
        <v>-5215.1608824220748</v>
      </c>
      <c r="J9" s="100">
        <f>-(FISCALITE!J14+FISCALITE!J15)</f>
        <v>-5124.3430311619804</v>
      </c>
      <c r="K9" s="100">
        <f>-(FISCALITE!K14+FISCALITE!K15)</f>
        <v>-5031.7845345674896</v>
      </c>
      <c r="L9" s="100">
        <f>-(FISCALITE!L14+FISCALITE!L15)</f>
        <v>-4937.4520308475239</v>
      </c>
      <c r="M9" s="100">
        <f>-(FISCALITE!M14+FISCALITE!M15)</f>
        <v>-4841.3115187877465</v>
      </c>
      <c r="N9" s="100">
        <f>-(FISCALITE!N14+FISCALITE!N15)</f>
        <v>-4743.3283454951707</v>
      </c>
      <c r="O9" s="100">
        <f>-(FISCALITE!O14+FISCALITE!O15)</f>
        <v>-4643.467193907858</v>
      </c>
      <c r="P9" s="100">
        <f>-(FISCALITE!P14+FISCALITE!P15)</f>
        <v>-4541.6920700652463</v>
      </c>
      <c r="Q9" s="100">
        <f>-(FISCALITE!Q14+FISCALITE!Q15)</f>
        <v>-4437.9662901344745</v>
      </c>
      <c r="R9" s="100">
        <f>-(FISCALITE!R14+FISCALITE!R15)</f>
        <v>-4332.2524671880637</v>
      </c>
      <c r="S9" s="100">
        <f>-(FISCALITE!S14+FISCALITE!S15)</f>
        <v>-4224.5124977281694</v>
      </c>
      <c r="T9" s="100">
        <f>-(FISCALITE!T14+FISCALITE!T15)</f>
        <v>-4114.7075479525529</v>
      </c>
      <c r="U9" s="100">
        <f>-(FISCALITE!U14+FISCALITE!U15)</f>
        <v>-4002.7980397573256</v>
      </c>
      <c r="V9" s="100">
        <f>-(FISCALITE!V14+FISCALITE!V15)</f>
        <v>-3888.7436364714126</v>
      </c>
      <c r="W9" s="100">
        <f>-(FISCALITE!W14+FISCALITE!W15)</f>
        <v>-3772.5032283175988</v>
      </c>
      <c r="X9" s="100">
        <f>-(FISCALITE!X14+FISCALITE!X15)</f>
        <v>-3654.0349175949209</v>
      </c>
      <c r="Y9" s="100">
        <f>-(FISCALITE!Y14+FISCALITE!Y15)</f>
        <v>-3533.2960035770548</v>
      </c>
      <c r="Z9" s="100">
        <f>-(FISCALITE!Z14+FISCALITE!Z15)</f>
        <v>-3410.2429671212635</v>
      </c>
      <c r="AA9" s="100">
        <f>-(FISCALITE!AA14+FISCALITE!AA15)</f>
        <v>-3284.8314549823554</v>
      </c>
    </row>
    <row r="10" spans="1:27" x14ac:dyDescent="0.35">
      <c r="A10" s="35" t="s">
        <v>87</v>
      </c>
      <c r="B10" s="46"/>
      <c r="C10" s="100">
        <f>-(FISCALITE!C16+FISCALITE!C17+FISCALITE!C18+FISCALITE!C20+FISCALITE!C21)</f>
        <v>-2320</v>
      </c>
      <c r="D10" s="100">
        <f>-(FISCALITE!D16+FISCALITE!D17+FISCALITE!D18+FISCALITE!D20+FISCALITE!D21)</f>
        <v>-2350.4</v>
      </c>
      <c r="E10" s="100">
        <f>-(FISCALITE!E16+FISCALITE!E17+FISCALITE!E18+FISCALITE!E20+FISCALITE!E21)</f>
        <v>-2381.4080000000004</v>
      </c>
      <c r="F10" s="100">
        <f>-(FISCALITE!F16+FISCALITE!F17+FISCALITE!F18+FISCALITE!F20+FISCALITE!F21)</f>
        <v>-2413.0361600000001</v>
      </c>
      <c r="G10" s="100">
        <f>-(FISCALITE!G16+FISCALITE!G17+FISCALITE!G18+FISCALITE!G20+FISCALITE!G21)</f>
        <v>-2445.2968832000001</v>
      </c>
      <c r="H10" s="100">
        <f>-(FISCALITE!H16+FISCALITE!H17+FISCALITE!H18+FISCALITE!H20+FISCALITE!H21)</f>
        <v>-2478.2028208640004</v>
      </c>
      <c r="I10" s="100">
        <f>-(FISCALITE!I16+FISCALITE!I17+FISCALITE!I18+FISCALITE!I20+FISCALITE!I21)</f>
        <v>-2511.7668772812804</v>
      </c>
      <c r="J10" s="100">
        <f>-(FISCALITE!J16+FISCALITE!J17+FISCALITE!J18+FISCALITE!J20+FISCALITE!J21)</f>
        <v>-2546.0022148269054</v>
      </c>
      <c r="K10" s="100">
        <f>-(FISCALITE!K16+FISCALITE!K17+FISCALITE!K18+FISCALITE!K20+FISCALITE!K21)</f>
        <v>-2580.9222591234438</v>
      </c>
      <c r="L10" s="100">
        <f>-(FISCALITE!L16+FISCALITE!L17+FISCALITE!L18+FISCALITE!L20+FISCALITE!L21)</f>
        <v>-2616.5407043059126</v>
      </c>
      <c r="M10" s="100">
        <f>-(FISCALITE!M16+FISCALITE!M17+FISCALITE!M18+FISCALITE!M20+FISCALITE!M21)</f>
        <v>-2652.8715183920308</v>
      </c>
      <c r="N10" s="100">
        <f>-(FISCALITE!N16+FISCALITE!N17+FISCALITE!N18+FISCALITE!N20+FISCALITE!N21)</f>
        <v>-2689.9289487598717</v>
      </c>
      <c r="O10" s="100">
        <f>-(FISCALITE!O16+FISCALITE!O17+FISCALITE!O18+FISCALITE!O20+FISCALITE!O21)</f>
        <v>-2727.7275277350691</v>
      </c>
      <c r="P10" s="100">
        <f>-(FISCALITE!P16+FISCALITE!P17+FISCALITE!P18+FISCALITE!P20+FISCALITE!P21)</f>
        <v>-2766.2820782897702</v>
      </c>
      <c r="Q10" s="100">
        <f>-(FISCALITE!Q16+FISCALITE!Q17+FISCALITE!Q18+FISCALITE!Q20+FISCALITE!Q21)</f>
        <v>-2805.6077198555658</v>
      </c>
      <c r="R10" s="100">
        <f>-(FISCALITE!R16+FISCALITE!R17+FISCALITE!R18+FISCALITE!R20+FISCALITE!R21)</f>
        <v>-2845.7198742526771</v>
      </c>
      <c r="S10" s="100">
        <f>-(FISCALITE!S16+FISCALITE!S17+FISCALITE!S18+FISCALITE!S20+FISCALITE!S21)</f>
        <v>-2886.6342717377302</v>
      </c>
      <c r="T10" s="100">
        <f>-(FISCALITE!T16+FISCALITE!T17+FISCALITE!T18+FISCALITE!T20+FISCALITE!T21)</f>
        <v>-2928.3669571724849</v>
      </c>
      <c r="U10" s="100">
        <f>-(FISCALITE!U16+FISCALITE!U17+FISCALITE!U18+FISCALITE!U20+FISCALITE!U21)</f>
        <v>-2970.9342963159347</v>
      </c>
      <c r="V10" s="100">
        <f>-(FISCALITE!V16+FISCALITE!V17+FISCALITE!V18+FISCALITE!V20+FISCALITE!V21)</f>
        <v>-3014.3529822422533</v>
      </c>
      <c r="W10" s="100">
        <f>-(FISCALITE!W16+FISCALITE!W17+FISCALITE!W18+FISCALITE!W20+FISCALITE!W21)</f>
        <v>-3058.6400418870985</v>
      </c>
      <c r="X10" s="100">
        <f>-(FISCALITE!X16+FISCALITE!X17+FISCALITE!X18+FISCALITE!X20+FISCALITE!X21)</f>
        <v>-3103.8128427248403</v>
      </c>
      <c r="Y10" s="100">
        <f>-(FISCALITE!Y16+FISCALITE!Y17+FISCALITE!Y18+FISCALITE!Y20+FISCALITE!Y21)</f>
        <v>-3149.8890995793372</v>
      </c>
      <c r="Z10" s="100">
        <f>-(FISCALITE!Z16+FISCALITE!Z17+FISCALITE!Z18+FISCALITE!Z20+FISCALITE!Z21)</f>
        <v>-3196.8868815709238</v>
      </c>
      <c r="AA10" s="100">
        <f>-(FISCALITE!AA16+FISCALITE!AA17+FISCALITE!AA18+FISCALITE!AA20+FISCALITE!AA21)</f>
        <v>-3244.8246192023421</v>
      </c>
    </row>
    <row r="11" spans="1:27" x14ac:dyDescent="0.35">
      <c r="A11" s="46"/>
      <c r="B11" s="46"/>
      <c r="C11" s="33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 x14ac:dyDescent="0.35">
      <c r="C12" s="33">
        <f t="shared" ref="C12:I12" si="1">IF(C9+C8&gt;0,0,C9+C8)</f>
        <v>0</v>
      </c>
      <c r="D12" s="33">
        <f t="shared" si="1"/>
        <v>0</v>
      </c>
      <c r="E12" s="33">
        <f t="shared" si="1"/>
        <v>0</v>
      </c>
      <c r="F12" s="33">
        <f t="shared" si="1"/>
        <v>0</v>
      </c>
      <c r="G12" s="33">
        <f t="shared" si="1"/>
        <v>0</v>
      </c>
      <c r="H12" s="33">
        <f t="shared" si="1"/>
        <v>0</v>
      </c>
      <c r="I12" s="33">
        <f t="shared" si="1"/>
        <v>0</v>
      </c>
      <c r="J12" s="33">
        <f t="shared" ref="J12:AA12" si="2">IF(J9+J8&gt;0,0,J9+J8)</f>
        <v>0</v>
      </c>
      <c r="K12" s="33">
        <f t="shared" si="2"/>
        <v>0</v>
      </c>
      <c r="L12" s="33">
        <f t="shared" si="2"/>
        <v>0</v>
      </c>
      <c r="M12" s="33">
        <f t="shared" si="2"/>
        <v>0</v>
      </c>
      <c r="N12" s="33">
        <f t="shared" si="2"/>
        <v>0</v>
      </c>
      <c r="O12" s="33">
        <f t="shared" si="2"/>
        <v>0</v>
      </c>
      <c r="P12" s="33">
        <f t="shared" si="2"/>
        <v>0</v>
      </c>
      <c r="Q12" s="33">
        <f t="shared" si="2"/>
        <v>0</v>
      </c>
      <c r="R12" s="33">
        <f t="shared" si="2"/>
        <v>0</v>
      </c>
      <c r="S12" s="33">
        <f t="shared" si="2"/>
        <v>0</v>
      </c>
      <c r="T12" s="33">
        <f t="shared" si="2"/>
        <v>0</v>
      </c>
      <c r="U12" s="33">
        <f t="shared" si="2"/>
        <v>0</v>
      </c>
      <c r="V12" s="33">
        <f t="shared" si="2"/>
        <v>0</v>
      </c>
      <c r="W12" s="33">
        <f t="shared" si="2"/>
        <v>0</v>
      </c>
      <c r="X12" s="33">
        <f t="shared" si="2"/>
        <v>0</v>
      </c>
      <c r="Y12" s="33">
        <f t="shared" si="2"/>
        <v>0</v>
      </c>
      <c r="Z12" s="33">
        <f t="shared" si="2"/>
        <v>0</v>
      </c>
      <c r="AA12" s="33">
        <f t="shared" si="2"/>
        <v>0</v>
      </c>
    </row>
    <row r="13" spans="1:27" x14ac:dyDescent="0.35">
      <c r="A13" s="46"/>
      <c r="B13" s="46"/>
      <c r="C13" s="33">
        <f t="shared" ref="C13:I13" si="3">IF(C8+C9+C10&gt;0,0,C8+C9+C10)</f>
        <v>0</v>
      </c>
      <c r="D13" s="33">
        <f t="shared" si="3"/>
        <v>0</v>
      </c>
      <c r="E13" s="33">
        <f t="shared" si="3"/>
        <v>0</v>
      </c>
      <c r="F13" s="33">
        <f t="shared" si="3"/>
        <v>0</v>
      </c>
      <c r="G13" s="33">
        <f t="shared" si="3"/>
        <v>0</v>
      </c>
      <c r="H13" s="33">
        <f t="shared" si="3"/>
        <v>0</v>
      </c>
      <c r="I13" s="33">
        <f t="shared" si="3"/>
        <v>0</v>
      </c>
      <c r="J13" s="33">
        <f t="shared" ref="J13:AA13" si="4">IF(J8+J9+J10&gt;0,0,J8+J9+J10)</f>
        <v>0</v>
      </c>
      <c r="K13" s="33">
        <f t="shared" si="4"/>
        <v>0</v>
      </c>
      <c r="L13" s="33">
        <f t="shared" si="4"/>
        <v>0</v>
      </c>
      <c r="M13" s="33">
        <f t="shared" si="4"/>
        <v>0</v>
      </c>
      <c r="N13" s="33">
        <f t="shared" si="4"/>
        <v>0</v>
      </c>
      <c r="O13" s="33">
        <f t="shared" si="4"/>
        <v>0</v>
      </c>
      <c r="P13" s="33">
        <f t="shared" si="4"/>
        <v>0</v>
      </c>
      <c r="Q13" s="33">
        <f t="shared" si="4"/>
        <v>0</v>
      </c>
      <c r="R13" s="33">
        <f t="shared" si="4"/>
        <v>0</v>
      </c>
      <c r="S13" s="33">
        <f t="shared" si="4"/>
        <v>0</v>
      </c>
      <c r="T13" s="33">
        <f t="shared" si="4"/>
        <v>0</v>
      </c>
      <c r="U13" s="33">
        <f t="shared" si="4"/>
        <v>0</v>
      </c>
      <c r="V13" s="33">
        <f t="shared" si="4"/>
        <v>0</v>
      </c>
      <c r="W13" s="33">
        <f t="shared" si="4"/>
        <v>0</v>
      </c>
      <c r="X13" s="33">
        <f t="shared" si="4"/>
        <v>0</v>
      </c>
      <c r="Y13" s="33">
        <f t="shared" si="4"/>
        <v>0</v>
      </c>
      <c r="Z13" s="33">
        <f t="shared" si="4"/>
        <v>0</v>
      </c>
      <c r="AA13" s="33">
        <f t="shared" si="4"/>
        <v>0</v>
      </c>
    </row>
    <row r="14" spans="1:27" x14ac:dyDescent="0.35">
      <c r="A14" s="46"/>
      <c r="B14" s="46"/>
      <c r="C14" s="33"/>
      <c r="D14" s="47"/>
      <c r="E14" s="47"/>
      <c r="F14" s="47"/>
      <c r="G14" s="47"/>
      <c r="H14" s="47"/>
      <c r="I14" s="47"/>
      <c r="J14" s="33"/>
      <c r="K14" s="47"/>
      <c r="L14" s="47"/>
      <c r="M14" s="47"/>
      <c r="N14" s="47"/>
      <c r="O14" s="47"/>
      <c r="P14" s="47"/>
      <c r="Q14" s="33"/>
      <c r="R14" s="47"/>
      <c r="S14" s="47"/>
      <c r="T14" s="47"/>
      <c r="U14" s="47"/>
      <c r="V14" s="47"/>
      <c r="W14" s="47"/>
      <c r="X14" s="33"/>
      <c r="Y14" s="47"/>
      <c r="Z14" s="47"/>
      <c r="AA14" s="47"/>
    </row>
    <row r="15" spans="1:27" x14ac:dyDescent="0.35">
      <c r="A15" s="46" t="s">
        <v>119</v>
      </c>
      <c r="C15" s="33">
        <f t="shared" ref="C15:I15" si="5">IF(AND(C12&lt;0,C13&lt;0,C13&gt;-10700),C10,IF(AND(C12&lt;0,C13&lt;0,C13&lt;-10700),-10700,IF(AND(C13&lt;0,C13&gt;-10700),C13,IF(C13&lt;-10700,-10700,0))))</f>
        <v>0</v>
      </c>
      <c r="D15" s="33">
        <f t="shared" si="5"/>
        <v>0</v>
      </c>
      <c r="E15" s="33">
        <f t="shared" si="5"/>
        <v>0</v>
      </c>
      <c r="F15" s="33">
        <f t="shared" si="5"/>
        <v>0</v>
      </c>
      <c r="G15" s="33">
        <f t="shared" si="5"/>
        <v>0</v>
      </c>
      <c r="H15" s="33">
        <f t="shared" si="5"/>
        <v>0</v>
      </c>
      <c r="I15" s="33">
        <f t="shared" si="5"/>
        <v>0</v>
      </c>
      <c r="J15" s="33">
        <f t="shared" ref="J15:AA15" si="6">IF(AND(J12&lt;0,J13&lt;0,J13&gt;-10700),J10,IF(AND(J12&lt;0,J13&lt;0,J13&lt;-10700),-10700,IF(AND(J13&lt;0,J13&gt;-10700),J13,IF(J13&lt;-10700,-10700,0))))</f>
        <v>0</v>
      </c>
      <c r="K15" s="33">
        <f t="shared" si="6"/>
        <v>0</v>
      </c>
      <c r="L15" s="33">
        <f t="shared" si="6"/>
        <v>0</v>
      </c>
      <c r="M15" s="33">
        <f t="shared" si="6"/>
        <v>0</v>
      </c>
      <c r="N15" s="33">
        <f t="shared" si="6"/>
        <v>0</v>
      </c>
      <c r="O15" s="33">
        <f t="shared" si="6"/>
        <v>0</v>
      </c>
      <c r="P15" s="33">
        <f t="shared" si="6"/>
        <v>0</v>
      </c>
      <c r="Q15" s="33">
        <f t="shared" si="6"/>
        <v>0</v>
      </c>
      <c r="R15" s="33">
        <f t="shared" si="6"/>
        <v>0</v>
      </c>
      <c r="S15" s="33">
        <f t="shared" si="6"/>
        <v>0</v>
      </c>
      <c r="T15" s="33">
        <f t="shared" si="6"/>
        <v>0</v>
      </c>
      <c r="U15" s="33">
        <f t="shared" si="6"/>
        <v>0</v>
      </c>
      <c r="V15" s="33">
        <f t="shared" si="6"/>
        <v>0</v>
      </c>
      <c r="W15" s="33">
        <f t="shared" si="6"/>
        <v>0</v>
      </c>
      <c r="X15" s="33">
        <f t="shared" si="6"/>
        <v>0</v>
      </c>
      <c r="Y15" s="33">
        <f t="shared" si="6"/>
        <v>0</v>
      </c>
      <c r="Z15" s="33">
        <f t="shared" si="6"/>
        <v>0</v>
      </c>
      <c r="AA15" s="33">
        <f t="shared" si="6"/>
        <v>0</v>
      </c>
    </row>
    <row r="16" spans="1:27" x14ac:dyDescent="0.35">
      <c r="A16" s="46" t="s">
        <v>120</v>
      </c>
      <c r="D16" s="33">
        <f t="shared" ref="D16:I16" si="7">IF(AND(D15&lt;0,C18&lt;0,C18-D15&lt;-10700),-10700-D15,IF(C12&lt;0,C12,IF(C18&lt;-10700,-10700,IF(C18&gt;-10700,C18))))</f>
        <v>0</v>
      </c>
      <c r="E16" s="33">
        <f t="shared" si="7"/>
        <v>0</v>
      </c>
      <c r="F16" s="33">
        <f t="shared" si="7"/>
        <v>0</v>
      </c>
      <c r="G16" s="33">
        <f t="shared" si="7"/>
        <v>0</v>
      </c>
      <c r="H16" s="33">
        <f t="shared" si="7"/>
        <v>0</v>
      </c>
      <c r="I16" s="33">
        <f t="shared" si="7"/>
        <v>0</v>
      </c>
      <c r="K16" s="33">
        <f t="shared" ref="K16:P16" si="8">IF(AND(K15&lt;0,J18&lt;0,J18-K15&lt;-10700),-10700-K15,IF(J12&lt;0,J12,IF(J18&lt;-10700,-10700,IF(J18&gt;-10700,J18))))</f>
        <v>0</v>
      </c>
      <c r="L16" s="33">
        <f t="shared" si="8"/>
        <v>0</v>
      </c>
      <c r="M16" s="33">
        <f t="shared" si="8"/>
        <v>0</v>
      </c>
      <c r="N16" s="33">
        <f t="shared" si="8"/>
        <v>0</v>
      </c>
      <c r="O16" s="33">
        <f t="shared" si="8"/>
        <v>0</v>
      </c>
      <c r="P16" s="33">
        <f t="shared" si="8"/>
        <v>0</v>
      </c>
      <c r="R16" s="33">
        <f t="shared" ref="R16:W16" si="9">IF(AND(R15&lt;0,Q18&lt;0,Q18-R15&lt;-10700),-10700-R15,IF(Q12&lt;0,Q12,IF(Q18&lt;-10700,-10700,IF(Q18&gt;-10700,Q18))))</f>
        <v>0</v>
      </c>
      <c r="S16" s="33">
        <f t="shared" si="9"/>
        <v>0</v>
      </c>
      <c r="T16" s="33">
        <f t="shared" si="9"/>
        <v>0</v>
      </c>
      <c r="U16" s="33">
        <f t="shared" si="9"/>
        <v>0</v>
      </c>
      <c r="V16" s="33">
        <f t="shared" si="9"/>
        <v>0</v>
      </c>
      <c r="W16" s="33">
        <f t="shared" si="9"/>
        <v>0</v>
      </c>
      <c r="Y16" s="33">
        <f t="shared" ref="Y16:AA16" si="10">IF(AND(Y15&lt;0,X18&lt;0,X18-Y15&lt;-10700),-10700-Y15,IF(X12&lt;0,X12,IF(X18&lt;-10700,-10700,IF(X18&gt;-10700,X18))))</f>
        <v>0</v>
      </c>
      <c r="Z16" s="33">
        <f t="shared" si="10"/>
        <v>0</v>
      </c>
      <c r="AA16" s="33">
        <f t="shared" si="10"/>
        <v>0</v>
      </c>
    </row>
    <row r="18" spans="1:27" x14ac:dyDescent="0.35">
      <c r="C18" s="124">
        <f>C13-C15</f>
        <v>0</v>
      </c>
      <c r="D18" s="124">
        <f>C18-D16</f>
        <v>0</v>
      </c>
      <c r="E18" s="124">
        <f t="shared" ref="E18" si="11">D18-E16</f>
        <v>0</v>
      </c>
      <c r="F18" s="124">
        <f>E18-F16</f>
        <v>0</v>
      </c>
      <c r="G18" s="124">
        <f t="shared" ref="G18:I18" si="12">F18-G16</f>
        <v>0</v>
      </c>
      <c r="H18" s="124">
        <f t="shared" si="12"/>
        <v>0</v>
      </c>
      <c r="I18" s="124">
        <f t="shared" si="12"/>
        <v>0</v>
      </c>
      <c r="J18" s="124">
        <f t="shared" ref="J18" si="13">J13-J15</f>
        <v>0</v>
      </c>
      <c r="K18" s="124">
        <f t="shared" ref="K18:AA18" si="14">J18-K16</f>
        <v>0</v>
      </c>
      <c r="L18" s="124">
        <f t="shared" si="14"/>
        <v>0</v>
      </c>
      <c r="M18" s="124">
        <f t="shared" si="14"/>
        <v>0</v>
      </c>
      <c r="N18" s="124">
        <f t="shared" si="14"/>
        <v>0</v>
      </c>
      <c r="O18" s="124">
        <f t="shared" si="14"/>
        <v>0</v>
      </c>
      <c r="P18" s="124">
        <f t="shared" si="14"/>
        <v>0</v>
      </c>
      <c r="Q18" s="124">
        <f t="shared" ref="Q18" si="15">Q13-Q15</f>
        <v>0</v>
      </c>
      <c r="R18" s="124">
        <f t="shared" ref="R18" si="16">Q18-R16</f>
        <v>0</v>
      </c>
      <c r="S18" s="124">
        <f t="shared" si="14"/>
        <v>0</v>
      </c>
      <c r="T18" s="124">
        <f t="shared" si="14"/>
        <v>0</v>
      </c>
      <c r="U18" s="124">
        <f t="shared" si="14"/>
        <v>0</v>
      </c>
      <c r="V18" s="124">
        <f t="shared" si="14"/>
        <v>0</v>
      </c>
      <c r="W18" s="124">
        <f t="shared" si="14"/>
        <v>0</v>
      </c>
      <c r="X18" s="124">
        <f t="shared" ref="X18" si="17">X13-X15</f>
        <v>0</v>
      </c>
      <c r="Y18" s="124">
        <f t="shared" ref="Y18" si="18">X18-Y16</f>
        <v>0</v>
      </c>
      <c r="Z18" s="124">
        <f t="shared" si="14"/>
        <v>0</v>
      </c>
      <c r="AA18" s="124">
        <f t="shared" si="14"/>
        <v>0</v>
      </c>
    </row>
    <row r="25" spans="1:27" s="128" customFormat="1" x14ac:dyDescent="0.35"/>
    <row r="26" spans="1:27" s="128" customFormat="1" x14ac:dyDescent="0.35"/>
    <row r="27" spans="1:27" s="128" customFormat="1" x14ac:dyDescent="0.35"/>
    <row r="29" spans="1:27" x14ac:dyDescent="0.35">
      <c r="A29" s="35" t="s">
        <v>122</v>
      </c>
      <c r="C29">
        <v>5000</v>
      </c>
      <c r="D29">
        <v>5000</v>
      </c>
      <c r="E29">
        <v>5000</v>
      </c>
      <c r="F29">
        <v>5000</v>
      </c>
      <c r="G29">
        <v>5000</v>
      </c>
      <c r="H29">
        <v>5000</v>
      </c>
      <c r="I29">
        <v>5000</v>
      </c>
      <c r="N29">
        <f>9.4*14</f>
        <v>131.6</v>
      </c>
    </row>
    <row r="30" spans="1:27" x14ac:dyDescent="0.35">
      <c r="A30" s="35" t="s">
        <v>86</v>
      </c>
      <c r="C30">
        <v>-1500</v>
      </c>
      <c r="D30">
        <v>-1500</v>
      </c>
      <c r="E30">
        <v>-6000</v>
      </c>
      <c r="F30">
        <v>-5000</v>
      </c>
      <c r="G30">
        <v>-1500</v>
      </c>
      <c r="H30">
        <v>-1500</v>
      </c>
      <c r="I30">
        <v>-1500</v>
      </c>
    </row>
    <row r="31" spans="1:27" x14ac:dyDescent="0.35">
      <c r="A31" s="35" t="s">
        <v>87</v>
      </c>
      <c r="C31">
        <v>-2000</v>
      </c>
      <c r="D31">
        <v>-7000</v>
      </c>
      <c r="E31">
        <v>-7000</v>
      </c>
      <c r="F31">
        <v>-7000</v>
      </c>
      <c r="G31">
        <v>-1200</v>
      </c>
      <c r="H31">
        <v>-1200</v>
      </c>
      <c r="I31">
        <v>-1200</v>
      </c>
    </row>
    <row r="33" spans="1:9" x14ac:dyDescent="0.35">
      <c r="C33" s="33">
        <f t="shared" ref="C33:I33" si="19">IF(C30+C29&gt;0,0,C30+C29)</f>
        <v>0</v>
      </c>
      <c r="D33" s="33">
        <f t="shared" si="19"/>
        <v>0</v>
      </c>
      <c r="E33" s="33">
        <f t="shared" si="19"/>
        <v>-1000</v>
      </c>
      <c r="F33" s="33">
        <f t="shared" si="19"/>
        <v>0</v>
      </c>
      <c r="G33" s="33">
        <f t="shared" si="19"/>
        <v>0</v>
      </c>
      <c r="H33" s="33">
        <f t="shared" si="19"/>
        <v>0</v>
      </c>
      <c r="I33" s="33">
        <f t="shared" si="19"/>
        <v>0</v>
      </c>
    </row>
    <row r="34" spans="1:9" x14ac:dyDescent="0.35">
      <c r="C34" s="33">
        <f t="shared" ref="C34:I34" si="20">IF(C29+C30+C31&gt;0,0,C29+C30+C31)</f>
        <v>0</v>
      </c>
      <c r="D34" s="33">
        <f t="shared" si="20"/>
        <v>-3500</v>
      </c>
      <c r="E34" s="33">
        <f t="shared" si="20"/>
        <v>-8000</v>
      </c>
      <c r="F34" s="33">
        <f t="shared" si="20"/>
        <v>-7000</v>
      </c>
      <c r="G34" s="33">
        <f t="shared" si="20"/>
        <v>0</v>
      </c>
      <c r="H34" s="33">
        <f t="shared" si="20"/>
        <v>0</v>
      </c>
      <c r="I34" s="33">
        <f t="shared" si="20"/>
        <v>0</v>
      </c>
    </row>
    <row r="36" spans="1:9" x14ac:dyDescent="0.35">
      <c r="A36" s="46" t="s">
        <v>119</v>
      </c>
      <c r="C36" s="33">
        <f t="shared" ref="C36:I36" si="21">IF(AND(C33&lt;0,C34&lt;0,C34&gt;-10700),C31,IF(AND(C33&lt;0,C34&lt;0,C34&lt;-10700),-10700,IF(AND(C34&lt;0,C34&gt;-10700),C34,IF(C34&lt;-10700,-10700,0))))</f>
        <v>0</v>
      </c>
      <c r="D36" s="33">
        <f t="shared" si="21"/>
        <v>-3500</v>
      </c>
      <c r="E36" s="33">
        <f t="shared" si="21"/>
        <v>-7000</v>
      </c>
      <c r="F36" s="33">
        <f t="shared" si="21"/>
        <v>-7000</v>
      </c>
      <c r="G36" s="33">
        <f t="shared" si="21"/>
        <v>0</v>
      </c>
      <c r="H36" s="33">
        <f t="shared" si="21"/>
        <v>0</v>
      </c>
      <c r="I36" s="33">
        <f t="shared" si="21"/>
        <v>0</v>
      </c>
    </row>
    <row r="37" spans="1:9" x14ac:dyDescent="0.35">
      <c r="A37" s="46" t="s">
        <v>121</v>
      </c>
      <c r="D37" s="33">
        <f t="shared" ref="D37:I37" si="22">IF(AND(D36&lt;0,C39&lt;0,C39-D36&lt;-10700),-10700-D36,IF(C33&lt;0,C33,IF(C39&lt;-10700,-10700,IF(C39&gt;-10700,C39))))</f>
        <v>0</v>
      </c>
      <c r="E37" s="33">
        <f t="shared" si="22"/>
        <v>0</v>
      </c>
      <c r="F37" s="125">
        <f t="shared" si="22"/>
        <v>-1000</v>
      </c>
      <c r="G37" s="33">
        <f t="shared" si="22"/>
        <v>1000</v>
      </c>
      <c r="H37" s="33">
        <f t="shared" si="22"/>
        <v>0</v>
      </c>
      <c r="I37" s="33">
        <f t="shared" si="22"/>
        <v>0</v>
      </c>
    </row>
    <row r="38" spans="1:9" x14ac:dyDescent="0.35">
      <c r="F38" s="126"/>
    </row>
    <row r="39" spans="1:9" x14ac:dyDescent="0.35">
      <c r="A39" s="46" t="s">
        <v>120</v>
      </c>
      <c r="C39" s="124">
        <f>C34-C36</f>
        <v>0</v>
      </c>
      <c r="D39" s="124">
        <f>C39-D37</f>
        <v>0</v>
      </c>
      <c r="E39" s="124">
        <f t="shared" ref="E39" si="23">D39-E37</f>
        <v>0</v>
      </c>
      <c r="F39" s="127">
        <f>E39-F37</f>
        <v>1000</v>
      </c>
      <c r="G39" s="124">
        <f t="shared" ref="G39:I39" si="24">F39-G37</f>
        <v>0</v>
      </c>
      <c r="H39" s="124">
        <f t="shared" si="24"/>
        <v>0</v>
      </c>
      <c r="I39" s="124">
        <f t="shared" si="24"/>
        <v>0</v>
      </c>
    </row>
  </sheetData>
  <pageMargins left="0.70866141732283472" right="0.70866141732283472" top="0.74803149606299213" bottom="0.74803149606299213" header="0.31496062992125984" footer="0.31496062992125984"/>
  <pageSetup paperSize="9" scale="70" orientation="landscape" r:id="rId1"/>
  <colBreaks count="2" manualBreakCount="2">
    <brk id="10" max="32" man="1"/>
    <brk id="19" max="3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2"/>
  <sheetViews>
    <sheetView workbookViewId="0">
      <selection activeCell="B4" sqref="B4"/>
    </sheetView>
  </sheetViews>
  <sheetFormatPr baseColWidth="10" defaultRowHeight="14.5" x14ac:dyDescent="0.35"/>
  <cols>
    <col min="1" max="1" width="45.26953125" customWidth="1"/>
  </cols>
  <sheetData>
    <row r="1" spans="1:26" x14ac:dyDescent="0.35">
      <c r="B1" s="24">
        <f>'FINANCEMENT '!B12</f>
        <v>2019</v>
      </c>
      <c r="C1" s="24">
        <f>B1+1</f>
        <v>2020</v>
      </c>
      <c r="D1" s="24">
        <f t="shared" ref="D1:U1" si="0">C1+1</f>
        <v>2021</v>
      </c>
      <c r="E1" s="24">
        <f t="shared" si="0"/>
        <v>2022</v>
      </c>
      <c r="F1" s="24">
        <f t="shared" si="0"/>
        <v>2023</v>
      </c>
      <c r="G1" s="24">
        <f t="shared" si="0"/>
        <v>2024</v>
      </c>
      <c r="H1" s="24">
        <f t="shared" si="0"/>
        <v>2025</v>
      </c>
      <c r="I1" s="24">
        <f t="shared" si="0"/>
        <v>2026</v>
      </c>
      <c r="J1" s="24">
        <f t="shared" si="0"/>
        <v>2027</v>
      </c>
      <c r="K1" s="24">
        <f t="shared" si="0"/>
        <v>2028</v>
      </c>
      <c r="L1" s="24">
        <f t="shared" si="0"/>
        <v>2029</v>
      </c>
      <c r="M1" s="24">
        <f t="shared" si="0"/>
        <v>2030</v>
      </c>
      <c r="N1" s="24">
        <f t="shared" si="0"/>
        <v>2031</v>
      </c>
      <c r="O1" s="24">
        <f t="shared" si="0"/>
        <v>2032</v>
      </c>
      <c r="P1" s="24">
        <f t="shared" si="0"/>
        <v>2033</v>
      </c>
      <c r="Q1" s="24">
        <f t="shared" si="0"/>
        <v>2034</v>
      </c>
      <c r="R1" s="24">
        <f t="shared" si="0"/>
        <v>2035</v>
      </c>
      <c r="S1" s="24">
        <f t="shared" si="0"/>
        <v>2036</v>
      </c>
      <c r="T1" s="24">
        <f t="shared" si="0"/>
        <v>2037</v>
      </c>
      <c r="U1" s="24">
        <f t="shared" si="0"/>
        <v>2038</v>
      </c>
      <c r="V1" s="24">
        <f t="shared" ref="V1" si="1">U1+1</f>
        <v>2039</v>
      </c>
      <c r="W1" s="24">
        <f t="shared" ref="W1" si="2">V1+1</f>
        <v>2040</v>
      </c>
      <c r="X1" s="24">
        <f t="shared" ref="X1" si="3">W1+1</f>
        <v>2041</v>
      </c>
      <c r="Y1" s="24">
        <f t="shared" ref="Y1" si="4">X1+1</f>
        <v>2042</v>
      </c>
      <c r="Z1" s="24">
        <f t="shared" ref="Z1" si="5">Y1+1</f>
        <v>2043</v>
      </c>
    </row>
    <row r="2" spans="1:26" x14ac:dyDescent="0.35"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  <c r="J2" s="31">
        <v>9</v>
      </c>
      <c r="K2" s="31">
        <v>10</v>
      </c>
      <c r="L2" s="31">
        <v>11</v>
      </c>
      <c r="M2" s="31">
        <v>12</v>
      </c>
      <c r="N2" s="31">
        <v>13</v>
      </c>
      <c r="O2" s="31">
        <v>14</v>
      </c>
      <c r="P2" s="31">
        <v>15</v>
      </c>
      <c r="Q2" s="31">
        <v>16</v>
      </c>
      <c r="R2" s="31">
        <v>17</v>
      </c>
      <c r="S2" s="31">
        <v>18</v>
      </c>
      <c r="T2" s="31">
        <v>19</v>
      </c>
      <c r="U2" s="31">
        <v>20</v>
      </c>
      <c r="V2" s="31">
        <v>21</v>
      </c>
      <c r="W2" s="31">
        <v>22</v>
      </c>
      <c r="X2" s="31">
        <v>23</v>
      </c>
      <c r="Y2" s="31">
        <v>24</v>
      </c>
      <c r="Z2" s="31">
        <v>25</v>
      </c>
    </row>
    <row r="3" spans="1:26" x14ac:dyDescent="0.35">
      <c r="A3" s="120" t="s">
        <v>117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</row>
    <row r="4" spans="1:26" x14ac:dyDescent="0.35">
      <c r="A4" s="81" t="s">
        <v>79</v>
      </c>
      <c r="B4" s="72">
        <f>+SUMIF('FINANCEMENT '!$B$12:$B$311,TRESORERIE!B1,'FINANCEMENT '!$G$12:$G$311)</f>
        <v>9953.5656249181902</v>
      </c>
      <c r="C4" s="72">
        <f>+SUMIF('FINANCEMENT '!$B$12:$B$311,TRESORERIE!C1,'FINANCEMENT '!$G$12:$G$311)</f>
        <v>9953.5656249181902</v>
      </c>
      <c r="D4" s="72">
        <f>+SUMIF('FINANCEMENT '!$B$12:$B$311,TRESORERIE!D1,'FINANCEMENT '!$G$12:$G$311)</f>
        <v>9953.565624918192</v>
      </c>
      <c r="E4" s="72">
        <f>+SUMIF('FINANCEMENT '!$B$12:$B$311,TRESORERIE!E1,'FINANCEMENT '!$G$12:$G$311)</f>
        <v>9953.5656249181902</v>
      </c>
      <c r="F4" s="72">
        <f>+SUMIF('FINANCEMENT '!$B$12:$B$311,TRESORERIE!F1,'FINANCEMENT '!$G$12:$G$311)</f>
        <v>9953.5656249181902</v>
      </c>
      <c r="G4" s="72">
        <f>+SUMIF('FINANCEMENT '!$B$12:$B$311,TRESORERIE!G1,'FINANCEMENT '!$G$12:$G$311)</f>
        <v>9953.5656249181902</v>
      </c>
      <c r="H4" s="72">
        <f>+SUMIF('FINANCEMENT '!$B$12:$B$311,TRESORERIE!H1,'FINANCEMENT '!$G$12:$G$311)</f>
        <v>9953.5656249181902</v>
      </c>
      <c r="I4" s="72">
        <f>+SUMIF('FINANCEMENT '!$B$12:$B$311,TRESORERIE!I1,'FINANCEMENT '!$G$12:$G$311)</f>
        <v>9953.5656249181902</v>
      </c>
      <c r="J4" s="72">
        <f>+SUMIF('FINANCEMENT '!$B$12:$B$311,TRESORERIE!J1,'FINANCEMENT '!$G$12:$G$311)</f>
        <v>9953.5656249181902</v>
      </c>
      <c r="K4" s="72">
        <f>+SUMIF('FINANCEMENT '!$B$12:$B$311,TRESORERIE!K1,'FINANCEMENT '!$G$12:$G$311)</f>
        <v>9953.565624918192</v>
      </c>
      <c r="L4" s="72">
        <f>+SUMIF('FINANCEMENT '!$B$12:$B$311,TRESORERIE!L1,'FINANCEMENT '!$G$12:$G$311)</f>
        <v>9953.5656249181902</v>
      </c>
      <c r="M4" s="72">
        <f>+SUMIF('FINANCEMENT '!$B$12:$B$311,TRESORERIE!M1,'FINANCEMENT '!$G$12:$G$311)</f>
        <v>9953.565624918192</v>
      </c>
      <c r="N4" s="72">
        <f>+SUMIF('FINANCEMENT '!$B$12:$B$311,TRESORERIE!N1,'FINANCEMENT '!$G$12:$G$311)</f>
        <v>9953.5656249181902</v>
      </c>
      <c r="O4" s="72">
        <f>+SUMIF('FINANCEMENT '!$B$12:$B$311,TRESORERIE!O1,'FINANCEMENT '!$G$12:$G$311)</f>
        <v>9953.5656249181902</v>
      </c>
      <c r="P4" s="72">
        <f>+SUMIF('FINANCEMENT '!$B$12:$B$311,TRESORERIE!P1,'FINANCEMENT '!$G$12:$G$311)</f>
        <v>9953.565624918192</v>
      </c>
      <c r="Q4" s="72">
        <f>+SUMIF('FINANCEMENT '!$B$12:$B$311,TRESORERIE!Q1,'FINANCEMENT '!$G$12:$G$311)</f>
        <v>9953.565624918192</v>
      </c>
      <c r="R4" s="72">
        <f>+SUMIF('FINANCEMENT '!$B$12:$B$311,TRESORERIE!R1,'FINANCEMENT '!$G$12:$G$311)</f>
        <v>9953.565624918192</v>
      </c>
      <c r="S4" s="72">
        <f>+SUMIF('FINANCEMENT '!$B$12:$B$311,TRESORERIE!S1,'FINANCEMENT '!$G$12:$G$311)</f>
        <v>9953.565624918192</v>
      </c>
      <c r="T4" s="72">
        <f>+SUMIF('FINANCEMENT '!$B$12:$B$311,TRESORERIE!T1,'FINANCEMENT '!$G$12:$G$311)</f>
        <v>9953.565624918192</v>
      </c>
      <c r="U4" s="72">
        <f>+SUMIF('FINANCEMENT '!$B$12:$B$311,TRESORERIE!U1,'FINANCEMENT '!$G$12:$G$311)</f>
        <v>9953.565624918192</v>
      </c>
      <c r="V4" s="72">
        <f>+SUMIF('FINANCEMENT '!$B$12:$B$311,TRESORERIE!V1,'FINANCEMENT '!$G$12:$G$311)</f>
        <v>9953.5656249181902</v>
      </c>
      <c r="W4" s="72">
        <f>+SUMIF('FINANCEMENT '!$B$12:$B$311,TRESORERIE!W1,'FINANCEMENT '!$G$12:$G$311)</f>
        <v>9953.5656249181902</v>
      </c>
      <c r="X4" s="72">
        <f>+SUMIF('FINANCEMENT '!$B$12:$B$311,TRESORERIE!X1,'FINANCEMENT '!$G$12:$G$311)</f>
        <v>9953.5656249181902</v>
      </c>
      <c r="Y4" s="72">
        <f>+SUMIF('FINANCEMENT '!$B$12:$B$311,TRESORERIE!Y1,'FINANCEMENT '!$G$12:$G$311)</f>
        <v>9953.5656249181902</v>
      </c>
      <c r="Z4" s="72">
        <f>+SUMIF('FINANCEMENT '!$B$12:$B$311,TRESORERIE!Z1,'FINANCEMENT '!$G$12:$G$311)</f>
        <v>9953.5656249155818</v>
      </c>
    </row>
    <row r="5" spans="1:26" x14ac:dyDescent="0.35">
      <c r="A5" s="81" t="s">
        <v>80</v>
      </c>
      <c r="B5" s="72">
        <f>FISCALITE!C52+FISCALITE!C54</f>
        <v>135.65552035248456</v>
      </c>
      <c r="C5" s="72">
        <f>FISCALITE!D52+FISCALITE!D54</f>
        <v>604.89908441298428</v>
      </c>
      <c r="D5" s="72">
        <f>FISCALITE!E52+FISCALITE!E54</f>
        <v>615.75521199744833</v>
      </c>
      <c r="E5" s="72">
        <f>FISCALITE!F52+FISCALITE!F54</f>
        <v>626.77893400857317</v>
      </c>
      <c r="F5" s="72">
        <f>FISCALITE!G52+FISCALITE!G54</f>
        <v>637.97333766072666</v>
      </c>
      <c r="G5" s="72">
        <f>FISCALITE!H52+FISCALITE!H54</f>
        <v>649.34156752433046</v>
      </c>
      <c r="H5" s="72">
        <f>FISCALITE!I52+FISCALITE!I54</f>
        <v>660.88682658955679</v>
      </c>
      <c r="I5" s="72">
        <f>FISCALITE!J52+FISCALITE!J54</f>
        <v>672.61237734970393</v>
      </c>
      <c r="J5" s="72">
        <f>FISCALITE!K52+FISCALITE!K54</f>
        <v>684.52154290461169</v>
      </c>
      <c r="K5" s="72">
        <f>FISCALITE!L52+FISCALITE!L54</f>
        <v>696.61770808448057</v>
      </c>
      <c r="L5" s="72">
        <f>FISCALITE!M52+FISCALITE!M54</f>
        <v>708.90432059448085</v>
      </c>
      <c r="M5" s="72">
        <f>FISCALITE!N52+FISCALITE!N54</f>
        <v>721.38489218052473</v>
      </c>
      <c r="N5" s="72">
        <f>FISCALITE!O52+FISCALITE!O54</f>
        <v>734.06299981660095</v>
      </c>
      <c r="O5" s="72">
        <f>FISCALITE!P52+FISCALITE!P54</f>
        <v>746.94228691406056</v>
      </c>
      <c r="P5" s="72">
        <f>FISCALITE!Q52+FISCALITE!Q54</f>
        <v>760.02646455326783</v>
      </c>
      <c r="Q5" s="72">
        <f>FISCALITE!R52+FISCALITE!R54</f>
        <v>773.31931273801899</v>
      </c>
      <c r="R5" s="72">
        <f>FISCALITE!S52+FISCALITE!S54</f>
        <v>786.82468167315744</v>
      </c>
      <c r="S5" s="72">
        <f>FISCALITE!T52+FISCALITE!T54</f>
        <v>800.54649306580711</v>
      </c>
      <c r="T5" s="72">
        <f>FISCALITE!U52+FISCALITE!U54</f>
        <v>814.4887414506602</v>
      </c>
      <c r="U5" s="72">
        <f>FISCALITE!V52+FISCALITE!V54</f>
        <v>828.65549553976575</v>
      </c>
      <c r="V5" s="72">
        <f>FISCALITE!W52+FISCALITE!W54</f>
        <v>843.05089959726683</v>
      </c>
      <c r="W5" s="72">
        <f>FISCALITE!X52+FISCALITE!X54</f>
        <v>857.67917483954818</v>
      </c>
      <c r="X5" s="72">
        <f>FISCALITE!Y52+FISCALITE!Y54</f>
        <v>872.54462086126262</v>
      </c>
      <c r="Y5" s="72">
        <f>FISCALITE!Z52+FISCALITE!Z54</f>
        <v>887.65161708770984</v>
      </c>
      <c r="Z5" s="72">
        <f>FISCALITE!AA52+FISCALITE!AA54</f>
        <v>903.0046242540609</v>
      </c>
    </row>
    <row r="6" spans="1:26" ht="29" x14ac:dyDescent="0.35">
      <c r="A6" s="82" t="s">
        <v>81</v>
      </c>
      <c r="B6" s="122">
        <f>FISCALITE!C16+FISCALITE!C17+FISCALITE!C18+FISCALITE!C21</f>
        <v>2320</v>
      </c>
      <c r="C6" s="122">
        <f>FISCALITE!D16+FISCALITE!D17+FISCALITE!D18+FISCALITE!D21</f>
        <v>2350.4</v>
      </c>
      <c r="D6" s="122">
        <f>FISCALITE!E16+FISCALITE!E17+FISCALITE!E18+FISCALITE!E21</f>
        <v>2381.4080000000004</v>
      </c>
      <c r="E6" s="122">
        <f>FISCALITE!F16+FISCALITE!F17+FISCALITE!F18+FISCALITE!F21</f>
        <v>2413.0361600000001</v>
      </c>
      <c r="F6" s="122">
        <f>FISCALITE!G16+FISCALITE!G17+FISCALITE!G18+FISCALITE!G21</f>
        <v>2445.2968832000001</v>
      </c>
      <c r="G6" s="122">
        <f>FISCALITE!H16+FISCALITE!H17+FISCALITE!H18+FISCALITE!H21</f>
        <v>2478.2028208640004</v>
      </c>
      <c r="H6" s="122">
        <f>FISCALITE!I16+FISCALITE!I17+FISCALITE!I18+FISCALITE!I21</f>
        <v>2511.7668772812804</v>
      </c>
      <c r="I6" s="122">
        <f>FISCALITE!J16+FISCALITE!J17+FISCALITE!J18+FISCALITE!J21</f>
        <v>2546.0022148269054</v>
      </c>
      <c r="J6" s="122">
        <f>FISCALITE!K16+FISCALITE!K17+FISCALITE!K18+FISCALITE!K21</f>
        <v>2580.9222591234438</v>
      </c>
      <c r="K6" s="122">
        <f>FISCALITE!L16+FISCALITE!L17+FISCALITE!L18+FISCALITE!L21</f>
        <v>2616.5407043059126</v>
      </c>
      <c r="L6" s="122">
        <f>FISCALITE!M16+FISCALITE!M17+FISCALITE!M18+FISCALITE!M21</f>
        <v>2652.8715183920308</v>
      </c>
      <c r="M6" s="122">
        <f>FISCALITE!N16+FISCALITE!N17+FISCALITE!N18+FISCALITE!N21</f>
        <v>2689.9289487598717</v>
      </c>
      <c r="N6" s="122">
        <f>FISCALITE!O16+FISCALITE!O17+FISCALITE!O18+FISCALITE!O21</f>
        <v>2727.7275277350691</v>
      </c>
      <c r="O6" s="122">
        <f>FISCALITE!P16+FISCALITE!P17+FISCALITE!P18+FISCALITE!P21</f>
        <v>2766.2820782897702</v>
      </c>
      <c r="P6" s="122">
        <f>FISCALITE!Q16+FISCALITE!Q17+FISCALITE!Q18+FISCALITE!Q21</f>
        <v>2805.6077198555658</v>
      </c>
      <c r="Q6" s="122">
        <f>FISCALITE!R16+FISCALITE!R17+FISCALITE!R18+FISCALITE!R21</f>
        <v>2845.7198742526771</v>
      </c>
      <c r="R6" s="122">
        <f>FISCALITE!S16+FISCALITE!S17+FISCALITE!S18+FISCALITE!S21</f>
        <v>2886.6342717377302</v>
      </c>
      <c r="S6" s="122">
        <f>FISCALITE!T16+FISCALITE!T17+FISCALITE!T18+FISCALITE!T21</f>
        <v>2928.3669571724849</v>
      </c>
      <c r="T6" s="122">
        <f>FISCALITE!U16+FISCALITE!U17+FISCALITE!U18+FISCALITE!U21</f>
        <v>2970.9342963159347</v>
      </c>
      <c r="U6" s="122">
        <f>FISCALITE!V16+FISCALITE!V17+FISCALITE!V18+FISCALITE!V21</f>
        <v>3014.3529822422533</v>
      </c>
      <c r="V6" s="122">
        <f>FISCALITE!W16+FISCALITE!W17+FISCALITE!W18+FISCALITE!W21</f>
        <v>3058.6400418870985</v>
      </c>
      <c r="W6" s="122">
        <f>FISCALITE!X16+FISCALITE!X17+FISCALITE!X18+FISCALITE!X21</f>
        <v>3103.8128427248403</v>
      </c>
      <c r="X6" s="122">
        <f>FISCALITE!Y16+FISCALITE!Y17+FISCALITE!Y18+FISCALITE!Y21</f>
        <v>3149.8890995793372</v>
      </c>
      <c r="Y6" s="122">
        <f>FISCALITE!Z16+FISCALITE!Z17+FISCALITE!Z18+FISCALITE!Z21</f>
        <v>3196.8868815709238</v>
      </c>
      <c r="Z6" s="122">
        <f>FISCALITE!AA16+FISCALITE!AA17+FISCALITE!AA18+FISCALITE!AA21</f>
        <v>3244.8246192023421</v>
      </c>
    </row>
    <row r="7" spans="1:26" x14ac:dyDescent="0.35">
      <c r="A7" s="81" t="s">
        <v>74</v>
      </c>
      <c r="B7" s="72">
        <f>FISCALITE!C20</f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72">
        <v>0</v>
      </c>
      <c r="T7" s="72">
        <v>0</v>
      </c>
      <c r="U7" s="72">
        <v>0</v>
      </c>
      <c r="V7" s="72">
        <v>1</v>
      </c>
      <c r="W7" s="72">
        <v>2</v>
      </c>
      <c r="X7" s="72">
        <v>3</v>
      </c>
      <c r="Y7" s="72">
        <v>4</v>
      </c>
      <c r="Z7" s="72">
        <v>5</v>
      </c>
    </row>
    <row r="8" spans="1:26" x14ac:dyDescent="0.35">
      <c r="A8" s="80" t="s">
        <v>85</v>
      </c>
      <c r="B8" s="78">
        <f>SUM(B4:B7)</f>
        <v>12409.221145270674</v>
      </c>
      <c r="C8" s="78">
        <f t="shared" ref="C8:Z8" si="6">SUM(C4:C7)</f>
        <v>12908.864709331174</v>
      </c>
      <c r="D8" s="78">
        <f t="shared" si="6"/>
        <v>12950.728836915641</v>
      </c>
      <c r="E8" s="78">
        <f t="shared" si="6"/>
        <v>12993.380718926763</v>
      </c>
      <c r="F8" s="78">
        <f t="shared" si="6"/>
        <v>13036.835845778918</v>
      </c>
      <c r="G8" s="78">
        <f t="shared" si="6"/>
        <v>13081.110013306521</v>
      </c>
      <c r="H8" s="78">
        <f t="shared" si="6"/>
        <v>13126.219328789026</v>
      </c>
      <c r="I8" s="78">
        <f t="shared" si="6"/>
        <v>13172.180217094799</v>
      </c>
      <c r="J8" s="78">
        <f t="shared" si="6"/>
        <v>13219.009426946246</v>
      </c>
      <c r="K8" s="78">
        <f t="shared" si="6"/>
        <v>13266.724037308586</v>
      </c>
      <c r="L8" s="78">
        <f t="shared" si="6"/>
        <v>13315.341463904702</v>
      </c>
      <c r="M8" s="78">
        <f t="shared" si="6"/>
        <v>13364.87946585859</v>
      </c>
      <c r="N8" s="78">
        <f t="shared" si="6"/>
        <v>13415.35615246986</v>
      </c>
      <c r="O8" s="78">
        <f t="shared" si="6"/>
        <v>13466.789990122021</v>
      </c>
      <c r="P8" s="78">
        <f t="shared" si="6"/>
        <v>13519.199809327027</v>
      </c>
      <c r="Q8" s="78">
        <f t="shared" si="6"/>
        <v>13572.604811908888</v>
      </c>
      <c r="R8" s="78">
        <f t="shared" si="6"/>
        <v>13627.024578329079</v>
      </c>
      <c r="S8" s="78">
        <f t="shared" si="6"/>
        <v>13682.479075156483</v>
      </c>
      <c r="T8" s="78">
        <f t="shared" si="6"/>
        <v>13738.988662684786</v>
      </c>
      <c r="U8" s="78">
        <f t="shared" si="6"/>
        <v>13796.574102700211</v>
      </c>
      <c r="V8" s="78">
        <f t="shared" si="6"/>
        <v>13856.256566402555</v>
      </c>
      <c r="W8" s="78">
        <f t="shared" si="6"/>
        <v>13917.057642482578</v>
      </c>
      <c r="X8" s="78">
        <f t="shared" si="6"/>
        <v>13978.99934535879</v>
      </c>
      <c r="Y8" s="78">
        <f t="shared" si="6"/>
        <v>14042.104123576824</v>
      </c>
      <c r="Z8" s="78">
        <f t="shared" si="6"/>
        <v>14106.394868371985</v>
      </c>
    </row>
    <row r="9" spans="1:26" x14ac:dyDescent="0.35">
      <c r="A9" s="80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</row>
    <row r="10" spans="1:26" x14ac:dyDescent="0.35">
      <c r="A10" s="120" t="s">
        <v>118</v>
      </c>
      <c r="B10" s="121"/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 x14ac:dyDescent="0.35">
      <c r="A11" s="80" t="s">
        <v>73</v>
      </c>
      <c r="B11" s="78">
        <f>+FISCALITE!C13</f>
        <v>11520</v>
      </c>
      <c r="C11" s="78">
        <f>+FISCALITE!D13</f>
        <v>11531.52</v>
      </c>
      <c r="D11" s="78">
        <f>+FISCALITE!E13</f>
        <v>11543.051520000001</v>
      </c>
      <c r="E11" s="78">
        <f>+FISCALITE!F13</f>
        <v>11554.594571520001</v>
      </c>
      <c r="F11" s="78">
        <f>+FISCALITE!G13</f>
        <v>11566.149166091522</v>
      </c>
      <c r="G11" s="78">
        <f>+FISCALITE!H13</f>
        <v>11577.715315257614</v>
      </c>
      <c r="H11" s="78">
        <f>+FISCALITE!I13</f>
        <v>11589.293030572871</v>
      </c>
      <c r="I11" s="78">
        <f>+FISCALITE!J13</f>
        <v>11600.882323603444</v>
      </c>
      <c r="J11" s="78">
        <f>+FISCALITE!K13</f>
        <v>11612.483205927048</v>
      </c>
      <c r="K11" s="78">
        <f>+FISCALITE!L13</f>
        <v>11624.095689132975</v>
      </c>
      <c r="L11" s="78">
        <f>+FISCALITE!M13</f>
        <v>11635.719784822108</v>
      </c>
      <c r="M11" s="78">
        <f>+FISCALITE!N13</f>
        <v>11647.35550460693</v>
      </c>
      <c r="N11" s="78">
        <f>+FISCALITE!O13</f>
        <v>11659.002860111537</v>
      </c>
      <c r="O11" s="78">
        <f>+FISCALITE!P13</f>
        <v>11670.661862971649</v>
      </c>
      <c r="P11" s="78">
        <f>+FISCALITE!Q13</f>
        <v>11682.332524834621</v>
      </c>
      <c r="Q11" s="78">
        <f>+FISCALITE!R13</f>
        <v>11694.014857359456</v>
      </c>
      <c r="R11" s="78">
        <f>+FISCALITE!S13</f>
        <v>11705.708872216816</v>
      </c>
      <c r="S11" s="78">
        <f>+FISCALITE!T13</f>
        <v>11717.414581089033</v>
      </c>
      <c r="T11" s="78">
        <f>+FISCALITE!U13</f>
        <v>11729.131995670123</v>
      </c>
      <c r="U11" s="78">
        <f>+FISCALITE!V13</f>
        <v>11740.861127665792</v>
      </c>
      <c r="V11" s="78">
        <f>+FISCALITE!W13</f>
        <v>11752.601988793458</v>
      </c>
      <c r="W11" s="78">
        <f>+FISCALITE!X13</f>
        <v>11764.354590782252</v>
      </c>
      <c r="X11" s="78">
        <f>+FISCALITE!Y13</f>
        <v>11776.118945373035</v>
      </c>
      <c r="Y11" s="78">
        <f>+FISCALITE!Z13</f>
        <v>11787.895064318407</v>
      </c>
      <c r="Z11" s="78">
        <f>+FISCALITE!AA13</f>
        <v>11799.682959382726</v>
      </c>
    </row>
    <row r="12" spans="1:26" x14ac:dyDescent="0.35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35">
      <c r="A13" s="123" t="s">
        <v>82</v>
      </c>
      <c r="B13" s="23">
        <f>+B11-B8</f>
        <v>-889.22114527067424</v>
      </c>
      <c r="C13" s="23">
        <f t="shared" ref="C13:Z13" si="7">+C11-C8</f>
        <v>-1377.3447093311734</v>
      </c>
      <c r="D13" s="23">
        <f t="shared" si="7"/>
        <v>-1407.6773169156404</v>
      </c>
      <c r="E13" s="23">
        <f t="shared" si="7"/>
        <v>-1438.7861474067613</v>
      </c>
      <c r="F13" s="23">
        <f t="shared" si="7"/>
        <v>-1470.6866796873965</v>
      </c>
      <c r="G13" s="23">
        <f t="shared" si="7"/>
        <v>-1503.3946980489072</v>
      </c>
      <c r="H13" s="23">
        <f t="shared" si="7"/>
        <v>-1536.9262982161545</v>
      </c>
      <c r="I13" s="23">
        <f t="shared" si="7"/>
        <v>-1571.2978934913554</v>
      </c>
      <c r="J13" s="23">
        <f t="shared" si="7"/>
        <v>-1606.5262210191977</v>
      </c>
      <c r="K13" s="23">
        <f t="shared" si="7"/>
        <v>-1642.6283481756109</v>
      </c>
      <c r="L13" s="23">
        <f t="shared" si="7"/>
        <v>-1679.6216790825947</v>
      </c>
      <c r="M13" s="23">
        <f t="shared" si="7"/>
        <v>-1717.5239612516598</v>
      </c>
      <c r="N13" s="23">
        <f t="shared" si="7"/>
        <v>-1756.3532923583225</v>
      </c>
      <c r="O13" s="23">
        <f t="shared" si="7"/>
        <v>-1796.1281271503722</v>
      </c>
      <c r="P13" s="23">
        <f t="shared" si="7"/>
        <v>-1836.8672844924058</v>
      </c>
      <c r="Q13" s="23">
        <f t="shared" si="7"/>
        <v>-1878.5899545494322</v>
      </c>
      <c r="R13" s="23">
        <f t="shared" si="7"/>
        <v>-1921.3157061122638</v>
      </c>
      <c r="S13" s="23">
        <f t="shared" si="7"/>
        <v>-1965.0644940674501</v>
      </c>
      <c r="T13" s="23">
        <f t="shared" si="7"/>
        <v>-2009.8566670146629</v>
      </c>
      <c r="U13" s="23">
        <f t="shared" si="7"/>
        <v>-2055.7129750344193</v>
      </c>
      <c r="V13" s="23">
        <f t="shared" si="7"/>
        <v>-2103.654577609097</v>
      </c>
      <c r="W13" s="23">
        <f t="shared" si="7"/>
        <v>-2152.7030517003259</v>
      </c>
      <c r="X13" s="23">
        <f t="shared" si="7"/>
        <v>-2202.8803999857555</v>
      </c>
      <c r="Y13" s="23">
        <f t="shared" si="7"/>
        <v>-2254.2090592584173</v>
      </c>
      <c r="Z13" s="23">
        <f t="shared" si="7"/>
        <v>-2306.7119089892585</v>
      </c>
    </row>
    <row r="14" spans="1:26" x14ac:dyDescent="0.35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35">
      <c r="B15" s="23">
        <f>+SUM(B13:U13)</f>
        <v>-33061.523598676453</v>
      </c>
      <c r="C15" s="88"/>
      <c r="V15" s="23"/>
    </row>
    <row r="16" spans="1:26" x14ac:dyDescent="0.35">
      <c r="C16" s="88"/>
    </row>
    <row r="17" spans="2:3" x14ac:dyDescent="0.35">
      <c r="C17" s="88"/>
    </row>
    <row r="18" spans="2:3" x14ac:dyDescent="0.35">
      <c r="C18" s="88"/>
    </row>
    <row r="19" spans="2:3" x14ac:dyDescent="0.35">
      <c r="C19" s="88"/>
    </row>
    <row r="20" spans="2:3" x14ac:dyDescent="0.35">
      <c r="B20" s="23"/>
      <c r="C20" s="119"/>
    </row>
    <row r="21" spans="2:3" x14ac:dyDescent="0.35">
      <c r="B21" s="23"/>
      <c r="C21" s="119"/>
    </row>
    <row r="22" spans="2:3" x14ac:dyDescent="0.35">
      <c r="C22" s="11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Y16"/>
  <sheetViews>
    <sheetView topLeftCell="C31" workbookViewId="0">
      <selection activeCell="D16" sqref="D16"/>
    </sheetView>
  </sheetViews>
  <sheetFormatPr baseColWidth="10" defaultRowHeight="14.5" x14ac:dyDescent="0.35"/>
  <cols>
    <col min="1" max="1" width="11.1796875" customWidth="1"/>
    <col min="2" max="2" width="2.26953125" customWidth="1"/>
    <col min="3" max="3" width="30.54296875" customWidth="1"/>
    <col min="4" max="4" width="16.1796875" bestFit="1" customWidth="1"/>
    <col min="5" max="5" width="2.453125" customWidth="1"/>
    <col min="7" max="7" width="11.453125"/>
  </cols>
  <sheetData>
    <row r="1" spans="2:25" ht="15" thickBot="1" x14ac:dyDescent="0.4"/>
    <row r="2" spans="2:25" ht="7.5" customHeight="1" x14ac:dyDescent="0.35">
      <c r="B2" s="91"/>
      <c r="C2" s="92"/>
      <c r="D2" s="92"/>
      <c r="E2" s="93"/>
    </row>
    <row r="3" spans="2:25" ht="21" x14ac:dyDescent="0.5">
      <c r="B3" s="94"/>
      <c r="C3" s="134" t="s">
        <v>93</v>
      </c>
      <c r="D3" s="134"/>
      <c r="E3" s="95"/>
    </row>
    <row r="4" spans="2:25" ht="9" customHeight="1" x14ac:dyDescent="0.35">
      <c r="B4" s="94"/>
      <c r="E4" s="95"/>
    </row>
    <row r="5" spans="2:25" x14ac:dyDescent="0.35">
      <c r="B5" s="94"/>
      <c r="C5" s="90" t="s">
        <v>94</v>
      </c>
      <c r="D5" s="89">
        <f>SAISI!C27</f>
        <v>150000</v>
      </c>
      <c r="E5" s="95"/>
    </row>
    <row r="6" spans="2:25" x14ac:dyDescent="0.35">
      <c r="B6" s="94"/>
      <c r="C6" s="90" t="s">
        <v>45</v>
      </c>
      <c r="D6" s="89">
        <f>SAISI!C29</f>
        <v>0</v>
      </c>
      <c r="E6" s="95"/>
    </row>
    <row r="7" spans="2:25" x14ac:dyDescent="0.35">
      <c r="B7" s="94"/>
      <c r="C7" s="90" t="s">
        <v>95</v>
      </c>
      <c r="D7" s="89">
        <f>SAISI!C28</f>
        <v>12000</v>
      </c>
      <c r="E7" s="95"/>
    </row>
    <row r="8" spans="2:25" x14ac:dyDescent="0.35">
      <c r="B8" s="94"/>
      <c r="C8" s="90" t="s">
        <v>96</v>
      </c>
      <c r="D8" s="89">
        <f>'FINANCEMENT '!E6</f>
        <v>1340</v>
      </c>
      <c r="E8" s="95"/>
    </row>
    <row r="9" spans="2:25" x14ac:dyDescent="0.35">
      <c r="B9" s="94"/>
      <c r="C9" s="90" t="s">
        <v>97</v>
      </c>
      <c r="D9" s="89">
        <f>'FINANCEMENT '!E7</f>
        <v>1326</v>
      </c>
      <c r="E9" s="95"/>
    </row>
    <row r="10" spans="2:25" ht="6.75" customHeight="1" x14ac:dyDescent="0.35">
      <c r="B10" s="94"/>
      <c r="E10" s="95"/>
    </row>
    <row r="11" spans="2:25" ht="21" x14ac:dyDescent="0.5">
      <c r="B11" s="94"/>
      <c r="D11" s="118">
        <f>SUM(D5:D9)</f>
        <v>164666</v>
      </c>
      <c r="E11" s="95"/>
    </row>
    <row r="12" spans="2:25" ht="9.75" customHeight="1" thickBot="1" x14ac:dyDescent="0.4">
      <c r="B12" s="96"/>
      <c r="C12" s="97"/>
      <c r="D12" s="97"/>
      <c r="E12" s="98"/>
    </row>
    <row r="15" spans="2:25" x14ac:dyDescent="0.35">
      <c r="C15" s="22" t="s">
        <v>91</v>
      </c>
      <c r="D15" s="99">
        <f>(SAISI!C47)/D11</f>
        <v>6.9959797408086666E-2</v>
      </c>
    </row>
    <row r="16" spans="2:25" x14ac:dyDescent="0.35">
      <c r="C16" s="22" t="s">
        <v>92</v>
      </c>
      <c r="D16" s="99">
        <f>(FISCALITE!C13-FISCALITE!C16-FISCALITE!C17-FISCALITE!C18-FISCALITE!C20-FISCALITE!C21-FISCALITE!C52-FISCALITE!C54)/D11</f>
        <v>5.5046849256358422E-2</v>
      </c>
      <c r="E16" s="77"/>
      <c r="F16" s="77"/>
      <c r="G16" s="77"/>
      <c r="H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</row>
  </sheetData>
  <mergeCells count="1">
    <mergeCell ref="C3:D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0"/>
  <sheetViews>
    <sheetView workbookViewId="0">
      <selection activeCell="I10" sqref="I10"/>
    </sheetView>
  </sheetViews>
  <sheetFormatPr baseColWidth="10" defaultRowHeight="14.5" x14ac:dyDescent="0.35"/>
  <cols>
    <col min="1" max="1" width="4.81640625" customWidth="1"/>
    <col min="2" max="2" width="24.26953125" customWidth="1"/>
    <col min="3" max="3" width="8.26953125" customWidth="1"/>
    <col min="4" max="4" width="18" customWidth="1"/>
    <col min="5" max="5" width="16.26953125" customWidth="1"/>
    <col min="6" max="6" width="1.81640625" customWidth="1"/>
  </cols>
  <sheetData>
    <row r="2" spans="2:9" x14ac:dyDescent="0.35">
      <c r="B2" s="110" t="s">
        <v>103</v>
      </c>
      <c r="C2" s="110"/>
      <c r="D2" s="110"/>
      <c r="E2" s="23">
        <v>60000</v>
      </c>
      <c r="H2" s="23">
        <f>E2*1.15</f>
        <v>69000</v>
      </c>
      <c r="I2" s="23"/>
    </row>
    <row r="3" spans="2:9" x14ac:dyDescent="0.35">
      <c r="B3" s="110" t="s">
        <v>104</v>
      </c>
      <c r="C3" s="110"/>
      <c r="D3" s="110"/>
      <c r="E3" s="23">
        <v>11000</v>
      </c>
    </row>
    <row r="4" spans="2:9" x14ac:dyDescent="0.35">
      <c r="B4" s="110" t="s">
        <v>105</v>
      </c>
      <c r="C4" s="110"/>
      <c r="D4" s="110"/>
      <c r="E4" s="23">
        <v>3000</v>
      </c>
      <c r="H4">
        <f>E2*0.01*1.2</f>
        <v>720</v>
      </c>
    </row>
    <row r="5" spans="2:9" x14ac:dyDescent="0.35">
      <c r="D5" s="23"/>
    </row>
    <row r="6" spans="2:9" ht="15" thickBot="1" x14ac:dyDescent="0.4">
      <c r="D6" s="23"/>
    </row>
    <row r="7" spans="2:9" ht="15" thickBot="1" x14ac:dyDescent="0.4">
      <c r="B7" s="111" t="s">
        <v>106</v>
      </c>
      <c r="C7" s="112" t="s">
        <v>111</v>
      </c>
      <c r="D7" s="112" t="s">
        <v>109</v>
      </c>
      <c r="E7" s="113" t="s">
        <v>110</v>
      </c>
      <c r="I7" s="23">
        <f>E2*0.12</f>
        <v>7200</v>
      </c>
    </row>
    <row r="8" spans="2:9" x14ac:dyDescent="0.35">
      <c r="B8" s="102" t="s">
        <v>107</v>
      </c>
      <c r="C8" s="103">
        <v>0.08</v>
      </c>
      <c r="D8" s="104">
        <f>(6500-0)*C8</f>
        <v>520</v>
      </c>
      <c r="E8" s="105">
        <f>D8*1.2</f>
        <v>624</v>
      </c>
      <c r="I8" s="23">
        <f>I7*0.2</f>
        <v>1440</v>
      </c>
    </row>
    <row r="9" spans="2:9" x14ac:dyDescent="0.35">
      <c r="B9" s="102" t="s">
        <v>108</v>
      </c>
      <c r="C9" s="103">
        <v>3.3000000000000002E-2</v>
      </c>
      <c r="D9" s="104">
        <f>(17000-6500)*C9</f>
        <v>346.5</v>
      </c>
      <c r="E9" s="105">
        <f t="shared" ref="E9:E11" si="0">D9*1.2</f>
        <v>415.8</v>
      </c>
      <c r="I9" s="23">
        <f>I7+I8</f>
        <v>8640</v>
      </c>
    </row>
    <row r="10" spans="2:9" x14ac:dyDescent="0.35">
      <c r="B10" s="102" t="s">
        <v>112</v>
      </c>
      <c r="C10" s="103">
        <v>2.1999999999999999E-2</v>
      </c>
      <c r="D10" s="104">
        <f>IF(AND(E2&lt;60000,E2&gt;17000),(E2-17000)*C10,IF(E2&lt;17000,0,(60000-17000)*C10))</f>
        <v>946</v>
      </c>
      <c r="E10" s="105">
        <f t="shared" si="0"/>
        <v>1135.2</v>
      </c>
      <c r="I10">
        <f>I9/E2</f>
        <v>0.14399999999999999</v>
      </c>
    </row>
    <row r="11" spans="2:9" ht="15" thickBot="1" x14ac:dyDescent="0.4">
      <c r="B11" s="106" t="s">
        <v>113</v>
      </c>
      <c r="C11" s="107">
        <v>1.6500000000000001E-2</v>
      </c>
      <c r="D11" s="108">
        <f>IF(E2&lt;60000,0,(E2-60000)*C11)</f>
        <v>0</v>
      </c>
      <c r="E11" s="109">
        <f t="shared" si="0"/>
        <v>0</v>
      </c>
    </row>
    <row r="12" spans="2:9" ht="6" customHeight="1" thickBot="1" x14ac:dyDescent="0.4">
      <c r="B12" s="101"/>
      <c r="C12" s="103"/>
      <c r="D12" s="104"/>
      <c r="E12" s="105"/>
    </row>
    <row r="13" spans="2:9" ht="15" thickBot="1" x14ac:dyDescent="0.4">
      <c r="D13" s="115" t="s">
        <v>114</v>
      </c>
      <c r="E13" s="114">
        <f>+SUM(E8:E11)</f>
        <v>2175</v>
      </c>
    </row>
    <row r="15" spans="2:9" x14ac:dyDescent="0.35">
      <c r="B15" s="110" t="s">
        <v>116</v>
      </c>
      <c r="C15" s="110"/>
      <c r="D15" s="110"/>
      <c r="E15" s="116">
        <f>E2*0.01+46</f>
        <v>646</v>
      </c>
    </row>
    <row r="16" spans="2:9" ht="5.25" customHeight="1" x14ac:dyDescent="0.35"/>
    <row r="17" spans="2:5" x14ac:dyDescent="0.35">
      <c r="B17" s="110" t="s">
        <v>115</v>
      </c>
      <c r="C17" s="110"/>
      <c r="D17" s="110"/>
      <c r="E17" s="23">
        <f>E2*0.0581</f>
        <v>3486</v>
      </c>
    </row>
    <row r="20" spans="2:5" x14ac:dyDescent="0.35">
      <c r="E20" s="23">
        <f>E2+E3+E4+E13+E15+E17</f>
        <v>80307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3:E8"/>
  <sheetViews>
    <sheetView workbookViewId="0">
      <selection activeCell="G43" sqref="G43"/>
    </sheetView>
  </sheetViews>
  <sheetFormatPr baseColWidth="10" defaultRowHeight="14.5" x14ac:dyDescent="0.35"/>
  <cols>
    <col min="5" max="5" width="15.453125" customWidth="1"/>
  </cols>
  <sheetData>
    <row r="3" spans="3:5" x14ac:dyDescent="0.35">
      <c r="C3" s="135" t="s">
        <v>23</v>
      </c>
      <c r="D3" s="135"/>
      <c r="E3" s="135"/>
    </row>
    <row r="4" spans="3:5" x14ac:dyDescent="0.35">
      <c r="C4" s="48">
        <v>0</v>
      </c>
      <c r="D4" s="21">
        <v>0</v>
      </c>
      <c r="E4" s="21">
        <f>D5-0.01</f>
        <v>9806.99</v>
      </c>
    </row>
    <row r="5" spans="3:5" x14ac:dyDescent="0.35">
      <c r="C5" s="48">
        <v>0.14000000000000001</v>
      </c>
      <c r="D5" s="21">
        <v>9807</v>
      </c>
      <c r="E5" s="21">
        <f t="shared" ref="E5:E7" si="0">D6-0.01</f>
        <v>27085.99</v>
      </c>
    </row>
    <row r="6" spans="3:5" x14ac:dyDescent="0.35">
      <c r="C6" s="48">
        <v>0.3</v>
      </c>
      <c r="D6" s="21">
        <v>27086</v>
      </c>
      <c r="E6" s="21">
        <f t="shared" si="0"/>
        <v>72616.990000000005</v>
      </c>
    </row>
    <row r="7" spans="3:5" x14ac:dyDescent="0.35">
      <c r="C7" s="48">
        <v>0.41</v>
      </c>
      <c r="D7" s="21">
        <v>72617</v>
      </c>
      <c r="E7" s="21">
        <f t="shared" si="0"/>
        <v>153782.99</v>
      </c>
    </row>
    <row r="8" spans="3:5" x14ac:dyDescent="0.35">
      <c r="C8" s="48">
        <v>0.45</v>
      </c>
      <c r="D8" s="21">
        <v>153783</v>
      </c>
      <c r="E8" s="21">
        <v>1000000</v>
      </c>
    </row>
  </sheetData>
  <mergeCells count="1">
    <mergeCell ref="C3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5</vt:i4>
      </vt:variant>
    </vt:vector>
  </HeadingPairs>
  <TitlesOfParts>
    <vt:vector size="13" baseType="lpstr">
      <vt:lpstr>SAISI</vt:lpstr>
      <vt:lpstr>FINANCEMENT </vt:lpstr>
      <vt:lpstr>FISCALITE</vt:lpstr>
      <vt:lpstr>DEFICITE FONCIER</vt:lpstr>
      <vt:lpstr>TRESORERIE</vt:lpstr>
      <vt:lpstr>Rendement</vt:lpstr>
      <vt:lpstr>Enchères</vt:lpstr>
      <vt:lpstr>DATA</vt:lpstr>
      <vt:lpstr>'DEFICITE FONCIER'!Impression_des_titres</vt:lpstr>
      <vt:lpstr>'FINANCEMENT '!Impression_des_titres</vt:lpstr>
      <vt:lpstr>FISCALITE!Impression_des_titres</vt:lpstr>
      <vt:lpstr>'DEFICITE FONCIER'!Zone_d_impression</vt:lpstr>
      <vt:lpstr>SAISI!Zone_d_impression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Adilson</dc:creator>
  <cp:lastModifiedBy>admin</cp:lastModifiedBy>
  <cp:lastPrinted>2018-02-07T17:47:00Z</cp:lastPrinted>
  <dcterms:created xsi:type="dcterms:W3CDTF">2017-05-03T15:45:21Z</dcterms:created>
  <dcterms:modified xsi:type="dcterms:W3CDTF">2022-08-06T21:29:49Z</dcterms:modified>
</cp:coreProperties>
</file>