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 tabRatio="930"/>
  </bookViews>
  <sheets>
    <sheet name="eff all" sheetId="59" r:id="rId1"/>
    <sheet name="Report1" sheetId="48" r:id="rId2"/>
    <sheet name="GRAFIK" sheetId="50" r:id="rId3"/>
    <sheet name="Listrik" sheetId="45" r:id="rId4"/>
    <sheet name="Trim Rwd" sheetId="47" r:id="rId5"/>
    <sheet name="Efficiency1" sheetId="46" r:id="rId6"/>
    <sheet name="Efficiency2" sheetId="58" r:id="rId7"/>
    <sheet name="BB" sheetId="2" r:id="rId8"/>
    <sheet name="Chem" sheetId="1" r:id="rId9"/>
    <sheet name="RBP" sheetId="55" r:id="rId10"/>
    <sheet name="Sheet1" sheetId="54" r:id="rId11"/>
    <sheet name="summary" sheetId="53" r:id="rId12"/>
    <sheet name="31" sheetId="43" r:id="rId13"/>
    <sheet name="30" sheetId="4" r:id="rId14"/>
    <sheet name="29" sheetId="37" r:id="rId15"/>
    <sheet name="28" sheetId="6" r:id="rId16"/>
    <sheet name="27" sheetId="7" r:id="rId17"/>
    <sheet name="26" sheetId="8" r:id="rId18"/>
    <sheet name="25" sheetId="9" r:id="rId19"/>
    <sheet name="24" sheetId="10" r:id="rId20"/>
    <sheet name="23" sheetId="11" r:id="rId21"/>
    <sheet name="22" sheetId="12" r:id="rId22"/>
    <sheet name="21" sheetId="13" r:id="rId23"/>
    <sheet name="20" sheetId="14" r:id="rId24"/>
    <sheet name="19" sheetId="15" r:id="rId25"/>
    <sheet name="18" sheetId="16" r:id="rId26"/>
    <sheet name="17" sheetId="17" r:id="rId27"/>
    <sheet name="16" sheetId="18" r:id="rId28"/>
    <sheet name="15" sheetId="19" r:id="rId29"/>
    <sheet name="14" sheetId="20" r:id="rId30"/>
    <sheet name="13" sheetId="22" r:id="rId31"/>
    <sheet name="12" sheetId="21" r:id="rId32"/>
    <sheet name="11" sheetId="23" r:id="rId33"/>
    <sheet name="10" sheetId="24" r:id="rId34"/>
    <sheet name="9" sheetId="25" r:id="rId35"/>
    <sheet name="8" sheetId="26" r:id="rId36"/>
    <sheet name="7" sheetId="28" r:id="rId37"/>
    <sheet name="6" sheetId="27" r:id="rId38"/>
    <sheet name="5" sheetId="29" r:id="rId39"/>
    <sheet name="4" sheetId="30" r:id="rId40"/>
    <sheet name="3" sheetId="31" r:id="rId41"/>
    <sheet name="2" sheetId="32" r:id="rId42"/>
    <sheet name="1" sheetId="33" r:id="rId43"/>
  </sheets>
  <externalReferences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xlnm._FilterDatabase" localSheetId="10" hidden="1">Sheet1!$C$1:$F$118</definedName>
    <definedName name="_xlnm.Print_Area" localSheetId="42">'1'!$A$2:$M$61</definedName>
    <definedName name="_xlnm.Print_Area" localSheetId="33">'10'!$A$2:$M$61</definedName>
    <definedName name="_xlnm.Print_Area" localSheetId="32">'11'!$A$2:$M$61</definedName>
    <definedName name="_xlnm.Print_Area" localSheetId="31">'12'!$A$2:$M$61</definedName>
    <definedName name="_xlnm.Print_Area" localSheetId="30">'13'!$A$1:$M$62</definedName>
    <definedName name="_xlnm.Print_Area" localSheetId="29">'14'!$A$1:$M$61</definedName>
    <definedName name="_xlnm.Print_Area" localSheetId="28">'15'!$A$1:$M$61</definedName>
    <definedName name="_xlnm.Print_Area" localSheetId="26">'17'!$A$1:$M$61</definedName>
    <definedName name="_xlnm.Print_Area" localSheetId="25">'18'!$A$1:$M$61</definedName>
    <definedName name="_xlnm.Print_Area" localSheetId="24">'19'!$A$1:$M$61</definedName>
    <definedName name="_xlnm.Print_Area" localSheetId="41">'2'!$A$2:$M$61</definedName>
    <definedName name="_xlnm.Print_Area" localSheetId="23">'20'!$A$1:$M$62</definedName>
    <definedName name="_xlnm.Print_Area" localSheetId="22">'21'!$A$1:$M$61</definedName>
    <definedName name="_xlnm.Print_Area" localSheetId="21">'22'!$A$1:$M$61</definedName>
    <definedName name="_xlnm.Print_Area" localSheetId="20">'23'!$A$1:$M$61</definedName>
    <definedName name="_xlnm.Print_Area" localSheetId="19">'24'!$A$1:$M$61</definedName>
    <definedName name="_xlnm.Print_Area" localSheetId="18">'25'!$A$1:$M$61</definedName>
    <definedName name="_xlnm.Print_Area" localSheetId="17">'26'!$A$1:$M$61</definedName>
    <definedName name="_xlnm.Print_Area" localSheetId="16">'27'!$A$1:$M$61</definedName>
    <definedName name="_xlnm.Print_Area" localSheetId="15">'28'!$A$1:$M$61</definedName>
    <definedName name="_xlnm.Print_Area" localSheetId="14">'29'!$A$1:$M$61</definedName>
    <definedName name="_xlnm.Print_Area" localSheetId="40">'3'!$A$1:$M$61</definedName>
    <definedName name="_xlnm.Print_Area" localSheetId="13">'30'!$A$1:$M$61</definedName>
    <definedName name="_xlnm.Print_Area" localSheetId="12">'31'!$A$1:$L$63</definedName>
    <definedName name="_xlnm.Print_Area" localSheetId="39">'4'!$A$1:$M$61</definedName>
    <definedName name="_xlnm.Print_Area" localSheetId="38">'5'!$A$1:$M$61</definedName>
    <definedName name="_xlnm.Print_Area" localSheetId="37">'6'!$A$2:$M$61</definedName>
    <definedName name="_xlnm.Print_Area" localSheetId="36">'7'!$A$2:$M$61</definedName>
    <definedName name="_xlnm.Print_Area" localSheetId="35">'8'!$A$2:$M$61</definedName>
    <definedName name="_xlnm.Print_Area" localSheetId="34">'9'!$A$1:$M$62</definedName>
    <definedName name="_xlnm.Print_Area" localSheetId="8">Chem!$CE$7:$CQ$16</definedName>
    <definedName name="_xlnm.Print_Area" localSheetId="0">'eff all'!$A$1:$Q$362</definedName>
    <definedName name="_xlnm.Print_Area" localSheetId="5">Efficiency1!$A$1:$AD$155</definedName>
    <definedName name="_xlnm.Print_Area" localSheetId="6">Efficiency2!$A$1:$AD$155</definedName>
    <definedName name="_xlnm.Print_Area" localSheetId="3">Listrik!$A$2:$AT$40</definedName>
    <definedName name="_xlnm.Print_Area" localSheetId="1">Report1!$A$3:$AE$41</definedName>
  </definedNames>
  <calcPr calcId="144525"/>
</workbook>
</file>

<file path=xl/calcChain.xml><?xml version="1.0" encoding="utf-8"?>
<calcChain xmlns="http://schemas.openxmlformats.org/spreadsheetml/2006/main">
  <c r="K57" i="33" l="1"/>
  <c r="J57" i="33"/>
  <c r="K56" i="33"/>
  <c r="J56" i="33"/>
  <c r="E53" i="33"/>
  <c r="D53" i="33"/>
  <c r="C53" i="33"/>
  <c r="E52" i="33"/>
  <c r="D52" i="33"/>
  <c r="C52" i="33"/>
  <c r="J51" i="33"/>
  <c r="I51" i="33"/>
  <c r="E51" i="33"/>
  <c r="D51" i="33"/>
  <c r="C51" i="33"/>
  <c r="J50" i="33"/>
  <c r="I50" i="33"/>
  <c r="E50" i="33"/>
  <c r="D50" i="33"/>
  <c r="C50" i="33"/>
  <c r="J49" i="33"/>
  <c r="E49" i="33"/>
  <c r="D49" i="33"/>
  <c r="C49" i="33"/>
  <c r="E48" i="33"/>
  <c r="D48" i="33"/>
  <c r="C48" i="33"/>
  <c r="E47" i="33"/>
  <c r="D47" i="33"/>
  <c r="C47" i="33"/>
  <c r="E46" i="33"/>
  <c r="D46" i="33"/>
  <c r="C46" i="33"/>
  <c r="E45" i="33"/>
  <c r="D45" i="33"/>
  <c r="C45" i="33"/>
  <c r="E44" i="33"/>
  <c r="D44" i="33"/>
  <c r="C44" i="33"/>
  <c r="I43" i="33"/>
  <c r="I44" i="33" s="1"/>
  <c r="E43" i="33"/>
  <c r="D43" i="33"/>
  <c r="C43" i="33"/>
  <c r="G42" i="33"/>
  <c r="F42" i="33"/>
  <c r="E42" i="33"/>
  <c r="D42" i="33"/>
  <c r="C42" i="33"/>
  <c r="J41" i="33"/>
  <c r="E41" i="33"/>
  <c r="D41" i="33"/>
  <c r="C41" i="33"/>
  <c r="J40" i="33"/>
  <c r="I40" i="33"/>
  <c r="E40" i="33"/>
  <c r="D40" i="33"/>
  <c r="C40" i="33"/>
  <c r="J39" i="33"/>
  <c r="E39" i="33"/>
  <c r="D39" i="33"/>
  <c r="C39" i="33"/>
  <c r="N38" i="33"/>
  <c r="J38" i="33"/>
  <c r="I38" i="33"/>
  <c r="E38" i="33"/>
  <c r="D38" i="33"/>
  <c r="C38" i="33"/>
  <c r="N37" i="33"/>
  <c r="J37" i="33"/>
  <c r="I37" i="33"/>
  <c r="E35" i="33"/>
  <c r="D35" i="33"/>
  <c r="C35" i="33"/>
  <c r="M34" i="33"/>
  <c r="L34" i="33"/>
  <c r="K34" i="33"/>
  <c r="F34" i="33"/>
  <c r="E34" i="33"/>
  <c r="D34" i="33"/>
  <c r="C34" i="33"/>
  <c r="E33" i="33"/>
  <c r="D33" i="33"/>
  <c r="C33" i="33"/>
  <c r="M32" i="33"/>
  <c r="F32" i="33"/>
  <c r="E32" i="33"/>
  <c r="D32" i="33"/>
  <c r="C32" i="33"/>
  <c r="M31" i="33"/>
  <c r="M30" i="33"/>
  <c r="M29" i="33"/>
  <c r="M28" i="33"/>
  <c r="M27" i="33"/>
  <c r="M26" i="33"/>
  <c r="M25" i="33"/>
  <c r="M24" i="33"/>
  <c r="M23" i="33"/>
  <c r="F23" i="33"/>
  <c r="E23" i="33"/>
  <c r="D23" i="33"/>
  <c r="C23" i="33"/>
  <c r="M22" i="33"/>
  <c r="M21" i="33"/>
  <c r="M20" i="33"/>
  <c r="M19" i="33"/>
  <c r="M18" i="33"/>
  <c r="M17" i="33"/>
  <c r="M16" i="33"/>
  <c r="M15" i="33"/>
  <c r="M14" i="33"/>
  <c r="F14" i="33"/>
  <c r="E14" i="33"/>
  <c r="D14" i="33"/>
  <c r="C14" i="33"/>
  <c r="M13" i="33"/>
  <c r="M12" i="33"/>
  <c r="R11" i="33"/>
  <c r="Q11" i="33"/>
  <c r="M11" i="33"/>
  <c r="R10" i="33"/>
  <c r="Q10" i="33"/>
  <c r="P10" i="33"/>
  <c r="M10" i="33"/>
  <c r="R9" i="33"/>
  <c r="Q9" i="33"/>
  <c r="P9" i="33"/>
  <c r="O9" i="33"/>
  <c r="M9" i="33"/>
  <c r="R8" i="33"/>
  <c r="Q8" i="33"/>
  <c r="P8" i="33"/>
  <c r="O8" i="33"/>
  <c r="M8" i="33"/>
  <c r="K8" i="33"/>
  <c r="C8" i="33"/>
  <c r="M7" i="33"/>
  <c r="K7" i="33"/>
  <c r="N6" i="33"/>
  <c r="J57" i="32"/>
  <c r="J56" i="32"/>
  <c r="C53" i="32"/>
  <c r="C52" i="32"/>
  <c r="D51" i="32"/>
  <c r="E51" i="32" s="1"/>
  <c r="C51" i="32"/>
  <c r="D50" i="32"/>
  <c r="E50" i="32" s="1"/>
  <c r="C50" i="32"/>
  <c r="J49" i="32"/>
  <c r="J50" i="32" s="1"/>
  <c r="D49" i="32"/>
  <c r="E49" i="32" s="1"/>
  <c r="C49" i="32"/>
  <c r="D48" i="32"/>
  <c r="E48" i="32" s="1"/>
  <c r="C48" i="32"/>
  <c r="D47" i="32"/>
  <c r="E47" i="32" s="1"/>
  <c r="C47" i="32"/>
  <c r="E46" i="32"/>
  <c r="D46" i="32"/>
  <c r="C46" i="32"/>
  <c r="D45" i="32"/>
  <c r="E45" i="32" s="1"/>
  <c r="C45" i="32"/>
  <c r="D44" i="32"/>
  <c r="E44" i="32" s="1"/>
  <c r="C44" i="32"/>
  <c r="I43" i="32"/>
  <c r="I44" i="32" s="1"/>
  <c r="D43" i="32"/>
  <c r="E43" i="32" s="1"/>
  <c r="C43" i="32"/>
  <c r="G42" i="32"/>
  <c r="F42" i="32"/>
  <c r="E42" i="32"/>
  <c r="D42" i="32"/>
  <c r="C42" i="32"/>
  <c r="E41" i="32"/>
  <c r="D41" i="32"/>
  <c r="C41" i="32"/>
  <c r="G40" i="32"/>
  <c r="E40" i="32"/>
  <c r="D40" i="32"/>
  <c r="C40" i="32"/>
  <c r="G39" i="32"/>
  <c r="D39" i="32"/>
  <c r="E39" i="32" s="1"/>
  <c r="C39" i="32"/>
  <c r="J38" i="32"/>
  <c r="I38" i="32"/>
  <c r="G38" i="32"/>
  <c r="D38" i="32"/>
  <c r="E38" i="32" s="1"/>
  <c r="C38" i="32"/>
  <c r="J37" i="32"/>
  <c r="J39" i="32" s="1"/>
  <c r="I37" i="32"/>
  <c r="E35" i="32"/>
  <c r="D35" i="32"/>
  <c r="C35" i="32"/>
  <c r="L34" i="32"/>
  <c r="F34" i="32"/>
  <c r="E34" i="32"/>
  <c r="D34" i="32"/>
  <c r="C34" i="32"/>
  <c r="E33" i="32"/>
  <c r="D33" i="32"/>
  <c r="C33" i="32"/>
  <c r="M32" i="32"/>
  <c r="J32" i="32"/>
  <c r="F32" i="32"/>
  <c r="E32" i="32"/>
  <c r="D32" i="32"/>
  <c r="C32" i="32"/>
  <c r="M31" i="32"/>
  <c r="J31" i="32"/>
  <c r="M30" i="32"/>
  <c r="J30" i="32"/>
  <c r="M29" i="32"/>
  <c r="J29" i="32"/>
  <c r="M28" i="32"/>
  <c r="J28" i="32"/>
  <c r="M27" i="32"/>
  <c r="J27" i="32"/>
  <c r="M26" i="32"/>
  <c r="J26" i="32"/>
  <c r="M25" i="32"/>
  <c r="J25" i="32"/>
  <c r="M24" i="32"/>
  <c r="J24" i="32"/>
  <c r="M23" i="32"/>
  <c r="J23" i="32"/>
  <c r="F23" i="32"/>
  <c r="E23" i="32"/>
  <c r="D23" i="32"/>
  <c r="C23" i="32"/>
  <c r="M22" i="32"/>
  <c r="J22" i="32"/>
  <c r="M21" i="32"/>
  <c r="J21" i="32"/>
  <c r="M20" i="32"/>
  <c r="J20" i="32"/>
  <c r="F20" i="32"/>
  <c r="M19" i="32"/>
  <c r="J19" i="32"/>
  <c r="M18" i="32"/>
  <c r="J18" i="32"/>
  <c r="M17" i="32"/>
  <c r="J17" i="32"/>
  <c r="M16" i="32"/>
  <c r="J16" i="32"/>
  <c r="M15" i="32"/>
  <c r="J15" i="32"/>
  <c r="M14" i="32"/>
  <c r="J14" i="32"/>
  <c r="F14" i="32"/>
  <c r="E14" i="32"/>
  <c r="D14" i="32"/>
  <c r="C14" i="32"/>
  <c r="M13" i="32"/>
  <c r="J13" i="32"/>
  <c r="M12" i="32"/>
  <c r="J12" i="32"/>
  <c r="M11" i="32"/>
  <c r="J11" i="32"/>
  <c r="M10" i="32"/>
  <c r="J10" i="32"/>
  <c r="M9" i="32"/>
  <c r="K9" i="32"/>
  <c r="J9" i="32"/>
  <c r="O8" i="32"/>
  <c r="K8" i="32"/>
  <c r="J8" i="32"/>
  <c r="C8" i="32"/>
  <c r="M7" i="32"/>
  <c r="J7" i="32"/>
  <c r="N6" i="32"/>
  <c r="H4" i="32"/>
  <c r="J57" i="31"/>
  <c r="J56" i="31"/>
  <c r="C53" i="31"/>
  <c r="C52" i="31"/>
  <c r="D51" i="31"/>
  <c r="E51" i="31" s="1"/>
  <c r="C51" i="31"/>
  <c r="J50" i="31"/>
  <c r="I50" i="31"/>
  <c r="D50" i="31"/>
  <c r="E50" i="31" s="1"/>
  <c r="C50" i="31"/>
  <c r="J49" i="31"/>
  <c r="D49" i="31"/>
  <c r="D49" i="30" s="1"/>
  <c r="C49" i="31"/>
  <c r="D48" i="31"/>
  <c r="E48" i="31" s="1"/>
  <c r="C48" i="31"/>
  <c r="D47" i="31"/>
  <c r="E47" i="31" s="1"/>
  <c r="C47" i="31"/>
  <c r="E46" i="31"/>
  <c r="D46" i="31"/>
  <c r="C46" i="31"/>
  <c r="D45" i="31"/>
  <c r="E45" i="31" s="1"/>
  <c r="C45" i="31"/>
  <c r="I44" i="31"/>
  <c r="D44" i="31"/>
  <c r="E44" i="31" s="1"/>
  <c r="C44" i="31"/>
  <c r="I43" i="31"/>
  <c r="D43" i="31"/>
  <c r="D43" i="30" s="1"/>
  <c r="C43" i="31"/>
  <c r="G42" i="31"/>
  <c r="F42" i="31"/>
  <c r="E42" i="31"/>
  <c r="D42" i="31"/>
  <c r="C42" i="31"/>
  <c r="E41" i="31"/>
  <c r="D41" i="31"/>
  <c r="C41" i="31"/>
  <c r="G40" i="31"/>
  <c r="D40" i="31"/>
  <c r="E40" i="31" s="1"/>
  <c r="C40" i="31"/>
  <c r="G39" i="31"/>
  <c r="D39" i="31"/>
  <c r="E39" i="31" s="1"/>
  <c r="C39" i="31"/>
  <c r="J38" i="31"/>
  <c r="I38" i="31"/>
  <c r="G38" i="31"/>
  <c r="E38" i="31"/>
  <c r="D38" i="31"/>
  <c r="D52" i="31" s="1"/>
  <c r="D53" i="31" s="1"/>
  <c r="C38" i="31"/>
  <c r="J37" i="31"/>
  <c r="J39" i="31" s="1"/>
  <c r="I37" i="31"/>
  <c r="E35" i="31"/>
  <c r="D35" i="31"/>
  <c r="C35" i="31"/>
  <c r="L34" i="31"/>
  <c r="F34" i="31"/>
  <c r="E34" i="31"/>
  <c r="D34" i="31"/>
  <c r="C34" i="31"/>
  <c r="E33" i="31"/>
  <c r="D33" i="31"/>
  <c r="C33" i="31"/>
  <c r="M32" i="31"/>
  <c r="J32" i="31"/>
  <c r="J32" i="30" s="1"/>
  <c r="J32" i="29" s="1"/>
  <c r="J32" i="27" s="1"/>
  <c r="J32" i="28" s="1"/>
  <c r="F32" i="31"/>
  <c r="E32" i="31"/>
  <c r="D32" i="31"/>
  <c r="C32" i="31"/>
  <c r="M31" i="31"/>
  <c r="J31" i="31"/>
  <c r="M30" i="31"/>
  <c r="J30" i="31"/>
  <c r="J30" i="30" s="1"/>
  <c r="J30" i="29" s="1"/>
  <c r="J30" i="27" s="1"/>
  <c r="J30" i="28" s="1"/>
  <c r="M29" i="31"/>
  <c r="J29" i="31"/>
  <c r="M28" i="31"/>
  <c r="J28" i="31"/>
  <c r="J28" i="30" s="1"/>
  <c r="J28" i="29" s="1"/>
  <c r="J28" i="27" s="1"/>
  <c r="J28" i="28" s="1"/>
  <c r="M27" i="31"/>
  <c r="J27" i="31"/>
  <c r="M26" i="31"/>
  <c r="J26" i="31"/>
  <c r="J26" i="30" s="1"/>
  <c r="J26" i="29" s="1"/>
  <c r="J26" i="27" s="1"/>
  <c r="J26" i="28" s="1"/>
  <c r="M25" i="31"/>
  <c r="J25" i="31"/>
  <c r="X24" i="31"/>
  <c r="W24" i="31"/>
  <c r="M24" i="31"/>
  <c r="J24" i="31"/>
  <c r="X23" i="31"/>
  <c r="W23" i="31"/>
  <c r="V23" i="31"/>
  <c r="M23" i="31"/>
  <c r="J23" i="31"/>
  <c r="F23" i="31"/>
  <c r="E23" i="31"/>
  <c r="D23" i="31"/>
  <c r="C23" i="31"/>
  <c r="X22" i="31"/>
  <c r="W22" i="31"/>
  <c r="U22" i="31"/>
  <c r="M22" i="31"/>
  <c r="J22" i="31"/>
  <c r="J22" i="30" s="1"/>
  <c r="J22" i="29" s="1"/>
  <c r="J22" i="27" s="1"/>
  <c r="J22" i="28" s="1"/>
  <c r="X21" i="31"/>
  <c r="W21" i="31"/>
  <c r="U21" i="31"/>
  <c r="M21" i="31"/>
  <c r="M21" i="30" s="1"/>
  <c r="M21" i="29" s="1"/>
  <c r="M21" i="27" s="1"/>
  <c r="M21" i="28" s="1"/>
  <c r="M21" i="26" s="1"/>
  <c r="J21" i="31"/>
  <c r="M20" i="31"/>
  <c r="J20" i="31"/>
  <c r="J20" i="30" s="1"/>
  <c r="J20" i="29" s="1"/>
  <c r="J20" i="27" s="1"/>
  <c r="J20" i="28" s="1"/>
  <c r="M19" i="31"/>
  <c r="J19" i="31"/>
  <c r="X18" i="31"/>
  <c r="W18" i="31"/>
  <c r="M18" i="31"/>
  <c r="J18" i="31"/>
  <c r="X17" i="31"/>
  <c r="W17" i="31"/>
  <c r="V17" i="31"/>
  <c r="M17" i="31"/>
  <c r="J17" i="31"/>
  <c r="X16" i="31"/>
  <c r="W16" i="31"/>
  <c r="U16" i="31"/>
  <c r="M16" i="31"/>
  <c r="J16" i="31"/>
  <c r="J16" i="30" s="1"/>
  <c r="J16" i="29" s="1"/>
  <c r="J16" i="27" s="1"/>
  <c r="J16" i="28" s="1"/>
  <c r="J16" i="26" s="1"/>
  <c r="J16" i="25" s="1"/>
  <c r="X15" i="31"/>
  <c r="W15" i="31"/>
  <c r="U15" i="31"/>
  <c r="M15" i="31"/>
  <c r="J15" i="31"/>
  <c r="X14" i="31"/>
  <c r="W14" i="31"/>
  <c r="V14" i="31"/>
  <c r="U14" i="31"/>
  <c r="M14" i="31"/>
  <c r="J14" i="31"/>
  <c r="F14" i="31"/>
  <c r="E14" i="31"/>
  <c r="D14" i="31"/>
  <c r="C14" i="31"/>
  <c r="M13" i="31"/>
  <c r="J13" i="31"/>
  <c r="M12" i="31"/>
  <c r="J12" i="31"/>
  <c r="P11" i="31"/>
  <c r="M11" i="31"/>
  <c r="M11" i="30" s="1"/>
  <c r="M11" i="29" s="1"/>
  <c r="J11" i="31"/>
  <c r="O10" i="31"/>
  <c r="M10" i="31"/>
  <c r="J10" i="31"/>
  <c r="O9" i="31"/>
  <c r="K9" i="31"/>
  <c r="M9" i="31" s="1"/>
  <c r="M9" i="30" s="1"/>
  <c r="M9" i="29" s="1"/>
  <c r="M9" i="27" s="1"/>
  <c r="J9" i="31"/>
  <c r="J9" i="30" s="1"/>
  <c r="J9" i="29" s="1"/>
  <c r="J9" i="27" s="1"/>
  <c r="J9" i="28" s="1"/>
  <c r="J9" i="26" s="1"/>
  <c r="O8" i="31"/>
  <c r="J8" i="31"/>
  <c r="J8" i="30" s="1"/>
  <c r="J8" i="29" s="1"/>
  <c r="J8" i="27" s="1"/>
  <c r="J8" i="28" s="1"/>
  <c r="J8" i="26" s="1"/>
  <c r="J8" i="25" s="1"/>
  <c r="J8" i="24" s="1"/>
  <c r="J8" i="23" s="1"/>
  <c r="J8" i="21" s="1"/>
  <c r="J8" i="22" s="1"/>
  <c r="J8" i="20" s="1"/>
  <c r="J8" i="19" s="1"/>
  <c r="M7" i="31"/>
  <c r="J7" i="31"/>
  <c r="N6" i="31"/>
  <c r="H4" i="31"/>
  <c r="J57" i="30"/>
  <c r="J56" i="30"/>
  <c r="J56" i="29" s="1"/>
  <c r="C53" i="30"/>
  <c r="C52" i="30"/>
  <c r="E51" i="30"/>
  <c r="D51" i="30"/>
  <c r="C51" i="30"/>
  <c r="I50" i="30"/>
  <c r="C50" i="30"/>
  <c r="J49" i="30"/>
  <c r="J50" i="30" s="1"/>
  <c r="C49" i="30"/>
  <c r="E48" i="30"/>
  <c r="D48" i="30"/>
  <c r="C48" i="30"/>
  <c r="E47" i="30"/>
  <c r="D47" i="30"/>
  <c r="D47" i="29" s="1"/>
  <c r="C47" i="30"/>
  <c r="D46" i="30"/>
  <c r="E46" i="30" s="1"/>
  <c r="C46" i="30"/>
  <c r="E45" i="30"/>
  <c r="D45" i="30"/>
  <c r="D45" i="29" s="1"/>
  <c r="C45" i="30"/>
  <c r="I44" i="30"/>
  <c r="E44" i="30"/>
  <c r="D44" i="30"/>
  <c r="C44" i="30"/>
  <c r="I43" i="30"/>
  <c r="C43" i="30"/>
  <c r="G42" i="30"/>
  <c r="F42" i="30"/>
  <c r="D42" i="30"/>
  <c r="D42" i="29" s="1"/>
  <c r="C42" i="30"/>
  <c r="D41" i="30"/>
  <c r="E41" i="30" s="1"/>
  <c r="C41" i="30"/>
  <c r="G40" i="30"/>
  <c r="E40" i="30"/>
  <c r="D40" i="30"/>
  <c r="D40" i="29" s="1"/>
  <c r="C40" i="30"/>
  <c r="G39" i="30"/>
  <c r="C39" i="30"/>
  <c r="J38" i="30"/>
  <c r="J38" i="29" s="1"/>
  <c r="J38" i="27" s="1"/>
  <c r="J38" i="28" s="1"/>
  <c r="J38" i="26" s="1"/>
  <c r="I38" i="30"/>
  <c r="G38" i="30"/>
  <c r="D38" i="30"/>
  <c r="E38" i="30" s="1"/>
  <c r="C38" i="30"/>
  <c r="I37" i="30"/>
  <c r="E35" i="30"/>
  <c r="D35" i="30"/>
  <c r="C35" i="30"/>
  <c r="L34" i="30"/>
  <c r="F34" i="30"/>
  <c r="E34" i="30"/>
  <c r="D34" i="30"/>
  <c r="C34" i="30"/>
  <c r="E33" i="30"/>
  <c r="D33" i="30"/>
  <c r="C33" i="30"/>
  <c r="M32" i="30"/>
  <c r="F32" i="30"/>
  <c r="E32" i="30"/>
  <c r="D32" i="30"/>
  <c r="C32" i="30"/>
  <c r="M31" i="30"/>
  <c r="J31" i="30"/>
  <c r="M30" i="30"/>
  <c r="M29" i="30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J29" i="30"/>
  <c r="M28" i="30"/>
  <c r="M27" i="30"/>
  <c r="J27" i="30"/>
  <c r="M26" i="30"/>
  <c r="M25" i="30"/>
  <c r="J25" i="30"/>
  <c r="M24" i="30"/>
  <c r="J24" i="30"/>
  <c r="M23" i="30"/>
  <c r="J23" i="30"/>
  <c r="F23" i="30"/>
  <c r="E23" i="30"/>
  <c r="D23" i="30"/>
  <c r="C23" i="30"/>
  <c r="M22" i="30"/>
  <c r="J21" i="30"/>
  <c r="M20" i="30"/>
  <c r="M19" i="30"/>
  <c r="J19" i="30"/>
  <c r="M18" i="30"/>
  <c r="J18" i="30"/>
  <c r="M17" i="30"/>
  <c r="J17" i="30"/>
  <c r="M16" i="30"/>
  <c r="M15" i="30"/>
  <c r="J15" i="30"/>
  <c r="M14" i="30"/>
  <c r="J14" i="30"/>
  <c r="F14" i="30"/>
  <c r="E14" i="30"/>
  <c r="D14" i="30"/>
  <c r="C14" i="30"/>
  <c r="M13" i="30"/>
  <c r="J13" i="30"/>
  <c r="M12" i="30"/>
  <c r="J12" i="30"/>
  <c r="J11" i="30"/>
  <c r="O10" i="30"/>
  <c r="K10" i="30"/>
  <c r="K34" i="30" s="1"/>
  <c r="O9" i="30"/>
  <c r="O8" i="30"/>
  <c r="J7" i="30"/>
  <c r="N6" i="30"/>
  <c r="H4" i="30"/>
  <c r="J57" i="29"/>
  <c r="C53" i="29"/>
  <c r="C52" i="29"/>
  <c r="D51" i="29"/>
  <c r="E51" i="29" s="1"/>
  <c r="C51" i="29"/>
  <c r="I50" i="29"/>
  <c r="C50" i="29"/>
  <c r="C49" i="29"/>
  <c r="D48" i="29"/>
  <c r="E48" i="29" s="1"/>
  <c r="C48" i="29"/>
  <c r="C47" i="29"/>
  <c r="E46" i="29"/>
  <c r="D46" i="29"/>
  <c r="D46" i="27" s="1"/>
  <c r="C46" i="29"/>
  <c r="C45" i="29"/>
  <c r="I44" i="29"/>
  <c r="D44" i="29"/>
  <c r="E44" i="29" s="1"/>
  <c r="C44" i="29"/>
  <c r="I43" i="29"/>
  <c r="C43" i="29"/>
  <c r="G42" i="29"/>
  <c r="F42" i="29"/>
  <c r="C42" i="29"/>
  <c r="E41" i="29"/>
  <c r="D41" i="29"/>
  <c r="D41" i="27" s="1"/>
  <c r="C41" i="29"/>
  <c r="C40" i="29"/>
  <c r="G39" i="29"/>
  <c r="C39" i="29"/>
  <c r="I38" i="29"/>
  <c r="G38" i="29"/>
  <c r="E38" i="29"/>
  <c r="D38" i="29"/>
  <c r="C38" i="29"/>
  <c r="I37" i="29"/>
  <c r="E35" i="29"/>
  <c r="D35" i="29"/>
  <c r="C35" i="29"/>
  <c r="L34" i="29"/>
  <c r="F34" i="29"/>
  <c r="E34" i="29"/>
  <c r="D34" i="29"/>
  <c r="C34" i="29"/>
  <c r="E33" i="29"/>
  <c r="D33" i="29"/>
  <c r="C33" i="29"/>
  <c r="M32" i="29"/>
  <c r="F32" i="29"/>
  <c r="E32" i="29"/>
  <c r="D32" i="29"/>
  <c r="C32" i="29"/>
  <c r="M31" i="29"/>
  <c r="M31" i="27" s="1"/>
  <c r="M31" i="28" s="1"/>
  <c r="J31" i="29"/>
  <c r="M30" i="29"/>
  <c r="R29" i="29"/>
  <c r="Q29" i="29"/>
  <c r="J29" i="29"/>
  <c r="R28" i="29"/>
  <c r="Q28" i="29"/>
  <c r="P28" i="29"/>
  <c r="M28" i="29"/>
  <c r="R27" i="29"/>
  <c r="Q27" i="29"/>
  <c r="O27" i="29"/>
  <c r="M27" i="29"/>
  <c r="M27" i="27" s="1"/>
  <c r="M27" i="28" s="1"/>
  <c r="J27" i="29"/>
  <c r="R26" i="29"/>
  <c r="Q26" i="29"/>
  <c r="O26" i="29"/>
  <c r="M26" i="29"/>
  <c r="M25" i="29"/>
  <c r="M25" i="27" s="1"/>
  <c r="M25" i="28" s="1"/>
  <c r="J25" i="29"/>
  <c r="M24" i="29"/>
  <c r="J24" i="29"/>
  <c r="M23" i="29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J23" i="29"/>
  <c r="F23" i="29"/>
  <c r="E23" i="29"/>
  <c r="D23" i="29"/>
  <c r="C23" i="29"/>
  <c r="M22" i="29"/>
  <c r="J21" i="29"/>
  <c r="M20" i="29"/>
  <c r="M19" i="29"/>
  <c r="M19" i="27" s="1"/>
  <c r="M19" i="28" s="1"/>
  <c r="J19" i="29"/>
  <c r="M18" i="29"/>
  <c r="J18" i="29"/>
  <c r="M17" i="29"/>
  <c r="M17" i="27" s="1"/>
  <c r="M17" i="28" s="1"/>
  <c r="J17" i="29"/>
  <c r="M16" i="29"/>
  <c r="M15" i="29"/>
  <c r="M15" i="27" s="1"/>
  <c r="M15" i="28" s="1"/>
  <c r="J15" i="29"/>
  <c r="M14" i="29"/>
  <c r="J14" i="29"/>
  <c r="F14" i="29"/>
  <c r="E14" i="29"/>
  <c r="D14" i="29"/>
  <c r="C14" i="29"/>
  <c r="M13" i="29"/>
  <c r="M13" i="27" s="1"/>
  <c r="M13" i="28" s="1"/>
  <c r="J13" i="29"/>
  <c r="R12" i="29"/>
  <c r="Q12" i="29"/>
  <c r="M12" i="29"/>
  <c r="J12" i="29"/>
  <c r="J12" i="27" s="1"/>
  <c r="R11" i="29"/>
  <c r="Q11" i="29"/>
  <c r="P11" i="29"/>
  <c r="K11" i="29"/>
  <c r="R10" i="29"/>
  <c r="Q10" i="29"/>
  <c r="P10" i="29"/>
  <c r="O10" i="29"/>
  <c r="K10" i="29"/>
  <c r="J10" i="29"/>
  <c r="R9" i="29"/>
  <c r="Q9" i="29"/>
  <c r="O9" i="29"/>
  <c r="R8" i="29"/>
  <c r="Q8" i="29"/>
  <c r="O8" i="29"/>
  <c r="J7" i="29"/>
  <c r="N6" i="29"/>
  <c r="H4" i="29"/>
  <c r="J57" i="27"/>
  <c r="C53" i="27"/>
  <c r="C52" i="27"/>
  <c r="D51" i="27"/>
  <c r="E51" i="27" s="1"/>
  <c r="C51" i="27"/>
  <c r="I50" i="27"/>
  <c r="C50" i="27"/>
  <c r="C49" i="27"/>
  <c r="E48" i="27"/>
  <c r="D48" i="27"/>
  <c r="C48" i="27"/>
  <c r="C47" i="27"/>
  <c r="C46" i="27"/>
  <c r="C45" i="27"/>
  <c r="E44" i="27"/>
  <c r="D44" i="27"/>
  <c r="C44" i="27"/>
  <c r="I43" i="27"/>
  <c r="C43" i="27"/>
  <c r="G42" i="27"/>
  <c r="F42" i="27"/>
  <c r="C42" i="27"/>
  <c r="C41" i="27"/>
  <c r="G40" i="27"/>
  <c r="C40" i="27"/>
  <c r="G39" i="27"/>
  <c r="C39" i="27"/>
  <c r="I38" i="27"/>
  <c r="G38" i="27"/>
  <c r="D38" i="27"/>
  <c r="E38" i="27" s="1"/>
  <c r="C38" i="27"/>
  <c r="I37" i="27"/>
  <c r="E35" i="27"/>
  <c r="D35" i="27"/>
  <c r="C35" i="27"/>
  <c r="L34" i="27"/>
  <c r="F34" i="27"/>
  <c r="E34" i="27"/>
  <c r="D34" i="27"/>
  <c r="C34" i="27"/>
  <c r="E33" i="27"/>
  <c r="D33" i="27"/>
  <c r="C33" i="27"/>
  <c r="M32" i="27"/>
  <c r="F32" i="27"/>
  <c r="E32" i="27"/>
  <c r="D32" i="27"/>
  <c r="C32" i="27"/>
  <c r="J31" i="27"/>
  <c r="M30" i="27"/>
  <c r="J29" i="27"/>
  <c r="M28" i="27"/>
  <c r="M28" i="28" s="1"/>
  <c r="M28" i="26" s="1"/>
  <c r="J27" i="27"/>
  <c r="M26" i="27"/>
  <c r="J25" i="27"/>
  <c r="J25" i="28" s="1"/>
  <c r="M24" i="27"/>
  <c r="J24" i="27"/>
  <c r="J23" i="27"/>
  <c r="J23" i="28" s="1"/>
  <c r="J23" i="26" s="1"/>
  <c r="J23" i="25" s="1"/>
  <c r="J23" i="24" s="1"/>
  <c r="J23" i="23" s="1"/>
  <c r="J23" i="21" s="1"/>
  <c r="J23" i="22" s="1"/>
  <c r="J23" i="20" s="1"/>
  <c r="F23" i="27"/>
  <c r="E23" i="27"/>
  <c r="D23" i="27"/>
  <c r="C23" i="27"/>
  <c r="M22" i="27"/>
  <c r="J21" i="27"/>
  <c r="J21" i="28" s="1"/>
  <c r="J21" i="26" s="1"/>
  <c r="J21" i="25" s="1"/>
  <c r="J21" i="24" s="1"/>
  <c r="J21" i="23" s="1"/>
  <c r="J21" i="21" s="1"/>
  <c r="J21" i="22" s="1"/>
  <c r="J21" i="20" s="1"/>
  <c r="M20" i="27"/>
  <c r="J19" i="27"/>
  <c r="J19" i="28" s="1"/>
  <c r="J19" i="26" s="1"/>
  <c r="J19" i="25" s="1"/>
  <c r="J19" i="24" s="1"/>
  <c r="J19" i="23" s="1"/>
  <c r="J19" i="21" s="1"/>
  <c r="J19" i="22" s="1"/>
  <c r="M18" i="27"/>
  <c r="J18" i="27"/>
  <c r="J17" i="27"/>
  <c r="J17" i="28" s="1"/>
  <c r="J17" i="26" s="1"/>
  <c r="M16" i="27"/>
  <c r="J15" i="27"/>
  <c r="J15" i="28" s="1"/>
  <c r="M14" i="27"/>
  <c r="J14" i="27"/>
  <c r="F14" i="27"/>
  <c r="E14" i="27"/>
  <c r="D14" i="27"/>
  <c r="C14" i="27"/>
  <c r="J13" i="27"/>
  <c r="J13" i="28" s="1"/>
  <c r="M12" i="27"/>
  <c r="K11" i="27"/>
  <c r="J11" i="27"/>
  <c r="J11" i="28" s="1"/>
  <c r="K10" i="27"/>
  <c r="J10" i="27"/>
  <c r="J10" i="28" s="1"/>
  <c r="J10" i="26" s="1"/>
  <c r="O8" i="27"/>
  <c r="C8" i="27"/>
  <c r="J7" i="27"/>
  <c r="C7" i="27"/>
  <c r="N6" i="27"/>
  <c r="H4" i="27"/>
  <c r="J57" i="28"/>
  <c r="C53" i="28"/>
  <c r="C52" i="28"/>
  <c r="D51" i="28"/>
  <c r="E51" i="28" s="1"/>
  <c r="C51" i="28"/>
  <c r="I50" i="28"/>
  <c r="C50" i="28"/>
  <c r="C49" i="28"/>
  <c r="E48" i="28"/>
  <c r="D48" i="28"/>
  <c r="C48" i="28"/>
  <c r="C47" i="28"/>
  <c r="C46" i="28"/>
  <c r="C45" i="28"/>
  <c r="E44" i="28"/>
  <c r="D44" i="28"/>
  <c r="C44" i="28"/>
  <c r="I43" i="28"/>
  <c r="C43" i="28"/>
  <c r="G42" i="28"/>
  <c r="F42" i="28"/>
  <c r="C42" i="28"/>
  <c r="C41" i="28"/>
  <c r="C40" i="28"/>
  <c r="G39" i="28"/>
  <c r="C39" i="28"/>
  <c r="N38" i="28"/>
  <c r="I38" i="28"/>
  <c r="G38" i="28"/>
  <c r="D38" i="28"/>
  <c r="E38" i="28" s="1"/>
  <c r="C38" i="28"/>
  <c r="N37" i="28"/>
  <c r="I37" i="28"/>
  <c r="E35" i="28"/>
  <c r="D35" i="28"/>
  <c r="C35" i="28"/>
  <c r="L34" i="28"/>
  <c r="F34" i="28"/>
  <c r="E34" i="28"/>
  <c r="D34" i="28"/>
  <c r="C34" i="28"/>
  <c r="E33" i="28"/>
  <c r="D33" i="28"/>
  <c r="C33" i="28"/>
  <c r="M32" i="28"/>
  <c r="M32" i="26" s="1"/>
  <c r="F32" i="28"/>
  <c r="E32" i="28"/>
  <c r="D32" i="28"/>
  <c r="C32" i="28"/>
  <c r="J31" i="28"/>
  <c r="J31" i="26" s="1"/>
  <c r="M30" i="28"/>
  <c r="M30" i="26" s="1"/>
  <c r="J29" i="28"/>
  <c r="J27" i="28"/>
  <c r="J27" i="26" s="1"/>
  <c r="M26" i="28"/>
  <c r="M26" i="26" s="1"/>
  <c r="C26" i="28"/>
  <c r="C25" i="28"/>
  <c r="M24" i="28"/>
  <c r="M24" i="26" s="1"/>
  <c r="M24" i="25" s="1"/>
  <c r="M24" i="24" s="1"/>
  <c r="M24" i="23" s="1"/>
  <c r="M24" i="21" s="1"/>
  <c r="M24" i="22" s="1"/>
  <c r="M24" i="20" s="1"/>
  <c r="M24" i="19" s="1"/>
  <c r="M24" i="18" s="1"/>
  <c r="J24" i="28"/>
  <c r="F23" i="28"/>
  <c r="E23" i="28"/>
  <c r="D23" i="28"/>
  <c r="C23" i="28"/>
  <c r="M22" i="28"/>
  <c r="M22" i="26" s="1"/>
  <c r="M20" i="28"/>
  <c r="M18" i="28"/>
  <c r="M18" i="26" s="1"/>
  <c r="M18" i="25" s="1"/>
  <c r="M18" i="24" s="1"/>
  <c r="M18" i="23" s="1"/>
  <c r="M18" i="21" s="1"/>
  <c r="M18" i="22" s="1"/>
  <c r="J18" i="28"/>
  <c r="M16" i="28"/>
  <c r="M14" i="28"/>
  <c r="J14" i="28"/>
  <c r="F14" i="28"/>
  <c r="E14" i="28"/>
  <c r="D14" i="28"/>
  <c r="C14" i="28"/>
  <c r="M12" i="28"/>
  <c r="K12" i="28"/>
  <c r="R11" i="28"/>
  <c r="Q11" i="28"/>
  <c r="K11" i="28"/>
  <c r="R10" i="28"/>
  <c r="Q10" i="28"/>
  <c r="P10" i="28"/>
  <c r="R9" i="28"/>
  <c r="Q9" i="28"/>
  <c r="P9" i="28"/>
  <c r="O9" i="28"/>
  <c r="M9" i="28"/>
  <c r="R8" i="28"/>
  <c r="Q8" i="28"/>
  <c r="P8" i="28"/>
  <c r="O8" i="28"/>
  <c r="J7" i="28"/>
  <c r="N6" i="28"/>
  <c r="H4" i="28"/>
  <c r="J57" i="26"/>
  <c r="C53" i="26"/>
  <c r="C52" i="26"/>
  <c r="D51" i="26"/>
  <c r="E51" i="26" s="1"/>
  <c r="C51" i="26"/>
  <c r="I50" i="26"/>
  <c r="C50" i="26"/>
  <c r="C49" i="26"/>
  <c r="D48" i="26"/>
  <c r="E48" i="26" s="1"/>
  <c r="C48" i="26"/>
  <c r="C47" i="26"/>
  <c r="C46" i="26"/>
  <c r="C45" i="26"/>
  <c r="D44" i="26"/>
  <c r="E44" i="26" s="1"/>
  <c r="C44" i="26"/>
  <c r="I43" i="26"/>
  <c r="C43" i="26"/>
  <c r="G42" i="26"/>
  <c r="F42" i="26"/>
  <c r="C42" i="26"/>
  <c r="C41" i="26"/>
  <c r="N40" i="26"/>
  <c r="G40" i="26"/>
  <c r="C40" i="26"/>
  <c r="N39" i="26"/>
  <c r="G39" i="26"/>
  <c r="C39" i="26"/>
  <c r="I38" i="26"/>
  <c r="E38" i="26"/>
  <c r="D38" i="26"/>
  <c r="C38" i="26"/>
  <c r="N37" i="26"/>
  <c r="I37" i="26"/>
  <c r="E35" i="26"/>
  <c r="D35" i="26"/>
  <c r="C35" i="26"/>
  <c r="L34" i="26"/>
  <c r="F34" i="26"/>
  <c r="E34" i="26"/>
  <c r="D34" i="26"/>
  <c r="C34" i="26"/>
  <c r="E33" i="26"/>
  <c r="D33" i="26"/>
  <c r="C33" i="26"/>
  <c r="J32" i="26"/>
  <c r="J32" i="25" s="1"/>
  <c r="F32" i="26"/>
  <c r="E32" i="26"/>
  <c r="D32" i="26"/>
  <c r="C32" i="26"/>
  <c r="M31" i="26"/>
  <c r="M31" i="25" s="1"/>
  <c r="J30" i="26"/>
  <c r="J30" i="25" s="1"/>
  <c r="J29" i="26"/>
  <c r="J28" i="26"/>
  <c r="M27" i="26"/>
  <c r="M27" i="25" s="1"/>
  <c r="J26" i="26"/>
  <c r="J26" i="25" s="1"/>
  <c r="M25" i="26"/>
  <c r="M25" i="25" s="1"/>
  <c r="J25" i="26"/>
  <c r="J24" i="26"/>
  <c r="J24" i="24" s="1"/>
  <c r="J24" i="23" s="1"/>
  <c r="J24" i="21" s="1"/>
  <c r="J24" i="22" s="1"/>
  <c r="J24" i="20" s="1"/>
  <c r="J24" i="19" s="1"/>
  <c r="J24" i="18" s="1"/>
  <c r="F23" i="26"/>
  <c r="E23" i="26"/>
  <c r="D23" i="26"/>
  <c r="C23" i="26"/>
  <c r="J22" i="26"/>
  <c r="J22" i="25" s="1"/>
  <c r="J22" i="24" s="1"/>
  <c r="J22" i="23" s="1"/>
  <c r="J22" i="21" s="1"/>
  <c r="J22" i="22" s="1"/>
  <c r="J22" i="20" s="1"/>
  <c r="J22" i="19" s="1"/>
  <c r="J22" i="18" s="1"/>
  <c r="R21" i="26"/>
  <c r="Q21" i="26"/>
  <c r="R20" i="26"/>
  <c r="Q20" i="26"/>
  <c r="P20" i="26"/>
  <c r="M20" i="26"/>
  <c r="J20" i="26"/>
  <c r="J20" i="25" s="1"/>
  <c r="J20" i="24" s="1"/>
  <c r="J20" i="23" s="1"/>
  <c r="J20" i="21" s="1"/>
  <c r="J20" i="22" s="1"/>
  <c r="J20" i="20" s="1"/>
  <c r="J20" i="19" s="1"/>
  <c r="R19" i="26"/>
  <c r="Q19" i="26"/>
  <c r="O19" i="26"/>
  <c r="M19" i="26"/>
  <c r="M19" i="25" s="1"/>
  <c r="R18" i="26"/>
  <c r="Q18" i="26"/>
  <c r="P18" i="26"/>
  <c r="O18" i="26"/>
  <c r="J18" i="26"/>
  <c r="J18" i="25" s="1"/>
  <c r="J18" i="24" s="1"/>
  <c r="J18" i="23" s="1"/>
  <c r="J18" i="21" s="1"/>
  <c r="C18" i="26"/>
  <c r="M17" i="26"/>
  <c r="C17" i="26"/>
  <c r="M16" i="26"/>
  <c r="C16" i="26"/>
  <c r="M15" i="26"/>
  <c r="M15" i="25" s="1"/>
  <c r="J15" i="26"/>
  <c r="M14" i="26"/>
  <c r="K14" i="26"/>
  <c r="F14" i="26"/>
  <c r="E14" i="26"/>
  <c r="D14" i="26"/>
  <c r="C14" i="26"/>
  <c r="R13" i="26"/>
  <c r="Q13" i="26"/>
  <c r="M13" i="26"/>
  <c r="M13" i="25" s="1"/>
  <c r="M13" i="24" s="1"/>
  <c r="M13" i="23" s="1"/>
  <c r="M13" i="21" s="1"/>
  <c r="M13" i="22" s="1"/>
  <c r="M13" i="20" s="1"/>
  <c r="M13" i="19" s="1"/>
  <c r="K13" i="26"/>
  <c r="R12" i="26"/>
  <c r="Q12" i="26"/>
  <c r="P12" i="26"/>
  <c r="K12" i="26"/>
  <c r="J12" i="26"/>
  <c r="J12" i="25" s="1"/>
  <c r="J12" i="24" s="1"/>
  <c r="J12" i="23" s="1"/>
  <c r="J12" i="21" s="1"/>
  <c r="J12" i="22" s="1"/>
  <c r="J12" i="20" s="1"/>
  <c r="R11" i="26"/>
  <c r="Q11" i="26"/>
  <c r="P11" i="26"/>
  <c r="O11" i="26"/>
  <c r="K11" i="26"/>
  <c r="J11" i="26"/>
  <c r="J11" i="25" s="1"/>
  <c r="R10" i="26"/>
  <c r="Q10" i="26"/>
  <c r="P10" i="26"/>
  <c r="O10" i="26"/>
  <c r="K10" i="26"/>
  <c r="C10" i="26"/>
  <c r="R9" i="26"/>
  <c r="Q9" i="26"/>
  <c r="P9" i="26"/>
  <c r="O9" i="26"/>
  <c r="M9" i="26"/>
  <c r="M9" i="25" s="1"/>
  <c r="M9" i="24" s="1"/>
  <c r="M9" i="23" s="1"/>
  <c r="M9" i="21" s="1"/>
  <c r="M9" i="22" s="1"/>
  <c r="M9" i="20" s="1"/>
  <c r="M9" i="19" s="1"/>
  <c r="C9" i="26"/>
  <c r="R8" i="26"/>
  <c r="Q8" i="26"/>
  <c r="P8" i="26"/>
  <c r="O8" i="26"/>
  <c r="C8" i="26"/>
  <c r="J7" i="26"/>
  <c r="C7" i="26"/>
  <c r="N6" i="26"/>
  <c r="H4" i="26"/>
  <c r="J57" i="25"/>
  <c r="C53" i="25"/>
  <c r="C52" i="25"/>
  <c r="E51" i="25"/>
  <c r="D51" i="25"/>
  <c r="C51" i="25"/>
  <c r="I50" i="25"/>
  <c r="C50" i="25"/>
  <c r="C49" i="25"/>
  <c r="E48" i="25"/>
  <c r="D48" i="25"/>
  <c r="C48" i="25"/>
  <c r="C47" i="25"/>
  <c r="C46" i="25"/>
  <c r="C45" i="25"/>
  <c r="D44" i="25"/>
  <c r="E44" i="25" s="1"/>
  <c r="C44" i="25"/>
  <c r="I43" i="25"/>
  <c r="C43" i="25"/>
  <c r="G42" i="25"/>
  <c r="F42" i="25"/>
  <c r="C42" i="25"/>
  <c r="C41" i="25"/>
  <c r="G40" i="25"/>
  <c r="C40" i="25"/>
  <c r="G39" i="25"/>
  <c r="C39" i="25"/>
  <c r="N38" i="25"/>
  <c r="J38" i="25"/>
  <c r="I38" i="25"/>
  <c r="D38" i="25"/>
  <c r="E38" i="25" s="1"/>
  <c r="C38" i="25"/>
  <c r="I37" i="25"/>
  <c r="E35" i="25"/>
  <c r="D35" i="25"/>
  <c r="C35" i="25"/>
  <c r="L34" i="25"/>
  <c r="K34" i="25"/>
  <c r="I40" i="25" s="1"/>
  <c r="I51" i="25" s="1"/>
  <c r="F34" i="25"/>
  <c r="E34" i="25"/>
  <c r="D34" i="25"/>
  <c r="C34" i="25"/>
  <c r="E33" i="25"/>
  <c r="D33" i="25"/>
  <c r="C33" i="25"/>
  <c r="M32" i="25"/>
  <c r="F32" i="25"/>
  <c r="E32" i="25"/>
  <c r="D32" i="25"/>
  <c r="C32" i="25"/>
  <c r="J31" i="25"/>
  <c r="M30" i="25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J29" i="25"/>
  <c r="M28" i="25"/>
  <c r="M28" i="24" s="1"/>
  <c r="M28" i="23" s="1"/>
  <c r="M28" i="21" s="1"/>
  <c r="M28" i="22" s="1"/>
  <c r="M28" i="20" s="1"/>
  <c r="M28" i="19" s="1"/>
  <c r="M28" i="18" s="1"/>
  <c r="J28" i="25"/>
  <c r="J27" i="25"/>
  <c r="M26" i="25"/>
  <c r="J25" i="25"/>
  <c r="F23" i="25"/>
  <c r="E23" i="25"/>
  <c r="D23" i="25"/>
  <c r="C23" i="25"/>
  <c r="M22" i="25"/>
  <c r="M21" i="25"/>
  <c r="M20" i="25"/>
  <c r="M17" i="25"/>
  <c r="J17" i="25"/>
  <c r="M16" i="25"/>
  <c r="J15" i="25"/>
  <c r="M14" i="25"/>
  <c r="M14" i="24" s="1"/>
  <c r="M14" i="23" s="1"/>
  <c r="M14" i="21" s="1"/>
  <c r="M14" i="22" s="1"/>
  <c r="M14" i="20" s="1"/>
  <c r="M14" i="19" s="1"/>
  <c r="K14" i="25"/>
  <c r="J14" i="25"/>
  <c r="F14" i="25"/>
  <c r="E14" i="25"/>
  <c r="D14" i="25"/>
  <c r="C14" i="25"/>
  <c r="J13" i="25"/>
  <c r="J13" i="24" s="1"/>
  <c r="J13" i="23" s="1"/>
  <c r="J13" i="21" s="1"/>
  <c r="J13" i="22" s="1"/>
  <c r="J13" i="20" s="1"/>
  <c r="J13" i="19" s="1"/>
  <c r="R11" i="25"/>
  <c r="Q11" i="25"/>
  <c r="R10" i="25"/>
  <c r="Q10" i="25"/>
  <c r="P10" i="25"/>
  <c r="J10" i="25"/>
  <c r="R9" i="25"/>
  <c r="Q9" i="25"/>
  <c r="P9" i="25"/>
  <c r="O9" i="25"/>
  <c r="J9" i="25"/>
  <c r="R8" i="25"/>
  <c r="Q8" i="25"/>
  <c r="O8" i="25"/>
  <c r="K7" i="25"/>
  <c r="J7" i="25"/>
  <c r="N6" i="25"/>
  <c r="H4" i="25"/>
  <c r="C53" i="24"/>
  <c r="C52" i="24"/>
  <c r="E51" i="24"/>
  <c r="D51" i="24"/>
  <c r="C51" i="24"/>
  <c r="I50" i="24"/>
  <c r="C50" i="24"/>
  <c r="C49" i="24"/>
  <c r="E48" i="24"/>
  <c r="D48" i="24"/>
  <c r="C48" i="24"/>
  <c r="C47" i="24"/>
  <c r="C46" i="24"/>
  <c r="C45" i="24"/>
  <c r="E44" i="24"/>
  <c r="D44" i="24"/>
  <c r="C44" i="24"/>
  <c r="I43" i="24"/>
  <c r="C43" i="24"/>
  <c r="G42" i="24"/>
  <c r="F42" i="24"/>
  <c r="C42" i="24"/>
  <c r="C41" i="24"/>
  <c r="C40" i="24"/>
  <c r="C39" i="24"/>
  <c r="N38" i="24"/>
  <c r="J38" i="24"/>
  <c r="I38" i="24"/>
  <c r="D38" i="24"/>
  <c r="E38" i="24" s="1"/>
  <c r="C38" i="24"/>
  <c r="N37" i="24"/>
  <c r="I37" i="24"/>
  <c r="E35" i="24"/>
  <c r="D35" i="24"/>
  <c r="C35" i="24"/>
  <c r="L34" i="24"/>
  <c r="K34" i="24"/>
  <c r="I40" i="24" s="1"/>
  <c r="F34" i="24"/>
  <c r="E34" i="24"/>
  <c r="D34" i="24"/>
  <c r="C34" i="24"/>
  <c r="E33" i="24"/>
  <c r="D33" i="24"/>
  <c r="C33" i="24"/>
  <c r="M32" i="24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J32" i="24"/>
  <c r="F32" i="24"/>
  <c r="E32" i="24"/>
  <c r="D32" i="24"/>
  <c r="C32" i="24"/>
  <c r="M31" i="24"/>
  <c r="M31" i="23" s="1"/>
  <c r="M31" i="21" s="1"/>
  <c r="M31" i="22" s="1"/>
  <c r="M31" i="20" s="1"/>
  <c r="M31" i="19" s="1"/>
  <c r="M31" i="18" s="1"/>
  <c r="J31" i="24"/>
  <c r="R30" i="24"/>
  <c r="Q30" i="24"/>
  <c r="R29" i="24"/>
  <c r="Q29" i="24"/>
  <c r="P29" i="24"/>
  <c r="J29" i="24"/>
  <c r="J29" i="23" s="1"/>
  <c r="J29" i="21" s="1"/>
  <c r="J29" i="22" s="1"/>
  <c r="J29" i="20" s="1"/>
  <c r="J29" i="19" s="1"/>
  <c r="J29" i="18" s="1"/>
  <c r="R28" i="24"/>
  <c r="Q28" i="24"/>
  <c r="P28" i="24"/>
  <c r="O28" i="24"/>
  <c r="J28" i="24"/>
  <c r="R27" i="24"/>
  <c r="Q27" i="24"/>
  <c r="P27" i="24"/>
  <c r="O27" i="24"/>
  <c r="M27" i="24"/>
  <c r="J27" i="24"/>
  <c r="R26" i="24"/>
  <c r="Q26" i="24"/>
  <c r="O26" i="24"/>
  <c r="M26" i="24"/>
  <c r="M26" i="23" s="1"/>
  <c r="M26" i="21" s="1"/>
  <c r="M26" i="22" s="1"/>
  <c r="M26" i="20" s="1"/>
  <c r="J26" i="24"/>
  <c r="M25" i="24"/>
  <c r="J25" i="24"/>
  <c r="F23" i="24"/>
  <c r="E23" i="24"/>
  <c r="D23" i="24"/>
  <c r="C23" i="24"/>
  <c r="M22" i="24"/>
  <c r="M21" i="24"/>
  <c r="M21" i="23" s="1"/>
  <c r="M21" i="21" s="1"/>
  <c r="M21" i="22" s="1"/>
  <c r="M21" i="20" s="1"/>
  <c r="M21" i="19" s="1"/>
  <c r="M21" i="18" s="1"/>
  <c r="M20" i="24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19" i="24"/>
  <c r="M17" i="24"/>
  <c r="J17" i="24"/>
  <c r="M16" i="24"/>
  <c r="M16" i="23" s="1"/>
  <c r="M16" i="21" s="1"/>
  <c r="M16" i="22" s="1"/>
  <c r="M16" i="20" s="1"/>
  <c r="J16" i="24"/>
  <c r="M15" i="24"/>
  <c r="K15" i="24"/>
  <c r="J14" i="24"/>
  <c r="F14" i="24"/>
  <c r="E14" i="24"/>
  <c r="D14" i="24"/>
  <c r="C14" i="24"/>
  <c r="R12" i="24"/>
  <c r="Q12" i="24"/>
  <c r="R11" i="24"/>
  <c r="Q11" i="24"/>
  <c r="P11" i="24"/>
  <c r="J11" i="24"/>
  <c r="R10" i="24"/>
  <c r="Q10" i="24"/>
  <c r="O10" i="24"/>
  <c r="J10" i="24"/>
  <c r="R9" i="24"/>
  <c r="Q9" i="24"/>
  <c r="O9" i="24"/>
  <c r="J9" i="24"/>
  <c r="J9" i="23" s="1"/>
  <c r="J9" i="21" s="1"/>
  <c r="J9" i="22" s="1"/>
  <c r="J9" i="20" s="1"/>
  <c r="J9" i="19" s="1"/>
  <c r="J9" i="18" s="1"/>
  <c r="J9" i="17" s="1"/>
  <c r="J9" i="16" s="1"/>
  <c r="R8" i="24"/>
  <c r="Q8" i="24"/>
  <c r="O8" i="24"/>
  <c r="K7" i="24"/>
  <c r="J7" i="24"/>
  <c r="N6" i="24"/>
  <c r="H4" i="24"/>
  <c r="J57" i="23"/>
  <c r="C53" i="23"/>
  <c r="C52" i="23"/>
  <c r="D51" i="23"/>
  <c r="E51" i="23" s="1"/>
  <c r="C51" i="23"/>
  <c r="I50" i="23"/>
  <c r="C50" i="23"/>
  <c r="C49" i="23"/>
  <c r="D48" i="23"/>
  <c r="E48" i="23" s="1"/>
  <c r="C48" i="23"/>
  <c r="C47" i="23"/>
  <c r="C46" i="23"/>
  <c r="C45" i="23"/>
  <c r="D44" i="23"/>
  <c r="E44" i="23" s="1"/>
  <c r="C44" i="23"/>
  <c r="I43" i="23"/>
  <c r="I44" i="23" s="1"/>
  <c r="C43" i="23"/>
  <c r="G42" i="23"/>
  <c r="F42" i="23"/>
  <c r="C42" i="23"/>
  <c r="C41" i="23"/>
  <c r="Q40" i="23"/>
  <c r="C40" i="23"/>
  <c r="C39" i="23"/>
  <c r="J38" i="23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I38" i="23"/>
  <c r="C38" i="23"/>
  <c r="I37" i="23"/>
  <c r="S36" i="23"/>
  <c r="R36" i="23"/>
  <c r="S35" i="23"/>
  <c r="R35" i="23"/>
  <c r="Q35" i="23"/>
  <c r="E35" i="23"/>
  <c r="D35" i="23"/>
  <c r="C35" i="23"/>
  <c r="L34" i="23"/>
  <c r="F34" i="23"/>
  <c r="E34" i="23"/>
  <c r="D34" i="23"/>
  <c r="C34" i="23"/>
  <c r="E33" i="23"/>
  <c r="D33" i="23"/>
  <c r="C33" i="23"/>
  <c r="S32" i="23"/>
  <c r="R32" i="23"/>
  <c r="P32" i="23"/>
  <c r="J32" i="23"/>
  <c r="F32" i="23"/>
  <c r="E32" i="23"/>
  <c r="D32" i="23"/>
  <c r="C32" i="23"/>
  <c r="S31" i="23"/>
  <c r="R31" i="23"/>
  <c r="P31" i="23"/>
  <c r="J31" i="23"/>
  <c r="S30" i="23"/>
  <c r="R30" i="23"/>
  <c r="P30" i="23"/>
  <c r="S28" i="23"/>
  <c r="R28" i="23"/>
  <c r="Q28" i="23"/>
  <c r="J28" i="23"/>
  <c r="J28" i="21" s="1"/>
  <c r="J28" i="22" s="1"/>
  <c r="J28" i="20" s="1"/>
  <c r="J28" i="19" s="1"/>
  <c r="J28" i="18" s="1"/>
  <c r="S27" i="23"/>
  <c r="R27" i="23"/>
  <c r="P27" i="23"/>
  <c r="M27" i="23"/>
  <c r="J27" i="23"/>
  <c r="J26" i="23"/>
  <c r="S25" i="23"/>
  <c r="R25" i="23"/>
  <c r="M25" i="23"/>
  <c r="J25" i="23"/>
  <c r="S24" i="23"/>
  <c r="R24" i="23"/>
  <c r="Q24" i="23"/>
  <c r="F23" i="23"/>
  <c r="E23" i="23"/>
  <c r="D23" i="23"/>
  <c r="C23" i="23"/>
  <c r="M22" i="23"/>
  <c r="S21" i="23"/>
  <c r="R21" i="23"/>
  <c r="P21" i="23"/>
  <c r="S20" i="23"/>
  <c r="R20" i="23"/>
  <c r="P20" i="23"/>
  <c r="S19" i="23"/>
  <c r="R19" i="23"/>
  <c r="P19" i="23"/>
  <c r="M19" i="23"/>
  <c r="M19" i="21" s="1"/>
  <c r="M19" i="22" s="1"/>
  <c r="M19" i="20" s="1"/>
  <c r="S17" i="23"/>
  <c r="R17" i="23"/>
  <c r="Q17" i="23"/>
  <c r="K17" i="23"/>
  <c r="S16" i="23"/>
  <c r="R16" i="23"/>
  <c r="P16" i="23"/>
  <c r="K16" i="23"/>
  <c r="Y15" i="23"/>
  <c r="X15" i="23"/>
  <c r="S15" i="23"/>
  <c r="R15" i="23"/>
  <c r="M15" i="23"/>
  <c r="M15" i="21" s="1"/>
  <c r="M15" i="22" s="1"/>
  <c r="M15" i="20" s="1"/>
  <c r="M15" i="19" s="1"/>
  <c r="J15" i="23"/>
  <c r="Y14" i="23"/>
  <c r="X14" i="23"/>
  <c r="W14" i="23"/>
  <c r="S14" i="23"/>
  <c r="R14" i="23"/>
  <c r="Q14" i="23"/>
  <c r="J14" i="23"/>
  <c r="F14" i="23"/>
  <c r="E14" i="23"/>
  <c r="D14" i="23"/>
  <c r="C14" i="23"/>
  <c r="Y11" i="23"/>
  <c r="X11" i="23"/>
  <c r="V11" i="23"/>
  <c r="S11" i="23"/>
  <c r="R11" i="23"/>
  <c r="P11" i="23"/>
  <c r="J11" i="23"/>
  <c r="Y10" i="23"/>
  <c r="X10" i="23"/>
  <c r="V10" i="23"/>
  <c r="S10" i="23"/>
  <c r="R10" i="23"/>
  <c r="P10" i="23"/>
  <c r="J10" i="23"/>
  <c r="Y9" i="23"/>
  <c r="X9" i="23"/>
  <c r="V9" i="23"/>
  <c r="S9" i="23"/>
  <c r="R9" i="23"/>
  <c r="P9" i="23"/>
  <c r="Y8" i="23"/>
  <c r="X8" i="23"/>
  <c r="C8" i="23"/>
  <c r="Y7" i="23"/>
  <c r="X7" i="23"/>
  <c r="S7" i="23"/>
  <c r="R7" i="23"/>
  <c r="Q7" i="23"/>
  <c r="P7" i="23"/>
  <c r="J7" i="23"/>
  <c r="J7" i="21" s="1"/>
  <c r="J7" i="22" s="1"/>
  <c r="J7" i="20" s="1"/>
  <c r="J7" i="19" s="1"/>
  <c r="C7" i="23"/>
  <c r="Y6" i="23"/>
  <c r="X6" i="23"/>
  <c r="S6" i="23"/>
  <c r="R6" i="23"/>
  <c r="Q6" i="23"/>
  <c r="P6" i="23"/>
  <c r="J4" i="23"/>
  <c r="H4" i="23"/>
  <c r="J57" i="21"/>
  <c r="C53" i="21"/>
  <c r="C52" i="21"/>
  <c r="C51" i="21"/>
  <c r="I50" i="21"/>
  <c r="C50" i="21"/>
  <c r="C49" i="21"/>
  <c r="E48" i="21"/>
  <c r="D48" i="21"/>
  <c r="C48" i="21"/>
  <c r="C47" i="21"/>
  <c r="C46" i="21"/>
  <c r="C45" i="21"/>
  <c r="I44" i="21"/>
  <c r="E44" i="21"/>
  <c r="D44" i="21"/>
  <c r="C44" i="21"/>
  <c r="I43" i="21"/>
  <c r="C43" i="21"/>
  <c r="G42" i="21"/>
  <c r="F42" i="21"/>
  <c r="C42" i="21"/>
  <c r="C41" i="21"/>
  <c r="G40" i="21"/>
  <c r="C40" i="21"/>
  <c r="G39" i="21"/>
  <c r="C39" i="21"/>
  <c r="I38" i="21"/>
  <c r="G38" i="21"/>
  <c r="C38" i="21"/>
  <c r="I37" i="21"/>
  <c r="E35" i="21"/>
  <c r="D35" i="21"/>
  <c r="C35" i="21"/>
  <c r="L34" i="21"/>
  <c r="F34" i="21"/>
  <c r="E34" i="21"/>
  <c r="D34" i="21"/>
  <c r="C34" i="21"/>
  <c r="E33" i="21"/>
  <c r="D33" i="21"/>
  <c r="C33" i="21"/>
  <c r="J32" i="21"/>
  <c r="F32" i="21"/>
  <c r="E32" i="21"/>
  <c r="D32" i="21"/>
  <c r="C32" i="21"/>
  <c r="J31" i="21"/>
  <c r="J31" i="22" s="1"/>
  <c r="J31" i="20" s="1"/>
  <c r="J31" i="19" s="1"/>
  <c r="M27" i="21"/>
  <c r="J27" i="21"/>
  <c r="J27" i="22" s="1"/>
  <c r="J27" i="20" s="1"/>
  <c r="J27" i="19" s="1"/>
  <c r="J27" i="18" s="1"/>
  <c r="J26" i="21"/>
  <c r="M25" i="21"/>
  <c r="J25" i="21"/>
  <c r="F23" i="21"/>
  <c r="E23" i="21"/>
  <c r="D23" i="21"/>
  <c r="C23" i="21"/>
  <c r="M22" i="21"/>
  <c r="K17" i="21"/>
  <c r="J17" i="21"/>
  <c r="J16" i="21"/>
  <c r="J15" i="21"/>
  <c r="J14" i="21"/>
  <c r="F14" i="21"/>
  <c r="E14" i="21"/>
  <c r="D14" i="21"/>
  <c r="C14" i="21"/>
  <c r="J11" i="21"/>
  <c r="J10" i="21"/>
  <c r="O9" i="21"/>
  <c r="N6" i="21"/>
  <c r="H4" i="21"/>
  <c r="J57" i="22"/>
  <c r="C53" i="22"/>
  <c r="C52" i="22"/>
  <c r="C51" i="22"/>
  <c r="I50" i="22"/>
  <c r="C50" i="22"/>
  <c r="C49" i="22"/>
  <c r="D48" i="22"/>
  <c r="E48" i="22" s="1"/>
  <c r="C48" i="22"/>
  <c r="C47" i="22"/>
  <c r="C46" i="22"/>
  <c r="C45" i="22"/>
  <c r="D44" i="22"/>
  <c r="E44" i="22" s="1"/>
  <c r="C44" i="22"/>
  <c r="I43" i="22"/>
  <c r="I44" i="22" s="1"/>
  <c r="C43" i="22"/>
  <c r="G42" i="22"/>
  <c r="F42" i="22"/>
  <c r="C42" i="22"/>
  <c r="C41" i="22"/>
  <c r="C40" i="22"/>
  <c r="N39" i="22"/>
  <c r="C39" i="22"/>
  <c r="N38" i="22"/>
  <c r="I38" i="22"/>
  <c r="C38" i="22"/>
  <c r="N37" i="22"/>
  <c r="I37" i="22"/>
  <c r="E35" i="22"/>
  <c r="D35" i="22"/>
  <c r="C35" i="22"/>
  <c r="L34" i="22"/>
  <c r="K34" i="22"/>
  <c r="I40" i="22" s="1"/>
  <c r="F34" i="22"/>
  <c r="E34" i="22"/>
  <c r="D34" i="22"/>
  <c r="C34" i="22"/>
  <c r="E33" i="22"/>
  <c r="D33" i="22"/>
  <c r="C33" i="22"/>
  <c r="J32" i="22"/>
  <c r="F32" i="22"/>
  <c r="E32" i="22"/>
  <c r="D32" i="22"/>
  <c r="C32" i="22"/>
  <c r="R29" i="22"/>
  <c r="Q29" i="22"/>
  <c r="R28" i="22"/>
  <c r="Q28" i="22"/>
  <c r="P28" i="22"/>
  <c r="R27" i="22"/>
  <c r="Q27" i="22"/>
  <c r="P27" i="22"/>
  <c r="O27" i="22"/>
  <c r="M27" i="22"/>
  <c r="R26" i="22"/>
  <c r="Q26" i="22"/>
  <c r="P26" i="22"/>
  <c r="O26" i="22"/>
  <c r="J26" i="22"/>
  <c r="C26" i="22"/>
  <c r="M25" i="22"/>
  <c r="J25" i="22"/>
  <c r="C25" i="22"/>
  <c r="F23" i="22"/>
  <c r="E23" i="22"/>
  <c r="D23" i="22"/>
  <c r="C23" i="22"/>
  <c r="M22" i="22"/>
  <c r="R19" i="22"/>
  <c r="Q19" i="22"/>
  <c r="R18" i="22"/>
  <c r="Q18" i="22"/>
  <c r="P18" i="22"/>
  <c r="K18" i="22"/>
  <c r="R17" i="22"/>
  <c r="Q17" i="22"/>
  <c r="P17" i="22"/>
  <c r="O17" i="22"/>
  <c r="K17" i="22"/>
  <c r="J17" i="22"/>
  <c r="R16" i="22"/>
  <c r="Q16" i="22"/>
  <c r="P16" i="22"/>
  <c r="O16" i="22"/>
  <c r="J16" i="22"/>
  <c r="J15" i="22"/>
  <c r="J15" i="20" s="1"/>
  <c r="J15" i="19" s="1"/>
  <c r="J14" i="22"/>
  <c r="J14" i="20" s="1"/>
  <c r="J14" i="19" s="1"/>
  <c r="J14" i="18" s="1"/>
  <c r="J14" i="17" s="1"/>
  <c r="J14" i="16" s="1"/>
  <c r="J14" i="15" s="1"/>
  <c r="J14" i="14" s="1"/>
  <c r="J14" i="13" s="1"/>
  <c r="F14" i="22"/>
  <c r="E14" i="22"/>
  <c r="D14" i="22"/>
  <c r="C14" i="22"/>
  <c r="R11" i="22"/>
  <c r="Q11" i="22"/>
  <c r="J11" i="22"/>
  <c r="R10" i="22"/>
  <c r="Q10" i="22"/>
  <c r="P10" i="22"/>
  <c r="J10" i="22"/>
  <c r="R9" i="22"/>
  <c r="Q9" i="22"/>
  <c r="P9" i="22"/>
  <c r="O9" i="22"/>
  <c r="R8" i="22"/>
  <c r="Q8" i="22"/>
  <c r="O8" i="22"/>
  <c r="N6" i="22"/>
  <c r="H4" i="22"/>
  <c r="C53" i="20"/>
  <c r="C52" i="20"/>
  <c r="C51" i="20"/>
  <c r="I50" i="20"/>
  <c r="C50" i="20"/>
  <c r="C49" i="20"/>
  <c r="C48" i="20"/>
  <c r="C47" i="20"/>
  <c r="C46" i="20"/>
  <c r="C45" i="20"/>
  <c r="I44" i="20"/>
  <c r="C44" i="20"/>
  <c r="I43" i="20"/>
  <c r="C43" i="20"/>
  <c r="G42" i="20"/>
  <c r="F42" i="20"/>
  <c r="C42" i="20"/>
  <c r="C41" i="20"/>
  <c r="C40" i="20"/>
  <c r="G39" i="20"/>
  <c r="C39" i="20"/>
  <c r="I38" i="20"/>
  <c r="G38" i="20"/>
  <c r="C38" i="20"/>
  <c r="I37" i="20"/>
  <c r="E35" i="20"/>
  <c r="D35" i="20"/>
  <c r="C35" i="20"/>
  <c r="L34" i="20"/>
  <c r="F34" i="20"/>
  <c r="E34" i="20"/>
  <c r="D34" i="20"/>
  <c r="C34" i="20"/>
  <c r="E33" i="20"/>
  <c r="D33" i="20"/>
  <c r="C33" i="20"/>
  <c r="J32" i="20"/>
  <c r="F32" i="20"/>
  <c r="E32" i="20"/>
  <c r="D32" i="20"/>
  <c r="C32" i="20"/>
  <c r="R28" i="20"/>
  <c r="Q28" i="20"/>
  <c r="R27" i="20"/>
  <c r="Q27" i="20"/>
  <c r="P27" i="20"/>
  <c r="M27" i="20"/>
  <c r="R26" i="20"/>
  <c r="Q26" i="20"/>
  <c r="P26" i="20"/>
  <c r="O26" i="20"/>
  <c r="J26" i="20"/>
  <c r="R25" i="20"/>
  <c r="Q25" i="20"/>
  <c r="P25" i="20"/>
  <c r="O25" i="20"/>
  <c r="M25" i="20"/>
  <c r="M25" i="19" s="1"/>
  <c r="J25" i="20"/>
  <c r="D25" i="20"/>
  <c r="F23" i="20"/>
  <c r="E23" i="20"/>
  <c r="D23" i="20"/>
  <c r="C23" i="20"/>
  <c r="M22" i="20"/>
  <c r="K19" i="20"/>
  <c r="K18" i="20"/>
  <c r="J18" i="20"/>
  <c r="J17" i="20"/>
  <c r="D17" i="20"/>
  <c r="J16" i="20"/>
  <c r="D16" i="20"/>
  <c r="F14" i="20"/>
  <c r="E14" i="20"/>
  <c r="D14" i="20"/>
  <c r="C14" i="20"/>
  <c r="J11" i="20"/>
  <c r="J10" i="20"/>
  <c r="P8" i="20"/>
  <c r="O8" i="20"/>
  <c r="D8" i="20"/>
  <c r="N6" i="20"/>
  <c r="H4" i="20"/>
  <c r="C53" i="19"/>
  <c r="C52" i="19"/>
  <c r="C51" i="19"/>
  <c r="I50" i="19"/>
  <c r="C50" i="19"/>
  <c r="C49" i="19"/>
  <c r="C48" i="19"/>
  <c r="C47" i="19"/>
  <c r="C46" i="19"/>
  <c r="C45" i="19"/>
  <c r="I44" i="19"/>
  <c r="C44" i="19"/>
  <c r="I43" i="19"/>
  <c r="I45" i="19" s="1"/>
  <c r="C43" i="19"/>
  <c r="G42" i="19"/>
  <c r="F42" i="19"/>
  <c r="C42" i="19"/>
  <c r="C41" i="19"/>
  <c r="G40" i="19"/>
  <c r="C40" i="19"/>
  <c r="G39" i="19"/>
  <c r="C39" i="19"/>
  <c r="I38" i="19"/>
  <c r="G38" i="19"/>
  <c r="C38" i="19"/>
  <c r="I37" i="19"/>
  <c r="E35" i="19"/>
  <c r="D35" i="19"/>
  <c r="C35" i="19"/>
  <c r="L34" i="19"/>
  <c r="K34" i="19"/>
  <c r="I40" i="19" s="1"/>
  <c r="I51" i="19" s="1"/>
  <c r="F34" i="19"/>
  <c r="E34" i="19"/>
  <c r="D34" i="19"/>
  <c r="C34" i="19"/>
  <c r="E33" i="19"/>
  <c r="D33" i="19"/>
  <c r="C33" i="19"/>
  <c r="J32" i="19"/>
  <c r="F32" i="19"/>
  <c r="E32" i="19"/>
  <c r="D32" i="19"/>
  <c r="C32" i="19"/>
  <c r="M27" i="19"/>
  <c r="M26" i="19"/>
  <c r="M26" i="18" s="1"/>
  <c r="J26" i="19"/>
  <c r="C26" i="19"/>
  <c r="J25" i="19"/>
  <c r="J23" i="19"/>
  <c r="J23" i="18" s="1"/>
  <c r="F23" i="19"/>
  <c r="E23" i="19"/>
  <c r="D23" i="19"/>
  <c r="C23" i="19"/>
  <c r="M22" i="19"/>
  <c r="J21" i="19"/>
  <c r="J21" i="18" s="1"/>
  <c r="K19" i="19"/>
  <c r="J19" i="19"/>
  <c r="J18" i="19"/>
  <c r="J17" i="19"/>
  <c r="K16" i="19"/>
  <c r="J16" i="19"/>
  <c r="F14" i="19"/>
  <c r="E14" i="19"/>
  <c r="D14" i="19"/>
  <c r="C14" i="19"/>
  <c r="J12" i="19"/>
  <c r="J12" i="18" s="1"/>
  <c r="J12" i="17" s="1"/>
  <c r="J12" i="16" s="1"/>
  <c r="J12" i="15" s="1"/>
  <c r="J12" i="14" s="1"/>
  <c r="J12" i="13" s="1"/>
  <c r="J11" i="19"/>
  <c r="O10" i="19"/>
  <c r="J10" i="19"/>
  <c r="O9" i="19"/>
  <c r="O8" i="19"/>
  <c r="N6" i="19"/>
  <c r="H4" i="19"/>
  <c r="C53" i="18"/>
  <c r="C52" i="18"/>
  <c r="C51" i="18"/>
  <c r="I50" i="18"/>
  <c r="C50" i="18"/>
  <c r="C49" i="18"/>
  <c r="C48" i="18"/>
  <c r="C47" i="18"/>
  <c r="C46" i="18"/>
  <c r="C45" i="18"/>
  <c r="I44" i="18"/>
  <c r="C44" i="18"/>
  <c r="I43" i="18"/>
  <c r="C43" i="18"/>
  <c r="G42" i="18"/>
  <c r="F42" i="18"/>
  <c r="C42" i="18"/>
  <c r="C41" i="18"/>
  <c r="C40" i="18"/>
  <c r="G39" i="18"/>
  <c r="C39" i="18"/>
  <c r="I38" i="18"/>
  <c r="G38" i="18"/>
  <c r="C38" i="18"/>
  <c r="L37" i="18"/>
  <c r="I37" i="18"/>
  <c r="E35" i="18"/>
  <c r="D35" i="18"/>
  <c r="C35" i="18"/>
  <c r="L34" i="18"/>
  <c r="F34" i="18"/>
  <c r="E34" i="18"/>
  <c r="D34" i="18"/>
  <c r="C34" i="18"/>
  <c r="E33" i="18"/>
  <c r="D33" i="18"/>
  <c r="C33" i="18"/>
  <c r="J32" i="18"/>
  <c r="F32" i="18"/>
  <c r="E32" i="18"/>
  <c r="D32" i="18"/>
  <c r="C32" i="18"/>
  <c r="J31" i="18"/>
  <c r="R29" i="18"/>
  <c r="Q29" i="18"/>
  <c r="R28" i="18"/>
  <c r="Q28" i="18"/>
  <c r="P28" i="18"/>
  <c r="R27" i="18"/>
  <c r="Q27" i="18"/>
  <c r="P27" i="18"/>
  <c r="O27" i="18"/>
  <c r="M27" i="18"/>
  <c r="M27" i="17" s="1"/>
  <c r="M27" i="16" s="1"/>
  <c r="M27" i="15" s="1"/>
  <c r="M27" i="14" s="1"/>
  <c r="M27" i="13" s="1"/>
  <c r="M27" i="12" s="1"/>
  <c r="R26" i="18"/>
  <c r="Q26" i="18"/>
  <c r="P26" i="18"/>
  <c r="O26" i="18"/>
  <c r="J26" i="18"/>
  <c r="M25" i="18"/>
  <c r="M25" i="17" s="1"/>
  <c r="M25" i="16" s="1"/>
  <c r="M25" i="15" s="1"/>
  <c r="M25" i="14" s="1"/>
  <c r="M25" i="13" s="1"/>
  <c r="J25" i="18"/>
  <c r="F23" i="18"/>
  <c r="E23" i="18"/>
  <c r="D23" i="18"/>
  <c r="C23" i="18"/>
  <c r="M22" i="18"/>
  <c r="J20" i="18"/>
  <c r="J19" i="18"/>
  <c r="J18" i="18"/>
  <c r="J17" i="18"/>
  <c r="K16" i="18"/>
  <c r="J16" i="18"/>
  <c r="M15" i="18"/>
  <c r="M15" i="17" s="1"/>
  <c r="M15" i="16" s="1"/>
  <c r="M15" i="15" s="1"/>
  <c r="M15" i="14" s="1"/>
  <c r="J15" i="18"/>
  <c r="W14" i="18"/>
  <c r="V14" i="18"/>
  <c r="U14" i="18"/>
  <c r="T14" i="18"/>
  <c r="R14" i="18"/>
  <c r="Q14" i="18"/>
  <c r="M14" i="18"/>
  <c r="M14" i="17" s="1"/>
  <c r="M14" i="16" s="1"/>
  <c r="M14" i="15" s="1"/>
  <c r="M14" i="14" s="1"/>
  <c r="F14" i="18"/>
  <c r="E14" i="18"/>
  <c r="D14" i="18"/>
  <c r="C14" i="18"/>
  <c r="M13" i="18"/>
  <c r="J13" i="18"/>
  <c r="J11" i="18"/>
  <c r="J10" i="18"/>
  <c r="P9" i="18"/>
  <c r="O9" i="18"/>
  <c r="M9" i="18"/>
  <c r="M9" i="17" s="1"/>
  <c r="M9" i="16" s="1"/>
  <c r="M9" i="15" s="1"/>
  <c r="M9" i="14" s="1"/>
  <c r="P8" i="18"/>
  <c r="O8" i="18"/>
  <c r="J8" i="18"/>
  <c r="J7" i="18"/>
  <c r="N6" i="18"/>
  <c r="H4" i="18"/>
  <c r="C53" i="17"/>
  <c r="C52" i="17"/>
  <c r="C51" i="17"/>
  <c r="I50" i="17"/>
  <c r="C50" i="17"/>
  <c r="C49" i="17"/>
  <c r="C48" i="17"/>
  <c r="C47" i="17"/>
  <c r="C46" i="17"/>
  <c r="C45" i="17"/>
  <c r="I44" i="17"/>
  <c r="C44" i="17"/>
  <c r="I43" i="17"/>
  <c r="C43" i="17"/>
  <c r="G42" i="17"/>
  <c r="F42" i="17"/>
  <c r="C42" i="17"/>
  <c r="C41" i="17"/>
  <c r="G40" i="17"/>
  <c r="C40" i="17"/>
  <c r="G39" i="17"/>
  <c r="C39" i="17"/>
  <c r="I38" i="17"/>
  <c r="G38" i="17"/>
  <c r="C38" i="17"/>
  <c r="I37" i="17"/>
  <c r="E35" i="17"/>
  <c r="D35" i="17"/>
  <c r="C35" i="17"/>
  <c r="L34" i="17"/>
  <c r="F34" i="17"/>
  <c r="E34" i="17"/>
  <c r="D34" i="17"/>
  <c r="C34" i="17"/>
  <c r="E33" i="17"/>
  <c r="D33" i="17"/>
  <c r="C33" i="17"/>
  <c r="J32" i="17"/>
  <c r="J32" i="16" s="1"/>
  <c r="J32" i="15" s="1"/>
  <c r="J32" i="14" s="1"/>
  <c r="J32" i="13" s="1"/>
  <c r="F32" i="17"/>
  <c r="E32" i="17"/>
  <c r="D32" i="17"/>
  <c r="C32" i="17"/>
  <c r="M31" i="17"/>
  <c r="J31" i="17"/>
  <c r="J31" i="16" s="1"/>
  <c r="J31" i="15" s="1"/>
  <c r="J31" i="14" s="1"/>
  <c r="J31" i="13" s="1"/>
  <c r="M29" i="17"/>
  <c r="J29" i="17"/>
  <c r="M28" i="17"/>
  <c r="J28" i="17"/>
  <c r="J28" i="16" s="1"/>
  <c r="J28" i="15" s="1"/>
  <c r="J28" i="14" s="1"/>
  <c r="J28" i="13" s="1"/>
  <c r="J28" i="12" s="1"/>
  <c r="J27" i="17"/>
  <c r="J27" i="16" s="1"/>
  <c r="J27" i="15" s="1"/>
  <c r="J27" i="14" s="1"/>
  <c r="M26" i="17"/>
  <c r="J26" i="17"/>
  <c r="J26" i="16" s="1"/>
  <c r="J26" i="15" s="1"/>
  <c r="J26" i="14" s="1"/>
  <c r="J25" i="17"/>
  <c r="M24" i="17"/>
  <c r="J24" i="17"/>
  <c r="J24" i="16" s="1"/>
  <c r="J24" i="15" s="1"/>
  <c r="J24" i="14" s="1"/>
  <c r="J24" i="13" s="1"/>
  <c r="J24" i="12" s="1"/>
  <c r="J24" i="11" s="1"/>
  <c r="J24" i="10" s="1"/>
  <c r="J24" i="9" s="1"/>
  <c r="J24" i="8" s="1"/>
  <c r="J24" i="7" s="1"/>
  <c r="J24" i="6" s="1"/>
  <c r="M23" i="17"/>
  <c r="J23" i="17"/>
  <c r="J23" i="16" s="1"/>
  <c r="J23" i="15" s="1"/>
  <c r="J23" i="14" s="1"/>
  <c r="J23" i="13" s="1"/>
  <c r="F23" i="17"/>
  <c r="E23" i="17"/>
  <c r="D23" i="17"/>
  <c r="C23" i="17"/>
  <c r="M22" i="17"/>
  <c r="J22" i="17"/>
  <c r="J22" i="16" s="1"/>
  <c r="J22" i="15" s="1"/>
  <c r="J22" i="14" s="1"/>
  <c r="J22" i="13" s="1"/>
  <c r="J22" i="12" s="1"/>
  <c r="J22" i="11" s="1"/>
  <c r="J22" i="10" s="1"/>
  <c r="J22" i="9" s="1"/>
  <c r="J22" i="8" s="1"/>
  <c r="J22" i="7" s="1"/>
  <c r="J22" i="6" s="1"/>
  <c r="M21" i="17"/>
  <c r="J21" i="17"/>
  <c r="J21" i="16" s="1"/>
  <c r="J21" i="15" s="1"/>
  <c r="J21" i="14" s="1"/>
  <c r="J21" i="13" s="1"/>
  <c r="J20" i="17"/>
  <c r="J20" i="16" s="1"/>
  <c r="K19" i="17"/>
  <c r="J19" i="17"/>
  <c r="J18" i="17"/>
  <c r="J17" i="17"/>
  <c r="J17" i="16" s="1"/>
  <c r="J17" i="15" s="1"/>
  <c r="J17" i="14" s="1"/>
  <c r="J17" i="13" s="1"/>
  <c r="K16" i="17"/>
  <c r="J16" i="17"/>
  <c r="J15" i="17"/>
  <c r="F14" i="17"/>
  <c r="E14" i="17"/>
  <c r="D14" i="17"/>
  <c r="C14" i="17"/>
  <c r="M13" i="17"/>
  <c r="J13" i="17"/>
  <c r="J11" i="17"/>
  <c r="J10" i="17"/>
  <c r="C9" i="17"/>
  <c r="O8" i="17"/>
  <c r="J8" i="17"/>
  <c r="D8" i="17"/>
  <c r="C8" i="17"/>
  <c r="K7" i="17"/>
  <c r="J7" i="17"/>
  <c r="N6" i="17"/>
  <c r="H4" i="17"/>
  <c r="C53" i="16"/>
  <c r="C52" i="16"/>
  <c r="C51" i="16"/>
  <c r="I50" i="16"/>
  <c r="C50" i="16"/>
  <c r="C49" i="16"/>
  <c r="C48" i="16"/>
  <c r="C47" i="16"/>
  <c r="C46" i="16"/>
  <c r="C45" i="16"/>
  <c r="C44" i="16"/>
  <c r="I43" i="16"/>
  <c r="C43" i="16"/>
  <c r="G42" i="16"/>
  <c r="F42" i="16"/>
  <c r="C42" i="16"/>
  <c r="C41" i="16"/>
  <c r="C40" i="16"/>
  <c r="G39" i="16"/>
  <c r="C39" i="16"/>
  <c r="I38" i="16"/>
  <c r="G38" i="16"/>
  <c r="C38" i="16"/>
  <c r="I37" i="16"/>
  <c r="E35" i="16"/>
  <c r="D35" i="16"/>
  <c r="C35" i="16"/>
  <c r="L34" i="16"/>
  <c r="K34" i="16"/>
  <c r="I40" i="16" s="1"/>
  <c r="F34" i="16"/>
  <c r="E34" i="16"/>
  <c r="D34" i="16"/>
  <c r="C34" i="16"/>
  <c r="E33" i="16"/>
  <c r="D33" i="16"/>
  <c r="C33" i="16"/>
  <c r="F32" i="16"/>
  <c r="E32" i="16"/>
  <c r="D32" i="16"/>
  <c r="C32" i="16"/>
  <c r="M31" i="16"/>
  <c r="M31" i="15" s="1"/>
  <c r="M31" i="14" s="1"/>
  <c r="M31" i="13" s="1"/>
  <c r="M31" i="12" s="1"/>
  <c r="R29" i="16"/>
  <c r="Q29" i="16"/>
  <c r="M29" i="16"/>
  <c r="J29" i="16"/>
  <c r="R28" i="16"/>
  <c r="Q28" i="16"/>
  <c r="P28" i="16"/>
  <c r="M28" i="16"/>
  <c r="R27" i="16"/>
  <c r="Q27" i="16"/>
  <c r="O27" i="16"/>
  <c r="R26" i="16"/>
  <c r="Q26" i="16"/>
  <c r="P26" i="16"/>
  <c r="O26" i="16"/>
  <c r="M26" i="16"/>
  <c r="J25" i="16"/>
  <c r="M24" i="16"/>
  <c r="M23" i="16"/>
  <c r="F23" i="16"/>
  <c r="E23" i="16"/>
  <c r="D23" i="16"/>
  <c r="C23" i="16"/>
  <c r="M22" i="16"/>
  <c r="M21" i="16"/>
  <c r="J19" i="16"/>
  <c r="J18" i="16"/>
  <c r="J16" i="16"/>
  <c r="J15" i="16"/>
  <c r="F14" i="16"/>
  <c r="E14" i="16"/>
  <c r="D14" i="16"/>
  <c r="C14" i="16"/>
  <c r="M13" i="16"/>
  <c r="M13" i="15" s="1"/>
  <c r="M13" i="14" s="1"/>
  <c r="J13" i="16"/>
  <c r="R12" i="16"/>
  <c r="Q12" i="16"/>
  <c r="R11" i="16"/>
  <c r="Q11" i="16"/>
  <c r="P11" i="16"/>
  <c r="J11" i="16"/>
  <c r="J11" i="15" s="1"/>
  <c r="J11" i="14" s="1"/>
  <c r="J11" i="13" s="1"/>
  <c r="R10" i="16"/>
  <c r="Q10" i="16"/>
  <c r="O10" i="16"/>
  <c r="J10" i="16"/>
  <c r="R9" i="16"/>
  <c r="Q9" i="16"/>
  <c r="O9" i="16"/>
  <c r="R8" i="16"/>
  <c r="Q8" i="16"/>
  <c r="O8" i="16"/>
  <c r="J8" i="16"/>
  <c r="K7" i="16"/>
  <c r="J7" i="16"/>
  <c r="N6" i="16"/>
  <c r="H4" i="16"/>
  <c r="C53" i="15"/>
  <c r="C52" i="15"/>
  <c r="C51" i="15"/>
  <c r="I50" i="15"/>
  <c r="C50" i="15"/>
  <c r="C49" i="15"/>
  <c r="C48" i="15"/>
  <c r="C47" i="15"/>
  <c r="C46" i="15"/>
  <c r="C45" i="15"/>
  <c r="I44" i="15"/>
  <c r="C44" i="15"/>
  <c r="I43" i="15"/>
  <c r="C43" i="15"/>
  <c r="G42" i="15"/>
  <c r="F42" i="15"/>
  <c r="C42" i="15"/>
  <c r="C41" i="15"/>
  <c r="C40" i="15"/>
  <c r="C39" i="15"/>
  <c r="L38" i="15"/>
  <c r="I38" i="15"/>
  <c r="C38" i="15"/>
  <c r="L37" i="15"/>
  <c r="I37" i="15"/>
  <c r="E35" i="15"/>
  <c r="D35" i="15"/>
  <c r="C35" i="15"/>
  <c r="L34" i="15"/>
  <c r="F34" i="15"/>
  <c r="E34" i="15"/>
  <c r="D34" i="15"/>
  <c r="C34" i="15"/>
  <c r="E33" i="15"/>
  <c r="D33" i="15"/>
  <c r="C33" i="15"/>
  <c r="F32" i="15"/>
  <c r="E32" i="15"/>
  <c r="D32" i="15"/>
  <c r="C32" i="15"/>
  <c r="M29" i="15"/>
  <c r="J29" i="15"/>
  <c r="J29" i="14" s="1"/>
  <c r="J29" i="13" s="1"/>
  <c r="M28" i="15"/>
  <c r="O26" i="15"/>
  <c r="M26" i="15"/>
  <c r="M26" i="14" s="1"/>
  <c r="M26" i="13" s="1"/>
  <c r="M26" i="12" s="1"/>
  <c r="J25" i="15"/>
  <c r="D25" i="15"/>
  <c r="C25" i="15"/>
  <c r="M24" i="15"/>
  <c r="M23" i="15"/>
  <c r="M23" i="14" s="1"/>
  <c r="F23" i="15"/>
  <c r="E23" i="15"/>
  <c r="D23" i="15"/>
  <c r="C23" i="15"/>
  <c r="M22" i="15"/>
  <c r="M21" i="15"/>
  <c r="M21" i="14" s="1"/>
  <c r="R20" i="15"/>
  <c r="Q20" i="15"/>
  <c r="R19" i="15"/>
  <c r="Q19" i="15"/>
  <c r="P19" i="15"/>
  <c r="J19" i="15"/>
  <c r="R18" i="15"/>
  <c r="Q18" i="15"/>
  <c r="O18" i="15"/>
  <c r="J18" i="15"/>
  <c r="J18" i="14" s="1"/>
  <c r="J18" i="13" s="1"/>
  <c r="R17" i="15"/>
  <c r="Q17" i="15"/>
  <c r="O17" i="15"/>
  <c r="D17" i="15"/>
  <c r="C17" i="15"/>
  <c r="R16" i="15"/>
  <c r="Q16" i="15"/>
  <c r="O16" i="15"/>
  <c r="J16" i="15"/>
  <c r="J16" i="14" s="1"/>
  <c r="J16" i="13" s="1"/>
  <c r="J16" i="12" s="1"/>
  <c r="D16" i="15"/>
  <c r="C16" i="15"/>
  <c r="J15" i="15"/>
  <c r="F14" i="15"/>
  <c r="E14" i="15"/>
  <c r="D14" i="15"/>
  <c r="C14" i="15"/>
  <c r="J13" i="15"/>
  <c r="R11" i="15"/>
  <c r="Q11" i="15"/>
  <c r="K11" i="15"/>
  <c r="R10" i="15"/>
  <c r="Q10" i="15"/>
  <c r="P10" i="15"/>
  <c r="K10" i="15"/>
  <c r="J10" i="15"/>
  <c r="R9" i="15"/>
  <c r="Q9" i="15"/>
  <c r="P9" i="15"/>
  <c r="O9" i="15"/>
  <c r="K9" i="15"/>
  <c r="R8" i="15"/>
  <c r="Q8" i="15"/>
  <c r="O8" i="15"/>
  <c r="J8" i="15"/>
  <c r="D8" i="15"/>
  <c r="C8" i="15"/>
  <c r="K7" i="15"/>
  <c r="J7" i="15"/>
  <c r="D7" i="15"/>
  <c r="C7" i="15"/>
  <c r="N6" i="15"/>
  <c r="H4" i="15"/>
  <c r="C53" i="14"/>
  <c r="C52" i="14"/>
  <c r="C51" i="14"/>
  <c r="I50" i="14"/>
  <c r="C50" i="14"/>
  <c r="C49" i="14"/>
  <c r="C48" i="14"/>
  <c r="C47" i="14"/>
  <c r="C46" i="14"/>
  <c r="C45" i="14"/>
  <c r="I44" i="14"/>
  <c r="C44" i="14"/>
  <c r="I43" i="14"/>
  <c r="C43" i="14"/>
  <c r="G42" i="14"/>
  <c r="F42" i="14"/>
  <c r="C42" i="14"/>
  <c r="C41" i="14"/>
  <c r="G40" i="14"/>
  <c r="C40" i="14"/>
  <c r="G39" i="14"/>
  <c r="C39" i="14"/>
  <c r="L38" i="14"/>
  <c r="I38" i="14"/>
  <c r="G38" i="14"/>
  <c r="C38" i="14"/>
  <c r="I37" i="14"/>
  <c r="E35" i="14"/>
  <c r="D35" i="14"/>
  <c r="C35" i="14"/>
  <c r="L34" i="14"/>
  <c r="F34" i="14"/>
  <c r="E34" i="14"/>
  <c r="D34" i="14"/>
  <c r="C34" i="14"/>
  <c r="E33" i="14"/>
  <c r="D33" i="14"/>
  <c r="C33" i="14"/>
  <c r="F32" i="14"/>
  <c r="E32" i="14"/>
  <c r="D32" i="14"/>
  <c r="C32" i="14"/>
  <c r="R29" i="14"/>
  <c r="Q29" i="14"/>
  <c r="M29" i="14"/>
  <c r="R28" i="14"/>
  <c r="Q28" i="14"/>
  <c r="P28" i="14"/>
  <c r="M28" i="14"/>
  <c r="R27" i="14"/>
  <c r="Q27" i="14"/>
  <c r="O27" i="14"/>
  <c r="R26" i="14"/>
  <c r="Q26" i="14"/>
  <c r="O26" i="14"/>
  <c r="J25" i="14"/>
  <c r="J25" i="13" s="1"/>
  <c r="J25" i="12" s="1"/>
  <c r="J25" i="11" s="1"/>
  <c r="J25" i="10" s="1"/>
  <c r="J25" i="9" s="1"/>
  <c r="C25" i="14"/>
  <c r="M24" i="14"/>
  <c r="F23" i="14"/>
  <c r="E23" i="14"/>
  <c r="D23" i="14"/>
  <c r="C23" i="14"/>
  <c r="M22" i="14"/>
  <c r="J20" i="14"/>
  <c r="J19" i="14"/>
  <c r="J19" i="13" s="1"/>
  <c r="J19" i="12" s="1"/>
  <c r="C16" i="14"/>
  <c r="J15" i="14"/>
  <c r="F14" i="14"/>
  <c r="E14" i="14"/>
  <c r="D14" i="14"/>
  <c r="C14" i="14"/>
  <c r="J13" i="14"/>
  <c r="K10" i="14"/>
  <c r="J10" i="14"/>
  <c r="J10" i="13" s="1"/>
  <c r="O9" i="14"/>
  <c r="K9" i="14"/>
  <c r="J9" i="14"/>
  <c r="O8" i="14"/>
  <c r="J8" i="14"/>
  <c r="C8" i="14"/>
  <c r="J7" i="14"/>
  <c r="N6" i="14"/>
  <c r="H4" i="14"/>
  <c r="C53" i="13"/>
  <c r="C52" i="13"/>
  <c r="C51" i="13"/>
  <c r="I50" i="13"/>
  <c r="C50" i="13"/>
  <c r="C49" i="13"/>
  <c r="C48" i="13"/>
  <c r="C47" i="13"/>
  <c r="C46" i="13"/>
  <c r="C45" i="13"/>
  <c r="C44" i="13"/>
  <c r="I43" i="13"/>
  <c r="I44" i="13" s="1"/>
  <c r="C43" i="13"/>
  <c r="G42" i="13"/>
  <c r="F42" i="13"/>
  <c r="C42" i="13"/>
  <c r="C41" i="13"/>
  <c r="C40" i="13"/>
  <c r="C39" i="13"/>
  <c r="L38" i="13"/>
  <c r="I38" i="13"/>
  <c r="C38" i="13"/>
  <c r="L37" i="13"/>
  <c r="I37" i="13"/>
  <c r="E35" i="13"/>
  <c r="D35" i="13"/>
  <c r="C35" i="13"/>
  <c r="L34" i="13"/>
  <c r="F34" i="13"/>
  <c r="E34" i="13"/>
  <c r="D34" i="13"/>
  <c r="C34" i="13"/>
  <c r="E33" i="13"/>
  <c r="D33" i="13"/>
  <c r="C33" i="13"/>
  <c r="F32" i="13"/>
  <c r="E32" i="13"/>
  <c r="D32" i="13"/>
  <c r="C32" i="13"/>
  <c r="M29" i="13"/>
  <c r="R28" i="13"/>
  <c r="Q28" i="13"/>
  <c r="M28" i="13"/>
  <c r="R27" i="13"/>
  <c r="Q27" i="13"/>
  <c r="P27" i="13"/>
  <c r="J27" i="13"/>
  <c r="R26" i="13"/>
  <c r="Q26" i="13"/>
  <c r="P26" i="13"/>
  <c r="O26" i="13"/>
  <c r="J26" i="13"/>
  <c r="J26" i="12" s="1"/>
  <c r="J26" i="11" s="1"/>
  <c r="J26" i="10" s="1"/>
  <c r="J26" i="9" s="1"/>
  <c r="J26" i="8" s="1"/>
  <c r="J26" i="7" s="1"/>
  <c r="J26" i="6" s="1"/>
  <c r="C26" i="13"/>
  <c r="R25" i="13"/>
  <c r="Q25" i="13"/>
  <c r="P25" i="13"/>
  <c r="O25" i="13"/>
  <c r="M24" i="13"/>
  <c r="M24" i="12" s="1"/>
  <c r="M23" i="13"/>
  <c r="M23" i="12" s="1"/>
  <c r="M23" i="11" s="1"/>
  <c r="M23" i="10" s="1"/>
  <c r="M23" i="9" s="1"/>
  <c r="M23" i="8" s="1"/>
  <c r="M23" i="7" s="1"/>
  <c r="M23" i="6" s="1"/>
  <c r="F23" i="13"/>
  <c r="E23" i="13"/>
  <c r="D23" i="13"/>
  <c r="C23" i="13"/>
  <c r="M22" i="13"/>
  <c r="M22" i="12" s="1"/>
  <c r="M21" i="13"/>
  <c r="M21" i="12" s="1"/>
  <c r="R20" i="13"/>
  <c r="Q20" i="13"/>
  <c r="J20" i="13"/>
  <c r="R19" i="13"/>
  <c r="Q19" i="13"/>
  <c r="P19" i="13"/>
  <c r="R18" i="13"/>
  <c r="Q18" i="13"/>
  <c r="O18" i="13"/>
  <c r="R17" i="13"/>
  <c r="Q17" i="13"/>
  <c r="P17" i="13"/>
  <c r="O17" i="13"/>
  <c r="C17" i="13"/>
  <c r="R16" i="13"/>
  <c r="Q16" i="13"/>
  <c r="P16" i="13"/>
  <c r="O16" i="13"/>
  <c r="C16" i="13"/>
  <c r="M15" i="13"/>
  <c r="M15" i="12" s="1"/>
  <c r="J15" i="13"/>
  <c r="M14" i="13"/>
  <c r="M14" i="12" s="1"/>
  <c r="F14" i="13"/>
  <c r="E14" i="13"/>
  <c r="D14" i="13"/>
  <c r="C14" i="13"/>
  <c r="M13" i="13"/>
  <c r="M13" i="12" s="1"/>
  <c r="J13" i="13"/>
  <c r="R11" i="13"/>
  <c r="Q11" i="13"/>
  <c r="R10" i="13"/>
  <c r="Q10" i="13"/>
  <c r="P10" i="13"/>
  <c r="K10" i="13"/>
  <c r="R9" i="13"/>
  <c r="Q9" i="13"/>
  <c r="O9" i="13"/>
  <c r="M9" i="13"/>
  <c r="K9" i="13"/>
  <c r="J9" i="13"/>
  <c r="R8" i="13"/>
  <c r="Q8" i="13"/>
  <c r="O8" i="13"/>
  <c r="J8" i="13"/>
  <c r="J8" i="12" s="1"/>
  <c r="C8" i="13"/>
  <c r="J7" i="13"/>
  <c r="N6" i="13"/>
  <c r="H4" i="13"/>
  <c r="C53" i="12"/>
  <c r="C52" i="12"/>
  <c r="C51" i="12"/>
  <c r="I50" i="12"/>
  <c r="C50" i="12"/>
  <c r="C49" i="12"/>
  <c r="C48" i="12"/>
  <c r="C47" i="12"/>
  <c r="C46" i="12"/>
  <c r="C45" i="12"/>
  <c r="C44" i="12"/>
  <c r="I43" i="12"/>
  <c r="I44" i="12" s="1"/>
  <c r="C43" i="12"/>
  <c r="G42" i="12"/>
  <c r="F42" i="12"/>
  <c r="C42" i="12"/>
  <c r="C41" i="12"/>
  <c r="G40" i="12"/>
  <c r="C40" i="12"/>
  <c r="G39" i="12"/>
  <c r="C39" i="12"/>
  <c r="I38" i="12"/>
  <c r="G38" i="12"/>
  <c r="C38" i="12"/>
  <c r="I37" i="12"/>
  <c r="E35" i="12"/>
  <c r="D35" i="12"/>
  <c r="C35" i="12"/>
  <c r="L34" i="12"/>
  <c r="F34" i="12"/>
  <c r="E34" i="12"/>
  <c r="D34" i="12"/>
  <c r="C34" i="12"/>
  <c r="E33" i="12"/>
  <c r="D33" i="12"/>
  <c r="C33" i="12"/>
  <c r="J32" i="12"/>
  <c r="J32" i="11" s="1"/>
  <c r="J32" i="10" s="1"/>
  <c r="J32" i="9" s="1"/>
  <c r="J32" i="8" s="1"/>
  <c r="J32" i="7" s="1"/>
  <c r="J32" i="6" s="1"/>
  <c r="F32" i="12"/>
  <c r="E32" i="12"/>
  <c r="D32" i="12"/>
  <c r="C32" i="12"/>
  <c r="J31" i="12"/>
  <c r="M29" i="12"/>
  <c r="J29" i="12"/>
  <c r="J29" i="11" s="1"/>
  <c r="J29" i="10" s="1"/>
  <c r="J29" i="9" s="1"/>
  <c r="J29" i="8" s="1"/>
  <c r="J29" i="7" s="1"/>
  <c r="M28" i="12"/>
  <c r="J27" i="12"/>
  <c r="C26" i="12"/>
  <c r="M25" i="12"/>
  <c r="C25" i="12"/>
  <c r="J23" i="12"/>
  <c r="J23" i="11" s="1"/>
  <c r="J23" i="10" s="1"/>
  <c r="J23" i="9" s="1"/>
  <c r="J23" i="8" s="1"/>
  <c r="J23" i="7" s="1"/>
  <c r="J23" i="6" s="1"/>
  <c r="F23" i="12"/>
  <c r="E23" i="12"/>
  <c r="D23" i="12"/>
  <c r="C23" i="12"/>
  <c r="J21" i="12"/>
  <c r="J21" i="11" s="1"/>
  <c r="J21" i="10" s="1"/>
  <c r="J21" i="9" s="1"/>
  <c r="J21" i="8" s="1"/>
  <c r="J21" i="7" s="1"/>
  <c r="J21" i="6" s="1"/>
  <c r="M20" i="12"/>
  <c r="J20" i="12"/>
  <c r="J20" i="11" s="1"/>
  <c r="J20" i="10" s="1"/>
  <c r="J20" i="9" s="1"/>
  <c r="J18" i="12"/>
  <c r="J17" i="12"/>
  <c r="C17" i="12"/>
  <c r="C16" i="12"/>
  <c r="J15" i="12"/>
  <c r="J14" i="12"/>
  <c r="J14" i="11" s="1"/>
  <c r="J14" i="10" s="1"/>
  <c r="J14" i="9" s="1"/>
  <c r="J14" i="8" s="1"/>
  <c r="J14" i="7" s="1"/>
  <c r="J14" i="6" s="1"/>
  <c r="F14" i="12"/>
  <c r="E14" i="12"/>
  <c r="D14" i="12"/>
  <c r="C14" i="12"/>
  <c r="J13" i="12"/>
  <c r="J12" i="12"/>
  <c r="J12" i="11" s="1"/>
  <c r="J12" i="10" s="1"/>
  <c r="J12" i="9" s="1"/>
  <c r="J12" i="8" s="1"/>
  <c r="J11" i="12"/>
  <c r="O10" i="12"/>
  <c r="K10" i="12"/>
  <c r="J10" i="12"/>
  <c r="O9" i="12"/>
  <c r="K9" i="12"/>
  <c r="J9" i="12"/>
  <c r="J9" i="11" s="1"/>
  <c r="J9" i="10" s="1"/>
  <c r="J9" i="9" s="1"/>
  <c r="J9" i="8" s="1"/>
  <c r="J9" i="7" s="1"/>
  <c r="J9" i="6" s="1"/>
  <c r="J9" i="37" s="1"/>
  <c r="J9" i="4" s="1"/>
  <c r="J9" i="43" s="1"/>
  <c r="O8" i="12"/>
  <c r="J7" i="12"/>
  <c r="C7" i="12"/>
  <c r="N6" i="12"/>
  <c r="H4" i="12"/>
  <c r="C53" i="11"/>
  <c r="C52" i="11"/>
  <c r="C51" i="11"/>
  <c r="I50" i="11"/>
  <c r="C50" i="11"/>
  <c r="C49" i="11"/>
  <c r="C48" i="11"/>
  <c r="C47" i="11"/>
  <c r="C46" i="11"/>
  <c r="C45" i="11"/>
  <c r="I44" i="11"/>
  <c r="C44" i="11"/>
  <c r="I43" i="11"/>
  <c r="C43" i="11"/>
  <c r="G42" i="11"/>
  <c r="F42" i="11"/>
  <c r="C42" i="11"/>
  <c r="C41" i="11"/>
  <c r="C40" i="11"/>
  <c r="C39" i="11"/>
  <c r="I38" i="11"/>
  <c r="C38" i="11"/>
  <c r="I37" i="11"/>
  <c r="E35" i="11"/>
  <c r="D35" i="11"/>
  <c r="C35" i="11"/>
  <c r="Q34" i="11"/>
  <c r="L34" i="11"/>
  <c r="F34" i="11"/>
  <c r="E34" i="11"/>
  <c r="D34" i="11"/>
  <c r="C34" i="11"/>
  <c r="Q33" i="11"/>
  <c r="E33" i="11"/>
  <c r="D33" i="11"/>
  <c r="C33" i="11"/>
  <c r="M32" i="11"/>
  <c r="M32" i="10" s="1"/>
  <c r="M32" i="9" s="1"/>
  <c r="M32" i="8" s="1"/>
  <c r="F32" i="11"/>
  <c r="E32" i="11"/>
  <c r="D32" i="11"/>
  <c r="C32" i="11"/>
  <c r="M31" i="11"/>
  <c r="J31" i="11"/>
  <c r="J31" i="10" s="1"/>
  <c r="J31" i="9" s="1"/>
  <c r="J31" i="8" s="1"/>
  <c r="J31" i="7" s="1"/>
  <c r="J31" i="6" s="1"/>
  <c r="J31" i="37" s="1"/>
  <c r="J31" i="4" s="1"/>
  <c r="J31" i="43" s="1"/>
  <c r="M30" i="11"/>
  <c r="M29" i="11"/>
  <c r="M29" i="10" s="1"/>
  <c r="M29" i="9" s="1"/>
  <c r="M28" i="11"/>
  <c r="J28" i="11"/>
  <c r="M27" i="11"/>
  <c r="J27" i="11"/>
  <c r="J27" i="10" s="1"/>
  <c r="J27" i="9" s="1"/>
  <c r="J27" i="8" s="1"/>
  <c r="J27" i="7" s="1"/>
  <c r="J27" i="6" s="1"/>
  <c r="M26" i="11"/>
  <c r="C26" i="11"/>
  <c r="M25" i="11"/>
  <c r="M25" i="10" s="1"/>
  <c r="M25" i="9" s="1"/>
  <c r="M25" i="8" s="1"/>
  <c r="M25" i="7" s="1"/>
  <c r="C25" i="11"/>
  <c r="M24" i="11"/>
  <c r="F23" i="11"/>
  <c r="E23" i="11"/>
  <c r="D23" i="11"/>
  <c r="C23" i="11"/>
  <c r="M22" i="11"/>
  <c r="M21" i="11"/>
  <c r="M20" i="11"/>
  <c r="J19" i="11"/>
  <c r="J19" i="10" s="1"/>
  <c r="J19" i="9" s="1"/>
  <c r="J19" i="8" s="1"/>
  <c r="J19" i="7" s="1"/>
  <c r="J19" i="6" s="1"/>
  <c r="J19" i="37" s="1"/>
  <c r="J19" i="4" s="1"/>
  <c r="J19" i="43" s="1"/>
  <c r="J18" i="11"/>
  <c r="J17" i="11"/>
  <c r="J17" i="10" s="1"/>
  <c r="J17" i="9" s="1"/>
  <c r="J17" i="8" s="1"/>
  <c r="D17" i="11"/>
  <c r="C17" i="11"/>
  <c r="J16" i="11"/>
  <c r="J16" i="10" s="1"/>
  <c r="J16" i="9" s="1"/>
  <c r="J16" i="8" s="1"/>
  <c r="J16" i="7" s="1"/>
  <c r="J16" i="6" s="1"/>
  <c r="J16" i="37" s="1"/>
  <c r="J16" i="4" s="1"/>
  <c r="J16" i="43" s="1"/>
  <c r="C16" i="11"/>
  <c r="S15" i="11"/>
  <c r="R15" i="11"/>
  <c r="Q15" i="11"/>
  <c r="M15" i="11"/>
  <c r="J15" i="11"/>
  <c r="J15" i="10" s="1"/>
  <c r="J15" i="9" s="1"/>
  <c r="J15" i="8" s="1"/>
  <c r="J15" i="7" s="1"/>
  <c r="J15" i="6" s="1"/>
  <c r="J15" i="37" s="1"/>
  <c r="J15" i="4" s="1"/>
  <c r="J15" i="43" s="1"/>
  <c r="S14" i="11"/>
  <c r="R14" i="11"/>
  <c r="Q14" i="11"/>
  <c r="M14" i="11"/>
  <c r="F14" i="11"/>
  <c r="E14" i="11"/>
  <c r="D14" i="11"/>
  <c r="C14" i="11"/>
  <c r="M13" i="11"/>
  <c r="M13" i="10" s="1"/>
  <c r="M13" i="9" s="1"/>
  <c r="M13" i="8" s="1"/>
  <c r="J13" i="11"/>
  <c r="J11" i="11"/>
  <c r="K10" i="11"/>
  <c r="J10" i="11"/>
  <c r="J10" i="10" s="1"/>
  <c r="J10" i="9" s="1"/>
  <c r="J10" i="8" s="1"/>
  <c r="J10" i="7" s="1"/>
  <c r="J10" i="6" s="1"/>
  <c r="J10" i="37" s="1"/>
  <c r="J10" i="4" s="1"/>
  <c r="J10" i="43" s="1"/>
  <c r="K9" i="11"/>
  <c r="C9" i="11"/>
  <c r="S8" i="11"/>
  <c r="R8" i="11"/>
  <c r="P8" i="11"/>
  <c r="J8" i="11"/>
  <c r="C8" i="11"/>
  <c r="S7" i="11"/>
  <c r="R7" i="11"/>
  <c r="P7" i="11"/>
  <c r="J7" i="11"/>
  <c r="C7" i="11"/>
  <c r="S6" i="11"/>
  <c r="R6" i="11"/>
  <c r="P6" i="11"/>
  <c r="J4" i="11"/>
  <c r="H4" i="11"/>
  <c r="C53" i="10"/>
  <c r="C52" i="10"/>
  <c r="C51" i="10"/>
  <c r="I50" i="10"/>
  <c r="C50" i="10"/>
  <c r="C49" i="10"/>
  <c r="C48" i="10"/>
  <c r="C47" i="10"/>
  <c r="C46" i="10"/>
  <c r="C45" i="10"/>
  <c r="C44" i="10"/>
  <c r="I43" i="10"/>
  <c r="I44" i="10" s="1"/>
  <c r="C43" i="10"/>
  <c r="G42" i="10"/>
  <c r="F42" i="10"/>
  <c r="C42" i="10"/>
  <c r="C41" i="10"/>
  <c r="C40" i="10"/>
  <c r="C39" i="10"/>
  <c r="I38" i="10"/>
  <c r="C38" i="10"/>
  <c r="I37" i="10"/>
  <c r="E35" i="10"/>
  <c r="D35" i="10"/>
  <c r="C35" i="10"/>
  <c r="L34" i="10"/>
  <c r="F34" i="10"/>
  <c r="E34" i="10"/>
  <c r="D34" i="10"/>
  <c r="C34" i="10"/>
  <c r="E33" i="10"/>
  <c r="D33" i="10"/>
  <c r="C33" i="10"/>
  <c r="F32" i="10"/>
  <c r="E32" i="10"/>
  <c r="D32" i="10"/>
  <c r="C32" i="10"/>
  <c r="M31" i="10"/>
  <c r="M31" i="9" s="1"/>
  <c r="M31" i="8" s="1"/>
  <c r="M31" i="7" s="1"/>
  <c r="M31" i="6" s="1"/>
  <c r="M30" i="10"/>
  <c r="M28" i="10"/>
  <c r="M28" i="9" s="1"/>
  <c r="M28" i="8" s="1"/>
  <c r="M28" i="7" s="1"/>
  <c r="M28" i="6" s="1"/>
  <c r="J28" i="10"/>
  <c r="M27" i="10"/>
  <c r="M27" i="9" s="1"/>
  <c r="M27" i="8" s="1"/>
  <c r="M27" i="7" s="1"/>
  <c r="M27" i="6" s="1"/>
  <c r="M26" i="10"/>
  <c r="M24" i="10"/>
  <c r="M24" i="9" s="1"/>
  <c r="M24" i="8" s="1"/>
  <c r="M24" i="7" s="1"/>
  <c r="M24" i="6" s="1"/>
  <c r="M24" i="37" s="1"/>
  <c r="M24" i="4" s="1"/>
  <c r="M24" i="43" s="1"/>
  <c r="F23" i="10"/>
  <c r="E23" i="10"/>
  <c r="D23" i="10"/>
  <c r="C23" i="10"/>
  <c r="M22" i="10"/>
  <c r="M22" i="9" s="1"/>
  <c r="M22" i="8" s="1"/>
  <c r="M22" i="7" s="1"/>
  <c r="M22" i="6" s="1"/>
  <c r="M21" i="10"/>
  <c r="M21" i="9" s="1"/>
  <c r="M21" i="8" s="1"/>
  <c r="M21" i="7" s="1"/>
  <c r="M21" i="6" s="1"/>
  <c r="M20" i="10"/>
  <c r="J18" i="10"/>
  <c r="F17" i="10"/>
  <c r="S15" i="10"/>
  <c r="R15" i="10"/>
  <c r="Q15" i="10"/>
  <c r="M15" i="10"/>
  <c r="S14" i="10"/>
  <c r="R14" i="10"/>
  <c r="Q14" i="10"/>
  <c r="M14" i="10"/>
  <c r="F14" i="10"/>
  <c r="E14" i="10"/>
  <c r="D14" i="10"/>
  <c r="C14" i="10"/>
  <c r="J13" i="10"/>
  <c r="J11" i="10"/>
  <c r="K10" i="10"/>
  <c r="S8" i="10"/>
  <c r="R8" i="10"/>
  <c r="P8" i="10"/>
  <c r="J8" i="10"/>
  <c r="S7" i="10"/>
  <c r="R7" i="10"/>
  <c r="P7" i="10"/>
  <c r="J7" i="10"/>
  <c r="S6" i="10"/>
  <c r="R6" i="10"/>
  <c r="P6" i="10"/>
  <c r="J4" i="10"/>
  <c r="H4" i="10"/>
  <c r="C53" i="9"/>
  <c r="C52" i="9"/>
  <c r="C51" i="9"/>
  <c r="I50" i="9"/>
  <c r="C50" i="9"/>
  <c r="C49" i="9"/>
  <c r="C48" i="9"/>
  <c r="C47" i="9"/>
  <c r="C46" i="9"/>
  <c r="C45" i="9"/>
  <c r="I44" i="9"/>
  <c r="C44" i="9"/>
  <c r="I43" i="9"/>
  <c r="C43" i="9"/>
  <c r="G42" i="9"/>
  <c r="F42" i="9"/>
  <c r="C42" i="9"/>
  <c r="C41" i="9"/>
  <c r="C40" i="9"/>
  <c r="C39" i="9"/>
  <c r="I38" i="9"/>
  <c r="C38" i="9"/>
  <c r="I37" i="9"/>
  <c r="E35" i="9"/>
  <c r="D35" i="9"/>
  <c r="C35" i="9"/>
  <c r="L34" i="9"/>
  <c r="F34" i="9"/>
  <c r="E34" i="9"/>
  <c r="D34" i="9"/>
  <c r="C34" i="9"/>
  <c r="E33" i="9"/>
  <c r="D33" i="9"/>
  <c r="C33" i="9"/>
  <c r="F32" i="9"/>
  <c r="E32" i="9"/>
  <c r="D32" i="9"/>
  <c r="C32" i="9"/>
  <c r="M30" i="9"/>
  <c r="J28" i="9"/>
  <c r="M26" i="9"/>
  <c r="F23" i="9"/>
  <c r="E23" i="9"/>
  <c r="D23" i="9"/>
  <c r="C23" i="9"/>
  <c r="M20" i="9"/>
  <c r="J18" i="9"/>
  <c r="S15" i="9"/>
  <c r="R15" i="9"/>
  <c r="Q15" i="9"/>
  <c r="M15" i="9"/>
  <c r="S14" i="9"/>
  <c r="R14" i="9"/>
  <c r="Q14" i="9"/>
  <c r="M14" i="9"/>
  <c r="F14" i="9"/>
  <c r="E14" i="9"/>
  <c r="D14" i="9"/>
  <c r="C14" i="9"/>
  <c r="J13" i="9"/>
  <c r="J11" i="9"/>
  <c r="K10" i="9"/>
  <c r="S8" i="9"/>
  <c r="R8" i="9"/>
  <c r="P8" i="9"/>
  <c r="J8" i="9"/>
  <c r="S7" i="9"/>
  <c r="R7" i="9"/>
  <c r="P7" i="9"/>
  <c r="J7" i="9"/>
  <c r="S6" i="9"/>
  <c r="R6" i="9"/>
  <c r="P6" i="9"/>
  <c r="J4" i="9"/>
  <c r="H4" i="9"/>
  <c r="C53" i="8"/>
  <c r="C52" i="8"/>
  <c r="C51" i="8"/>
  <c r="I50" i="8"/>
  <c r="C50" i="8"/>
  <c r="C49" i="8"/>
  <c r="C48" i="8"/>
  <c r="C47" i="8"/>
  <c r="C46" i="8"/>
  <c r="C45" i="8"/>
  <c r="I44" i="8"/>
  <c r="C44" i="8"/>
  <c r="I43" i="8"/>
  <c r="C43" i="8"/>
  <c r="G42" i="8"/>
  <c r="F42" i="8"/>
  <c r="C42" i="8"/>
  <c r="C41" i="8"/>
  <c r="C40" i="8"/>
  <c r="G39" i="8"/>
  <c r="C39" i="8"/>
  <c r="L38" i="8"/>
  <c r="I38" i="8"/>
  <c r="G38" i="8"/>
  <c r="C38" i="8"/>
  <c r="L37" i="8"/>
  <c r="I37" i="8"/>
  <c r="E35" i="8"/>
  <c r="D35" i="8"/>
  <c r="C35" i="8"/>
  <c r="L34" i="8"/>
  <c r="F34" i="8"/>
  <c r="E34" i="8"/>
  <c r="D34" i="8"/>
  <c r="C34" i="8"/>
  <c r="E33" i="8"/>
  <c r="D33" i="8"/>
  <c r="C33" i="8"/>
  <c r="F32" i="8"/>
  <c r="E32" i="8"/>
  <c r="D32" i="8"/>
  <c r="C32" i="8"/>
  <c r="R30" i="8"/>
  <c r="Q30" i="8"/>
  <c r="M30" i="8"/>
  <c r="R29" i="8"/>
  <c r="Q29" i="8"/>
  <c r="P29" i="8"/>
  <c r="M29" i="8"/>
  <c r="M29" i="7" s="1"/>
  <c r="R28" i="8"/>
  <c r="Q28" i="8"/>
  <c r="O28" i="8"/>
  <c r="J28" i="8"/>
  <c r="R27" i="8"/>
  <c r="Q27" i="8"/>
  <c r="P27" i="8"/>
  <c r="O27" i="8"/>
  <c r="M26" i="8"/>
  <c r="J25" i="8"/>
  <c r="J25" i="7" s="1"/>
  <c r="J25" i="6" s="1"/>
  <c r="J25" i="37" s="1"/>
  <c r="J25" i="4" s="1"/>
  <c r="J25" i="43" s="1"/>
  <c r="F23" i="8"/>
  <c r="E23" i="8"/>
  <c r="D23" i="8"/>
  <c r="C23" i="8"/>
  <c r="K20" i="8"/>
  <c r="J18" i="8"/>
  <c r="M15" i="8"/>
  <c r="M14" i="8"/>
  <c r="F14" i="8"/>
  <c r="E14" i="8"/>
  <c r="D14" i="8"/>
  <c r="C14" i="8"/>
  <c r="J13" i="8"/>
  <c r="J13" i="7" s="1"/>
  <c r="R12" i="8"/>
  <c r="Q12" i="8"/>
  <c r="R11" i="8"/>
  <c r="Q11" i="8"/>
  <c r="P11" i="8"/>
  <c r="R10" i="8"/>
  <c r="Q10" i="8"/>
  <c r="P10" i="8"/>
  <c r="O10" i="8"/>
  <c r="K10" i="8"/>
  <c r="R9" i="8"/>
  <c r="Q9" i="8"/>
  <c r="P9" i="8"/>
  <c r="O9" i="8"/>
  <c r="R8" i="8"/>
  <c r="Q8" i="8"/>
  <c r="O8" i="8"/>
  <c r="J8" i="8"/>
  <c r="C8" i="8"/>
  <c r="J7" i="8"/>
  <c r="N6" i="8"/>
  <c r="H4" i="8"/>
  <c r="C53" i="7"/>
  <c r="C52" i="7"/>
  <c r="C51" i="7"/>
  <c r="I50" i="7"/>
  <c r="C50" i="7"/>
  <c r="C49" i="7"/>
  <c r="C48" i="7"/>
  <c r="C47" i="7"/>
  <c r="C46" i="7"/>
  <c r="C45" i="7"/>
  <c r="C44" i="7"/>
  <c r="I43" i="7"/>
  <c r="C43" i="7"/>
  <c r="G42" i="7"/>
  <c r="F42" i="7"/>
  <c r="C42" i="7"/>
  <c r="C41" i="7"/>
  <c r="G40" i="7"/>
  <c r="C40" i="7"/>
  <c r="G39" i="7"/>
  <c r="C39" i="7"/>
  <c r="I38" i="7"/>
  <c r="C38" i="7"/>
  <c r="I37" i="7"/>
  <c r="E35" i="7"/>
  <c r="D35" i="7"/>
  <c r="C35" i="7"/>
  <c r="L34" i="7"/>
  <c r="K34" i="7"/>
  <c r="I40" i="7" s="1"/>
  <c r="F34" i="7"/>
  <c r="E34" i="7"/>
  <c r="D34" i="7"/>
  <c r="C34" i="7"/>
  <c r="E33" i="7"/>
  <c r="D33" i="7"/>
  <c r="C33" i="7"/>
  <c r="M32" i="7"/>
  <c r="M32" i="6" s="1"/>
  <c r="M32" i="37" s="1"/>
  <c r="M32" i="4" s="1"/>
  <c r="M32" i="43" s="1"/>
  <c r="F32" i="7"/>
  <c r="E32" i="7"/>
  <c r="D32" i="7"/>
  <c r="C32" i="7"/>
  <c r="M30" i="7"/>
  <c r="J28" i="7"/>
  <c r="M26" i="7"/>
  <c r="F23" i="7"/>
  <c r="E23" i="7"/>
  <c r="D23" i="7"/>
  <c r="C23" i="7"/>
  <c r="J20" i="7"/>
  <c r="J18" i="7"/>
  <c r="O17" i="7"/>
  <c r="J17" i="7"/>
  <c r="J17" i="6" s="1"/>
  <c r="O16" i="7"/>
  <c r="M15" i="7"/>
  <c r="M14" i="7"/>
  <c r="F14" i="7"/>
  <c r="E14" i="7"/>
  <c r="D14" i="7"/>
  <c r="C14" i="7"/>
  <c r="K13" i="7"/>
  <c r="J12" i="7"/>
  <c r="J12" i="6" s="1"/>
  <c r="R11" i="7"/>
  <c r="Q11" i="7"/>
  <c r="K11" i="7"/>
  <c r="J11" i="7"/>
  <c r="R10" i="7"/>
  <c r="Q10" i="7"/>
  <c r="P10" i="7"/>
  <c r="R9" i="7"/>
  <c r="Q9" i="7"/>
  <c r="P9" i="7"/>
  <c r="O9" i="7"/>
  <c r="R8" i="7"/>
  <c r="Q8" i="7"/>
  <c r="P8" i="7"/>
  <c r="O8" i="7"/>
  <c r="J8" i="7"/>
  <c r="C8" i="7"/>
  <c r="J7" i="7"/>
  <c r="C7" i="7"/>
  <c r="N6" i="7"/>
  <c r="H4" i="7"/>
  <c r="C53" i="6"/>
  <c r="C52" i="6"/>
  <c r="C51" i="6"/>
  <c r="I50" i="6"/>
  <c r="C50" i="6"/>
  <c r="C49" i="6"/>
  <c r="C48" i="6"/>
  <c r="C47" i="6"/>
  <c r="C46" i="6"/>
  <c r="C45" i="6"/>
  <c r="C44" i="6"/>
  <c r="I43" i="6"/>
  <c r="I44" i="6" s="1"/>
  <c r="C43" i="6"/>
  <c r="G42" i="6"/>
  <c r="F42" i="6"/>
  <c r="C42" i="6"/>
  <c r="C41" i="6"/>
  <c r="G40" i="6"/>
  <c r="C40" i="6"/>
  <c r="G39" i="6"/>
  <c r="C39" i="6"/>
  <c r="I38" i="6"/>
  <c r="G38" i="6"/>
  <c r="C38" i="6"/>
  <c r="I37" i="6"/>
  <c r="E35" i="6"/>
  <c r="D35" i="6"/>
  <c r="C35" i="6"/>
  <c r="L34" i="6"/>
  <c r="K34" i="6"/>
  <c r="F34" i="6"/>
  <c r="E34" i="6"/>
  <c r="D34" i="6"/>
  <c r="C34" i="6"/>
  <c r="E33" i="6"/>
  <c r="D33" i="6"/>
  <c r="C33" i="6"/>
  <c r="F32" i="6"/>
  <c r="E32" i="6"/>
  <c r="D32" i="6"/>
  <c r="C32" i="6"/>
  <c r="M30" i="6"/>
  <c r="M30" i="37" s="1"/>
  <c r="M30" i="4" s="1"/>
  <c r="M30" i="43" s="1"/>
  <c r="M29" i="6"/>
  <c r="J29" i="6"/>
  <c r="J29" i="37" s="1"/>
  <c r="J29" i="4" s="1"/>
  <c r="J29" i="43" s="1"/>
  <c r="J28" i="6"/>
  <c r="M26" i="6"/>
  <c r="M25" i="6"/>
  <c r="F23" i="6"/>
  <c r="E23" i="6"/>
  <c r="D23" i="6"/>
  <c r="C23" i="6"/>
  <c r="J20" i="6"/>
  <c r="J18" i="6"/>
  <c r="M15" i="6"/>
  <c r="M14" i="6"/>
  <c r="F14" i="6"/>
  <c r="E14" i="6"/>
  <c r="D14" i="6"/>
  <c r="C14" i="6"/>
  <c r="J13" i="6"/>
  <c r="K11" i="6"/>
  <c r="J11" i="6"/>
  <c r="O10" i="6"/>
  <c r="O9" i="6"/>
  <c r="O8" i="6"/>
  <c r="J8" i="6"/>
  <c r="J7" i="6"/>
  <c r="N6" i="6"/>
  <c r="H4" i="6"/>
  <c r="C53" i="37"/>
  <c r="C52" i="37"/>
  <c r="C51" i="37"/>
  <c r="I50" i="37"/>
  <c r="C50" i="37"/>
  <c r="C49" i="37"/>
  <c r="C48" i="37"/>
  <c r="C47" i="37"/>
  <c r="C46" i="37"/>
  <c r="C45" i="37"/>
  <c r="C44" i="37"/>
  <c r="I43" i="37"/>
  <c r="I44" i="37" s="1"/>
  <c r="C43" i="37"/>
  <c r="G42" i="37"/>
  <c r="F42" i="37"/>
  <c r="C42" i="37"/>
  <c r="C41" i="37"/>
  <c r="C40" i="37"/>
  <c r="C39" i="37"/>
  <c r="J38" i="37"/>
  <c r="J38" i="4" s="1"/>
  <c r="J38" i="43" s="1"/>
  <c r="I38" i="37"/>
  <c r="C38" i="37"/>
  <c r="L37" i="37"/>
  <c r="I37" i="37"/>
  <c r="E35" i="37"/>
  <c r="D35" i="37"/>
  <c r="C35" i="37"/>
  <c r="L34" i="37"/>
  <c r="F34" i="37"/>
  <c r="E34" i="37"/>
  <c r="D34" i="37"/>
  <c r="C34" i="37"/>
  <c r="E33" i="37"/>
  <c r="D33" i="37"/>
  <c r="C33" i="37"/>
  <c r="J32" i="37"/>
  <c r="F32" i="37"/>
  <c r="E32" i="37"/>
  <c r="D32" i="37"/>
  <c r="C32" i="37"/>
  <c r="M31" i="37"/>
  <c r="M31" i="4" s="1"/>
  <c r="M31" i="43" s="1"/>
  <c r="M29" i="37"/>
  <c r="M28" i="37"/>
  <c r="M28" i="4" s="1"/>
  <c r="M28" i="43" s="1"/>
  <c r="J28" i="37"/>
  <c r="M27" i="37"/>
  <c r="M27" i="4" s="1"/>
  <c r="M27" i="43" s="1"/>
  <c r="J27" i="37"/>
  <c r="M26" i="37"/>
  <c r="J26" i="37"/>
  <c r="P25" i="37"/>
  <c r="O25" i="37"/>
  <c r="M25" i="37"/>
  <c r="M25" i="4" s="1"/>
  <c r="M25" i="43" s="1"/>
  <c r="D25" i="37"/>
  <c r="C25" i="37"/>
  <c r="J24" i="37"/>
  <c r="M23" i="37"/>
  <c r="J23" i="37"/>
  <c r="F23" i="37"/>
  <c r="E23" i="37"/>
  <c r="D23" i="37"/>
  <c r="C23" i="37"/>
  <c r="M22" i="37"/>
  <c r="J22" i="37"/>
  <c r="M21" i="37"/>
  <c r="J21" i="37"/>
  <c r="J20" i="37"/>
  <c r="R19" i="37"/>
  <c r="Q19" i="37"/>
  <c r="R18" i="37"/>
  <c r="Q18" i="37"/>
  <c r="P18" i="37"/>
  <c r="J18" i="37"/>
  <c r="J18" i="4" s="1"/>
  <c r="J18" i="43" s="1"/>
  <c r="R17" i="37"/>
  <c r="Q17" i="37"/>
  <c r="O17" i="37"/>
  <c r="J17" i="37"/>
  <c r="R16" i="37"/>
  <c r="Q16" i="37"/>
  <c r="O16" i="37"/>
  <c r="M15" i="37"/>
  <c r="M14" i="37"/>
  <c r="J14" i="37"/>
  <c r="F14" i="37"/>
  <c r="E14" i="37"/>
  <c r="D14" i="37"/>
  <c r="C14" i="37"/>
  <c r="J13" i="37"/>
  <c r="J12" i="37"/>
  <c r="J12" i="4" s="1"/>
  <c r="J12" i="43" s="1"/>
  <c r="K11" i="37"/>
  <c r="J11" i="37"/>
  <c r="K10" i="37"/>
  <c r="P8" i="37"/>
  <c r="O8" i="37"/>
  <c r="J8" i="37"/>
  <c r="J7" i="37"/>
  <c r="N6" i="37"/>
  <c r="H4" i="37"/>
  <c r="C53" i="4"/>
  <c r="C52" i="4"/>
  <c r="C51" i="4"/>
  <c r="I50" i="4"/>
  <c r="C50" i="4"/>
  <c r="C49" i="4"/>
  <c r="C48" i="4"/>
  <c r="C47" i="4"/>
  <c r="C46" i="4"/>
  <c r="C45" i="4"/>
  <c r="I44" i="4"/>
  <c r="C44" i="4"/>
  <c r="I43" i="4"/>
  <c r="C43" i="4"/>
  <c r="G42" i="4"/>
  <c r="F42" i="4"/>
  <c r="C42" i="4"/>
  <c r="C41" i="4"/>
  <c r="C40" i="4"/>
  <c r="C39" i="4"/>
  <c r="I38" i="4"/>
  <c r="C38" i="4"/>
  <c r="I37" i="4"/>
  <c r="E35" i="4"/>
  <c r="D35" i="4"/>
  <c r="C35" i="4"/>
  <c r="L34" i="4"/>
  <c r="K34" i="4"/>
  <c r="I40" i="4" s="1"/>
  <c r="F34" i="4"/>
  <c r="E34" i="4"/>
  <c r="D34" i="4"/>
  <c r="C34" i="4"/>
  <c r="E33" i="4"/>
  <c r="D33" i="4"/>
  <c r="C33" i="4"/>
  <c r="J32" i="4"/>
  <c r="J32" i="43" s="1"/>
  <c r="F32" i="4"/>
  <c r="E32" i="4"/>
  <c r="D32" i="4"/>
  <c r="C32" i="4"/>
  <c r="M29" i="4"/>
  <c r="J28" i="4"/>
  <c r="J27" i="4"/>
  <c r="M26" i="4"/>
  <c r="J26" i="4"/>
  <c r="J24" i="4"/>
  <c r="E24" i="4"/>
  <c r="D24" i="4"/>
  <c r="C24" i="4"/>
  <c r="M23" i="4"/>
  <c r="M23" i="43" s="1"/>
  <c r="J23" i="4"/>
  <c r="F23" i="4"/>
  <c r="E23" i="4"/>
  <c r="D23" i="4"/>
  <c r="C23" i="4"/>
  <c r="M22" i="4"/>
  <c r="J22" i="4"/>
  <c r="M21" i="4"/>
  <c r="M21" i="43" s="1"/>
  <c r="J21" i="4"/>
  <c r="J20" i="4"/>
  <c r="J17" i="4"/>
  <c r="S15" i="4"/>
  <c r="R15" i="4"/>
  <c r="Q15" i="4"/>
  <c r="M15" i="4"/>
  <c r="E15" i="4"/>
  <c r="D15" i="4"/>
  <c r="C15" i="4"/>
  <c r="S14" i="4"/>
  <c r="R14" i="4"/>
  <c r="Q14" i="4"/>
  <c r="M14" i="4"/>
  <c r="J14" i="4"/>
  <c r="J14" i="43" s="1"/>
  <c r="F14" i="4"/>
  <c r="E14" i="4"/>
  <c r="D14" i="4"/>
  <c r="C14" i="4"/>
  <c r="K13" i="4"/>
  <c r="J13" i="4"/>
  <c r="J11" i="4"/>
  <c r="S8" i="4"/>
  <c r="R8" i="4"/>
  <c r="P8" i="4"/>
  <c r="J8" i="4"/>
  <c r="S7" i="4"/>
  <c r="R7" i="4"/>
  <c r="P7" i="4"/>
  <c r="J7" i="4"/>
  <c r="S6" i="4"/>
  <c r="R6" i="4"/>
  <c r="P6" i="4"/>
  <c r="H4" i="4"/>
  <c r="C53" i="43"/>
  <c r="C52" i="43"/>
  <c r="C51" i="43"/>
  <c r="I50" i="43"/>
  <c r="C50" i="43"/>
  <c r="C49" i="43"/>
  <c r="C48" i="43"/>
  <c r="C47" i="43"/>
  <c r="C46" i="43"/>
  <c r="C45" i="43"/>
  <c r="C44" i="43"/>
  <c r="I43" i="43"/>
  <c r="I44" i="43" s="1"/>
  <c r="C43" i="43"/>
  <c r="G42" i="43"/>
  <c r="F42" i="43"/>
  <c r="C42" i="43"/>
  <c r="C41" i="43"/>
  <c r="C40" i="43"/>
  <c r="C39" i="43"/>
  <c r="L38" i="43"/>
  <c r="I38" i="43"/>
  <c r="C38" i="43"/>
  <c r="L37" i="43"/>
  <c r="I37" i="43"/>
  <c r="E35" i="43"/>
  <c r="D35" i="43"/>
  <c r="C35" i="43"/>
  <c r="L34" i="43"/>
  <c r="F34" i="43"/>
  <c r="E34" i="43"/>
  <c r="D34" i="43"/>
  <c r="C34" i="43"/>
  <c r="E33" i="43"/>
  <c r="D33" i="43"/>
  <c r="C33" i="43"/>
  <c r="F32" i="43"/>
  <c r="E32" i="43"/>
  <c r="D32" i="43"/>
  <c r="C32" i="43"/>
  <c r="R29" i="43"/>
  <c r="Q29" i="43"/>
  <c r="M29" i="43"/>
  <c r="R28" i="43"/>
  <c r="Q28" i="43"/>
  <c r="P28" i="43"/>
  <c r="J28" i="43"/>
  <c r="R27" i="43"/>
  <c r="Q27" i="43"/>
  <c r="O27" i="43"/>
  <c r="J27" i="43"/>
  <c r="R26" i="43"/>
  <c r="Q26" i="43"/>
  <c r="O26" i="43"/>
  <c r="M26" i="43"/>
  <c r="J26" i="43"/>
  <c r="J24" i="43"/>
  <c r="J23" i="43"/>
  <c r="F23" i="43"/>
  <c r="E23" i="43"/>
  <c r="D23" i="43"/>
  <c r="C23" i="43"/>
  <c r="M22" i="43"/>
  <c r="J22" i="43"/>
  <c r="J21" i="43"/>
  <c r="R20" i="43"/>
  <c r="Q20" i="43"/>
  <c r="J20" i="43"/>
  <c r="R19" i="43"/>
  <c r="Q19" i="43"/>
  <c r="P19" i="43"/>
  <c r="R18" i="43"/>
  <c r="Q18" i="43"/>
  <c r="O18" i="43"/>
  <c r="R17" i="43"/>
  <c r="Q17" i="43"/>
  <c r="O17" i="43"/>
  <c r="J17" i="43"/>
  <c r="C17" i="43"/>
  <c r="C16" i="43"/>
  <c r="M15" i="43"/>
  <c r="M14" i="43"/>
  <c r="F14" i="43"/>
  <c r="E14" i="43"/>
  <c r="D14" i="43"/>
  <c r="C14" i="43"/>
  <c r="K13" i="43"/>
  <c r="J13" i="43"/>
  <c r="J11" i="43"/>
  <c r="P8" i="43"/>
  <c r="O8" i="43"/>
  <c r="J8" i="43"/>
  <c r="K7" i="43"/>
  <c r="J7" i="43"/>
  <c r="N6" i="43"/>
  <c r="H4" i="43"/>
  <c r="M39" i="53"/>
  <c r="D39" i="53"/>
  <c r="M38" i="53"/>
  <c r="D38" i="53"/>
  <c r="M37" i="53"/>
  <c r="D37" i="53"/>
  <c r="M36" i="53"/>
  <c r="D36" i="53"/>
  <c r="M35" i="53"/>
  <c r="D35" i="53"/>
  <c r="M34" i="53"/>
  <c r="D34" i="53"/>
  <c r="M33" i="53"/>
  <c r="D33" i="53"/>
  <c r="M32" i="53"/>
  <c r="D32" i="53"/>
  <c r="M31" i="53"/>
  <c r="D31" i="53"/>
  <c r="M30" i="53"/>
  <c r="D30" i="53"/>
  <c r="M29" i="53"/>
  <c r="D29" i="53"/>
  <c r="M28" i="53"/>
  <c r="D28" i="53"/>
  <c r="M27" i="53"/>
  <c r="D27" i="53"/>
  <c r="M26" i="53"/>
  <c r="D26" i="53"/>
  <c r="M25" i="53"/>
  <c r="D25" i="53"/>
  <c r="M24" i="53"/>
  <c r="D24" i="53"/>
  <c r="M23" i="53"/>
  <c r="D23" i="53"/>
  <c r="M22" i="53"/>
  <c r="D22" i="53"/>
  <c r="M21" i="53"/>
  <c r="D21" i="53"/>
  <c r="M20" i="53"/>
  <c r="D20" i="53"/>
  <c r="M19" i="53"/>
  <c r="D19" i="53"/>
  <c r="M18" i="53"/>
  <c r="D18" i="53"/>
  <c r="M17" i="53"/>
  <c r="D17" i="53"/>
  <c r="M16" i="53"/>
  <c r="D16" i="53"/>
  <c r="M11" i="53"/>
  <c r="D11" i="53"/>
  <c r="M10" i="53"/>
  <c r="D10" i="53"/>
  <c r="M9" i="53"/>
  <c r="D9" i="53"/>
  <c r="M8" i="53"/>
  <c r="D8" i="53"/>
  <c r="M7" i="53"/>
  <c r="D7" i="53"/>
  <c r="M6" i="53"/>
  <c r="D6" i="53"/>
  <c r="M5" i="53"/>
  <c r="D5" i="53"/>
  <c r="M4" i="53"/>
  <c r="D4" i="53"/>
  <c r="Q3" i="53"/>
  <c r="P3" i="53"/>
  <c r="O3" i="53"/>
  <c r="N3" i="53"/>
  <c r="M3" i="53"/>
  <c r="H3" i="53"/>
  <c r="G3" i="53"/>
  <c r="F3" i="53"/>
  <c r="E3" i="53"/>
  <c r="T9" i="54"/>
  <c r="I9" i="54"/>
  <c r="AH39" i="55"/>
  <c r="AG39" i="55"/>
  <c r="AF39" i="55"/>
  <c r="AE39" i="55"/>
  <c r="AD39" i="55"/>
  <c r="AC39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C39" i="55"/>
  <c r="B39" i="55"/>
  <c r="AH37" i="55"/>
  <c r="AG37" i="55"/>
  <c r="AH36" i="55"/>
  <c r="AG36" i="55"/>
  <c r="AH35" i="55"/>
  <c r="AG35" i="55"/>
  <c r="AH34" i="55"/>
  <c r="AG34" i="55"/>
  <c r="AH33" i="55"/>
  <c r="AG33" i="55"/>
  <c r="AH32" i="55"/>
  <c r="AG32" i="55"/>
  <c r="AH31" i="55"/>
  <c r="AG31" i="55"/>
  <c r="AH30" i="55"/>
  <c r="AG30" i="55"/>
  <c r="AH29" i="55"/>
  <c r="AG29" i="55"/>
  <c r="AH28" i="55"/>
  <c r="AG28" i="55"/>
  <c r="AH27" i="55"/>
  <c r="AG27" i="55"/>
  <c r="AH26" i="55"/>
  <c r="AG26" i="55"/>
  <c r="AH25" i="55"/>
  <c r="AG25" i="55"/>
  <c r="AH24" i="55"/>
  <c r="AG24" i="55"/>
  <c r="AH23" i="55"/>
  <c r="AG23" i="55"/>
  <c r="AH22" i="55"/>
  <c r="AG22" i="55"/>
  <c r="AH21" i="55"/>
  <c r="AG21" i="55"/>
  <c r="AH20" i="55"/>
  <c r="AG20" i="55"/>
  <c r="AH19" i="55"/>
  <c r="AG19" i="55"/>
  <c r="AH18" i="55"/>
  <c r="AG18" i="55"/>
  <c r="AH17" i="55"/>
  <c r="AG17" i="55"/>
  <c r="AH16" i="55"/>
  <c r="AG16" i="55"/>
  <c r="AH15" i="55"/>
  <c r="AG15" i="55"/>
  <c r="AH14" i="55"/>
  <c r="AG14" i="55"/>
  <c r="AH13" i="55"/>
  <c r="AG13" i="55"/>
  <c r="AH12" i="55"/>
  <c r="AG12" i="55"/>
  <c r="R12" i="55"/>
  <c r="H12" i="55"/>
  <c r="AH11" i="55"/>
  <c r="AG11" i="55"/>
  <c r="AH10" i="55"/>
  <c r="AG10" i="55"/>
  <c r="T10" i="55"/>
  <c r="AH9" i="55"/>
  <c r="AG9" i="55"/>
  <c r="AH8" i="55"/>
  <c r="AG8" i="55"/>
  <c r="AH7" i="55"/>
  <c r="AG7" i="55"/>
  <c r="AF7" i="55"/>
  <c r="AB7" i="55"/>
  <c r="AA7" i="55"/>
  <c r="X7" i="55"/>
  <c r="W7" i="55"/>
  <c r="U7" i="55"/>
  <c r="T7" i="55"/>
  <c r="S7" i="55"/>
  <c r="R7" i="55"/>
  <c r="P7" i="55"/>
  <c r="O7" i="55"/>
  <c r="N7" i="55"/>
  <c r="M7" i="55"/>
  <c r="L7" i="55"/>
  <c r="K7" i="55"/>
  <c r="G7" i="55"/>
  <c r="E7" i="55"/>
  <c r="C7" i="55"/>
  <c r="B7" i="55"/>
  <c r="AH6" i="55"/>
  <c r="AG6" i="55"/>
  <c r="AF6" i="55"/>
  <c r="AE6" i="55"/>
  <c r="AD6" i="55"/>
  <c r="AC6" i="55"/>
  <c r="AB6" i="55"/>
  <c r="AA6" i="55"/>
  <c r="Z6" i="55"/>
  <c r="Y6" i="55"/>
  <c r="X6" i="55"/>
  <c r="W6" i="55"/>
  <c r="V6" i="55"/>
  <c r="U6" i="55"/>
  <c r="T6" i="55"/>
  <c r="S6" i="55"/>
  <c r="R6" i="55"/>
  <c r="Q6" i="55"/>
  <c r="P6" i="55"/>
  <c r="O6" i="55"/>
  <c r="M6" i="55"/>
  <c r="L6" i="55"/>
  <c r="K6" i="55"/>
  <c r="J6" i="55"/>
  <c r="I6" i="55"/>
  <c r="H6" i="55"/>
  <c r="G6" i="55"/>
  <c r="F6" i="55"/>
  <c r="E6" i="55"/>
  <c r="D6" i="55"/>
  <c r="C6" i="55"/>
  <c r="B6" i="55"/>
  <c r="AG4" i="55"/>
  <c r="AG3" i="55"/>
  <c r="AD3" i="55"/>
  <c r="KV41" i="1"/>
  <c r="KU41" i="1"/>
  <c r="KT41" i="1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0" i="1"/>
  <c r="KV39" i="1"/>
  <c r="KU39" i="1"/>
  <c r="KT39" i="1"/>
  <c r="KS39" i="1"/>
  <c r="KR39" i="1"/>
  <c r="KP39" i="1"/>
  <c r="KO39" i="1"/>
  <c r="KM39" i="1"/>
  <c r="KL39" i="1"/>
  <c r="KJ39" i="1"/>
  <c r="KI39" i="1"/>
  <c r="KG39" i="1"/>
  <c r="KF39" i="1"/>
  <c r="KD39" i="1"/>
  <c r="KC39" i="1"/>
  <c r="KA39" i="1"/>
  <c r="JZ39" i="1"/>
  <c r="JX39" i="1"/>
  <c r="JW39" i="1"/>
  <c r="JU39" i="1"/>
  <c r="JT39" i="1"/>
  <c r="JR39" i="1"/>
  <c r="JQ39" i="1"/>
  <c r="JO39" i="1"/>
  <c r="JN39" i="1"/>
  <c r="JL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C39" i="1"/>
  <c r="B39" i="1"/>
  <c r="KV38" i="1"/>
  <c r="KU38" i="1"/>
  <c r="KT38" i="1"/>
  <c r="KS38" i="1"/>
  <c r="KR38" i="1"/>
  <c r="KP38" i="1"/>
  <c r="KO38" i="1"/>
  <c r="KM38" i="1"/>
  <c r="KL38" i="1"/>
  <c r="KJ38" i="1"/>
  <c r="KI38" i="1"/>
  <c r="KG38" i="1"/>
  <c r="KF38" i="1"/>
  <c r="KD38" i="1"/>
  <c r="KC38" i="1"/>
  <c r="KA38" i="1"/>
  <c r="JZ38" i="1"/>
  <c r="JX38" i="1"/>
  <c r="JW38" i="1"/>
  <c r="JU38" i="1"/>
  <c r="JT38" i="1"/>
  <c r="JR38" i="1"/>
  <c r="JQ38" i="1"/>
  <c r="JO38" i="1"/>
  <c r="JN38" i="1"/>
  <c r="JL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C38" i="1"/>
  <c r="B38" i="1"/>
  <c r="KV37" i="1"/>
  <c r="KU37" i="1"/>
  <c r="KT37" i="1"/>
  <c r="KS37" i="1"/>
  <c r="KR37" i="1"/>
  <c r="KP37" i="1"/>
  <c r="KO37" i="1"/>
  <c r="KM37" i="1"/>
  <c r="KL37" i="1"/>
  <c r="KJ37" i="1"/>
  <c r="KI37" i="1"/>
  <c r="KG37" i="1"/>
  <c r="KF37" i="1"/>
  <c r="KD37" i="1"/>
  <c r="KC37" i="1"/>
  <c r="KA37" i="1"/>
  <c r="JZ37" i="1"/>
  <c r="JX37" i="1"/>
  <c r="JW37" i="1"/>
  <c r="JU37" i="1"/>
  <c r="JT37" i="1"/>
  <c r="JR37" i="1"/>
  <c r="JQ37" i="1"/>
  <c r="JO37" i="1"/>
  <c r="JN37" i="1"/>
  <c r="JL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C37" i="1"/>
  <c r="B37" i="1"/>
  <c r="KV36" i="1"/>
  <c r="KU36" i="1"/>
  <c r="KT36" i="1"/>
  <c r="KS36" i="1"/>
  <c r="KR36" i="1"/>
  <c r="KP36" i="1"/>
  <c r="KO36" i="1"/>
  <c r="KM36" i="1"/>
  <c r="KL36" i="1"/>
  <c r="KJ36" i="1"/>
  <c r="KI36" i="1"/>
  <c r="KG36" i="1"/>
  <c r="KF36" i="1"/>
  <c r="KD36" i="1"/>
  <c r="KC36" i="1"/>
  <c r="KA36" i="1"/>
  <c r="JZ36" i="1"/>
  <c r="JX36" i="1"/>
  <c r="JW36" i="1"/>
  <c r="JU36" i="1"/>
  <c r="JT36" i="1"/>
  <c r="JR36" i="1"/>
  <c r="JQ36" i="1"/>
  <c r="JO36" i="1"/>
  <c r="JN36" i="1"/>
  <c r="JL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C36" i="1"/>
  <c r="B36" i="1"/>
  <c r="KV35" i="1"/>
  <c r="KU35" i="1"/>
  <c r="KT35" i="1"/>
  <c r="KS35" i="1"/>
  <c r="KR35" i="1"/>
  <c r="KP35" i="1"/>
  <c r="KO35" i="1"/>
  <c r="KM35" i="1"/>
  <c r="KL35" i="1"/>
  <c r="KJ35" i="1"/>
  <c r="KI35" i="1"/>
  <c r="KG35" i="1"/>
  <c r="KF35" i="1"/>
  <c r="KD35" i="1"/>
  <c r="KC35" i="1"/>
  <c r="KA35" i="1"/>
  <c r="JZ35" i="1"/>
  <c r="JX35" i="1"/>
  <c r="JW35" i="1"/>
  <c r="JU35" i="1"/>
  <c r="JT35" i="1"/>
  <c r="JR35" i="1"/>
  <c r="JQ35" i="1"/>
  <c r="JO35" i="1"/>
  <c r="JN35" i="1"/>
  <c r="JL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C35" i="1"/>
  <c r="B35" i="1"/>
  <c r="KV34" i="1"/>
  <c r="KU34" i="1"/>
  <c r="KT34" i="1"/>
  <c r="KS34" i="1"/>
  <c r="KR34" i="1"/>
  <c r="KP34" i="1"/>
  <c r="KO34" i="1"/>
  <c r="KM34" i="1"/>
  <c r="KL34" i="1"/>
  <c r="KJ34" i="1"/>
  <c r="KI34" i="1"/>
  <c r="KG34" i="1"/>
  <c r="KF34" i="1"/>
  <c r="KD34" i="1"/>
  <c r="KC34" i="1"/>
  <c r="KA34" i="1"/>
  <c r="JZ34" i="1"/>
  <c r="JX34" i="1"/>
  <c r="JW34" i="1"/>
  <c r="JU34" i="1"/>
  <c r="JT34" i="1"/>
  <c r="JR34" i="1"/>
  <c r="JQ34" i="1"/>
  <c r="JO34" i="1"/>
  <c r="JN34" i="1"/>
  <c r="JL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C34" i="1"/>
  <c r="B34" i="1"/>
  <c r="KV33" i="1"/>
  <c r="KU33" i="1"/>
  <c r="KT33" i="1"/>
  <c r="KS33" i="1"/>
  <c r="KR33" i="1"/>
  <c r="KP33" i="1"/>
  <c r="KO33" i="1"/>
  <c r="KM33" i="1"/>
  <c r="KL33" i="1"/>
  <c r="KJ33" i="1"/>
  <c r="KI33" i="1"/>
  <c r="KG33" i="1"/>
  <c r="KF33" i="1"/>
  <c r="KD33" i="1"/>
  <c r="KC33" i="1"/>
  <c r="KA33" i="1"/>
  <c r="JZ33" i="1"/>
  <c r="JX33" i="1"/>
  <c r="JW33" i="1"/>
  <c r="JU33" i="1"/>
  <c r="JT33" i="1"/>
  <c r="JR33" i="1"/>
  <c r="JQ33" i="1"/>
  <c r="JO33" i="1"/>
  <c r="JN33" i="1"/>
  <c r="JL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C33" i="1"/>
  <c r="B33" i="1"/>
  <c r="KV32" i="1"/>
  <c r="KU32" i="1"/>
  <c r="KT32" i="1"/>
  <c r="KS32" i="1"/>
  <c r="KR32" i="1"/>
  <c r="KP32" i="1"/>
  <c r="KO32" i="1"/>
  <c r="KM32" i="1"/>
  <c r="KL32" i="1"/>
  <c r="KJ32" i="1"/>
  <c r="KI32" i="1"/>
  <c r="KG32" i="1"/>
  <c r="KF32" i="1"/>
  <c r="KD32" i="1"/>
  <c r="KC32" i="1"/>
  <c r="KA32" i="1"/>
  <c r="JZ32" i="1"/>
  <c r="JX32" i="1"/>
  <c r="JW32" i="1"/>
  <c r="JU32" i="1"/>
  <c r="JT32" i="1"/>
  <c r="JR32" i="1"/>
  <c r="JQ32" i="1"/>
  <c r="JO32" i="1"/>
  <c r="JN32" i="1"/>
  <c r="JL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C32" i="1"/>
  <c r="B32" i="1"/>
  <c r="KV31" i="1"/>
  <c r="KU31" i="1"/>
  <c r="KT31" i="1"/>
  <c r="KS31" i="1"/>
  <c r="KR31" i="1"/>
  <c r="KP31" i="1"/>
  <c r="KO31" i="1"/>
  <c r="KM31" i="1"/>
  <c r="KL31" i="1"/>
  <c r="KJ31" i="1"/>
  <c r="KI31" i="1"/>
  <c r="KG31" i="1"/>
  <c r="KF31" i="1"/>
  <c r="KD31" i="1"/>
  <c r="KC31" i="1"/>
  <c r="KA31" i="1"/>
  <c r="JZ31" i="1"/>
  <c r="JX31" i="1"/>
  <c r="JW31" i="1"/>
  <c r="JU31" i="1"/>
  <c r="JT31" i="1"/>
  <c r="JR31" i="1"/>
  <c r="JQ31" i="1"/>
  <c r="JO31" i="1"/>
  <c r="JN31" i="1"/>
  <c r="JL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C31" i="1"/>
  <c r="B31" i="1"/>
  <c r="KV30" i="1"/>
  <c r="KU30" i="1"/>
  <c r="KT30" i="1"/>
  <c r="KS30" i="1"/>
  <c r="KR30" i="1"/>
  <c r="KP30" i="1"/>
  <c r="KO30" i="1"/>
  <c r="KM30" i="1"/>
  <c r="KL30" i="1"/>
  <c r="KJ30" i="1"/>
  <c r="KI30" i="1"/>
  <c r="KG30" i="1"/>
  <c r="KF30" i="1"/>
  <c r="KD30" i="1"/>
  <c r="KC30" i="1"/>
  <c r="KA30" i="1"/>
  <c r="JZ30" i="1"/>
  <c r="JX30" i="1"/>
  <c r="JW30" i="1"/>
  <c r="JU30" i="1"/>
  <c r="JT30" i="1"/>
  <c r="JR30" i="1"/>
  <c r="JQ30" i="1"/>
  <c r="JO30" i="1"/>
  <c r="JN30" i="1"/>
  <c r="JL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C30" i="1"/>
  <c r="B30" i="1"/>
  <c r="KV29" i="1"/>
  <c r="KU29" i="1"/>
  <c r="KT29" i="1"/>
  <c r="KS29" i="1"/>
  <c r="KR29" i="1"/>
  <c r="KP29" i="1"/>
  <c r="KO29" i="1"/>
  <c r="KM29" i="1"/>
  <c r="KL29" i="1"/>
  <c r="KJ29" i="1"/>
  <c r="KI29" i="1"/>
  <c r="KG29" i="1"/>
  <c r="KF29" i="1"/>
  <c r="KD29" i="1"/>
  <c r="KC29" i="1"/>
  <c r="KA29" i="1"/>
  <c r="JZ29" i="1"/>
  <c r="JX29" i="1"/>
  <c r="JW29" i="1"/>
  <c r="JU29" i="1"/>
  <c r="JT29" i="1"/>
  <c r="JR29" i="1"/>
  <c r="JQ29" i="1"/>
  <c r="JO29" i="1"/>
  <c r="JN29" i="1"/>
  <c r="JL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C29" i="1"/>
  <c r="B29" i="1"/>
  <c r="KV28" i="1"/>
  <c r="KU28" i="1"/>
  <c r="KT28" i="1"/>
  <c r="KS28" i="1"/>
  <c r="KR28" i="1"/>
  <c r="KP28" i="1"/>
  <c r="KO28" i="1"/>
  <c r="KM28" i="1"/>
  <c r="KL28" i="1"/>
  <c r="KJ28" i="1"/>
  <c r="KI28" i="1"/>
  <c r="KG28" i="1"/>
  <c r="KF28" i="1"/>
  <c r="KD28" i="1"/>
  <c r="KC28" i="1"/>
  <c r="KA28" i="1"/>
  <c r="JZ28" i="1"/>
  <c r="JX28" i="1"/>
  <c r="JW28" i="1"/>
  <c r="JU28" i="1"/>
  <c r="JT28" i="1"/>
  <c r="JR28" i="1"/>
  <c r="JQ28" i="1"/>
  <c r="JO28" i="1"/>
  <c r="JN28" i="1"/>
  <c r="JL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C28" i="1"/>
  <c r="B28" i="1"/>
  <c r="KV27" i="1"/>
  <c r="KU27" i="1"/>
  <c r="KT27" i="1"/>
  <c r="KS27" i="1"/>
  <c r="KR27" i="1"/>
  <c r="KP27" i="1"/>
  <c r="KO27" i="1"/>
  <c r="KM27" i="1"/>
  <c r="KL27" i="1"/>
  <c r="KJ27" i="1"/>
  <c r="KI27" i="1"/>
  <c r="KG27" i="1"/>
  <c r="KF27" i="1"/>
  <c r="KD27" i="1"/>
  <c r="KC27" i="1"/>
  <c r="KA27" i="1"/>
  <c r="JZ27" i="1"/>
  <c r="JX27" i="1"/>
  <c r="JW27" i="1"/>
  <c r="JU27" i="1"/>
  <c r="JT27" i="1"/>
  <c r="JR27" i="1"/>
  <c r="JQ27" i="1"/>
  <c r="JO27" i="1"/>
  <c r="JN27" i="1"/>
  <c r="JL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C27" i="1"/>
  <c r="B27" i="1"/>
  <c r="KV26" i="1"/>
  <c r="KU26" i="1"/>
  <c r="KT26" i="1"/>
  <c r="KS26" i="1"/>
  <c r="KR26" i="1"/>
  <c r="KP26" i="1"/>
  <c r="KO26" i="1"/>
  <c r="KM26" i="1"/>
  <c r="KL26" i="1"/>
  <c r="KJ26" i="1"/>
  <c r="KI26" i="1"/>
  <c r="KG26" i="1"/>
  <c r="KF26" i="1"/>
  <c r="KD26" i="1"/>
  <c r="KC26" i="1"/>
  <c r="KA26" i="1"/>
  <c r="JZ26" i="1"/>
  <c r="JX26" i="1"/>
  <c r="JW26" i="1"/>
  <c r="JU26" i="1"/>
  <c r="JT26" i="1"/>
  <c r="JR26" i="1"/>
  <c r="JQ26" i="1"/>
  <c r="JO26" i="1"/>
  <c r="JN26" i="1"/>
  <c r="JL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C26" i="1"/>
  <c r="B26" i="1"/>
  <c r="KV25" i="1"/>
  <c r="KU25" i="1"/>
  <c r="KT25" i="1"/>
  <c r="KS25" i="1"/>
  <c r="KR25" i="1"/>
  <c r="KP25" i="1"/>
  <c r="KO25" i="1"/>
  <c r="KM25" i="1"/>
  <c r="KL25" i="1"/>
  <c r="KJ25" i="1"/>
  <c r="KI25" i="1"/>
  <c r="KG25" i="1"/>
  <c r="KF25" i="1"/>
  <c r="KD25" i="1"/>
  <c r="KC25" i="1"/>
  <c r="KA25" i="1"/>
  <c r="JZ25" i="1"/>
  <c r="JX25" i="1"/>
  <c r="JW25" i="1"/>
  <c r="JU25" i="1"/>
  <c r="JT25" i="1"/>
  <c r="JR25" i="1"/>
  <c r="JQ25" i="1"/>
  <c r="JO25" i="1"/>
  <c r="JN25" i="1"/>
  <c r="JL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C25" i="1"/>
  <c r="B25" i="1"/>
  <c r="KV24" i="1"/>
  <c r="KU24" i="1"/>
  <c r="KT24" i="1"/>
  <c r="KS24" i="1"/>
  <c r="KR24" i="1"/>
  <c r="KP24" i="1"/>
  <c r="KO24" i="1"/>
  <c r="KM24" i="1"/>
  <c r="KL24" i="1"/>
  <c r="KJ24" i="1"/>
  <c r="KI24" i="1"/>
  <c r="KG24" i="1"/>
  <c r="KF24" i="1"/>
  <c r="KD24" i="1"/>
  <c r="KC24" i="1"/>
  <c r="KA24" i="1"/>
  <c r="JZ24" i="1"/>
  <c r="JX24" i="1"/>
  <c r="JW24" i="1"/>
  <c r="JU24" i="1"/>
  <c r="JT24" i="1"/>
  <c r="JR24" i="1"/>
  <c r="JQ24" i="1"/>
  <c r="JO24" i="1"/>
  <c r="JN24" i="1"/>
  <c r="JL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C24" i="1"/>
  <c r="B24" i="1"/>
  <c r="KV23" i="1"/>
  <c r="KU23" i="1"/>
  <c r="KT23" i="1"/>
  <c r="KS23" i="1"/>
  <c r="KR23" i="1"/>
  <c r="KP23" i="1"/>
  <c r="KO23" i="1"/>
  <c r="KM23" i="1"/>
  <c r="KL23" i="1"/>
  <c r="KJ23" i="1"/>
  <c r="KI23" i="1"/>
  <c r="KG23" i="1"/>
  <c r="KF23" i="1"/>
  <c r="KD23" i="1"/>
  <c r="KC23" i="1"/>
  <c r="KA23" i="1"/>
  <c r="JZ23" i="1"/>
  <c r="JX23" i="1"/>
  <c r="JW23" i="1"/>
  <c r="JU23" i="1"/>
  <c r="JT23" i="1"/>
  <c r="JR23" i="1"/>
  <c r="JQ23" i="1"/>
  <c r="JO23" i="1"/>
  <c r="JN23" i="1"/>
  <c r="JL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C23" i="1"/>
  <c r="B23" i="1"/>
  <c r="KV22" i="1"/>
  <c r="KU22" i="1"/>
  <c r="KT22" i="1"/>
  <c r="KS22" i="1"/>
  <c r="KR22" i="1"/>
  <c r="KP22" i="1"/>
  <c r="KO22" i="1"/>
  <c r="KM22" i="1"/>
  <c r="KL22" i="1"/>
  <c r="KJ22" i="1"/>
  <c r="KI22" i="1"/>
  <c r="KG22" i="1"/>
  <c r="KF22" i="1"/>
  <c r="KD22" i="1"/>
  <c r="KC22" i="1"/>
  <c r="KA22" i="1"/>
  <c r="JZ22" i="1"/>
  <c r="JX22" i="1"/>
  <c r="JW22" i="1"/>
  <c r="JU22" i="1"/>
  <c r="JT22" i="1"/>
  <c r="JR22" i="1"/>
  <c r="JQ22" i="1"/>
  <c r="JO22" i="1"/>
  <c r="JN22" i="1"/>
  <c r="JL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C22" i="1"/>
  <c r="B22" i="1"/>
  <c r="KV21" i="1"/>
  <c r="KU21" i="1"/>
  <c r="KT21" i="1"/>
  <c r="KS21" i="1"/>
  <c r="KR21" i="1"/>
  <c r="KP21" i="1"/>
  <c r="KO21" i="1"/>
  <c r="KM21" i="1"/>
  <c r="KL21" i="1"/>
  <c r="KJ21" i="1"/>
  <c r="KI21" i="1"/>
  <c r="KG21" i="1"/>
  <c r="KF21" i="1"/>
  <c r="KD21" i="1"/>
  <c r="KC21" i="1"/>
  <c r="KA21" i="1"/>
  <c r="JZ21" i="1"/>
  <c r="JX21" i="1"/>
  <c r="JW21" i="1"/>
  <c r="JU21" i="1"/>
  <c r="JT21" i="1"/>
  <c r="JR21" i="1"/>
  <c r="JQ21" i="1"/>
  <c r="JO21" i="1"/>
  <c r="JN21" i="1"/>
  <c r="JL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C21" i="1"/>
  <c r="B21" i="1"/>
  <c r="KV20" i="1"/>
  <c r="KU20" i="1"/>
  <c r="KT20" i="1"/>
  <c r="KS20" i="1"/>
  <c r="KR20" i="1"/>
  <c r="KP20" i="1"/>
  <c r="KO20" i="1"/>
  <c r="KM20" i="1"/>
  <c r="KL20" i="1"/>
  <c r="KJ20" i="1"/>
  <c r="KI20" i="1"/>
  <c r="KG20" i="1"/>
  <c r="KF20" i="1"/>
  <c r="KD20" i="1"/>
  <c r="KC20" i="1"/>
  <c r="KA20" i="1"/>
  <c r="JZ20" i="1"/>
  <c r="JX20" i="1"/>
  <c r="JW20" i="1"/>
  <c r="JU20" i="1"/>
  <c r="JT20" i="1"/>
  <c r="JR20" i="1"/>
  <c r="JQ20" i="1"/>
  <c r="JO20" i="1"/>
  <c r="JN20" i="1"/>
  <c r="JL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C20" i="1"/>
  <c r="B20" i="1"/>
  <c r="KV19" i="1"/>
  <c r="KU19" i="1"/>
  <c r="KT19" i="1"/>
  <c r="KS19" i="1"/>
  <c r="KR19" i="1"/>
  <c r="KP19" i="1"/>
  <c r="KO19" i="1"/>
  <c r="KM19" i="1"/>
  <c r="KL19" i="1"/>
  <c r="KJ19" i="1"/>
  <c r="KI19" i="1"/>
  <c r="KG19" i="1"/>
  <c r="KF19" i="1"/>
  <c r="KD19" i="1"/>
  <c r="KC19" i="1"/>
  <c r="KA19" i="1"/>
  <c r="JZ19" i="1"/>
  <c r="JX19" i="1"/>
  <c r="JW19" i="1"/>
  <c r="JU19" i="1"/>
  <c r="JT19" i="1"/>
  <c r="JR19" i="1"/>
  <c r="JQ19" i="1"/>
  <c r="JO19" i="1"/>
  <c r="JN19" i="1"/>
  <c r="JL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C19" i="1"/>
  <c r="B19" i="1"/>
  <c r="KV18" i="1"/>
  <c r="KU18" i="1"/>
  <c r="KT18" i="1"/>
  <c r="KS18" i="1"/>
  <c r="KR18" i="1"/>
  <c r="KP18" i="1"/>
  <c r="KO18" i="1"/>
  <c r="KM18" i="1"/>
  <c r="KL18" i="1"/>
  <c r="KJ18" i="1"/>
  <c r="KI18" i="1"/>
  <c r="KG18" i="1"/>
  <c r="KF18" i="1"/>
  <c r="KD18" i="1"/>
  <c r="KC18" i="1"/>
  <c r="KA18" i="1"/>
  <c r="JZ18" i="1"/>
  <c r="JX18" i="1"/>
  <c r="JW18" i="1"/>
  <c r="JU18" i="1"/>
  <c r="JT18" i="1"/>
  <c r="JR18" i="1"/>
  <c r="JQ18" i="1"/>
  <c r="JO18" i="1"/>
  <c r="JN18" i="1"/>
  <c r="JL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C18" i="1"/>
  <c r="B18" i="1"/>
  <c r="KV17" i="1"/>
  <c r="KU17" i="1"/>
  <c r="KT17" i="1"/>
  <c r="KS17" i="1"/>
  <c r="KR17" i="1"/>
  <c r="KP17" i="1"/>
  <c r="KO17" i="1"/>
  <c r="KM17" i="1"/>
  <c r="KL17" i="1"/>
  <c r="KJ17" i="1"/>
  <c r="KI17" i="1"/>
  <c r="KG17" i="1"/>
  <c r="KF17" i="1"/>
  <c r="KD17" i="1"/>
  <c r="KC17" i="1"/>
  <c r="KA17" i="1"/>
  <c r="JZ17" i="1"/>
  <c r="JX17" i="1"/>
  <c r="JW17" i="1"/>
  <c r="JU17" i="1"/>
  <c r="JT17" i="1"/>
  <c r="JR17" i="1"/>
  <c r="JQ17" i="1"/>
  <c r="JO17" i="1"/>
  <c r="JN17" i="1"/>
  <c r="JL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C17" i="1"/>
  <c r="B17" i="1"/>
  <c r="KV16" i="1"/>
  <c r="KU16" i="1"/>
  <c r="KT16" i="1"/>
  <c r="KS16" i="1"/>
  <c r="KR16" i="1"/>
  <c r="KP16" i="1"/>
  <c r="KO16" i="1"/>
  <c r="KM16" i="1"/>
  <c r="KL16" i="1"/>
  <c r="KJ16" i="1"/>
  <c r="KI16" i="1"/>
  <c r="KG16" i="1"/>
  <c r="KF16" i="1"/>
  <c r="KD16" i="1"/>
  <c r="KC16" i="1"/>
  <c r="KA16" i="1"/>
  <c r="JZ16" i="1"/>
  <c r="JX16" i="1"/>
  <c r="JW16" i="1"/>
  <c r="JU16" i="1"/>
  <c r="JT16" i="1"/>
  <c r="JR16" i="1"/>
  <c r="JQ16" i="1"/>
  <c r="JO16" i="1"/>
  <c r="JN16" i="1"/>
  <c r="JL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C16" i="1"/>
  <c r="B16" i="1"/>
  <c r="KV15" i="1"/>
  <c r="KU15" i="1"/>
  <c r="KT15" i="1"/>
  <c r="KS15" i="1"/>
  <c r="KR15" i="1"/>
  <c r="KP15" i="1"/>
  <c r="KO15" i="1"/>
  <c r="KM15" i="1"/>
  <c r="KL15" i="1"/>
  <c r="KJ15" i="1"/>
  <c r="KI15" i="1"/>
  <c r="KG15" i="1"/>
  <c r="KF15" i="1"/>
  <c r="KD15" i="1"/>
  <c r="KC15" i="1"/>
  <c r="KA15" i="1"/>
  <c r="JZ15" i="1"/>
  <c r="JX15" i="1"/>
  <c r="JW15" i="1"/>
  <c r="JU15" i="1"/>
  <c r="JT15" i="1"/>
  <c r="JR15" i="1"/>
  <c r="JQ15" i="1"/>
  <c r="JO15" i="1"/>
  <c r="JN15" i="1"/>
  <c r="JL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C15" i="1"/>
  <c r="B15" i="1"/>
  <c r="KV14" i="1"/>
  <c r="KU14" i="1"/>
  <c r="KT14" i="1"/>
  <c r="KS14" i="1"/>
  <c r="KR14" i="1"/>
  <c r="KP14" i="1"/>
  <c r="KO14" i="1"/>
  <c r="KM14" i="1"/>
  <c r="KL14" i="1"/>
  <c r="KJ14" i="1"/>
  <c r="KI14" i="1"/>
  <c r="KG14" i="1"/>
  <c r="KF14" i="1"/>
  <c r="KD14" i="1"/>
  <c r="KC14" i="1"/>
  <c r="KA14" i="1"/>
  <c r="JZ14" i="1"/>
  <c r="JX14" i="1"/>
  <c r="JW14" i="1"/>
  <c r="JU14" i="1"/>
  <c r="JT14" i="1"/>
  <c r="JR14" i="1"/>
  <c r="JQ14" i="1"/>
  <c r="JO14" i="1"/>
  <c r="JN14" i="1"/>
  <c r="JL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C14" i="1"/>
  <c r="B14" i="1"/>
  <c r="KV13" i="1"/>
  <c r="KU13" i="1"/>
  <c r="KT13" i="1"/>
  <c r="KS13" i="1"/>
  <c r="KR13" i="1"/>
  <c r="KP13" i="1"/>
  <c r="KO13" i="1"/>
  <c r="KM13" i="1"/>
  <c r="KL13" i="1"/>
  <c r="KJ13" i="1"/>
  <c r="KI13" i="1"/>
  <c r="KG13" i="1"/>
  <c r="KF13" i="1"/>
  <c r="KD13" i="1"/>
  <c r="KC13" i="1"/>
  <c r="KA13" i="1"/>
  <c r="JZ13" i="1"/>
  <c r="JX13" i="1"/>
  <c r="JW13" i="1"/>
  <c r="JU13" i="1"/>
  <c r="JT13" i="1"/>
  <c r="JR13" i="1"/>
  <c r="JQ13" i="1"/>
  <c r="JO13" i="1"/>
  <c r="JN13" i="1"/>
  <c r="JL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C13" i="1"/>
  <c r="B13" i="1"/>
  <c r="KV12" i="1"/>
  <c r="KU12" i="1"/>
  <c r="KT12" i="1"/>
  <c r="KS12" i="1"/>
  <c r="KR12" i="1"/>
  <c r="KP12" i="1"/>
  <c r="KO12" i="1"/>
  <c r="KM12" i="1"/>
  <c r="KL12" i="1"/>
  <c r="KJ12" i="1"/>
  <c r="KI12" i="1"/>
  <c r="KG12" i="1"/>
  <c r="KF12" i="1"/>
  <c r="KD12" i="1"/>
  <c r="KC12" i="1"/>
  <c r="KA12" i="1"/>
  <c r="JZ12" i="1"/>
  <c r="JX12" i="1"/>
  <c r="JW12" i="1"/>
  <c r="JU12" i="1"/>
  <c r="JT12" i="1"/>
  <c r="JR12" i="1"/>
  <c r="JQ12" i="1"/>
  <c r="JO12" i="1"/>
  <c r="JN12" i="1"/>
  <c r="JL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C12" i="1"/>
  <c r="B12" i="1"/>
  <c r="A12" i="1"/>
  <c r="KV11" i="1"/>
  <c r="KU11" i="1"/>
  <c r="KT11" i="1"/>
  <c r="KS11" i="1"/>
  <c r="KR11" i="1"/>
  <c r="KP11" i="1"/>
  <c r="KO11" i="1"/>
  <c r="KM11" i="1"/>
  <c r="KL11" i="1"/>
  <c r="KJ11" i="1"/>
  <c r="KI11" i="1"/>
  <c r="KG11" i="1"/>
  <c r="KF11" i="1"/>
  <c r="KD11" i="1"/>
  <c r="KC11" i="1"/>
  <c r="KA11" i="1"/>
  <c r="JZ11" i="1"/>
  <c r="JX11" i="1"/>
  <c r="JW11" i="1"/>
  <c r="JU11" i="1"/>
  <c r="JT11" i="1"/>
  <c r="JR11" i="1"/>
  <c r="JQ11" i="1"/>
  <c r="JO11" i="1"/>
  <c r="JN11" i="1"/>
  <c r="JL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C11" i="1"/>
  <c r="B11" i="1"/>
  <c r="KV10" i="1"/>
  <c r="KU10" i="1"/>
  <c r="KT10" i="1"/>
  <c r="KS10" i="1"/>
  <c r="KR10" i="1"/>
  <c r="KP10" i="1"/>
  <c r="KO10" i="1"/>
  <c r="KM10" i="1"/>
  <c r="KL10" i="1"/>
  <c r="KJ10" i="1"/>
  <c r="KI10" i="1"/>
  <c r="KG10" i="1"/>
  <c r="KF10" i="1"/>
  <c r="KD10" i="1"/>
  <c r="KC10" i="1"/>
  <c r="KA10" i="1"/>
  <c r="JZ10" i="1"/>
  <c r="JX10" i="1"/>
  <c r="JW10" i="1"/>
  <c r="JU10" i="1"/>
  <c r="JT10" i="1"/>
  <c r="JR10" i="1"/>
  <c r="JQ10" i="1"/>
  <c r="JO10" i="1"/>
  <c r="JN10" i="1"/>
  <c r="JL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C10" i="1"/>
  <c r="B10" i="1"/>
  <c r="A10" i="1"/>
  <c r="A11" i="1" s="1"/>
  <c r="KV9" i="1"/>
  <c r="KU9" i="1"/>
  <c r="KT9" i="1"/>
  <c r="KS9" i="1"/>
  <c r="KR9" i="1"/>
  <c r="KP9" i="1"/>
  <c r="KO9" i="1"/>
  <c r="KM9" i="1"/>
  <c r="KL9" i="1"/>
  <c r="KJ9" i="1"/>
  <c r="KI9" i="1"/>
  <c r="KG9" i="1"/>
  <c r="KF9" i="1"/>
  <c r="KD9" i="1"/>
  <c r="KC9" i="1"/>
  <c r="KA9" i="1"/>
  <c r="JZ9" i="1"/>
  <c r="JX9" i="1"/>
  <c r="JW9" i="1"/>
  <c r="JU9" i="1"/>
  <c r="JT9" i="1"/>
  <c r="JR9" i="1"/>
  <c r="JQ9" i="1"/>
  <c r="JO9" i="1"/>
  <c r="JN9" i="1"/>
  <c r="JL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C9" i="1"/>
  <c r="B9" i="1"/>
  <c r="B10" i="2" s="1"/>
  <c r="A9" i="1"/>
  <c r="CB42" i="2"/>
  <c r="CA42" i="2"/>
  <c r="BX42" i="2"/>
  <c r="BW42" i="2"/>
  <c r="BT42" i="2"/>
  <c r="BS42" i="2"/>
  <c r="BP42" i="2"/>
  <c r="BO42" i="2"/>
  <c r="BL42" i="2"/>
  <c r="BK42" i="2"/>
  <c r="BH42" i="2"/>
  <c r="BG42" i="2"/>
  <c r="BD42" i="2"/>
  <c r="BC42" i="2"/>
  <c r="AZ42" i="2"/>
  <c r="AY42" i="2"/>
  <c r="AV42" i="2"/>
  <c r="AU42" i="2"/>
  <c r="AR42" i="2"/>
  <c r="AQ42" i="2"/>
  <c r="AN42" i="2"/>
  <c r="AM42" i="2"/>
  <c r="AJ42" i="2"/>
  <c r="AI42" i="2"/>
  <c r="AF42" i="2"/>
  <c r="AE42" i="2"/>
  <c r="AB42" i="2"/>
  <c r="AA42" i="2"/>
  <c r="K42" i="2"/>
  <c r="H42" i="2"/>
  <c r="G42" i="2"/>
  <c r="CB40" i="2"/>
  <c r="CA40" i="2"/>
  <c r="BZ40" i="2"/>
  <c r="BY40" i="2"/>
  <c r="BX40" i="2"/>
  <c r="BV40" i="2"/>
  <c r="BU40" i="2"/>
  <c r="BT40" i="2"/>
  <c r="BS40" i="2"/>
  <c r="BR40" i="2"/>
  <c r="BQ40" i="2"/>
  <c r="BP40" i="2"/>
  <c r="BN40" i="2"/>
  <c r="BM40" i="2"/>
  <c r="BL40" i="2"/>
  <c r="BJ40" i="2"/>
  <c r="BI40" i="2"/>
  <c r="BH40" i="2"/>
  <c r="BF40" i="2"/>
  <c r="BE40" i="2"/>
  <c r="BD40" i="2"/>
  <c r="BC40" i="2"/>
  <c r="BB40" i="2"/>
  <c r="BA40" i="2"/>
  <c r="AZ40" i="2"/>
  <c r="AX40" i="2"/>
  <c r="AW40" i="2"/>
  <c r="AV40" i="2"/>
  <c r="AT40" i="2"/>
  <c r="AS40" i="2"/>
  <c r="AR40" i="2"/>
  <c r="AP40" i="2"/>
  <c r="AO40" i="2"/>
  <c r="AN40" i="2"/>
  <c r="AL40" i="2"/>
  <c r="AK40" i="2"/>
  <c r="AJ40" i="2"/>
  <c r="AI40" i="2"/>
  <c r="AH40" i="2"/>
  <c r="AG40" i="2"/>
  <c r="AF40" i="2"/>
  <c r="AE40" i="2"/>
  <c r="AD40" i="2"/>
  <c r="AC40" i="2"/>
  <c r="AB40" i="2"/>
  <c r="Z40" i="2"/>
  <c r="Y40" i="2"/>
  <c r="X40" i="2"/>
  <c r="V40" i="2"/>
  <c r="U40" i="2"/>
  <c r="T40" i="2"/>
  <c r="S40" i="2"/>
  <c r="R40" i="2"/>
  <c r="Q40" i="2"/>
  <c r="P40" i="2"/>
  <c r="N40" i="2"/>
  <c r="M40" i="2"/>
  <c r="L40" i="2"/>
  <c r="J40" i="2"/>
  <c r="I40" i="2"/>
  <c r="H40" i="2"/>
  <c r="C40" i="2"/>
  <c r="B40" i="2"/>
  <c r="CB39" i="2"/>
  <c r="CA39" i="2"/>
  <c r="BZ39" i="2"/>
  <c r="BY39" i="2"/>
  <c r="BX39" i="2"/>
  <c r="BV39" i="2"/>
  <c r="BU39" i="2"/>
  <c r="BT39" i="2"/>
  <c r="BS39" i="2"/>
  <c r="BR39" i="2"/>
  <c r="BQ39" i="2"/>
  <c r="BP39" i="2"/>
  <c r="BN39" i="2"/>
  <c r="BM39" i="2"/>
  <c r="BL39" i="2"/>
  <c r="BJ39" i="2"/>
  <c r="BI39" i="2"/>
  <c r="BH39" i="2"/>
  <c r="BF39" i="2"/>
  <c r="BE39" i="2"/>
  <c r="BD39" i="2"/>
  <c r="BC39" i="2"/>
  <c r="BB39" i="2"/>
  <c r="BA39" i="2"/>
  <c r="AZ39" i="2"/>
  <c r="AX39" i="2"/>
  <c r="AW39" i="2"/>
  <c r="AV39" i="2"/>
  <c r="AT39" i="2"/>
  <c r="AS39" i="2"/>
  <c r="AR39" i="2"/>
  <c r="AP39" i="2"/>
  <c r="AO39" i="2"/>
  <c r="AN39" i="2"/>
  <c r="AL39" i="2"/>
  <c r="AK39" i="2"/>
  <c r="AJ39" i="2"/>
  <c r="AI39" i="2"/>
  <c r="AH39" i="2"/>
  <c r="AG39" i="2"/>
  <c r="AF39" i="2"/>
  <c r="AE39" i="2"/>
  <c r="AD39" i="2"/>
  <c r="AC39" i="2"/>
  <c r="AB39" i="2"/>
  <c r="Z39" i="2"/>
  <c r="Y39" i="2"/>
  <c r="X39" i="2"/>
  <c r="V39" i="2"/>
  <c r="U39" i="2"/>
  <c r="T39" i="2"/>
  <c r="S39" i="2"/>
  <c r="R39" i="2"/>
  <c r="Q39" i="2"/>
  <c r="P39" i="2"/>
  <c r="N39" i="2"/>
  <c r="M39" i="2"/>
  <c r="L39" i="2"/>
  <c r="J39" i="2"/>
  <c r="I39" i="2"/>
  <c r="H39" i="2"/>
  <c r="C39" i="2"/>
  <c r="B39" i="2"/>
  <c r="CB38" i="2"/>
  <c r="CA38" i="2"/>
  <c r="BZ38" i="2"/>
  <c r="BY38" i="2"/>
  <c r="BX38" i="2"/>
  <c r="BV38" i="2"/>
  <c r="BU38" i="2"/>
  <c r="BT38" i="2"/>
  <c r="BS38" i="2"/>
  <c r="BR38" i="2"/>
  <c r="BQ38" i="2"/>
  <c r="BP38" i="2"/>
  <c r="BN38" i="2"/>
  <c r="BM38" i="2"/>
  <c r="BL38" i="2"/>
  <c r="BJ38" i="2"/>
  <c r="BI38" i="2"/>
  <c r="BH38" i="2"/>
  <c r="BF38" i="2"/>
  <c r="BE38" i="2"/>
  <c r="BD38" i="2"/>
  <c r="BC38" i="2"/>
  <c r="BB38" i="2"/>
  <c r="BA38" i="2"/>
  <c r="AZ38" i="2"/>
  <c r="AX38" i="2"/>
  <c r="AW38" i="2"/>
  <c r="AV38" i="2"/>
  <c r="AT38" i="2"/>
  <c r="AS38" i="2"/>
  <c r="AR38" i="2"/>
  <c r="AP38" i="2"/>
  <c r="AO38" i="2"/>
  <c r="AN38" i="2"/>
  <c r="AL38" i="2"/>
  <c r="AK38" i="2"/>
  <c r="AJ38" i="2"/>
  <c r="AI38" i="2"/>
  <c r="AH38" i="2"/>
  <c r="AG38" i="2"/>
  <c r="AF38" i="2"/>
  <c r="AE38" i="2"/>
  <c r="AD38" i="2"/>
  <c r="AC38" i="2"/>
  <c r="AB38" i="2"/>
  <c r="Z38" i="2"/>
  <c r="Y38" i="2"/>
  <c r="X38" i="2"/>
  <c r="V38" i="2"/>
  <c r="U38" i="2"/>
  <c r="T38" i="2"/>
  <c r="S38" i="2"/>
  <c r="R38" i="2"/>
  <c r="Q38" i="2"/>
  <c r="P38" i="2"/>
  <c r="N38" i="2"/>
  <c r="M38" i="2"/>
  <c r="L38" i="2"/>
  <c r="J38" i="2"/>
  <c r="I38" i="2"/>
  <c r="H38" i="2"/>
  <c r="C38" i="2"/>
  <c r="B38" i="2"/>
  <c r="CB37" i="2"/>
  <c r="CA37" i="2"/>
  <c r="BZ37" i="2"/>
  <c r="BY37" i="2"/>
  <c r="BX37" i="2"/>
  <c r="BV37" i="2"/>
  <c r="BU37" i="2"/>
  <c r="BT37" i="2"/>
  <c r="BS37" i="2"/>
  <c r="BR37" i="2"/>
  <c r="BQ37" i="2"/>
  <c r="BP37" i="2"/>
  <c r="BN37" i="2"/>
  <c r="BM37" i="2"/>
  <c r="BL37" i="2"/>
  <c r="BJ37" i="2"/>
  <c r="BI37" i="2"/>
  <c r="BH37" i="2"/>
  <c r="BF37" i="2"/>
  <c r="BE37" i="2"/>
  <c r="BD37" i="2"/>
  <c r="BC37" i="2"/>
  <c r="BB37" i="2"/>
  <c r="BA37" i="2"/>
  <c r="AZ37" i="2"/>
  <c r="AX37" i="2"/>
  <c r="AW37" i="2"/>
  <c r="AV37" i="2"/>
  <c r="AT37" i="2"/>
  <c r="AS37" i="2"/>
  <c r="AR37" i="2"/>
  <c r="AP37" i="2"/>
  <c r="AO37" i="2"/>
  <c r="AN37" i="2"/>
  <c r="AL37" i="2"/>
  <c r="AK37" i="2"/>
  <c r="AJ37" i="2"/>
  <c r="AI37" i="2"/>
  <c r="AH37" i="2"/>
  <c r="AG37" i="2"/>
  <c r="AF37" i="2"/>
  <c r="AE37" i="2"/>
  <c r="AD37" i="2"/>
  <c r="AC37" i="2"/>
  <c r="AB37" i="2"/>
  <c r="Z37" i="2"/>
  <c r="Y37" i="2"/>
  <c r="X37" i="2"/>
  <c r="V37" i="2"/>
  <c r="U37" i="2"/>
  <c r="T37" i="2"/>
  <c r="S37" i="2"/>
  <c r="R37" i="2"/>
  <c r="Q37" i="2"/>
  <c r="P37" i="2"/>
  <c r="N37" i="2"/>
  <c r="M37" i="2"/>
  <c r="L37" i="2"/>
  <c r="J37" i="2"/>
  <c r="I37" i="2"/>
  <c r="H37" i="2"/>
  <c r="C37" i="2"/>
  <c r="B37" i="2"/>
  <c r="CB36" i="2"/>
  <c r="CA36" i="2"/>
  <c r="BZ36" i="2"/>
  <c r="BY36" i="2"/>
  <c r="BX36" i="2"/>
  <c r="BV36" i="2"/>
  <c r="BU36" i="2"/>
  <c r="BT36" i="2"/>
  <c r="BS36" i="2"/>
  <c r="BR36" i="2"/>
  <c r="BQ36" i="2"/>
  <c r="BP36" i="2"/>
  <c r="BN36" i="2"/>
  <c r="BM36" i="2"/>
  <c r="BL36" i="2"/>
  <c r="BJ36" i="2"/>
  <c r="BI36" i="2"/>
  <c r="BH36" i="2"/>
  <c r="BF36" i="2"/>
  <c r="BE36" i="2"/>
  <c r="BD36" i="2"/>
  <c r="BC36" i="2"/>
  <c r="BB36" i="2"/>
  <c r="BA36" i="2"/>
  <c r="AZ36" i="2"/>
  <c r="AX36" i="2"/>
  <c r="AW36" i="2"/>
  <c r="AV36" i="2"/>
  <c r="AT36" i="2"/>
  <c r="AS36" i="2"/>
  <c r="AR36" i="2"/>
  <c r="AP36" i="2"/>
  <c r="AO36" i="2"/>
  <c r="AN36" i="2"/>
  <c r="AL36" i="2"/>
  <c r="AK36" i="2"/>
  <c r="AJ36" i="2"/>
  <c r="AI36" i="2"/>
  <c r="AH36" i="2"/>
  <c r="AG36" i="2"/>
  <c r="AF36" i="2"/>
  <c r="AE36" i="2"/>
  <c r="AD36" i="2"/>
  <c r="AC36" i="2"/>
  <c r="AB36" i="2"/>
  <c r="Z36" i="2"/>
  <c r="Y36" i="2"/>
  <c r="X36" i="2"/>
  <c r="V36" i="2"/>
  <c r="U36" i="2"/>
  <c r="T36" i="2"/>
  <c r="S36" i="2"/>
  <c r="R36" i="2"/>
  <c r="Q36" i="2"/>
  <c r="P36" i="2"/>
  <c r="N36" i="2"/>
  <c r="M36" i="2"/>
  <c r="L36" i="2"/>
  <c r="J36" i="2"/>
  <c r="I36" i="2"/>
  <c r="H36" i="2"/>
  <c r="C36" i="2"/>
  <c r="B36" i="2"/>
  <c r="CB35" i="2"/>
  <c r="CA35" i="2"/>
  <c r="BZ35" i="2"/>
  <c r="BY35" i="2"/>
  <c r="BX35" i="2"/>
  <c r="BV35" i="2"/>
  <c r="BU35" i="2"/>
  <c r="BT35" i="2"/>
  <c r="BS35" i="2"/>
  <c r="BR35" i="2"/>
  <c r="BQ35" i="2"/>
  <c r="BP35" i="2"/>
  <c r="BN35" i="2"/>
  <c r="BM35" i="2"/>
  <c r="BL35" i="2"/>
  <c r="BJ35" i="2"/>
  <c r="BI35" i="2"/>
  <c r="BH35" i="2"/>
  <c r="BF35" i="2"/>
  <c r="BE35" i="2"/>
  <c r="BD35" i="2"/>
  <c r="BC35" i="2"/>
  <c r="BB35" i="2"/>
  <c r="BA35" i="2"/>
  <c r="AZ35" i="2"/>
  <c r="AX35" i="2"/>
  <c r="AW35" i="2"/>
  <c r="AV35" i="2"/>
  <c r="AT35" i="2"/>
  <c r="AS35" i="2"/>
  <c r="AR35" i="2"/>
  <c r="AP35" i="2"/>
  <c r="AO35" i="2"/>
  <c r="AN35" i="2"/>
  <c r="AL35" i="2"/>
  <c r="AK35" i="2"/>
  <c r="AJ35" i="2"/>
  <c r="AI35" i="2"/>
  <c r="AH35" i="2"/>
  <c r="AG35" i="2"/>
  <c r="AF35" i="2"/>
  <c r="AE35" i="2"/>
  <c r="AD35" i="2"/>
  <c r="AC35" i="2"/>
  <c r="AB35" i="2"/>
  <c r="Z35" i="2"/>
  <c r="Y35" i="2"/>
  <c r="X35" i="2"/>
  <c r="V35" i="2"/>
  <c r="U35" i="2"/>
  <c r="T35" i="2"/>
  <c r="S35" i="2"/>
  <c r="R35" i="2"/>
  <c r="Q35" i="2"/>
  <c r="P35" i="2"/>
  <c r="N35" i="2"/>
  <c r="M35" i="2"/>
  <c r="L35" i="2"/>
  <c r="J35" i="2"/>
  <c r="I35" i="2"/>
  <c r="H35" i="2"/>
  <c r="C35" i="2"/>
  <c r="B35" i="2"/>
  <c r="CB34" i="2"/>
  <c r="CA34" i="2"/>
  <c r="BZ34" i="2"/>
  <c r="BY34" i="2"/>
  <c r="BX34" i="2"/>
  <c r="BV34" i="2"/>
  <c r="BU34" i="2"/>
  <c r="BT34" i="2"/>
  <c r="BS34" i="2"/>
  <c r="BR34" i="2"/>
  <c r="BQ34" i="2"/>
  <c r="BP34" i="2"/>
  <c r="BN34" i="2"/>
  <c r="BM34" i="2"/>
  <c r="BL34" i="2"/>
  <c r="BJ34" i="2"/>
  <c r="BI34" i="2"/>
  <c r="BH34" i="2"/>
  <c r="BF34" i="2"/>
  <c r="BE34" i="2"/>
  <c r="BD34" i="2"/>
  <c r="BC34" i="2"/>
  <c r="BB34" i="2"/>
  <c r="BA34" i="2"/>
  <c r="AZ34" i="2"/>
  <c r="AX34" i="2"/>
  <c r="AW34" i="2"/>
  <c r="AV34" i="2"/>
  <c r="AT34" i="2"/>
  <c r="AS34" i="2"/>
  <c r="AR34" i="2"/>
  <c r="AP34" i="2"/>
  <c r="AO34" i="2"/>
  <c r="AN34" i="2"/>
  <c r="AL34" i="2"/>
  <c r="AK34" i="2"/>
  <c r="AJ34" i="2"/>
  <c r="AI34" i="2"/>
  <c r="AH34" i="2"/>
  <c r="AG34" i="2"/>
  <c r="AF34" i="2"/>
  <c r="AE34" i="2"/>
  <c r="AD34" i="2"/>
  <c r="AC34" i="2"/>
  <c r="AB34" i="2"/>
  <c r="Z34" i="2"/>
  <c r="Y34" i="2"/>
  <c r="X34" i="2"/>
  <c r="V34" i="2"/>
  <c r="U34" i="2"/>
  <c r="T34" i="2"/>
  <c r="S34" i="2"/>
  <c r="R34" i="2"/>
  <c r="Q34" i="2"/>
  <c r="P34" i="2"/>
  <c r="N34" i="2"/>
  <c r="M34" i="2"/>
  <c r="L34" i="2"/>
  <c r="J34" i="2"/>
  <c r="I34" i="2"/>
  <c r="H34" i="2"/>
  <c r="C34" i="2"/>
  <c r="B34" i="2"/>
  <c r="CB33" i="2"/>
  <c r="CA33" i="2"/>
  <c r="BZ33" i="2"/>
  <c r="BY33" i="2"/>
  <c r="BX33" i="2"/>
  <c r="BV33" i="2"/>
  <c r="BU33" i="2"/>
  <c r="BT33" i="2"/>
  <c r="BS33" i="2"/>
  <c r="BR33" i="2"/>
  <c r="BQ33" i="2"/>
  <c r="BP33" i="2"/>
  <c r="BN33" i="2"/>
  <c r="BM33" i="2"/>
  <c r="BL33" i="2"/>
  <c r="BJ33" i="2"/>
  <c r="BI33" i="2"/>
  <c r="BH33" i="2"/>
  <c r="BF33" i="2"/>
  <c r="BE33" i="2"/>
  <c r="BD33" i="2"/>
  <c r="BC33" i="2"/>
  <c r="BB33" i="2"/>
  <c r="BA33" i="2"/>
  <c r="AZ33" i="2"/>
  <c r="AX33" i="2"/>
  <c r="AW33" i="2"/>
  <c r="AV33" i="2"/>
  <c r="AT33" i="2"/>
  <c r="AS33" i="2"/>
  <c r="AR33" i="2"/>
  <c r="AP33" i="2"/>
  <c r="AO33" i="2"/>
  <c r="AN33" i="2"/>
  <c r="AL33" i="2"/>
  <c r="AK33" i="2"/>
  <c r="AJ33" i="2"/>
  <c r="AI33" i="2"/>
  <c r="AH33" i="2"/>
  <c r="AG33" i="2"/>
  <c r="AF33" i="2"/>
  <c r="AE33" i="2"/>
  <c r="AD33" i="2"/>
  <c r="AC33" i="2"/>
  <c r="AB33" i="2"/>
  <c r="Z33" i="2"/>
  <c r="Y33" i="2"/>
  <c r="X33" i="2"/>
  <c r="V33" i="2"/>
  <c r="U33" i="2"/>
  <c r="T33" i="2"/>
  <c r="S33" i="2"/>
  <c r="R33" i="2"/>
  <c r="Q33" i="2"/>
  <c r="P33" i="2"/>
  <c r="N33" i="2"/>
  <c r="M33" i="2"/>
  <c r="L33" i="2"/>
  <c r="J33" i="2"/>
  <c r="I33" i="2"/>
  <c r="H33" i="2"/>
  <c r="C33" i="2"/>
  <c r="B33" i="2"/>
  <c r="CB32" i="2"/>
  <c r="CA32" i="2"/>
  <c r="BZ32" i="2"/>
  <c r="BY32" i="2"/>
  <c r="BX32" i="2"/>
  <c r="BV32" i="2"/>
  <c r="BU32" i="2"/>
  <c r="BT32" i="2"/>
  <c r="BS32" i="2"/>
  <c r="BR32" i="2"/>
  <c r="BQ32" i="2"/>
  <c r="BP32" i="2"/>
  <c r="BN32" i="2"/>
  <c r="BM32" i="2"/>
  <c r="BL32" i="2"/>
  <c r="BJ32" i="2"/>
  <c r="BI32" i="2"/>
  <c r="BH32" i="2"/>
  <c r="BF32" i="2"/>
  <c r="BE32" i="2"/>
  <c r="BD32" i="2"/>
  <c r="BC32" i="2"/>
  <c r="BB32" i="2"/>
  <c r="BA32" i="2"/>
  <c r="AZ32" i="2"/>
  <c r="AX32" i="2"/>
  <c r="AW32" i="2"/>
  <c r="AV32" i="2"/>
  <c r="AT32" i="2"/>
  <c r="AS32" i="2"/>
  <c r="AR32" i="2"/>
  <c r="AP32" i="2"/>
  <c r="AO32" i="2"/>
  <c r="AN32" i="2"/>
  <c r="AL32" i="2"/>
  <c r="AK32" i="2"/>
  <c r="AJ32" i="2"/>
  <c r="AI32" i="2"/>
  <c r="AH32" i="2"/>
  <c r="AG32" i="2"/>
  <c r="AF32" i="2"/>
  <c r="AE32" i="2"/>
  <c r="AD32" i="2"/>
  <c r="AC32" i="2"/>
  <c r="AB32" i="2"/>
  <c r="Z32" i="2"/>
  <c r="Y32" i="2"/>
  <c r="X32" i="2"/>
  <c r="V32" i="2"/>
  <c r="U32" i="2"/>
  <c r="T32" i="2"/>
  <c r="S32" i="2"/>
  <c r="R32" i="2"/>
  <c r="Q32" i="2"/>
  <c r="P32" i="2"/>
  <c r="N32" i="2"/>
  <c r="M32" i="2"/>
  <c r="L32" i="2"/>
  <c r="J32" i="2"/>
  <c r="I32" i="2"/>
  <c r="H32" i="2"/>
  <c r="C32" i="2"/>
  <c r="B32" i="2"/>
  <c r="CB31" i="2"/>
  <c r="CA31" i="2"/>
  <c r="BZ31" i="2"/>
  <c r="BY31" i="2"/>
  <c r="BX31" i="2"/>
  <c r="BV31" i="2"/>
  <c r="BU31" i="2"/>
  <c r="BT31" i="2"/>
  <c r="BS31" i="2"/>
  <c r="BR31" i="2"/>
  <c r="BQ31" i="2"/>
  <c r="BP31" i="2"/>
  <c r="BN31" i="2"/>
  <c r="BM31" i="2"/>
  <c r="BL31" i="2"/>
  <c r="BJ31" i="2"/>
  <c r="BI31" i="2"/>
  <c r="BH31" i="2"/>
  <c r="BF31" i="2"/>
  <c r="BE31" i="2"/>
  <c r="BD31" i="2"/>
  <c r="BC31" i="2"/>
  <c r="BB31" i="2"/>
  <c r="BA31" i="2"/>
  <c r="AZ31" i="2"/>
  <c r="AX31" i="2"/>
  <c r="AW31" i="2"/>
  <c r="AV31" i="2"/>
  <c r="AT31" i="2"/>
  <c r="AS31" i="2"/>
  <c r="AR31" i="2"/>
  <c r="AP31" i="2"/>
  <c r="AO31" i="2"/>
  <c r="AN31" i="2"/>
  <c r="AL31" i="2"/>
  <c r="AK31" i="2"/>
  <c r="AJ31" i="2"/>
  <c r="AI31" i="2"/>
  <c r="AH31" i="2"/>
  <c r="AG31" i="2"/>
  <c r="AF31" i="2"/>
  <c r="AE31" i="2"/>
  <c r="AD31" i="2"/>
  <c r="AC31" i="2"/>
  <c r="AB31" i="2"/>
  <c r="Z31" i="2"/>
  <c r="Y31" i="2"/>
  <c r="X31" i="2"/>
  <c r="V31" i="2"/>
  <c r="U31" i="2"/>
  <c r="T31" i="2"/>
  <c r="S31" i="2"/>
  <c r="R31" i="2"/>
  <c r="Q31" i="2"/>
  <c r="P31" i="2"/>
  <c r="N31" i="2"/>
  <c r="M31" i="2"/>
  <c r="L31" i="2"/>
  <c r="J31" i="2"/>
  <c r="I31" i="2"/>
  <c r="H31" i="2"/>
  <c r="C31" i="2"/>
  <c r="B31" i="2"/>
  <c r="CB30" i="2"/>
  <c r="CA30" i="2"/>
  <c r="BZ30" i="2"/>
  <c r="BY30" i="2"/>
  <c r="BX30" i="2"/>
  <c r="BV30" i="2"/>
  <c r="BU30" i="2"/>
  <c r="BT30" i="2"/>
  <c r="BS30" i="2"/>
  <c r="BR30" i="2"/>
  <c r="BQ30" i="2"/>
  <c r="BP30" i="2"/>
  <c r="BN30" i="2"/>
  <c r="BM30" i="2"/>
  <c r="BL30" i="2"/>
  <c r="BJ30" i="2"/>
  <c r="BI30" i="2"/>
  <c r="BH30" i="2"/>
  <c r="BF30" i="2"/>
  <c r="BE30" i="2"/>
  <c r="BD30" i="2"/>
  <c r="BC30" i="2"/>
  <c r="BB30" i="2"/>
  <c r="BA30" i="2"/>
  <c r="AZ30" i="2"/>
  <c r="AX30" i="2"/>
  <c r="AW30" i="2"/>
  <c r="AV30" i="2"/>
  <c r="AT30" i="2"/>
  <c r="AS30" i="2"/>
  <c r="AR30" i="2"/>
  <c r="AP30" i="2"/>
  <c r="AO30" i="2"/>
  <c r="AN30" i="2"/>
  <c r="AL30" i="2"/>
  <c r="AK30" i="2"/>
  <c r="AJ30" i="2"/>
  <c r="AI30" i="2"/>
  <c r="AH30" i="2"/>
  <c r="AG30" i="2"/>
  <c r="AF30" i="2"/>
  <c r="AE30" i="2"/>
  <c r="AD30" i="2"/>
  <c r="AC30" i="2"/>
  <c r="AB30" i="2"/>
  <c r="Z30" i="2"/>
  <c r="Y30" i="2"/>
  <c r="X30" i="2"/>
  <c r="V30" i="2"/>
  <c r="U30" i="2"/>
  <c r="T30" i="2"/>
  <c r="S30" i="2"/>
  <c r="R30" i="2"/>
  <c r="Q30" i="2"/>
  <c r="P30" i="2"/>
  <c r="N30" i="2"/>
  <c r="M30" i="2"/>
  <c r="L30" i="2"/>
  <c r="J30" i="2"/>
  <c r="I30" i="2"/>
  <c r="H30" i="2"/>
  <c r="C30" i="2"/>
  <c r="B30" i="2"/>
  <c r="CB29" i="2"/>
  <c r="CA29" i="2"/>
  <c r="BZ29" i="2"/>
  <c r="BY29" i="2"/>
  <c r="BX29" i="2"/>
  <c r="BV29" i="2"/>
  <c r="BU29" i="2"/>
  <c r="BT29" i="2"/>
  <c r="BS29" i="2"/>
  <c r="BR29" i="2"/>
  <c r="BQ29" i="2"/>
  <c r="BP29" i="2"/>
  <c r="BN29" i="2"/>
  <c r="BM29" i="2"/>
  <c r="BL29" i="2"/>
  <c r="BJ29" i="2"/>
  <c r="BI29" i="2"/>
  <c r="BH29" i="2"/>
  <c r="BF29" i="2"/>
  <c r="BE29" i="2"/>
  <c r="BD29" i="2"/>
  <c r="BC29" i="2"/>
  <c r="BB29" i="2"/>
  <c r="BA29" i="2"/>
  <c r="AZ29" i="2"/>
  <c r="AX29" i="2"/>
  <c r="AW29" i="2"/>
  <c r="AV29" i="2"/>
  <c r="AT29" i="2"/>
  <c r="AS29" i="2"/>
  <c r="AR29" i="2"/>
  <c r="AP29" i="2"/>
  <c r="AO29" i="2"/>
  <c r="AN29" i="2"/>
  <c r="AL29" i="2"/>
  <c r="AK29" i="2"/>
  <c r="AJ29" i="2"/>
  <c r="AI29" i="2"/>
  <c r="AH29" i="2"/>
  <c r="AG29" i="2"/>
  <c r="AF29" i="2"/>
  <c r="AE29" i="2"/>
  <c r="AD29" i="2"/>
  <c r="AC29" i="2"/>
  <c r="AB29" i="2"/>
  <c r="Z29" i="2"/>
  <c r="Y29" i="2"/>
  <c r="X29" i="2"/>
  <c r="V29" i="2"/>
  <c r="U29" i="2"/>
  <c r="T29" i="2"/>
  <c r="S29" i="2"/>
  <c r="R29" i="2"/>
  <c r="Q29" i="2"/>
  <c r="P29" i="2"/>
  <c r="N29" i="2"/>
  <c r="M29" i="2"/>
  <c r="L29" i="2"/>
  <c r="J29" i="2"/>
  <c r="I29" i="2"/>
  <c r="H29" i="2"/>
  <c r="D29" i="2"/>
  <c r="C29" i="2"/>
  <c r="B29" i="2"/>
  <c r="CB28" i="2"/>
  <c r="CA28" i="2"/>
  <c r="BZ28" i="2"/>
  <c r="BY28" i="2"/>
  <c r="BX28" i="2"/>
  <c r="BV28" i="2"/>
  <c r="BU28" i="2"/>
  <c r="BT28" i="2"/>
  <c r="BS28" i="2"/>
  <c r="BR28" i="2"/>
  <c r="BQ28" i="2"/>
  <c r="BP28" i="2"/>
  <c r="BN28" i="2"/>
  <c r="BM28" i="2"/>
  <c r="BL28" i="2"/>
  <c r="BJ28" i="2"/>
  <c r="BI28" i="2"/>
  <c r="BH28" i="2"/>
  <c r="BF28" i="2"/>
  <c r="BE28" i="2"/>
  <c r="BD28" i="2"/>
  <c r="BC28" i="2"/>
  <c r="BB28" i="2"/>
  <c r="BA28" i="2"/>
  <c r="AZ28" i="2"/>
  <c r="AX28" i="2"/>
  <c r="AW28" i="2"/>
  <c r="AV28" i="2"/>
  <c r="AT28" i="2"/>
  <c r="AS28" i="2"/>
  <c r="AR28" i="2"/>
  <c r="AP28" i="2"/>
  <c r="AO28" i="2"/>
  <c r="AN28" i="2"/>
  <c r="AL28" i="2"/>
  <c r="AK28" i="2"/>
  <c r="AJ28" i="2"/>
  <c r="AI28" i="2"/>
  <c r="AH28" i="2"/>
  <c r="AG28" i="2"/>
  <c r="AF28" i="2"/>
  <c r="AE28" i="2"/>
  <c r="AD28" i="2"/>
  <c r="AC28" i="2"/>
  <c r="AB28" i="2"/>
  <c r="Z28" i="2"/>
  <c r="Y28" i="2"/>
  <c r="X28" i="2"/>
  <c r="V28" i="2"/>
  <c r="U28" i="2"/>
  <c r="T28" i="2"/>
  <c r="S28" i="2"/>
  <c r="R28" i="2"/>
  <c r="Q28" i="2"/>
  <c r="P28" i="2"/>
  <c r="N28" i="2"/>
  <c r="M28" i="2"/>
  <c r="L28" i="2"/>
  <c r="J28" i="2"/>
  <c r="I28" i="2"/>
  <c r="H28" i="2"/>
  <c r="C28" i="2"/>
  <c r="B28" i="2"/>
  <c r="CB27" i="2"/>
  <c r="CA27" i="2"/>
  <c r="BZ27" i="2"/>
  <c r="BY27" i="2"/>
  <c r="BX27" i="2"/>
  <c r="BV27" i="2"/>
  <c r="BU27" i="2"/>
  <c r="BT27" i="2"/>
  <c r="BS27" i="2"/>
  <c r="BR27" i="2"/>
  <c r="BQ27" i="2"/>
  <c r="BP27" i="2"/>
  <c r="BN27" i="2"/>
  <c r="BM27" i="2"/>
  <c r="BL27" i="2"/>
  <c r="BJ27" i="2"/>
  <c r="BI27" i="2"/>
  <c r="BH27" i="2"/>
  <c r="BF27" i="2"/>
  <c r="BE27" i="2"/>
  <c r="BD27" i="2"/>
  <c r="BC27" i="2"/>
  <c r="BB27" i="2"/>
  <c r="BA27" i="2"/>
  <c r="AZ27" i="2"/>
  <c r="AX27" i="2"/>
  <c r="AW27" i="2"/>
  <c r="AV27" i="2"/>
  <c r="AT27" i="2"/>
  <c r="AS27" i="2"/>
  <c r="AR27" i="2"/>
  <c r="AP27" i="2"/>
  <c r="AO27" i="2"/>
  <c r="AN27" i="2"/>
  <c r="AL27" i="2"/>
  <c r="AK27" i="2"/>
  <c r="AJ27" i="2"/>
  <c r="AI27" i="2"/>
  <c r="AH27" i="2"/>
  <c r="AG27" i="2"/>
  <c r="AF27" i="2"/>
  <c r="AE27" i="2"/>
  <c r="AD27" i="2"/>
  <c r="AC27" i="2"/>
  <c r="AB27" i="2"/>
  <c r="Z27" i="2"/>
  <c r="Y27" i="2"/>
  <c r="X27" i="2"/>
  <c r="V27" i="2"/>
  <c r="U27" i="2"/>
  <c r="T27" i="2"/>
  <c r="S27" i="2"/>
  <c r="R27" i="2"/>
  <c r="Q27" i="2"/>
  <c r="P27" i="2"/>
  <c r="N27" i="2"/>
  <c r="M27" i="2"/>
  <c r="L27" i="2"/>
  <c r="J27" i="2"/>
  <c r="I27" i="2"/>
  <c r="H27" i="2"/>
  <c r="C27" i="2"/>
  <c r="B27" i="2"/>
  <c r="CB26" i="2"/>
  <c r="CA26" i="2"/>
  <c r="BZ26" i="2"/>
  <c r="BY26" i="2"/>
  <c r="BX26" i="2"/>
  <c r="BV26" i="2"/>
  <c r="BU26" i="2"/>
  <c r="BT26" i="2"/>
  <c r="BS26" i="2"/>
  <c r="BR26" i="2"/>
  <c r="BQ26" i="2"/>
  <c r="BP26" i="2"/>
  <c r="BN26" i="2"/>
  <c r="BM26" i="2"/>
  <c r="BL26" i="2"/>
  <c r="BJ26" i="2"/>
  <c r="BI26" i="2"/>
  <c r="BH26" i="2"/>
  <c r="BF26" i="2"/>
  <c r="BE26" i="2"/>
  <c r="BD26" i="2"/>
  <c r="BC26" i="2"/>
  <c r="BB26" i="2"/>
  <c r="BA26" i="2"/>
  <c r="AZ26" i="2"/>
  <c r="AX26" i="2"/>
  <c r="AW26" i="2"/>
  <c r="AV26" i="2"/>
  <c r="AT26" i="2"/>
  <c r="AS26" i="2"/>
  <c r="AR26" i="2"/>
  <c r="AP26" i="2"/>
  <c r="AO26" i="2"/>
  <c r="AN26" i="2"/>
  <c r="AL26" i="2"/>
  <c r="AK26" i="2"/>
  <c r="AJ26" i="2"/>
  <c r="AI26" i="2"/>
  <c r="AH26" i="2"/>
  <c r="AG26" i="2"/>
  <c r="AF26" i="2"/>
  <c r="AE26" i="2"/>
  <c r="AD26" i="2"/>
  <c r="AC26" i="2"/>
  <c r="AB26" i="2"/>
  <c r="Z26" i="2"/>
  <c r="Y26" i="2"/>
  <c r="X26" i="2"/>
  <c r="V26" i="2"/>
  <c r="U26" i="2"/>
  <c r="T26" i="2"/>
  <c r="S26" i="2"/>
  <c r="R26" i="2"/>
  <c r="Q26" i="2"/>
  <c r="P26" i="2"/>
  <c r="N26" i="2"/>
  <c r="M26" i="2"/>
  <c r="L26" i="2"/>
  <c r="J26" i="2"/>
  <c r="I26" i="2"/>
  <c r="H26" i="2"/>
  <c r="C26" i="2"/>
  <c r="B26" i="2"/>
  <c r="CB25" i="2"/>
  <c r="CA25" i="2"/>
  <c r="BZ25" i="2"/>
  <c r="BY25" i="2"/>
  <c r="BX25" i="2"/>
  <c r="BV25" i="2"/>
  <c r="BU25" i="2"/>
  <c r="BT25" i="2"/>
  <c r="BS25" i="2"/>
  <c r="BR25" i="2"/>
  <c r="BQ25" i="2"/>
  <c r="BP25" i="2"/>
  <c r="BN25" i="2"/>
  <c r="BM25" i="2"/>
  <c r="BL25" i="2"/>
  <c r="BJ25" i="2"/>
  <c r="BI25" i="2"/>
  <c r="BH25" i="2"/>
  <c r="BF25" i="2"/>
  <c r="BE25" i="2"/>
  <c r="BD25" i="2"/>
  <c r="BC25" i="2"/>
  <c r="BB25" i="2"/>
  <c r="BA25" i="2"/>
  <c r="AZ25" i="2"/>
  <c r="AX25" i="2"/>
  <c r="AW25" i="2"/>
  <c r="AV25" i="2"/>
  <c r="AT25" i="2"/>
  <c r="AS25" i="2"/>
  <c r="AR25" i="2"/>
  <c r="AP25" i="2"/>
  <c r="AO25" i="2"/>
  <c r="AN25" i="2"/>
  <c r="AL25" i="2"/>
  <c r="AK25" i="2"/>
  <c r="AJ25" i="2"/>
  <c r="AI25" i="2"/>
  <c r="AH25" i="2"/>
  <c r="AG25" i="2"/>
  <c r="AF25" i="2"/>
  <c r="AE25" i="2"/>
  <c r="AD25" i="2"/>
  <c r="AC25" i="2"/>
  <c r="AB25" i="2"/>
  <c r="Z25" i="2"/>
  <c r="Y25" i="2"/>
  <c r="X25" i="2"/>
  <c r="V25" i="2"/>
  <c r="U25" i="2"/>
  <c r="T25" i="2"/>
  <c r="S25" i="2"/>
  <c r="R25" i="2"/>
  <c r="Q25" i="2"/>
  <c r="P25" i="2"/>
  <c r="N25" i="2"/>
  <c r="M25" i="2"/>
  <c r="L25" i="2"/>
  <c r="J25" i="2"/>
  <c r="I25" i="2"/>
  <c r="H25" i="2"/>
  <c r="C25" i="2"/>
  <c r="B25" i="2"/>
  <c r="CB24" i="2"/>
  <c r="CA24" i="2"/>
  <c r="BZ24" i="2"/>
  <c r="BY24" i="2"/>
  <c r="BX24" i="2"/>
  <c r="BV24" i="2"/>
  <c r="BU24" i="2"/>
  <c r="BT24" i="2"/>
  <c r="BS24" i="2"/>
  <c r="BR24" i="2"/>
  <c r="BQ24" i="2"/>
  <c r="BP24" i="2"/>
  <c r="BN24" i="2"/>
  <c r="BM24" i="2"/>
  <c r="BL24" i="2"/>
  <c r="BJ24" i="2"/>
  <c r="BI24" i="2"/>
  <c r="BH24" i="2"/>
  <c r="BF24" i="2"/>
  <c r="BE24" i="2"/>
  <c r="BD24" i="2"/>
  <c r="BC24" i="2"/>
  <c r="BB24" i="2"/>
  <c r="BA24" i="2"/>
  <c r="AZ24" i="2"/>
  <c r="AX24" i="2"/>
  <c r="AW24" i="2"/>
  <c r="AV24" i="2"/>
  <c r="AT24" i="2"/>
  <c r="AS24" i="2"/>
  <c r="AR24" i="2"/>
  <c r="AP24" i="2"/>
  <c r="AO24" i="2"/>
  <c r="AN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V24" i="2"/>
  <c r="U24" i="2"/>
  <c r="T24" i="2"/>
  <c r="S24" i="2"/>
  <c r="R24" i="2"/>
  <c r="Q24" i="2"/>
  <c r="P24" i="2"/>
  <c r="N24" i="2"/>
  <c r="M24" i="2"/>
  <c r="L24" i="2"/>
  <c r="J24" i="2"/>
  <c r="I24" i="2"/>
  <c r="H24" i="2"/>
  <c r="C24" i="2"/>
  <c r="B24" i="2"/>
  <c r="CB23" i="2"/>
  <c r="CA23" i="2"/>
  <c r="BZ23" i="2"/>
  <c r="BY23" i="2"/>
  <c r="BX23" i="2"/>
  <c r="BV23" i="2"/>
  <c r="BU23" i="2"/>
  <c r="BT23" i="2"/>
  <c r="BS23" i="2"/>
  <c r="BR23" i="2"/>
  <c r="BQ23" i="2"/>
  <c r="BP23" i="2"/>
  <c r="BN23" i="2"/>
  <c r="BM23" i="2"/>
  <c r="BL23" i="2"/>
  <c r="BJ23" i="2"/>
  <c r="BI23" i="2"/>
  <c r="BH23" i="2"/>
  <c r="BF23" i="2"/>
  <c r="BE23" i="2"/>
  <c r="BD23" i="2"/>
  <c r="BC23" i="2"/>
  <c r="BB23" i="2"/>
  <c r="BA23" i="2"/>
  <c r="AZ23" i="2"/>
  <c r="AX23" i="2"/>
  <c r="AW23" i="2"/>
  <c r="AV23" i="2"/>
  <c r="AT23" i="2"/>
  <c r="AS23" i="2"/>
  <c r="AR23" i="2"/>
  <c r="AP23" i="2"/>
  <c r="AO23" i="2"/>
  <c r="AN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V23" i="2"/>
  <c r="U23" i="2"/>
  <c r="T23" i="2"/>
  <c r="R23" i="2"/>
  <c r="Q23" i="2"/>
  <c r="P23" i="2"/>
  <c r="N23" i="2"/>
  <c r="M23" i="2"/>
  <c r="L23" i="2"/>
  <c r="J23" i="2"/>
  <c r="I23" i="2"/>
  <c r="H23" i="2"/>
  <c r="C23" i="2"/>
  <c r="B23" i="2"/>
  <c r="CB22" i="2"/>
  <c r="CA22" i="2"/>
  <c r="BZ22" i="2"/>
  <c r="BY22" i="2"/>
  <c r="BX22" i="2"/>
  <c r="BV22" i="2"/>
  <c r="BU22" i="2"/>
  <c r="BT22" i="2"/>
  <c r="BS22" i="2"/>
  <c r="BR22" i="2"/>
  <c r="BQ22" i="2"/>
  <c r="BP22" i="2"/>
  <c r="BN22" i="2"/>
  <c r="BM22" i="2"/>
  <c r="BL22" i="2"/>
  <c r="BJ22" i="2"/>
  <c r="BI22" i="2"/>
  <c r="BH22" i="2"/>
  <c r="BF22" i="2"/>
  <c r="BE22" i="2"/>
  <c r="BD22" i="2"/>
  <c r="BC22" i="2"/>
  <c r="BB22" i="2"/>
  <c r="BA22" i="2"/>
  <c r="AZ22" i="2"/>
  <c r="AX22" i="2"/>
  <c r="AW22" i="2"/>
  <c r="AV22" i="2"/>
  <c r="AT22" i="2"/>
  <c r="AS22" i="2"/>
  <c r="AR22" i="2"/>
  <c r="AP22" i="2"/>
  <c r="AO22" i="2"/>
  <c r="AN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V22" i="2"/>
  <c r="U22" i="2"/>
  <c r="T22" i="2"/>
  <c r="R22" i="2"/>
  <c r="Q22" i="2"/>
  <c r="P22" i="2"/>
  <c r="N22" i="2"/>
  <c r="M22" i="2"/>
  <c r="L22" i="2"/>
  <c r="J22" i="2"/>
  <c r="I22" i="2"/>
  <c r="H22" i="2"/>
  <c r="C22" i="2"/>
  <c r="B22" i="2"/>
  <c r="CB21" i="2"/>
  <c r="CA21" i="2"/>
  <c r="BZ21" i="2"/>
  <c r="BY21" i="2"/>
  <c r="BX21" i="2"/>
  <c r="BV21" i="2"/>
  <c r="BU21" i="2"/>
  <c r="BT21" i="2"/>
  <c r="BS21" i="2"/>
  <c r="BR21" i="2"/>
  <c r="BQ21" i="2"/>
  <c r="BP21" i="2"/>
  <c r="BN21" i="2"/>
  <c r="BM21" i="2"/>
  <c r="BL21" i="2"/>
  <c r="BJ21" i="2"/>
  <c r="BI21" i="2"/>
  <c r="BH21" i="2"/>
  <c r="BF21" i="2"/>
  <c r="BE21" i="2"/>
  <c r="BD21" i="2"/>
  <c r="BC21" i="2"/>
  <c r="BB21" i="2"/>
  <c r="BA21" i="2"/>
  <c r="AZ21" i="2"/>
  <c r="AX21" i="2"/>
  <c r="AW21" i="2"/>
  <c r="AV21" i="2"/>
  <c r="AT21" i="2"/>
  <c r="AS21" i="2"/>
  <c r="AR21" i="2"/>
  <c r="AP21" i="2"/>
  <c r="AO21" i="2"/>
  <c r="AN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V21" i="2"/>
  <c r="U21" i="2"/>
  <c r="T21" i="2"/>
  <c r="R21" i="2"/>
  <c r="Q21" i="2"/>
  <c r="P21" i="2"/>
  <c r="N21" i="2"/>
  <c r="M21" i="2"/>
  <c r="L21" i="2"/>
  <c r="J21" i="2"/>
  <c r="I21" i="2"/>
  <c r="H21" i="2"/>
  <c r="C21" i="2"/>
  <c r="B21" i="2"/>
  <c r="CB20" i="2"/>
  <c r="CA20" i="2"/>
  <c r="BZ20" i="2"/>
  <c r="BY20" i="2"/>
  <c r="BX20" i="2"/>
  <c r="BV20" i="2"/>
  <c r="BU20" i="2"/>
  <c r="BT20" i="2"/>
  <c r="BS20" i="2"/>
  <c r="BR20" i="2"/>
  <c r="BQ20" i="2"/>
  <c r="BP20" i="2"/>
  <c r="BN20" i="2"/>
  <c r="BM20" i="2"/>
  <c r="BL20" i="2"/>
  <c r="BJ20" i="2"/>
  <c r="BI20" i="2"/>
  <c r="BH20" i="2"/>
  <c r="BF20" i="2"/>
  <c r="BE20" i="2"/>
  <c r="BD20" i="2"/>
  <c r="BC20" i="2"/>
  <c r="BB20" i="2"/>
  <c r="BA20" i="2"/>
  <c r="AZ20" i="2"/>
  <c r="AX20" i="2"/>
  <c r="AW20" i="2"/>
  <c r="AV20" i="2"/>
  <c r="AT20" i="2"/>
  <c r="AS20" i="2"/>
  <c r="AR20" i="2"/>
  <c r="AP20" i="2"/>
  <c r="AO20" i="2"/>
  <c r="AN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V20" i="2"/>
  <c r="U20" i="2"/>
  <c r="T20" i="2"/>
  <c r="S20" i="2"/>
  <c r="R20" i="2"/>
  <c r="Q20" i="2"/>
  <c r="P20" i="2"/>
  <c r="N20" i="2"/>
  <c r="M20" i="2"/>
  <c r="L20" i="2"/>
  <c r="J20" i="2"/>
  <c r="I20" i="2"/>
  <c r="H20" i="2"/>
  <c r="C20" i="2"/>
  <c r="B20" i="2"/>
  <c r="CB19" i="2"/>
  <c r="CA19" i="2"/>
  <c r="BZ19" i="2"/>
  <c r="BY19" i="2"/>
  <c r="BX19" i="2"/>
  <c r="BV19" i="2"/>
  <c r="BU19" i="2"/>
  <c r="BT19" i="2"/>
  <c r="BS19" i="2"/>
  <c r="BR19" i="2"/>
  <c r="BQ19" i="2"/>
  <c r="BP19" i="2"/>
  <c r="BN19" i="2"/>
  <c r="BM19" i="2"/>
  <c r="BL19" i="2"/>
  <c r="BJ19" i="2"/>
  <c r="BI19" i="2"/>
  <c r="BH19" i="2"/>
  <c r="BF19" i="2"/>
  <c r="BE19" i="2"/>
  <c r="BD19" i="2"/>
  <c r="BC19" i="2"/>
  <c r="BB19" i="2"/>
  <c r="BA19" i="2"/>
  <c r="AZ19" i="2"/>
  <c r="AX19" i="2"/>
  <c r="AW19" i="2"/>
  <c r="AV19" i="2"/>
  <c r="AT19" i="2"/>
  <c r="AS19" i="2"/>
  <c r="AR19" i="2"/>
  <c r="AP19" i="2"/>
  <c r="AO19" i="2"/>
  <c r="AN19" i="2"/>
  <c r="AL19" i="2"/>
  <c r="AK19" i="2"/>
  <c r="AJ19" i="2"/>
  <c r="AI19" i="2"/>
  <c r="AH19" i="2"/>
  <c r="AG19" i="2"/>
  <c r="AF19" i="2"/>
  <c r="AE19" i="2"/>
  <c r="AD19" i="2"/>
  <c r="AC19" i="2"/>
  <c r="AB19" i="2"/>
  <c r="Z19" i="2"/>
  <c r="Y19" i="2"/>
  <c r="X19" i="2"/>
  <c r="V19" i="2"/>
  <c r="U19" i="2"/>
  <c r="T19" i="2"/>
  <c r="S19" i="2"/>
  <c r="R19" i="2"/>
  <c r="Q19" i="2"/>
  <c r="P19" i="2"/>
  <c r="N19" i="2"/>
  <c r="M19" i="2"/>
  <c r="L19" i="2"/>
  <c r="J19" i="2"/>
  <c r="I19" i="2"/>
  <c r="H19" i="2"/>
  <c r="C19" i="2"/>
  <c r="B19" i="2"/>
  <c r="CB18" i="2"/>
  <c r="CA18" i="2"/>
  <c r="BZ18" i="2"/>
  <c r="BY18" i="2"/>
  <c r="BX18" i="2"/>
  <c r="BV18" i="2"/>
  <c r="BU18" i="2"/>
  <c r="BT18" i="2"/>
  <c r="BS18" i="2"/>
  <c r="BR18" i="2"/>
  <c r="BQ18" i="2"/>
  <c r="BP18" i="2"/>
  <c r="BN18" i="2"/>
  <c r="BM18" i="2"/>
  <c r="BL18" i="2"/>
  <c r="BJ18" i="2"/>
  <c r="BI18" i="2"/>
  <c r="BH18" i="2"/>
  <c r="BF18" i="2"/>
  <c r="BE18" i="2"/>
  <c r="BD18" i="2"/>
  <c r="BC18" i="2"/>
  <c r="BB18" i="2"/>
  <c r="BA18" i="2"/>
  <c r="AZ18" i="2"/>
  <c r="AX18" i="2"/>
  <c r="AW18" i="2"/>
  <c r="AV18" i="2"/>
  <c r="AT18" i="2"/>
  <c r="AS18" i="2"/>
  <c r="AR18" i="2"/>
  <c r="AP18" i="2"/>
  <c r="AO18" i="2"/>
  <c r="AN18" i="2"/>
  <c r="AL18" i="2"/>
  <c r="AK18" i="2"/>
  <c r="AJ18" i="2"/>
  <c r="AI18" i="2"/>
  <c r="AH18" i="2"/>
  <c r="AG18" i="2"/>
  <c r="AF18" i="2"/>
  <c r="AE18" i="2"/>
  <c r="AD18" i="2"/>
  <c r="AC18" i="2"/>
  <c r="AB18" i="2"/>
  <c r="Z18" i="2"/>
  <c r="Y18" i="2"/>
  <c r="X18" i="2"/>
  <c r="V18" i="2"/>
  <c r="U18" i="2"/>
  <c r="T18" i="2"/>
  <c r="S18" i="2"/>
  <c r="R18" i="2"/>
  <c r="Q18" i="2"/>
  <c r="P18" i="2"/>
  <c r="N18" i="2"/>
  <c r="M18" i="2"/>
  <c r="L18" i="2"/>
  <c r="J18" i="2"/>
  <c r="I18" i="2"/>
  <c r="H18" i="2"/>
  <c r="C18" i="2"/>
  <c r="B18" i="2"/>
  <c r="CB17" i="2"/>
  <c r="CA17" i="2"/>
  <c r="BZ17" i="2"/>
  <c r="BY17" i="2"/>
  <c r="BX17" i="2"/>
  <c r="BV17" i="2"/>
  <c r="BU17" i="2"/>
  <c r="BT17" i="2"/>
  <c r="BS17" i="2"/>
  <c r="BR17" i="2"/>
  <c r="BQ17" i="2"/>
  <c r="BP17" i="2"/>
  <c r="BN17" i="2"/>
  <c r="BM17" i="2"/>
  <c r="BL17" i="2"/>
  <c r="BJ17" i="2"/>
  <c r="BI17" i="2"/>
  <c r="BH17" i="2"/>
  <c r="BF17" i="2"/>
  <c r="BE17" i="2"/>
  <c r="BD17" i="2"/>
  <c r="BC17" i="2"/>
  <c r="BB17" i="2"/>
  <c r="BA17" i="2"/>
  <c r="AZ17" i="2"/>
  <c r="AX17" i="2"/>
  <c r="AW17" i="2"/>
  <c r="AV17" i="2"/>
  <c r="AT17" i="2"/>
  <c r="AS17" i="2"/>
  <c r="AR17" i="2"/>
  <c r="AP17" i="2"/>
  <c r="AO17" i="2"/>
  <c r="AN17" i="2"/>
  <c r="AL17" i="2"/>
  <c r="AK17" i="2"/>
  <c r="AJ17" i="2"/>
  <c r="AI17" i="2"/>
  <c r="AH17" i="2"/>
  <c r="AG17" i="2"/>
  <c r="AF17" i="2"/>
  <c r="AE17" i="2"/>
  <c r="AD17" i="2"/>
  <c r="AC17" i="2"/>
  <c r="AB17" i="2"/>
  <c r="Z17" i="2"/>
  <c r="Y17" i="2"/>
  <c r="X17" i="2"/>
  <c r="W17" i="2"/>
  <c r="V17" i="2"/>
  <c r="U17" i="2"/>
  <c r="T17" i="2"/>
  <c r="S17" i="2"/>
  <c r="R17" i="2"/>
  <c r="Q17" i="2"/>
  <c r="P17" i="2"/>
  <c r="N17" i="2"/>
  <c r="M17" i="2"/>
  <c r="L17" i="2"/>
  <c r="J17" i="2"/>
  <c r="I17" i="2"/>
  <c r="H17" i="2"/>
  <c r="C17" i="2"/>
  <c r="B17" i="2"/>
  <c r="CB16" i="2"/>
  <c r="CA16" i="2"/>
  <c r="BZ16" i="2"/>
  <c r="BY16" i="2"/>
  <c r="BX16" i="2"/>
  <c r="BV16" i="2"/>
  <c r="BU16" i="2"/>
  <c r="BT16" i="2"/>
  <c r="BS16" i="2"/>
  <c r="BR16" i="2"/>
  <c r="BQ16" i="2"/>
  <c r="BP16" i="2"/>
  <c r="BN16" i="2"/>
  <c r="BM16" i="2"/>
  <c r="BL16" i="2"/>
  <c r="BJ16" i="2"/>
  <c r="BI16" i="2"/>
  <c r="BH16" i="2"/>
  <c r="BF16" i="2"/>
  <c r="BE16" i="2"/>
  <c r="BD16" i="2"/>
  <c r="BC16" i="2"/>
  <c r="BB16" i="2"/>
  <c r="BA16" i="2"/>
  <c r="AZ16" i="2"/>
  <c r="AX16" i="2"/>
  <c r="AW16" i="2"/>
  <c r="AV16" i="2"/>
  <c r="AT16" i="2"/>
  <c r="AS16" i="2"/>
  <c r="AR16" i="2"/>
  <c r="AP16" i="2"/>
  <c r="AO16" i="2"/>
  <c r="AN16" i="2"/>
  <c r="AL16" i="2"/>
  <c r="AK16" i="2"/>
  <c r="AJ16" i="2"/>
  <c r="AI16" i="2"/>
  <c r="AH16" i="2"/>
  <c r="AG16" i="2"/>
  <c r="AF16" i="2"/>
  <c r="AE16" i="2"/>
  <c r="AD16" i="2"/>
  <c r="AC16" i="2"/>
  <c r="AB16" i="2"/>
  <c r="Z16" i="2"/>
  <c r="Y16" i="2"/>
  <c r="X16" i="2"/>
  <c r="W16" i="2"/>
  <c r="V16" i="2"/>
  <c r="U16" i="2"/>
  <c r="T16" i="2"/>
  <c r="R16" i="2"/>
  <c r="Q16" i="2"/>
  <c r="P16" i="2"/>
  <c r="N16" i="2"/>
  <c r="M16" i="2"/>
  <c r="L16" i="2"/>
  <c r="J16" i="2"/>
  <c r="I16" i="2"/>
  <c r="H16" i="2"/>
  <c r="C16" i="2"/>
  <c r="B16" i="2"/>
  <c r="CB15" i="2"/>
  <c r="CA15" i="2"/>
  <c r="BZ15" i="2"/>
  <c r="BY15" i="2"/>
  <c r="BX15" i="2"/>
  <c r="BV15" i="2"/>
  <c r="BU15" i="2"/>
  <c r="BT15" i="2"/>
  <c r="BS15" i="2"/>
  <c r="BR15" i="2"/>
  <c r="BQ15" i="2"/>
  <c r="BP15" i="2"/>
  <c r="BN15" i="2"/>
  <c r="BM15" i="2"/>
  <c r="BL15" i="2"/>
  <c r="BJ15" i="2"/>
  <c r="BI15" i="2"/>
  <c r="BH15" i="2"/>
  <c r="BF15" i="2"/>
  <c r="BE15" i="2"/>
  <c r="BD15" i="2"/>
  <c r="BC15" i="2"/>
  <c r="BB15" i="2"/>
  <c r="BA15" i="2"/>
  <c r="AZ15" i="2"/>
  <c r="AX15" i="2"/>
  <c r="AW15" i="2"/>
  <c r="AV15" i="2"/>
  <c r="AT15" i="2"/>
  <c r="AS15" i="2"/>
  <c r="AR15" i="2"/>
  <c r="AP15" i="2"/>
  <c r="AO15" i="2"/>
  <c r="AN15" i="2"/>
  <c r="AL15" i="2"/>
  <c r="AK15" i="2"/>
  <c r="AJ15" i="2"/>
  <c r="AI15" i="2"/>
  <c r="AH15" i="2"/>
  <c r="AG15" i="2"/>
  <c r="AF15" i="2"/>
  <c r="AE15" i="2"/>
  <c r="AD15" i="2"/>
  <c r="AC15" i="2"/>
  <c r="AB15" i="2"/>
  <c r="Z15" i="2"/>
  <c r="Y15" i="2"/>
  <c r="X15" i="2"/>
  <c r="W15" i="2"/>
  <c r="V15" i="2"/>
  <c r="U15" i="2"/>
  <c r="T15" i="2"/>
  <c r="R15" i="2"/>
  <c r="Q15" i="2"/>
  <c r="P15" i="2"/>
  <c r="N15" i="2"/>
  <c r="M15" i="2"/>
  <c r="L15" i="2"/>
  <c r="J15" i="2"/>
  <c r="I15" i="2"/>
  <c r="H15" i="2"/>
  <c r="C15" i="2"/>
  <c r="B15" i="2"/>
  <c r="CB14" i="2"/>
  <c r="CA14" i="2"/>
  <c r="BZ14" i="2"/>
  <c r="BY14" i="2"/>
  <c r="BX14" i="2"/>
  <c r="BV14" i="2"/>
  <c r="BU14" i="2"/>
  <c r="BT14" i="2"/>
  <c r="BS14" i="2"/>
  <c r="BR14" i="2"/>
  <c r="BQ14" i="2"/>
  <c r="BP14" i="2"/>
  <c r="BN14" i="2"/>
  <c r="BM14" i="2"/>
  <c r="BL14" i="2"/>
  <c r="BJ14" i="2"/>
  <c r="BI14" i="2"/>
  <c r="BH14" i="2"/>
  <c r="BF14" i="2"/>
  <c r="BE14" i="2"/>
  <c r="BD14" i="2"/>
  <c r="BC14" i="2"/>
  <c r="BB14" i="2"/>
  <c r="BA14" i="2"/>
  <c r="AZ14" i="2"/>
  <c r="AX14" i="2"/>
  <c r="AW14" i="2"/>
  <c r="AV14" i="2"/>
  <c r="AT14" i="2"/>
  <c r="AS14" i="2"/>
  <c r="AR14" i="2"/>
  <c r="AP14" i="2"/>
  <c r="AO14" i="2"/>
  <c r="AN14" i="2"/>
  <c r="AL14" i="2"/>
  <c r="AK14" i="2"/>
  <c r="AJ14" i="2"/>
  <c r="AI14" i="2"/>
  <c r="AH14" i="2"/>
  <c r="AG14" i="2"/>
  <c r="AF14" i="2"/>
  <c r="AE14" i="2"/>
  <c r="AD14" i="2"/>
  <c r="AC14" i="2"/>
  <c r="AB14" i="2"/>
  <c r="Z14" i="2"/>
  <c r="Y14" i="2"/>
  <c r="X14" i="2"/>
  <c r="W14" i="2"/>
  <c r="V14" i="2"/>
  <c r="U14" i="2"/>
  <c r="T14" i="2"/>
  <c r="R14" i="2"/>
  <c r="Q14" i="2"/>
  <c r="P14" i="2"/>
  <c r="N14" i="2"/>
  <c r="M14" i="2"/>
  <c r="L14" i="2"/>
  <c r="J14" i="2"/>
  <c r="I14" i="2"/>
  <c r="H14" i="2"/>
  <c r="C14" i="2"/>
  <c r="B14" i="2"/>
  <c r="CB13" i="2"/>
  <c r="CA13" i="2"/>
  <c r="BZ13" i="2"/>
  <c r="BY13" i="2"/>
  <c r="BX13" i="2"/>
  <c r="BV13" i="2"/>
  <c r="BU13" i="2"/>
  <c r="BT13" i="2"/>
  <c r="BS13" i="2"/>
  <c r="BR13" i="2"/>
  <c r="BQ13" i="2"/>
  <c r="BP13" i="2"/>
  <c r="BN13" i="2"/>
  <c r="BM13" i="2"/>
  <c r="BL13" i="2"/>
  <c r="BJ13" i="2"/>
  <c r="BI13" i="2"/>
  <c r="BH13" i="2"/>
  <c r="BF13" i="2"/>
  <c r="BE13" i="2"/>
  <c r="BD13" i="2"/>
  <c r="BC13" i="2"/>
  <c r="BB13" i="2"/>
  <c r="BA13" i="2"/>
  <c r="AZ13" i="2"/>
  <c r="AX13" i="2"/>
  <c r="AW13" i="2"/>
  <c r="AV13" i="2"/>
  <c r="AT13" i="2"/>
  <c r="AS13" i="2"/>
  <c r="AR13" i="2"/>
  <c r="AP13" i="2"/>
  <c r="AO13" i="2"/>
  <c r="AN13" i="2"/>
  <c r="AL13" i="2"/>
  <c r="AK13" i="2"/>
  <c r="AJ13" i="2"/>
  <c r="AI13" i="2"/>
  <c r="AH13" i="2"/>
  <c r="AG13" i="2"/>
  <c r="AF13" i="2"/>
  <c r="AE13" i="2"/>
  <c r="AD13" i="2"/>
  <c r="AC13" i="2"/>
  <c r="AB13" i="2"/>
  <c r="Z13" i="2"/>
  <c r="Y13" i="2"/>
  <c r="X13" i="2"/>
  <c r="W13" i="2"/>
  <c r="V13" i="2"/>
  <c r="U13" i="2"/>
  <c r="T13" i="2"/>
  <c r="R13" i="2"/>
  <c r="Q13" i="2"/>
  <c r="P13" i="2"/>
  <c r="N13" i="2"/>
  <c r="M13" i="2"/>
  <c r="L13" i="2"/>
  <c r="J13" i="2"/>
  <c r="I13" i="2"/>
  <c r="H13" i="2"/>
  <c r="C13" i="2"/>
  <c r="B13" i="2"/>
  <c r="CB12" i="2"/>
  <c r="CA12" i="2"/>
  <c r="BZ12" i="2"/>
  <c r="BY12" i="2"/>
  <c r="BX12" i="2"/>
  <c r="BV12" i="2"/>
  <c r="BU12" i="2"/>
  <c r="BT12" i="2"/>
  <c r="BS12" i="2"/>
  <c r="BR12" i="2"/>
  <c r="BQ12" i="2"/>
  <c r="BP12" i="2"/>
  <c r="BN12" i="2"/>
  <c r="BM12" i="2"/>
  <c r="BL12" i="2"/>
  <c r="BJ12" i="2"/>
  <c r="BI12" i="2"/>
  <c r="BH12" i="2"/>
  <c r="BF12" i="2"/>
  <c r="BE12" i="2"/>
  <c r="BD12" i="2"/>
  <c r="BC12" i="2"/>
  <c r="BB12" i="2"/>
  <c r="BA12" i="2"/>
  <c r="AZ12" i="2"/>
  <c r="AX12" i="2"/>
  <c r="AW12" i="2"/>
  <c r="AV12" i="2"/>
  <c r="AT12" i="2"/>
  <c r="AS12" i="2"/>
  <c r="AR12" i="2"/>
  <c r="AP12" i="2"/>
  <c r="AO12" i="2"/>
  <c r="AN12" i="2"/>
  <c r="AL12" i="2"/>
  <c r="AK12" i="2"/>
  <c r="AJ12" i="2"/>
  <c r="AI12" i="2"/>
  <c r="AH12" i="2"/>
  <c r="AG12" i="2"/>
  <c r="AF12" i="2"/>
  <c r="AE12" i="2"/>
  <c r="AD12" i="2"/>
  <c r="AC12" i="2"/>
  <c r="AB12" i="2"/>
  <c r="Z12" i="2"/>
  <c r="Y12" i="2"/>
  <c r="X12" i="2"/>
  <c r="W12" i="2"/>
  <c r="V12" i="2"/>
  <c r="U12" i="2"/>
  <c r="T12" i="2"/>
  <c r="R12" i="2"/>
  <c r="Q12" i="2"/>
  <c r="P12" i="2"/>
  <c r="N12" i="2"/>
  <c r="M12" i="2"/>
  <c r="L12" i="2"/>
  <c r="J12" i="2"/>
  <c r="I12" i="2"/>
  <c r="H12" i="2"/>
  <c r="C12" i="2"/>
  <c r="B12" i="2"/>
  <c r="A12" i="2"/>
  <c r="CB11" i="2"/>
  <c r="CA11" i="2"/>
  <c r="BZ11" i="2"/>
  <c r="BY11" i="2"/>
  <c r="BX11" i="2"/>
  <c r="BV11" i="2"/>
  <c r="BU11" i="2"/>
  <c r="BT11" i="2"/>
  <c r="BS11" i="2"/>
  <c r="BR11" i="2"/>
  <c r="BQ11" i="2"/>
  <c r="BP11" i="2"/>
  <c r="BN11" i="2"/>
  <c r="BM11" i="2"/>
  <c r="BL11" i="2"/>
  <c r="BJ11" i="2"/>
  <c r="BI11" i="2"/>
  <c r="BH11" i="2"/>
  <c r="BF11" i="2"/>
  <c r="BE11" i="2"/>
  <c r="BD11" i="2"/>
  <c r="BC11" i="2"/>
  <c r="BB11" i="2"/>
  <c r="BA11" i="2"/>
  <c r="AZ11" i="2"/>
  <c r="AX11" i="2"/>
  <c r="AW11" i="2"/>
  <c r="AV11" i="2"/>
  <c r="AT11" i="2"/>
  <c r="AS11" i="2"/>
  <c r="AR11" i="2"/>
  <c r="AP11" i="2"/>
  <c r="AO11" i="2"/>
  <c r="AN11" i="2"/>
  <c r="AL11" i="2"/>
  <c r="AK11" i="2"/>
  <c r="AJ11" i="2"/>
  <c r="AI11" i="2"/>
  <c r="AH11" i="2"/>
  <c r="AG11" i="2"/>
  <c r="AF11" i="2"/>
  <c r="AE11" i="2"/>
  <c r="AD11" i="2"/>
  <c r="AC11" i="2"/>
  <c r="AB11" i="2"/>
  <c r="Z11" i="2"/>
  <c r="Y11" i="2"/>
  <c r="X11" i="2"/>
  <c r="W11" i="2"/>
  <c r="V11" i="2"/>
  <c r="U11" i="2"/>
  <c r="T11" i="2"/>
  <c r="R11" i="2"/>
  <c r="Q11" i="2"/>
  <c r="P11" i="2"/>
  <c r="N11" i="2"/>
  <c r="M11" i="2"/>
  <c r="L11" i="2"/>
  <c r="J11" i="2"/>
  <c r="I11" i="2"/>
  <c r="H11" i="2"/>
  <c r="C11" i="2"/>
  <c r="B11" i="2"/>
  <c r="A11" i="2"/>
  <c r="CB10" i="2"/>
  <c r="CA10" i="2"/>
  <c r="BZ10" i="2"/>
  <c r="BY10" i="2"/>
  <c r="BX10" i="2"/>
  <c r="BV10" i="2"/>
  <c r="BU10" i="2"/>
  <c r="BT10" i="2"/>
  <c r="BS10" i="2"/>
  <c r="BR10" i="2"/>
  <c r="BQ10" i="2"/>
  <c r="BP10" i="2"/>
  <c r="BN10" i="2"/>
  <c r="BM10" i="2"/>
  <c r="BL10" i="2"/>
  <c r="BJ10" i="2"/>
  <c r="BI10" i="2"/>
  <c r="BH10" i="2"/>
  <c r="BF10" i="2"/>
  <c r="BE10" i="2"/>
  <c r="BD10" i="2"/>
  <c r="BC10" i="2"/>
  <c r="BB10" i="2"/>
  <c r="BA10" i="2"/>
  <c r="AZ10" i="2"/>
  <c r="AX10" i="2"/>
  <c r="AW10" i="2"/>
  <c r="AV10" i="2"/>
  <c r="AT10" i="2"/>
  <c r="AS10" i="2"/>
  <c r="AR10" i="2"/>
  <c r="AQ10" i="2"/>
  <c r="AP10" i="2"/>
  <c r="AO10" i="2"/>
  <c r="AN10" i="2"/>
  <c r="AL10" i="2"/>
  <c r="AK10" i="2"/>
  <c r="AJ10" i="2"/>
  <c r="AI10" i="2"/>
  <c r="AH10" i="2"/>
  <c r="AG10" i="2"/>
  <c r="AF10" i="2"/>
  <c r="AE10" i="2"/>
  <c r="AD10" i="2"/>
  <c r="AC10" i="2"/>
  <c r="AB10" i="2"/>
  <c r="Z10" i="2"/>
  <c r="Y10" i="2"/>
  <c r="X10" i="2"/>
  <c r="W10" i="2"/>
  <c r="V10" i="2"/>
  <c r="U10" i="2"/>
  <c r="T10" i="2"/>
  <c r="S10" i="2"/>
  <c r="R10" i="2"/>
  <c r="Q10" i="2"/>
  <c r="P10" i="2"/>
  <c r="N10" i="2"/>
  <c r="M10" i="2"/>
  <c r="L10" i="2"/>
  <c r="J10" i="2"/>
  <c r="I10" i="2"/>
  <c r="H10" i="2"/>
  <c r="C10" i="2"/>
  <c r="A10" i="2"/>
  <c r="BF155" i="58"/>
  <c r="BE155" i="58"/>
  <c r="BD155" i="58"/>
  <c r="BC155" i="58"/>
  <c r="BB155" i="58"/>
  <c r="AX155" i="58"/>
  <c r="S155" i="58"/>
  <c r="R155" i="58"/>
  <c r="S154" i="58"/>
  <c r="R154" i="58"/>
  <c r="Q154" i="58"/>
  <c r="BF153" i="58"/>
  <c r="BE153" i="58"/>
  <c r="BD153" i="58"/>
  <c r="BC153" i="58"/>
  <c r="BB153" i="58"/>
  <c r="BA153" i="58"/>
  <c r="AZ153" i="58"/>
  <c r="AY153" i="58"/>
  <c r="AX153" i="58"/>
  <c r="AW153" i="58"/>
  <c r="AV153" i="58"/>
  <c r="AU153" i="58"/>
  <c r="AT153" i="58"/>
  <c r="AS153" i="58"/>
  <c r="AR153" i="58"/>
  <c r="AQ153" i="58"/>
  <c r="AP153" i="58"/>
  <c r="AO153" i="58"/>
  <c r="AN153" i="58"/>
  <c r="AM153" i="58"/>
  <c r="AL153" i="58"/>
  <c r="AK153" i="58"/>
  <c r="AJ153" i="58"/>
  <c r="AI153" i="58"/>
  <c r="AH153" i="58"/>
  <c r="AG153" i="58"/>
  <c r="AF153" i="58"/>
  <c r="AD153" i="58"/>
  <c r="S153" i="58"/>
  <c r="R153" i="58"/>
  <c r="Q153" i="58"/>
  <c r="AR152" i="58"/>
  <c r="AM152" i="58"/>
  <c r="AC152" i="58"/>
  <c r="AA152" i="58"/>
  <c r="BA146" i="58"/>
  <c r="AR146" i="58"/>
  <c r="AM146" i="58"/>
  <c r="AD146" i="58"/>
  <c r="BA145" i="58"/>
  <c r="AR145" i="58"/>
  <c r="AM145" i="58"/>
  <c r="AD145" i="58"/>
  <c r="BA144" i="58"/>
  <c r="AR144" i="58"/>
  <c r="AM144" i="58"/>
  <c r="AD144" i="58"/>
  <c r="Z144" i="58"/>
  <c r="W144" i="58"/>
  <c r="V144" i="58"/>
  <c r="U144" i="58"/>
  <c r="P144" i="58"/>
  <c r="O144" i="58"/>
  <c r="K144" i="58" s="1"/>
  <c r="N144" i="58"/>
  <c r="J144" i="58"/>
  <c r="C144" i="58"/>
  <c r="BA143" i="58"/>
  <c r="AR143" i="58"/>
  <c r="AM143" i="58"/>
  <c r="AD143" i="58"/>
  <c r="Y143" i="58"/>
  <c r="Y153" i="58" s="1"/>
  <c r="Y155" i="58" s="1"/>
  <c r="W143" i="58"/>
  <c r="V143" i="58"/>
  <c r="U143" i="58"/>
  <c r="AA143" i="58" s="1"/>
  <c r="P143" i="58"/>
  <c r="O143" i="58"/>
  <c r="T143" i="58" s="1"/>
  <c r="N143" i="58"/>
  <c r="K143" i="58"/>
  <c r="AC143" i="58" s="1"/>
  <c r="J143" i="58"/>
  <c r="C143" i="58"/>
  <c r="BA141" i="58"/>
  <c r="AR141" i="58"/>
  <c r="AM141" i="58"/>
  <c r="AD141" i="58"/>
  <c r="BA140" i="58"/>
  <c r="AR140" i="58"/>
  <c r="AM140" i="58"/>
  <c r="AD140" i="58"/>
  <c r="BA139" i="58"/>
  <c r="AR139" i="58"/>
  <c r="AM139" i="58"/>
  <c r="AD139" i="58"/>
  <c r="Z139" i="58"/>
  <c r="W139" i="58"/>
  <c r="T139" i="58"/>
  <c r="AC139" i="58" s="1"/>
  <c r="P139" i="58"/>
  <c r="O139" i="58"/>
  <c r="V139" i="58" s="1"/>
  <c r="N139" i="58"/>
  <c r="K139" i="58"/>
  <c r="X139" i="58" s="1"/>
  <c r="J139" i="58"/>
  <c r="C139" i="58"/>
  <c r="BA137" i="58"/>
  <c r="AR137" i="58"/>
  <c r="AM137" i="58"/>
  <c r="AD137" i="58"/>
  <c r="BA136" i="58"/>
  <c r="AR136" i="58"/>
  <c r="AM136" i="58"/>
  <c r="AD136" i="58"/>
  <c r="BA135" i="58"/>
  <c r="AR135" i="58"/>
  <c r="AM135" i="58"/>
  <c r="AD135" i="58"/>
  <c r="AC135" i="58"/>
  <c r="Z135" i="58"/>
  <c r="W135" i="58"/>
  <c r="V135" i="58"/>
  <c r="T135" i="58"/>
  <c r="P135" i="58"/>
  <c r="O135" i="58"/>
  <c r="U135" i="58" s="1"/>
  <c r="N135" i="58"/>
  <c r="K135" i="58"/>
  <c r="J135" i="58"/>
  <c r="C135" i="58"/>
  <c r="BA134" i="58"/>
  <c r="AR134" i="58"/>
  <c r="AM134" i="58"/>
  <c r="AD134" i="58"/>
  <c r="Z134" i="58"/>
  <c r="W134" i="58"/>
  <c r="X134" i="58" s="1"/>
  <c r="V134" i="58"/>
  <c r="T134" i="58"/>
  <c r="P134" i="58"/>
  <c r="O134" i="58"/>
  <c r="K134" i="58" s="1"/>
  <c r="AC134" i="58" s="1"/>
  <c r="N134" i="58"/>
  <c r="J134" i="58"/>
  <c r="C134" i="58"/>
  <c r="BA132" i="58"/>
  <c r="AR132" i="58"/>
  <c r="AM132" i="58"/>
  <c r="AD132" i="58"/>
  <c r="BA131" i="58"/>
  <c r="AR131" i="58"/>
  <c r="AM131" i="58"/>
  <c r="AD131" i="58"/>
  <c r="BA130" i="58"/>
  <c r="AR130" i="58"/>
  <c r="AM130" i="58"/>
  <c r="AD130" i="58"/>
  <c r="Z130" i="58"/>
  <c r="W130" i="58"/>
  <c r="O130" i="58"/>
  <c r="U130" i="58" s="1"/>
  <c r="AA130" i="58" s="1"/>
  <c r="N130" i="58"/>
  <c r="J130" i="58"/>
  <c r="BA128" i="58"/>
  <c r="AR128" i="58"/>
  <c r="AM128" i="58"/>
  <c r="AD128" i="58"/>
  <c r="BA127" i="58"/>
  <c r="AR127" i="58"/>
  <c r="AM127" i="58"/>
  <c r="AD127" i="58"/>
  <c r="W127" i="58"/>
  <c r="BA126" i="58"/>
  <c r="AR126" i="58"/>
  <c r="AM126" i="58"/>
  <c r="AD126" i="58"/>
  <c r="Z126" i="58"/>
  <c r="W126" i="58"/>
  <c r="V126" i="58"/>
  <c r="P126" i="58"/>
  <c r="O126" i="58"/>
  <c r="K126" i="58" s="1"/>
  <c r="N126" i="58"/>
  <c r="J126" i="58"/>
  <c r="C126" i="58"/>
  <c r="BA124" i="58"/>
  <c r="AR124" i="58"/>
  <c r="AM124" i="58"/>
  <c r="AD124" i="58"/>
  <c r="BA123" i="58"/>
  <c r="AR123" i="58"/>
  <c r="AM123" i="58"/>
  <c r="AD123" i="58"/>
  <c r="W123" i="58"/>
  <c r="BA122" i="58"/>
  <c r="AR122" i="58"/>
  <c r="AM122" i="58"/>
  <c r="AD122" i="58"/>
  <c r="W122" i="58"/>
  <c r="V122" i="58"/>
  <c r="U122" i="58"/>
  <c r="P122" i="58"/>
  <c r="O122" i="58"/>
  <c r="K122" i="58" s="1"/>
  <c r="N122" i="58"/>
  <c r="M122" i="58"/>
  <c r="J122" i="58"/>
  <c r="C122" i="58"/>
  <c r="BA121" i="58"/>
  <c r="AR121" i="58"/>
  <c r="AM121" i="58"/>
  <c r="AD121" i="58"/>
  <c r="Z121" i="58"/>
  <c r="W121" i="58"/>
  <c r="O121" i="58"/>
  <c r="U121" i="58" s="1"/>
  <c r="AA121" i="58" s="1"/>
  <c r="N121" i="58"/>
  <c r="J121" i="58"/>
  <c r="BA119" i="58"/>
  <c r="AR119" i="58"/>
  <c r="AM119" i="58"/>
  <c r="AD119" i="58"/>
  <c r="BA118" i="58"/>
  <c r="AR118" i="58"/>
  <c r="AM118" i="58"/>
  <c r="AD118" i="58"/>
  <c r="BA117" i="58"/>
  <c r="AR117" i="58"/>
  <c r="AM117" i="58"/>
  <c r="AD117" i="58"/>
  <c r="AA117" i="58"/>
  <c r="AB117" i="58" s="1"/>
  <c r="W117" i="58"/>
  <c r="V117" i="58"/>
  <c r="T117" i="58"/>
  <c r="P117" i="58"/>
  <c r="O117" i="58"/>
  <c r="U117" i="58" s="1"/>
  <c r="N117" i="58"/>
  <c r="K117" i="58"/>
  <c r="AC117" i="58" s="1"/>
  <c r="J117" i="58"/>
  <c r="C117" i="58"/>
  <c r="BA115" i="58"/>
  <c r="AR115" i="58"/>
  <c r="AM115" i="58"/>
  <c r="AD115" i="58"/>
  <c r="BA114" i="58"/>
  <c r="AR114" i="58"/>
  <c r="AM114" i="58"/>
  <c r="AD114" i="58"/>
  <c r="BA113" i="58"/>
  <c r="AR113" i="58"/>
  <c r="AM113" i="58"/>
  <c r="AD113" i="58"/>
  <c r="AC113" i="58"/>
  <c r="Z113" i="58"/>
  <c r="W113" i="58"/>
  <c r="X113" i="58" s="1"/>
  <c r="V113" i="58"/>
  <c r="U113" i="58"/>
  <c r="AA113" i="58" s="1"/>
  <c r="T113" i="58"/>
  <c r="P113" i="58"/>
  <c r="O113" i="58"/>
  <c r="N113" i="58"/>
  <c r="K113" i="58"/>
  <c r="J113" i="58"/>
  <c r="C113" i="58"/>
  <c r="BA111" i="58"/>
  <c r="AR111" i="58"/>
  <c r="AM111" i="58"/>
  <c r="AD111" i="58"/>
  <c r="BA110" i="58"/>
  <c r="AR110" i="58"/>
  <c r="AM110" i="58"/>
  <c r="AD110" i="58"/>
  <c r="Z110" i="58"/>
  <c r="W110" i="58"/>
  <c r="S110" i="58"/>
  <c r="P110" i="58"/>
  <c r="O110" i="58"/>
  <c r="U110" i="58" s="1"/>
  <c r="N110" i="58"/>
  <c r="K110" i="58"/>
  <c r="J110" i="58"/>
  <c r="BA109" i="58"/>
  <c r="AR109" i="58"/>
  <c r="AM109" i="58"/>
  <c r="AD109" i="58"/>
  <c r="W109" i="58"/>
  <c r="O109" i="58"/>
  <c r="N109" i="58"/>
  <c r="J109" i="58"/>
  <c r="BA107" i="58"/>
  <c r="AR107" i="58"/>
  <c r="AM107" i="58"/>
  <c r="AD107" i="58"/>
  <c r="BA106" i="58"/>
  <c r="AR106" i="58"/>
  <c r="AM106" i="58"/>
  <c r="AD106" i="58"/>
  <c r="Z106" i="58"/>
  <c r="W106" i="58"/>
  <c r="BA105" i="58"/>
  <c r="AR105" i="58"/>
  <c r="AM105" i="58"/>
  <c r="AD105" i="58"/>
  <c r="Z105" i="58"/>
  <c r="W105" i="58"/>
  <c r="O105" i="58"/>
  <c r="U105" i="58" s="1"/>
  <c r="N105" i="58"/>
  <c r="J105" i="58"/>
  <c r="BA103" i="58"/>
  <c r="AR103" i="58"/>
  <c r="AM103" i="58"/>
  <c r="AD103" i="58"/>
  <c r="BA102" i="58"/>
  <c r="AR102" i="58"/>
  <c r="AM102" i="58"/>
  <c r="AD102" i="58"/>
  <c r="W102" i="58"/>
  <c r="O102" i="58"/>
  <c r="N102" i="58"/>
  <c r="J102" i="58"/>
  <c r="BA101" i="58"/>
  <c r="AR101" i="58"/>
  <c r="AM101" i="58"/>
  <c r="AD101" i="58"/>
  <c r="Z101" i="58"/>
  <c r="W101" i="58"/>
  <c r="U101" i="58"/>
  <c r="T101" i="58"/>
  <c r="O101" i="58"/>
  <c r="P101" i="58" s="1"/>
  <c r="N101" i="58"/>
  <c r="K101" i="58"/>
  <c r="J101" i="58"/>
  <c r="BA99" i="58"/>
  <c r="AR99" i="58"/>
  <c r="AM99" i="58"/>
  <c r="AD99" i="58"/>
  <c r="BA98" i="58"/>
  <c r="AR98" i="58"/>
  <c r="AM98" i="58"/>
  <c r="AD98" i="58"/>
  <c r="W98" i="58"/>
  <c r="P98" i="58"/>
  <c r="O98" i="58"/>
  <c r="V98" i="58" s="1"/>
  <c r="N98" i="58"/>
  <c r="K98" i="58"/>
  <c r="J98" i="58"/>
  <c r="BA97" i="58"/>
  <c r="AR97" i="58"/>
  <c r="AM97" i="58"/>
  <c r="AD97" i="58"/>
  <c r="Z97" i="58"/>
  <c r="W97" i="58"/>
  <c r="V97" i="58"/>
  <c r="P97" i="58"/>
  <c r="O97" i="58"/>
  <c r="K97" i="58" s="1"/>
  <c r="N97" i="58"/>
  <c r="M97" i="58"/>
  <c r="J97" i="58"/>
  <c r="C97" i="58"/>
  <c r="Z95" i="58"/>
  <c r="W95" i="58"/>
  <c r="BA94" i="58"/>
  <c r="AR94" i="58"/>
  <c r="AM94" i="58"/>
  <c r="AD94" i="58"/>
  <c r="Z94" i="58"/>
  <c r="W94" i="58"/>
  <c r="V94" i="58"/>
  <c r="U94" i="58"/>
  <c r="O94" i="58"/>
  <c r="T94" i="58" s="1"/>
  <c r="N94" i="58"/>
  <c r="M94" i="58"/>
  <c r="J94" i="58"/>
  <c r="C94" i="58"/>
  <c r="BA93" i="58"/>
  <c r="AR93" i="58"/>
  <c r="AM93" i="58"/>
  <c r="AD93" i="58"/>
  <c r="Z93" i="58"/>
  <c r="W93" i="58"/>
  <c r="O93" i="58"/>
  <c r="U93" i="58" s="1"/>
  <c r="N93" i="58"/>
  <c r="J93" i="58"/>
  <c r="BA92" i="58"/>
  <c r="AR92" i="58"/>
  <c r="AM92" i="58"/>
  <c r="AD92" i="58"/>
  <c r="Z92" i="58"/>
  <c r="W92" i="58"/>
  <c r="O92" i="58"/>
  <c r="N92" i="58"/>
  <c r="M92" i="58"/>
  <c r="J92" i="58"/>
  <c r="BA90" i="58"/>
  <c r="AR90" i="58"/>
  <c r="AM90" i="58"/>
  <c r="AD90" i="58"/>
  <c r="BA89" i="58"/>
  <c r="AR89" i="58"/>
  <c r="AM89" i="58"/>
  <c r="AD89" i="58"/>
  <c r="W89" i="58"/>
  <c r="V89" i="58"/>
  <c r="U89" i="58"/>
  <c r="O89" i="58"/>
  <c r="T89" i="58" s="1"/>
  <c r="AC89" i="58" s="1"/>
  <c r="N89" i="58"/>
  <c r="M89" i="58"/>
  <c r="K89" i="58"/>
  <c r="J89" i="58"/>
  <c r="C89" i="58"/>
  <c r="BA88" i="58"/>
  <c r="AR88" i="58"/>
  <c r="AM88" i="58"/>
  <c r="AD88" i="58"/>
  <c r="Z88" i="58"/>
  <c r="W88" i="58"/>
  <c r="O88" i="58"/>
  <c r="N88" i="58"/>
  <c r="J88" i="58"/>
  <c r="H88" i="58"/>
  <c r="BA86" i="58"/>
  <c r="AR86" i="58"/>
  <c r="AM86" i="58"/>
  <c r="AD86" i="58"/>
  <c r="AC86" i="58"/>
  <c r="Z86" i="58"/>
  <c r="W86" i="58"/>
  <c r="BA85" i="58"/>
  <c r="AR85" i="58"/>
  <c r="AM85" i="58"/>
  <c r="AD85" i="58"/>
  <c r="AC85" i="58"/>
  <c r="Z85" i="58"/>
  <c r="W85" i="58"/>
  <c r="BA84" i="58"/>
  <c r="AR84" i="58"/>
  <c r="AM84" i="58"/>
  <c r="AD84" i="58"/>
  <c r="Z84" i="58"/>
  <c r="W84" i="58"/>
  <c r="X84" i="58" s="1"/>
  <c r="V84" i="58"/>
  <c r="U84" i="58"/>
  <c r="AA84" i="58" s="1"/>
  <c r="T84" i="58"/>
  <c r="AC84" i="58" s="1"/>
  <c r="P84" i="58"/>
  <c r="O84" i="58"/>
  <c r="N84" i="58"/>
  <c r="K84" i="58"/>
  <c r="J84" i="58"/>
  <c r="H84" i="58"/>
  <c r="C84" i="58"/>
  <c r="BA82" i="58"/>
  <c r="AR82" i="58"/>
  <c r="AM82" i="58"/>
  <c r="AD82" i="58"/>
  <c r="BA81" i="58"/>
  <c r="AR81" i="58"/>
  <c r="AM81" i="58"/>
  <c r="AD81" i="58"/>
  <c r="BA80" i="58"/>
  <c r="AR80" i="58"/>
  <c r="AM80" i="58"/>
  <c r="AD80" i="58"/>
  <c r="W80" i="58"/>
  <c r="V80" i="58"/>
  <c r="U80" i="58"/>
  <c r="T80" i="58"/>
  <c r="P80" i="58"/>
  <c r="O80" i="58"/>
  <c r="N80" i="58"/>
  <c r="K80" i="58"/>
  <c r="J80" i="58"/>
  <c r="H80" i="58"/>
  <c r="C80" i="58"/>
  <c r="BA79" i="58"/>
  <c r="AR79" i="58"/>
  <c r="AM79" i="58"/>
  <c r="AD79" i="58"/>
  <c r="Z79" i="58"/>
  <c r="W79" i="58"/>
  <c r="P79" i="58"/>
  <c r="O79" i="58"/>
  <c r="V79" i="58" s="1"/>
  <c r="N79" i="58"/>
  <c r="K79" i="58"/>
  <c r="X79" i="58" s="1"/>
  <c r="J79" i="58"/>
  <c r="H79" i="58"/>
  <c r="BA77" i="58"/>
  <c r="AR77" i="58"/>
  <c r="AM77" i="58"/>
  <c r="AD77" i="58"/>
  <c r="BA76" i="58"/>
  <c r="AR76" i="58"/>
  <c r="AM76" i="58"/>
  <c r="AD76" i="58"/>
  <c r="Z76" i="58"/>
  <c r="W76" i="58"/>
  <c r="BA75" i="58"/>
  <c r="AR75" i="58"/>
  <c r="AM75" i="58"/>
  <c r="AD75" i="58"/>
  <c r="W75" i="58"/>
  <c r="V75" i="58"/>
  <c r="U75" i="58"/>
  <c r="AA75" i="58" s="1"/>
  <c r="T75" i="58"/>
  <c r="O75" i="58"/>
  <c r="P75" i="58" s="1"/>
  <c r="N75" i="58"/>
  <c r="K75" i="58"/>
  <c r="AC75" i="58" s="1"/>
  <c r="J75" i="58"/>
  <c r="H75" i="58"/>
  <c r="C75" i="58"/>
  <c r="BA73" i="58"/>
  <c r="AR73" i="58"/>
  <c r="AM73" i="58"/>
  <c r="AD73" i="58"/>
  <c r="BA72" i="58"/>
  <c r="AR72" i="58"/>
  <c r="AM72" i="58"/>
  <c r="AD72" i="58"/>
  <c r="BA71" i="58"/>
  <c r="AR71" i="58"/>
  <c r="AM71" i="58"/>
  <c r="AD71" i="58"/>
  <c r="Z71" i="58"/>
  <c r="W71" i="58"/>
  <c r="BA70" i="58"/>
  <c r="AR70" i="58"/>
  <c r="AM70" i="58"/>
  <c r="AD70" i="58"/>
  <c r="W70" i="58"/>
  <c r="V70" i="58"/>
  <c r="U70" i="58"/>
  <c r="T70" i="58"/>
  <c r="P70" i="58"/>
  <c r="O70" i="58"/>
  <c r="K70" i="58" s="1"/>
  <c r="AC70" i="58" s="1"/>
  <c r="N70" i="58"/>
  <c r="J70" i="58"/>
  <c r="H70" i="58"/>
  <c r="C70" i="58"/>
  <c r="BA69" i="58"/>
  <c r="AR69" i="58"/>
  <c r="AM69" i="58"/>
  <c r="AD69" i="58"/>
  <c r="Z69" i="58"/>
  <c r="W69" i="58"/>
  <c r="X69" i="58" s="1"/>
  <c r="O69" i="58"/>
  <c r="U69" i="58" s="1"/>
  <c r="N69" i="58"/>
  <c r="M69" i="58"/>
  <c r="K69" i="58"/>
  <c r="J69" i="58"/>
  <c r="H69" i="58"/>
  <c r="BA67" i="58"/>
  <c r="AR67" i="58"/>
  <c r="AM67" i="58"/>
  <c r="AD67" i="58"/>
  <c r="BA66" i="58"/>
  <c r="AR66" i="58"/>
  <c r="AM66" i="58"/>
  <c r="AD66" i="58"/>
  <c r="W66" i="58"/>
  <c r="V66" i="58"/>
  <c r="U66" i="58"/>
  <c r="T66" i="58"/>
  <c r="P66" i="58"/>
  <c r="O66" i="58"/>
  <c r="N66" i="58"/>
  <c r="M66" i="58"/>
  <c r="K66" i="58"/>
  <c r="J66" i="58"/>
  <c r="H66" i="58"/>
  <c r="C66" i="58"/>
  <c r="BA65" i="58"/>
  <c r="AR65" i="58"/>
  <c r="AM65" i="58"/>
  <c r="AD65" i="58"/>
  <c r="AC65" i="58"/>
  <c r="W65" i="58"/>
  <c r="V65" i="58"/>
  <c r="U65" i="58"/>
  <c r="T65" i="58"/>
  <c r="O65" i="58"/>
  <c r="P65" i="58" s="1"/>
  <c r="N65" i="58"/>
  <c r="M65" i="58"/>
  <c r="K65" i="58"/>
  <c r="J65" i="58"/>
  <c r="H65" i="58"/>
  <c r="C65" i="58"/>
  <c r="BA64" i="58"/>
  <c r="AR64" i="58"/>
  <c r="AM64" i="58"/>
  <c r="AD64" i="58"/>
  <c r="Z64" i="58"/>
  <c r="W64" i="58"/>
  <c r="O64" i="58"/>
  <c r="N64" i="58"/>
  <c r="J64" i="58"/>
  <c r="H64" i="58"/>
  <c r="BA62" i="58"/>
  <c r="AR62" i="58"/>
  <c r="AM62" i="58"/>
  <c r="AD62" i="58"/>
  <c r="BA61" i="58"/>
  <c r="AR61" i="58"/>
  <c r="AM61" i="58"/>
  <c r="AD61" i="58"/>
  <c r="BA60" i="58"/>
  <c r="AR60" i="58"/>
  <c r="AM60" i="58"/>
  <c r="AD60" i="58"/>
  <c r="Z60" i="58"/>
  <c r="V60" i="58"/>
  <c r="U60" i="58"/>
  <c r="O60" i="58"/>
  <c r="T60" i="58" s="1"/>
  <c r="N60" i="58"/>
  <c r="M60" i="58"/>
  <c r="K60" i="58"/>
  <c r="AC60" i="58" s="1"/>
  <c r="J60" i="58"/>
  <c r="H60" i="58"/>
  <c r="BA58" i="58"/>
  <c r="AT58" i="58"/>
  <c r="AR58" i="58"/>
  <c r="AM58" i="58"/>
  <c r="AD58" i="58"/>
  <c r="BA57" i="58"/>
  <c r="AR57" i="58"/>
  <c r="AM57" i="58"/>
  <c r="AD57" i="58"/>
  <c r="BA56" i="58"/>
  <c r="AR56" i="58"/>
  <c r="AM56" i="58"/>
  <c r="AD56" i="58"/>
  <c r="Z56" i="58"/>
  <c r="W56" i="58"/>
  <c r="T56" i="58"/>
  <c r="S56" i="58"/>
  <c r="Q56" i="58"/>
  <c r="P56" i="58"/>
  <c r="O56" i="58"/>
  <c r="V56" i="58" s="1"/>
  <c r="N56" i="58"/>
  <c r="J56" i="58"/>
  <c r="H56" i="58"/>
  <c r="C56" i="58"/>
  <c r="BA55" i="58"/>
  <c r="AR55" i="58"/>
  <c r="AM55" i="58"/>
  <c r="AD55" i="58"/>
  <c r="W55" i="58"/>
  <c r="V55" i="58"/>
  <c r="U55" i="58"/>
  <c r="O55" i="58"/>
  <c r="T55" i="58" s="1"/>
  <c r="N55" i="58"/>
  <c r="K55" i="58"/>
  <c r="J55" i="58"/>
  <c r="H55" i="58"/>
  <c r="C55" i="58"/>
  <c r="BA53" i="58"/>
  <c r="AR53" i="58"/>
  <c r="AM53" i="58"/>
  <c r="AD53" i="58"/>
  <c r="BA52" i="58"/>
  <c r="AR52" i="58"/>
  <c r="AM52" i="58"/>
  <c r="AD52" i="58"/>
  <c r="BA51" i="58"/>
  <c r="AR51" i="58"/>
  <c r="AM51" i="58"/>
  <c r="AD51" i="58"/>
  <c r="W51" i="58"/>
  <c r="V51" i="58"/>
  <c r="U51" i="58"/>
  <c r="O51" i="58"/>
  <c r="T51" i="58" s="1"/>
  <c r="N51" i="58"/>
  <c r="K51" i="58"/>
  <c r="J51" i="58"/>
  <c r="C51" i="58"/>
  <c r="BA50" i="58"/>
  <c r="AR50" i="58"/>
  <c r="AM50" i="58"/>
  <c r="AD50" i="58"/>
  <c r="Z50" i="58"/>
  <c r="W50" i="58"/>
  <c r="T50" i="58"/>
  <c r="AC50" i="58" s="1"/>
  <c r="P50" i="58"/>
  <c r="O50" i="58"/>
  <c r="V50" i="58" s="1"/>
  <c r="N50" i="58"/>
  <c r="K50" i="58"/>
  <c r="X50" i="58" s="1"/>
  <c r="J50" i="58"/>
  <c r="BA48" i="58"/>
  <c r="AR48" i="58"/>
  <c r="AM48" i="58"/>
  <c r="AD48" i="58"/>
  <c r="BA47" i="58"/>
  <c r="AR47" i="58"/>
  <c r="AM47" i="58"/>
  <c r="AD47" i="58"/>
  <c r="W47" i="58"/>
  <c r="V47" i="58"/>
  <c r="U47" i="58"/>
  <c r="T47" i="58"/>
  <c r="P47" i="58"/>
  <c r="O47" i="58"/>
  <c r="N47" i="58"/>
  <c r="M47" i="58"/>
  <c r="K47" i="58"/>
  <c r="J47" i="58"/>
  <c r="C47" i="58"/>
  <c r="BA46" i="58"/>
  <c r="AR46" i="58"/>
  <c r="AM46" i="58"/>
  <c r="AD46" i="58"/>
  <c r="Z46" i="58"/>
  <c r="W46" i="58"/>
  <c r="P46" i="58"/>
  <c r="O46" i="58"/>
  <c r="V46" i="58" s="1"/>
  <c r="N46" i="58"/>
  <c r="M46" i="58"/>
  <c r="J46" i="58"/>
  <c r="Z44" i="58"/>
  <c r="W44" i="58"/>
  <c r="W43" i="58"/>
  <c r="V43" i="58"/>
  <c r="U43" i="58"/>
  <c r="O43" i="58"/>
  <c r="T43" i="58" s="1"/>
  <c r="N43" i="58"/>
  <c r="K43" i="58"/>
  <c r="AC43" i="58" s="1"/>
  <c r="J43" i="58"/>
  <c r="C43" i="58"/>
  <c r="BA42" i="58"/>
  <c r="AR42" i="58"/>
  <c r="AM42" i="58"/>
  <c r="AD42" i="58"/>
  <c r="AC42" i="58"/>
  <c r="W42" i="58"/>
  <c r="V42" i="58"/>
  <c r="U42" i="58"/>
  <c r="T42" i="58"/>
  <c r="Q42" i="58"/>
  <c r="O42" i="58"/>
  <c r="P42" i="58" s="1"/>
  <c r="N42" i="58"/>
  <c r="M42" i="58"/>
  <c r="K42" i="58"/>
  <c r="J42" i="58"/>
  <c r="C42" i="58"/>
  <c r="BA41" i="58"/>
  <c r="AR41" i="58"/>
  <c r="AM41" i="58"/>
  <c r="AD41" i="58"/>
  <c r="W41" i="58"/>
  <c r="V41" i="58"/>
  <c r="Q41" i="58"/>
  <c r="O41" i="58"/>
  <c r="T41" i="58" s="1"/>
  <c r="N41" i="58"/>
  <c r="M41" i="58"/>
  <c r="K41" i="58"/>
  <c r="AC41" i="58" s="1"/>
  <c r="J41" i="58"/>
  <c r="BA40" i="58"/>
  <c r="AR40" i="58"/>
  <c r="AM40" i="58"/>
  <c r="AD40" i="58"/>
  <c r="W40" i="58"/>
  <c r="U40" i="58"/>
  <c r="T40" i="58"/>
  <c r="Q40" i="58"/>
  <c r="P40" i="58"/>
  <c r="O40" i="58"/>
  <c r="V40" i="58" s="1"/>
  <c r="N40" i="58"/>
  <c r="M40" i="58"/>
  <c r="J40" i="58"/>
  <c r="C40" i="58"/>
  <c r="BA38" i="58"/>
  <c r="AR38" i="58"/>
  <c r="AM38" i="58"/>
  <c r="AD38" i="58"/>
  <c r="BA37" i="58"/>
  <c r="AR37" i="58"/>
  <c r="AM37" i="58"/>
  <c r="AD37" i="58"/>
  <c r="BA36" i="58"/>
  <c r="AR36" i="58"/>
  <c r="AM36" i="58"/>
  <c r="AD36" i="58"/>
  <c r="W36" i="58"/>
  <c r="V36" i="58"/>
  <c r="U36" i="58"/>
  <c r="T36" i="58"/>
  <c r="P36" i="58"/>
  <c r="O36" i="58"/>
  <c r="K36" i="58" s="1"/>
  <c r="AC36" i="58" s="1"/>
  <c r="N36" i="58"/>
  <c r="M36" i="58"/>
  <c r="J36" i="58"/>
  <c r="C36" i="58"/>
  <c r="BA35" i="58"/>
  <c r="AR35" i="58"/>
  <c r="AM35" i="58"/>
  <c r="AD35" i="58"/>
  <c r="Z35" i="58"/>
  <c r="W35" i="58"/>
  <c r="X35" i="58" s="1"/>
  <c r="O35" i="58"/>
  <c r="U35" i="58" s="1"/>
  <c r="N35" i="58"/>
  <c r="M35" i="58"/>
  <c r="K35" i="58"/>
  <c r="J35" i="58"/>
  <c r="BA33" i="58"/>
  <c r="AR33" i="58"/>
  <c r="AM33" i="58"/>
  <c r="AD33" i="58"/>
  <c r="BA32" i="58"/>
  <c r="AR32" i="58"/>
  <c r="AM32" i="58"/>
  <c r="AD32" i="58"/>
  <c r="Z32" i="58"/>
  <c r="W32" i="58"/>
  <c r="BA31" i="58"/>
  <c r="AR31" i="58"/>
  <c r="AM31" i="58"/>
  <c r="AD31" i="58"/>
  <c r="Z31" i="58"/>
  <c r="W31" i="58"/>
  <c r="V31" i="58"/>
  <c r="U31" i="58"/>
  <c r="AA31" i="58" s="1"/>
  <c r="T31" i="58"/>
  <c r="O31" i="58"/>
  <c r="P31" i="58" s="1"/>
  <c r="N31" i="58"/>
  <c r="M31" i="58"/>
  <c r="K31" i="58"/>
  <c r="X31" i="58" s="1"/>
  <c r="J31" i="58"/>
  <c r="C31" i="58"/>
  <c r="BA29" i="58"/>
  <c r="AR29" i="58"/>
  <c r="AM29" i="58"/>
  <c r="AD29" i="58"/>
  <c r="BA28" i="58"/>
  <c r="AR28" i="58"/>
  <c r="AM28" i="58"/>
  <c r="AD28" i="58"/>
  <c r="BA27" i="58"/>
  <c r="AR27" i="58"/>
  <c r="AM27" i="58"/>
  <c r="AD27" i="58"/>
  <c r="W27" i="58"/>
  <c r="V27" i="58"/>
  <c r="U27" i="58"/>
  <c r="T27" i="58"/>
  <c r="O27" i="58"/>
  <c r="P27" i="58" s="1"/>
  <c r="N27" i="58"/>
  <c r="M27" i="58"/>
  <c r="K27" i="58"/>
  <c r="AC27" i="58" s="1"/>
  <c r="J27" i="58"/>
  <c r="C27" i="58"/>
  <c r="BA26" i="58"/>
  <c r="AR26" i="58"/>
  <c r="AM26" i="58"/>
  <c r="AD26" i="58"/>
  <c r="Z26" i="58"/>
  <c r="W26" i="58"/>
  <c r="T26" i="58"/>
  <c r="P26" i="58"/>
  <c r="O26" i="58"/>
  <c r="K26" i="58" s="1"/>
  <c r="AC26" i="58" s="1"/>
  <c r="N26" i="58"/>
  <c r="M26" i="58"/>
  <c r="J26" i="58"/>
  <c r="BA24" i="58"/>
  <c r="AR24" i="58"/>
  <c r="AM24" i="58"/>
  <c r="AD24" i="58"/>
  <c r="BA23" i="58"/>
  <c r="AR23" i="58"/>
  <c r="AM23" i="58"/>
  <c r="AD23" i="58"/>
  <c r="BA22" i="58"/>
  <c r="AR22" i="58"/>
  <c r="AM22" i="58"/>
  <c r="AD22" i="58"/>
  <c r="Z22" i="58"/>
  <c r="W22" i="58"/>
  <c r="X22" i="58" s="1"/>
  <c r="V22" i="58"/>
  <c r="U22" i="58"/>
  <c r="AA22" i="58" s="1"/>
  <c r="AB22" i="58" s="1"/>
  <c r="T22" i="58"/>
  <c r="O22" i="58"/>
  <c r="P22" i="58" s="1"/>
  <c r="N22" i="58"/>
  <c r="K22" i="58"/>
  <c r="AC22" i="58" s="1"/>
  <c r="J22" i="58"/>
  <c r="C22" i="58"/>
  <c r="BA20" i="58"/>
  <c r="AR20" i="58"/>
  <c r="AM20" i="58"/>
  <c r="AD20" i="58"/>
  <c r="BA19" i="58"/>
  <c r="AR19" i="58"/>
  <c r="AM19" i="58"/>
  <c r="AD19" i="58"/>
  <c r="BA18" i="58"/>
  <c r="AR18" i="58"/>
  <c r="AM18" i="58"/>
  <c r="AD18" i="58"/>
  <c r="BA17" i="58"/>
  <c r="AR17" i="58"/>
  <c r="AM17" i="58"/>
  <c r="AD17" i="58"/>
  <c r="BA16" i="58"/>
  <c r="AR16" i="58"/>
  <c r="AM16" i="58"/>
  <c r="AD16" i="58"/>
  <c r="Z16" i="58"/>
  <c r="R16" i="58"/>
  <c r="P16" i="58"/>
  <c r="O16" i="58"/>
  <c r="V16" i="58" s="1"/>
  <c r="N16" i="58"/>
  <c r="J16" i="58"/>
  <c r="BA14" i="58"/>
  <c r="AR14" i="58"/>
  <c r="AM14" i="58"/>
  <c r="AD14" i="58"/>
  <c r="BA13" i="58"/>
  <c r="AR13" i="58"/>
  <c r="AM13" i="58"/>
  <c r="AD13" i="58"/>
  <c r="BA12" i="58"/>
  <c r="AR12" i="58"/>
  <c r="AM12" i="58"/>
  <c r="AD12" i="58"/>
  <c r="Z12" i="58"/>
  <c r="W12" i="58"/>
  <c r="BA11" i="58"/>
  <c r="AR11" i="58"/>
  <c r="AM11" i="58"/>
  <c r="AD11" i="58"/>
  <c r="Z11" i="58"/>
  <c r="W11" i="58"/>
  <c r="O11" i="58"/>
  <c r="N11" i="58"/>
  <c r="M11" i="58"/>
  <c r="J11" i="58"/>
  <c r="BA9" i="58"/>
  <c r="AR9" i="58"/>
  <c r="AM9" i="58"/>
  <c r="AD9" i="58"/>
  <c r="BA8" i="58"/>
  <c r="AR8" i="58"/>
  <c r="AM8" i="58"/>
  <c r="AD8" i="58"/>
  <c r="W8" i="58"/>
  <c r="V8" i="58"/>
  <c r="U8" i="58"/>
  <c r="P8" i="58"/>
  <c r="O8" i="58"/>
  <c r="T8" i="58" s="1"/>
  <c r="AC8" i="58" s="1"/>
  <c r="N8" i="58"/>
  <c r="M8" i="58"/>
  <c r="K8" i="58"/>
  <c r="J8" i="58"/>
  <c r="C8" i="58"/>
  <c r="BA7" i="58"/>
  <c r="AR7" i="58"/>
  <c r="AM7" i="58"/>
  <c r="AD7" i="58"/>
  <c r="Z7" i="58"/>
  <c r="W7" i="58"/>
  <c r="O7" i="58"/>
  <c r="U7" i="58" s="1"/>
  <c r="N7" i="58"/>
  <c r="M7" i="58"/>
  <c r="K7" i="58"/>
  <c r="J7" i="58"/>
  <c r="BA6" i="58"/>
  <c r="AR6" i="58"/>
  <c r="AM6" i="58"/>
  <c r="AD6" i="58"/>
  <c r="Z6" i="58"/>
  <c r="W6" i="58"/>
  <c r="V6" i="58"/>
  <c r="U6" i="58"/>
  <c r="T6" i="58"/>
  <c r="P6" i="58"/>
  <c r="O6" i="58"/>
  <c r="K6" i="58" s="1"/>
  <c r="AC6" i="58" s="1"/>
  <c r="N6" i="58"/>
  <c r="M6" i="58"/>
  <c r="J6" i="58"/>
  <c r="C6" i="58"/>
  <c r="A6" i="58"/>
  <c r="BF155" i="46"/>
  <c r="BE155" i="46"/>
  <c r="BD155" i="46"/>
  <c r="BC155" i="46"/>
  <c r="BB155" i="46"/>
  <c r="S155" i="46"/>
  <c r="R155" i="46"/>
  <c r="S154" i="46"/>
  <c r="R154" i="46"/>
  <c r="Q154" i="46"/>
  <c r="BF153" i="46"/>
  <c r="BE153" i="46"/>
  <c r="BD153" i="46"/>
  <c r="BC153" i="46"/>
  <c r="BB153" i="46"/>
  <c r="BA153" i="46"/>
  <c r="AZ153" i="46"/>
  <c r="AY153" i="46"/>
  <c r="AX153" i="46"/>
  <c r="AW153" i="46"/>
  <c r="AV153" i="46"/>
  <c r="AU153" i="46"/>
  <c r="AT153" i="46"/>
  <c r="AS153" i="46"/>
  <c r="AR153" i="46"/>
  <c r="AQ153" i="46"/>
  <c r="AP153" i="46"/>
  <c r="AO153" i="46"/>
  <c r="AN153" i="46"/>
  <c r="AM153" i="46"/>
  <c r="AL153" i="46"/>
  <c r="AK153" i="46"/>
  <c r="AJ153" i="46"/>
  <c r="AI153" i="46"/>
  <c r="AH153" i="46"/>
  <c r="AG153" i="46"/>
  <c r="AF153" i="46"/>
  <c r="AD153" i="46"/>
  <c r="S153" i="46"/>
  <c r="R153" i="46"/>
  <c r="Q153" i="46"/>
  <c r="AC152" i="46"/>
  <c r="AA152" i="46"/>
  <c r="AC151" i="46"/>
  <c r="AA151" i="46"/>
  <c r="BA146" i="46"/>
  <c r="AR146" i="46"/>
  <c r="AM146" i="46"/>
  <c r="AD146" i="46"/>
  <c r="BA145" i="46"/>
  <c r="AR145" i="46"/>
  <c r="AM145" i="46"/>
  <c r="AD145" i="46"/>
  <c r="BA144" i="46"/>
  <c r="AR144" i="46"/>
  <c r="AM144" i="46"/>
  <c r="AD144" i="46"/>
  <c r="Z144" i="46"/>
  <c r="W144" i="46"/>
  <c r="O144" i="46"/>
  <c r="N144" i="46"/>
  <c r="J144" i="46"/>
  <c r="BA143" i="46"/>
  <c r="AR143" i="46"/>
  <c r="AM143" i="46"/>
  <c r="AD143" i="46"/>
  <c r="Y143" i="46"/>
  <c r="Y153" i="46" s="1"/>
  <c r="W143" i="46"/>
  <c r="V143" i="46"/>
  <c r="U143" i="46"/>
  <c r="T143" i="46"/>
  <c r="P143" i="46"/>
  <c r="O143" i="46"/>
  <c r="N143" i="46"/>
  <c r="K143" i="46"/>
  <c r="AC143" i="46" s="1"/>
  <c r="J143" i="46"/>
  <c r="C143" i="46"/>
  <c r="BA141" i="46"/>
  <c r="AR141" i="46"/>
  <c r="AM141" i="46"/>
  <c r="AD141" i="46"/>
  <c r="BA140" i="46"/>
  <c r="AR140" i="46"/>
  <c r="AM140" i="46"/>
  <c r="AD140" i="46"/>
  <c r="BA139" i="46"/>
  <c r="AR139" i="46"/>
  <c r="AM139" i="46"/>
  <c r="AD139" i="46"/>
  <c r="Z139" i="46"/>
  <c r="X139" i="46"/>
  <c r="W139" i="46"/>
  <c r="O139" i="46"/>
  <c r="V139" i="46" s="1"/>
  <c r="N139" i="46"/>
  <c r="K139" i="46"/>
  <c r="J139" i="46"/>
  <c r="BA137" i="46"/>
  <c r="AR137" i="46"/>
  <c r="AM137" i="46"/>
  <c r="AD137" i="46"/>
  <c r="BA136" i="46"/>
  <c r="AR136" i="46"/>
  <c r="AM136" i="46"/>
  <c r="AD136" i="46"/>
  <c r="BA135" i="46"/>
  <c r="AR135" i="46"/>
  <c r="AM135" i="46"/>
  <c r="AD135" i="46"/>
  <c r="Z135" i="46"/>
  <c r="W135" i="46"/>
  <c r="P135" i="46"/>
  <c r="O135" i="46"/>
  <c r="V135" i="46" s="1"/>
  <c r="N135" i="46"/>
  <c r="K135" i="46"/>
  <c r="J135" i="46"/>
  <c r="BA134" i="46"/>
  <c r="AR134" i="46"/>
  <c r="AM134" i="46"/>
  <c r="AD134" i="46"/>
  <c r="Z134" i="46"/>
  <c r="W134" i="46"/>
  <c r="X134" i="46" s="1"/>
  <c r="V134" i="46"/>
  <c r="U134" i="46"/>
  <c r="T134" i="46"/>
  <c r="P134" i="46"/>
  <c r="O134" i="46"/>
  <c r="K134" i="46" s="1"/>
  <c r="AC134" i="46" s="1"/>
  <c r="N134" i="46"/>
  <c r="J134" i="46"/>
  <c r="C134" i="46"/>
  <c r="BA132" i="46"/>
  <c r="AR132" i="46"/>
  <c r="AM132" i="46"/>
  <c r="AD132" i="46"/>
  <c r="BA131" i="46"/>
  <c r="AR131" i="46"/>
  <c r="AM131" i="46"/>
  <c r="AD131" i="46"/>
  <c r="BA130" i="46"/>
  <c r="AR130" i="46"/>
  <c r="AM130" i="46"/>
  <c r="AD130" i="46"/>
  <c r="Z130" i="46"/>
  <c r="W130" i="46"/>
  <c r="X130" i="46" s="1"/>
  <c r="V130" i="46"/>
  <c r="U130" i="46"/>
  <c r="AA130" i="46" s="1"/>
  <c r="O130" i="46"/>
  <c r="T130" i="46" s="1"/>
  <c r="N130" i="46"/>
  <c r="K130" i="46"/>
  <c r="J130" i="46"/>
  <c r="C130" i="46"/>
  <c r="BA128" i="46"/>
  <c r="AR128" i="46"/>
  <c r="AM128" i="46"/>
  <c r="AD128" i="46"/>
  <c r="BA127" i="46"/>
  <c r="AR127" i="46"/>
  <c r="AM127" i="46"/>
  <c r="AD127" i="46"/>
  <c r="W127" i="46"/>
  <c r="BA126" i="46"/>
  <c r="AR126" i="46"/>
  <c r="AM126" i="46"/>
  <c r="AD126" i="46"/>
  <c r="Z126" i="46"/>
  <c r="W126" i="46"/>
  <c r="O126" i="46"/>
  <c r="N126" i="46"/>
  <c r="J126" i="46"/>
  <c r="BA124" i="46"/>
  <c r="AR124" i="46"/>
  <c r="AM124" i="46"/>
  <c r="AD124" i="46"/>
  <c r="BA123" i="46"/>
  <c r="AR123" i="46"/>
  <c r="AM123" i="46"/>
  <c r="AD123" i="46"/>
  <c r="W123" i="46"/>
  <c r="BA122" i="46"/>
  <c r="AR122" i="46"/>
  <c r="AM122" i="46"/>
  <c r="AD122" i="46"/>
  <c r="W122" i="46"/>
  <c r="O122" i="46"/>
  <c r="N122" i="46"/>
  <c r="M122" i="46"/>
  <c r="J122" i="46"/>
  <c r="BA121" i="46"/>
  <c r="AR121" i="46"/>
  <c r="AM121" i="46"/>
  <c r="AD121" i="46"/>
  <c r="Z121" i="46"/>
  <c r="W121" i="46"/>
  <c r="V121" i="46"/>
  <c r="U121" i="46"/>
  <c r="O121" i="46"/>
  <c r="T121" i="46" s="1"/>
  <c r="N121" i="46"/>
  <c r="K121" i="46"/>
  <c r="AC121" i="46" s="1"/>
  <c r="J121" i="46"/>
  <c r="C121" i="46"/>
  <c r="BA119" i="46"/>
  <c r="AR119" i="46"/>
  <c r="AM119" i="46"/>
  <c r="AD119" i="46"/>
  <c r="BA118" i="46"/>
  <c r="AR118" i="46"/>
  <c r="AM118" i="46"/>
  <c r="AD118" i="46"/>
  <c r="BA117" i="46"/>
  <c r="AR117" i="46"/>
  <c r="AM117" i="46"/>
  <c r="AD117" i="46"/>
  <c r="W117" i="46"/>
  <c r="O117" i="46"/>
  <c r="V117" i="46" s="1"/>
  <c r="N117" i="46"/>
  <c r="K117" i="46"/>
  <c r="J117" i="46"/>
  <c r="BA115" i="46"/>
  <c r="AR115" i="46"/>
  <c r="AM115" i="46"/>
  <c r="AD115" i="46"/>
  <c r="BA114" i="46"/>
  <c r="AR114" i="46"/>
  <c r="AM114" i="46"/>
  <c r="AD114" i="46"/>
  <c r="BA113" i="46"/>
  <c r="AR113" i="46"/>
  <c r="AM113" i="46"/>
  <c r="AD113" i="46"/>
  <c r="Z113" i="46"/>
  <c r="W113" i="46"/>
  <c r="X113" i="46" s="1"/>
  <c r="V113" i="46"/>
  <c r="U113" i="46"/>
  <c r="AA113" i="46" s="1"/>
  <c r="AB113" i="46" s="1"/>
  <c r="T113" i="46"/>
  <c r="P113" i="46"/>
  <c r="O113" i="46"/>
  <c r="K113" i="46" s="1"/>
  <c r="AC113" i="46" s="1"/>
  <c r="N113" i="46"/>
  <c r="J113" i="46"/>
  <c r="C113" i="46"/>
  <c r="BA111" i="46"/>
  <c r="AR111" i="46"/>
  <c r="AM111" i="46"/>
  <c r="AD111" i="46"/>
  <c r="BA110" i="46"/>
  <c r="AR110" i="46"/>
  <c r="AM110" i="46"/>
  <c r="AD110" i="46"/>
  <c r="Z110" i="46"/>
  <c r="W110" i="46"/>
  <c r="V110" i="46"/>
  <c r="S110" i="46"/>
  <c r="O110" i="46"/>
  <c r="T110" i="46" s="1"/>
  <c r="N110" i="46"/>
  <c r="J110" i="46"/>
  <c r="BA109" i="46"/>
  <c r="AR109" i="46"/>
  <c r="AM109" i="46"/>
  <c r="AD109" i="46"/>
  <c r="W109" i="46"/>
  <c r="T109" i="46"/>
  <c r="P109" i="46"/>
  <c r="O109" i="46"/>
  <c r="V109" i="46" s="1"/>
  <c r="N109" i="46"/>
  <c r="J109" i="46"/>
  <c r="BA107" i="46"/>
  <c r="AR107" i="46"/>
  <c r="AM107" i="46"/>
  <c r="AD107" i="46"/>
  <c r="BA106" i="46"/>
  <c r="AR106" i="46"/>
  <c r="AM106" i="46"/>
  <c r="AD106" i="46"/>
  <c r="Z106" i="46"/>
  <c r="W106" i="46"/>
  <c r="BA105" i="46"/>
  <c r="AR105" i="46"/>
  <c r="AM105" i="46"/>
  <c r="AD105" i="46"/>
  <c r="Z105" i="46"/>
  <c r="W105" i="46"/>
  <c r="V105" i="46"/>
  <c r="U105" i="46"/>
  <c r="AA105" i="46" s="1"/>
  <c r="O105" i="46"/>
  <c r="T105" i="46" s="1"/>
  <c r="N105" i="46"/>
  <c r="K105" i="46"/>
  <c r="J105" i="46"/>
  <c r="C105" i="46"/>
  <c r="BA103" i="46"/>
  <c r="AR103" i="46"/>
  <c r="AM103" i="46"/>
  <c r="AD103" i="46"/>
  <c r="BA102" i="46"/>
  <c r="AR102" i="46"/>
  <c r="AM102" i="46"/>
  <c r="AD102" i="46"/>
  <c r="W102" i="46"/>
  <c r="T102" i="46"/>
  <c r="P102" i="46"/>
  <c r="O102" i="46"/>
  <c r="V102" i="46" s="1"/>
  <c r="N102" i="46"/>
  <c r="J102" i="46"/>
  <c r="BA101" i="46"/>
  <c r="AR101" i="46"/>
  <c r="AM101" i="46"/>
  <c r="AD101" i="46"/>
  <c r="Z101" i="46"/>
  <c r="W101" i="46"/>
  <c r="V101" i="46"/>
  <c r="U101" i="46"/>
  <c r="T101" i="46"/>
  <c r="AC101" i="46" s="1"/>
  <c r="P101" i="46"/>
  <c r="O101" i="46"/>
  <c r="N101" i="46"/>
  <c r="K101" i="46"/>
  <c r="J101" i="46"/>
  <c r="C101" i="46"/>
  <c r="BA99" i="46"/>
  <c r="AR99" i="46"/>
  <c r="AM99" i="46"/>
  <c r="AD99" i="46"/>
  <c r="BA98" i="46"/>
  <c r="AR98" i="46"/>
  <c r="AM98" i="46"/>
  <c r="AD98" i="46"/>
  <c r="W98" i="46"/>
  <c r="O98" i="46"/>
  <c r="U98" i="46" s="1"/>
  <c r="N98" i="46"/>
  <c r="J98" i="46"/>
  <c r="BA97" i="46"/>
  <c r="AR97" i="46"/>
  <c r="AM97" i="46"/>
  <c r="AD97" i="46"/>
  <c r="Z97" i="46"/>
  <c r="W97" i="46"/>
  <c r="O97" i="46"/>
  <c r="N97" i="46"/>
  <c r="M97" i="46"/>
  <c r="J97" i="46"/>
  <c r="Z95" i="46"/>
  <c r="W95" i="46"/>
  <c r="BA94" i="46"/>
  <c r="AR94" i="46"/>
  <c r="AM94" i="46"/>
  <c r="AD94" i="46"/>
  <c r="Z94" i="46"/>
  <c r="W94" i="46"/>
  <c r="V94" i="46"/>
  <c r="U94" i="46"/>
  <c r="T94" i="46"/>
  <c r="O94" i="46"/>
  <c r="P94" i="46" s="1"/>
  <c r="N94" i="46"/>
  <c r="M94" i="46"/>
  <c r="K94" i="46"/>
  <c r="AC94" i="46" s="1"/>
  <c r="J94" i="46"/>
  <c r="C94" i="46"/>
  <c r="BA93" i="46"/>
  <c r="AR93" i="46"/>
  <c r="AM93" i="46"/>
  <c r="AD93" i="46"/>
  <c r="Z93" i="46"/>
  <c r="W93" i="46"/>
  <c r="V93" i="46"/>
  <c r="U93" i="46"/>
  <c r="O93" i="46"/>
  <c r="T93" i="46" s="1"/>
  <c r="N93" i="46"/>
  <c r="K93" i="46"/>
  <c r="AC93" i="46" s="1"/>
  <c r="J93" i="46"/>
  <c r="C93" i="46"/>
  <c r="BA92" i="46"/>
  <c r="AR92" i="46"/>
  <c r="AM92" i="46"/>
  <c r="AD92" i="46"/>
  <c r="Z92" i="46"/>
  <c r="W92" i="46"/>
  <c r="T92" i="46"/>
  <c r="P92" i="46"/>
  <c r="O92" i="46"/>
  <c r="K92" i="46" s="1"/>
  <c r="AC92" i="46" s="1"/>
  <c r="N92" i="46"/>
  <c r="M92" i="46"/>
  <c r="J92" i="46"/>
  <c r="BA90" i="46"/>
  <c r="AR90" i="46"/>
  <c r="AM90" i="46"/>
  <c r="AD90" i="46"/>
  <c r="BA89" i="46"/>
  <c r="AR89" i="46"/>
  <c r="AM89" i="46"/>
  <c r="AD89" i="46"/>
  <c r="W89" i="46"/>
  <c r="V89" i="46"/>
  <c r="U89" i="46"/>
  <c r="T89" i="46"/>
  <c r="P89" i="46"/>
  <c r="O89" i="46"/>
  <c r="N89" i="46"/>
  <c r="M89" i="46"/>
  <c r="K89" i="46"/>
  <c r="AC89" i="46" s="1"/>
  <c r="J89" i="46"/>
  <c r="C89" i="46"/>
  <c r="BA88" i="46"/>
  <c r="AR88" i="46"/>
  <c r="AM88" i="46"/>
  <c r="AD88" i="46"/>
  <c r="Z88" i="46"/>
  <c r="W88" i="46"/>
  <c r="T88" i="46"/>
  <c r="P88" i="46"/>
  <c r="O88" i="46"/>
  <c r="V88" i="46" s="1"/>
  <c r="N88" i="46"/>
  <c r="J88" i="46"/>
  <c r="H88" i="46"/>
  <c r="BA86" i="46"/>
  <c r="AR86" i="46"/>
  <c r="AM86" i="46"/>
  <c r="AD86" i="46"/>
  <c r="AC86" i="46"/>
  <c r="Z86" i="46"/>
  <c r="W86" i="46"/>
  <c r="BA85" i="46"/>
  <c r="AR85" i="46"/>
  <c r="AM85" i="46"/>
  <c r="AD85" i="46"/>
  <c r="AC85" i="46"/>
  <c r="Z85" i="46"/>
  <c r="W85" i="46"/>
  <c r="BA84" i="46"/>
  <c r="AR84" i="46"/>
  <c r="AM84" i="46"/>
  <c r="AD84" i="46"/>
  <c r="AB84" i="46"/>
  <c r="Z84" i="46"/>
  <c r="W84" i="46"/>
  <c r="V84" i="46"/>
  <c r="U84" i="46"/>
  <c r="AA84" i="46" s="1"/>
  <c r="T84" i="46"/>
  <c r="P84" i="46"/>
  <c r="O84" i="46"/>
  <c r="K84" i="46" s="1"/>
  <c r="AC84" i="46" s="1"/>
  <c r="N84" i="46"/>
  <c r="J84" i="46"/>
  <c r="H84" i="46"/>
  <c r="C84" i="46"/>
  <c r="BA82" i="46"/>
  <c r="AR82" i="46"/>
  <c r="AM82" i="46"/>
  <c r="AD82" i="46"/>
  <c r="BA81" i="46"/>
  <c r="AR81" i="46"/>
  <c r="AM81" i="46"/>
  <c r="AD81" i="46"/>
  <c r="BA80" i="46"/>
  <c r="AR80" i="46"/>
  <c r="AM80" i="46"/>
  <c r="AD80" i="46"/>
  <c r="W80" i="46"/>
  <c r="V80" i="46"/>
  <c r="U80" i="46"/>
  <c r="T80" i="46"/>
  <c r="P80" i="46"/>
  <c r="O80" i="46"/>
  <c r="K80" i="46" s="1"/>
  <c r="AC80" i="46" s="1"/>
  <c r="N80" i="46"/>
  <c r="J80" i="46"/>
  <c r="H80" i="46"/>
  <c r="C80" i="46"/>
  <c r="BA79" i="46"/>
  <c r="AR79" i="46"/>
  <c r="AM79" i="46"/>
  <c r="AD79" i="46"/>
  <c r="Z79" i="46"/>
  <c r="W79" i="46"/>
  <c r="O79" i="46"/>
  <c r="U79" i="46" s="1"/>
  <c r="AA79" i="46" s="1"/>
  <c r="N79" i="46"/>
  <c r="J79" i="46"/>
  <c r="H79" i="46"/>
  <c r="BA77" i="46"/>
  <c r="AR77" i="46"/>
  <c r="AM77" i="46"/>
  <c r="AD77" i="46"/>
  <c r="BA76" i="46"/>
  <c r="AR76" i="46"/>
  <c r="AM76" i="46"/>
  <c r="AD76" i="46"/>
  <c r="Z76" i="46"/>
  <c r="W76" i="46"/>
  <c r="BA75" i="46"/>
  <c r="AR75" i="46"/>
  <c r="AM75" i="46"/>
  <c r="AD75" i="46"/>
  <c r="W75" i="46"/>
  <c r="V75" i="46"/>
  <c r="U75" i="46"/>
  <c r="AA75" i="46" s="1"/>
  <c r="AB75" i="46" s="1"/>
  <c r="T75" i="46"/>
  <c r="P75" i="46"/>
  <c r="O75" i="46"/>
  <c r="K75" i="46" s="1"/>
  <c r="AC75" i="46" s="1"/>
  <c r="N75" i="46"/>
  <c r="J75" i="46"/>
  <c r="H75" i="46"/>
  <c r="C75" i="46"/>
  <c r="BA73" i="46"/>
  <c r="AR73" i="46"/>
  <c r="AM73" i="46"/>
  <c r="AD73" i="46"/>
  <c r="BA72" i="46"/>
  <c r="AR72" i="46"/>
  <c r="AM72" i="46"/>
  <c r="AD72" i="46"/>
  <c r="BA71" i="46"/>
  <c r="AR71" i="46"/>
  <c r="AM71" i="46"/>
  <c r="AD71" i="46"/>
  <c r="Z71" i="46"/>
  <c r="W71" i="46"/>
  <c r="BA70" i="46"/>
  <c r="AR70" i="46"/>
  <c r="AM70" i="46"/>
  <c r="AD70" i="46"/>
  <c r="W70" i="46"/>
  <c r="O70" i="46"/>
  <c r="N70" i="46"/>
  <c r="J70" i="46"/>
  <c r="H70" i="46"/>
  <c r="BA69" i="46"/>
  <c r="AR69" i="46"/>
  <c r="AM69" i="46"/>
  <c r="AD69" i="46"/>
  <c r="Z69" i="46"/>
  <c r="W69" i="46"/>
  <c r="V69" i="46"/>
  <c r="O69" i="46"/>
  <c r="T69" i="46" s="1"/>
  <c r="N69" i="46"/>
  <c r="M69" i="46"/>
  <c r="K69" i="46"/>
  <c r="AC69" i="46" s="1"/>
  <c r="J69" i="46"/>
  <c r="H69" i="46"/>
  <c r="C69" i="46"/>
  <c r="BA67" i="46"/>
  <c r="AR67" i="46"/>
  <c r="AM67" i="46"/>
  <c r="AD67" i="46"/>
  <c r="BA66" i="46"/>
  <c r="AR66" i="46"/>
  <c r="AM66" i="46"/>
  <c r="AD66" i="46"/>
  <c r="W66" i="46"/>
  <c r="V66" i="46"/>
  <c r="U66" i="46"/>
  <c r="T66" i="46"/>
  <c r="P66" i="46"/>
  <c r="O66" i="46"/>
  <c r="N66" i="46"/>
  <c r="M66" i="46"/>
  <c r="K66" i="46"/>
  <c r="AC66" i="46" s="1"/>
  <c r="J66" i="46"/>
  <c r="H66" i="46"/>
  <c r="C66" i="46"/>
  <c r="BA65" i="46"/>
  <c r="AR65" i="46"/>
  <c r="AM65" i="46"/>
  <c r="AD65" i="46"/>
  <c r="W65" i="46"/>
  <c r="V65" i="46"/>
  <c r="U65" i="46"/>
  <c r="T65" i="46"/>
  <c r="O65" i="46"/>
  <c r="P65" i="46" s="1"/>
  <c r="N65" i="46"/>
  <c r="M65" i="46"/>
  <c r="K65" i="46"/>
  <c r="AC65" i="46" s="1"/>
  <c r="J65" i="46"/>
  <c r="H65" i="46"/>
  <c r="C65" i="46"/>
  <c r="BA64" i="46"/>
  <c r="AR64" i="46"/>
  <c r="AM64" i="46"/>
  <c r="AD64" i="46"/>
  <c r="Z64" i="46"/>
  <c r="W64" i="46"/>
  <c r="P64" i="46"/>
  <c r="O64" i="46"/>
  <c r="V64" i="46" s="1"/>
  <c r="N64" i="46"/>
  <c r="J64" i="46"/>
  <c r="H64" i="46"/>
  <c r="BA62" i="46"/>
  <c r="AR62" i="46"/>
  <c r="AM62" i="46"/>
  <c r="AD62" i="46"/>
  <c r="BA61" i="46"/>
  <c r="AR61" i="46"/>
  <c r="AM61" i="46"/>
  <c r="AD61" i="46"/>
  <c r="BA60" i="46"/>
  <c r="AR60" i="46"/>
  <c r="AM60" i="46"/>
  <c r="AD60" i="46"/>
  <c r="Z60" i="46"/>
  <c r="V60" i="46"/>
  <c r="U60" i="46"/>
  <c r="T60" i="46"/>
  <c r="P60" i="46"/>
  <c r="O60" i="46"/>
  <c r="N60" i="46"/>
  <c r="M60" i="46"/>
  <c r="K60" i="46"/>
  <c r="AC60" i="46" s="1"/>
  <c r="J60" i="46"/>
  <c r="H60" i="46"/>
  <c r="C60" i="46"/>
  <c r="BA58" i="46"/>
  <c r="AR58" i="46"/>
  <c r="AM58" i="46"/>
  <c r="AD58" i="46"/>
  <c r="BA57" i="46"/>
  <c r="AR57" i="46"/>
  <c r="AM57" i="46"/>
  <c r="AD57" i="46"/>
  <c r="BA56" i="46"/>
  <c r="AR56" i="46"/>
  <c r="AM56" i="46"/>
  <c r="AD56" i="46"/>
  <c r="Z56" i="46"/>
  <c r="W56" i="46"/>
  <c r="O56" i="46"/>
  <c r="U56" i="46" s="1"/>
  <c r="N56" i="46"/>
  <c r="K56" i="46"/>
  <c r="J56" i="46"/>
  <c r="H56" i="46"/>
  <c r="BA55" i="46"/>
  <c r="AR55" i="46"/>
  <c r="AM55" i="46"/>
  <c r="AD55" i="46"/>
  <c r="W55" i="46"/>
  <c r="P55" i="46"/>
  <c r="O55" i="46"/>
  <c r="N55" i="46"/>
  <c r="J55" i="46"/>
  <c r="H55" i="46"/>
  <c r="BA53" i="46"/>
  <c r="AR53" i="46"/>
  <c r="AM53" i="46"/>
  <c r="AD53" i="46"/>
  <c r="BA52" i="46"/>
  <c r="AR52" i="46"/>
  <c r="AM52" i="46"/>
  <c r="AD52" i="46"/>
  <c r="BA51" i="46"/>
  <c r="AR51" i="46"/>
  <c r="AM51" i="46"/>
  <c r="AD51" i="46"/>
  <c r="W51" i="46"/>
  <c r="T51" i="46"/>
  <c r="O51" i="46"/>
  <c r="P51" i="46" s="1"/>
  <c r="N51" i="46"/>
  <c r="J51" i="46"/>
  <c r="BA50" i="46"/>
  <c r="AR50" i="46"/>
  <c r="AM50" i="46"/>
  <c r="AD50" i="46"/>
  <c r="Z50" i="46"/>
  <c r="W50" i="46"/>
  <c r="V50" i="46"/>
  <c r="U50" i="46"/>
  <c r="T50" i="46"/>
  <c r="P50" i="46"/>
  <c r="O50" i="46"/>
  <c r="N50" i="46"/>
  <c r="K50" i="46"/>
  <c r="AC50" i="46" s="1"/>
  <c r="J50" i="46"/>
  <c r="C50" i="46"/>
  <c r="BA48" i="46"/>
  <c r="AR48" i="46"/>
  <c r="AM48" i="46"/>
  <c r="AD48" i="46"/>
  <c r="BA47" i="46"/>
  <c r="AR47" i="46"/>
  <c r="AM47" i="46"/>
  <c r="AD47" i="46"/>
  <c r="W47" i="46"/>
  <c r="P47" i="46"/>
  <c r="O47" i="46"/>
  <c r="N47" i="46"/>
  <c r="M47" i="46"/>
  <c r="J47" i="46"/>
  <c r="BA46" i="46"/>
  <c r="AR46" i="46"/>
  <c r="AM46" i="46"/>
  <c r="AD46" i="46"/>
  <c r="Z46" i="46"/>
  <c r="W46" i="46"/>
  <c r="V46" i="46"/>
  <c r="U46" i="46"/>
  <c r="T46" i="46"/>
  <c r="O46" i="46"/>
  <c r="P46" i="46" s="1"/>
  <c r="N46" i="46"/>
  <c r="M46" i="46"/>
  <c r="K46" i="46"/>
  <c r="J46" i="46"/>
  <c r="C46" i="46"/>
  <c r="Z44" i="46"/>
  <c r="W44" i="46"/>
  <c r="W43" i="46"/>
  <c r="U43" i="46"/>
  <c r="T43" i="46"/>
  <c r="P43" i="46"/>
  <c r="O43" i="46"/>
  <c r="N43" i="46"/>
  <c r="J43" i="46"/>
  <c r="BA42" i="46"/>
  <c r="AR42" i="46"/>
  <c r="AM42" i="46"/>
  <c r="AD42" i="46"/>
  <c r="W42" i="46"/>
  <c r="Q42" i="46"/>
  <c r="O42" i="46"/>
  <c r="T42" i="46" s="1"/>
  <c r="N42" i="46"/>
  <c r="M42" i="46"/>
  <c r="J42" i="46"/>
  <c r="C42" i="46"/>
  <c r="BA41" i="46"/>
  <c r="AR41" i="46"/>
  <c r="AM41" i="46"/>
  <c r="AD41" i="46"/>
  <c r="W41" i="46"/>
  <c r="U41" i="46"/>
  <c r="T41" i="46"/>
  <c r="Q41" i="46"/>
  <c r="P41" i="46"/>
  <c r="O41" i="46"/>
  <c r="V41" i="46" s="1"/>
  <c r="N41" i="46"/>
  <c r="M41" i="46"/>
  <c r="K41" i="46"/>
  <c r="J41" i="46"/>
  <c r="C41" i="46"/>
  <c r="BA40" i="46"/>
  <c r="AR40" i="46"/>
  <c r="AM40" i="46"/>
  <c r="AD40" i="46"/>
  <c r="W40" i="46"/>
  <c r="V40" i="46"/>
  <c r="Q40" i="46"/>
  <c r="O40" i="46"/>
  <c r="N40" i="46"/>
  <c r="M40" i="46"/>
  <c r="K40" i="46"/>
  <c r="J40" i="46"/>
  <c r="BA38" i="46"/>
  <c r="AR38" i="46"/>
  <c r="AM38" i="46"/>
  <c r="AD38" i="46"/>
  <c r="BA37" i="46"/>
  <c r="AR37" i="46"/>
  <c r="AM37" i="46"/>
  <c r="AD37" i="46"/>
  <c r="BA36" i="46"/>
  <c r="AR36" i="46"/>
  <c r="AM36" i="46"/>
  <c r="AD36" i="46"/>
  <c r="W36" i="46"/>
  <c r="O36" i="46"/>
  <c r="K36" i="46" s="1"/>
  <c r="N36" i="46"/>
  <c r="M36" i="46"/>
  <c r="J36" i="46"/>
  <c r="BA35" i="46"/>
  <c r="AR35" i="46"/>
  <c r="AM35" i="46"/>
  <c r="AD35" i="46"/>
  <c r="Z35" i="46"/>
  <c r="W35" i="46"/>
  <c r="X35" i="46" s="1"/>
  <c r="V35" i="46"/>
  <c r="U35" i="46"/>
  <c r="T35" i="46"/>
  <c r="AC35" i="46" s="1"/>
  <c r="P35" i="46"/>
  <c r="O35" i="46"/>
  <c r="N35" i="46"/>
  <c r="M35" i="46"/>
  <c r="K35" i="46"/>
  <c r="J35" i="46"/>
  <c r="C35" i="46"/>
  <c r="BA33" i="46"/>
  <c r="AR33" i="46"/>
  <c r="AM33" i="46"/>
  <c r="AD33" i="46"/>
  <c r="BA32" i="46"/>
  <c r="AR32" i="46"/>
  <c r="AM32" i="46"/>
  <c r="AD32" i="46"/>
  <c r="Z32" i="46"/>
  <c r="W32" i="46"/>
  <c r="BA31" i="46"/>
  <c r="AR31" i="46"/>
  <c r="AM31" i="46"/>
  <c r="AD31" i="46"/>
  <c r="Z31" i="46"/>
  <c r="W31" i="46"/>
  <c r="U31" i="46"/>
  <c r="AA31" i="46" s="1"/>
  <c r="T31" i="46"/>
  <c r="P31" i="46"/>
  <c r="O31" i="46"/>
  <c r="N31" i="46"/>
  <c r="M31" i="46"/>
  <c r="J31" i="46"/>
  <c r="BA29" i="46"/>
  <c r="AR29" i="46"/>
  <c r="AM29" i="46"/>
  <c r="AD29" i="46"/>
  <c r="BA28" i="46"/>
  <c r="AR28" i="46"/>
  <c r="AM28" i="46"/>
  <c r="AD28" i="46"/>
  <c r="BA27" i="46"/>
  <c r="AR27" i="46"/>
  <c r="AM27" i="46"/>
  <c r="AD27" i="46"/>
  <c r="W27" i="46"/>
  <c r="T27" i="46"/>
  <c r="O27" i="46"/>
  <c r="V27" i="46" s="1"/>
  <c r="N27" i="46"/>
  <c r="M27" i="46"/>
  <c r="J27" i="46"/>
  <c r="BA26" i="46"/>
  <c r="AR26" i="46"/>
  <c r="AM26" i="46"/>
  <c r="AD26" i="46"/>
  <c r="Z26" i="46"/>
  <c r="W26" i="46"/>
  <c r="V26" i="46"/>
  <c r="U26" i="46"/>
  <c r="T26" i="46"/>
  <c r="P26" i="46"/>
  <c r="O26" i="46"/>
  <c r="N26" i="46"/>
  <c r="M26" i="46"/>
  <c r="K26" i="46"/>
  <c r="AC26" i="46" s="1"/>
  <c r="J26" i="46"/>
  <c r="C26" i="46"/>
  <c r="BA24" i="46"/>
  <c r="AR24" i="46"/>
  <c r="AM24" i="46"/>
  <c r="AD24" i="46"/>
  <c r="BA23" i="46"/>
  <c r="AR23" i="46"/>
  <c r="AM23" i="46"/>
  <c r="AD23" i="46"/>
  <c r="BA22" i="46"/>
  <c r="AR22" i="46"/>
  <c r="AM22" i="46"/>
  <c r="AD22" i="46"/>
  <c r="Z22" i="46"/>
  <c r="W22" i="46"/>
  <c r="U22" i="46"/>
  <c r="AA22" i="46" s="1"/>
  <c r="O22" i="46"/>
  <c r="K22" i="46" s="1"/>
  <c r="N22" i="46"/>
  <c r="J22" i="46"/>
  <c r="BA20" i="46"/>
  <c r="AR20" i="46"/>
  <c r="AM20" i="46"/>
  <c r="AD20" i="46"/>
  <c r="BA19" i="46"/>
  <c r="AR19" i="46"/>
  <c r="AM19" i="46"/>
  <c r="AD19" i="46"/>
  <c r="BA18" i="46"/>
  <c r="AR18" i="46"/>
  <c r="AM18" i="46"/>
  <c r="AD18" i="46"/>
  <c r="BA17" i="46"/>
  <c r="AR17" i="46"/>
  <c r="AM17" i="46"/>
  <c r="AD17" i="46"/>
  <c r="BA16" i="46"/>
  <c r="AR16" i="46"/>
  <c r="AM16" i="46"/>
  <c r="AD16" i="46"/>
  <c r="Z16" i="46"/>
  <c r="R16" i="46"/>
  <c r="O16" i="46"/>
  <c r="U16" i="46" s="1"/>
  <c r="N16" i="46"/>
  <c r="K16" i="46"/>
  <c r="J16" i="46"/>
  <c r="BA14" i="46"/>
  <c r="AR14" i="46"/>
  <c r="AM14" i="46"/>
  <c r="AD14" i="46"/>
  <c r="BA13" i="46"/>
  <c r="AR13" i="46"/>
  <c r="AM13" i="46"/>
  <c r="AD13" i="46"/>
  <c r="BA12" i="46"/>
  <c r="AR12" i="46"/>
  <c r="AM12" i="46"/>
  <c r="AD12" i="46"/>
  <c r="Z12" i="46"/>
  <c r="W12" i="46"/>
  <c r="BA11" i="46"/>
  <c r="AR11" i="46"/>
  <c r="AM11" i="46"/>
  <c r="AD11" i="46"/>
  <c r="Z11" i="46"/>
  <c r="W11" i="46"/>
  <c r="X11" i="46" s="1"/>
  <c r="U11" i="46"/>
  <c r="P11" i="46"/>
  <c r="O11" i="46"/>
  <c r="K11" i="46" s="1"/>
  <c r="N11" i="46"/>
  <c r="M11" i="46"/>
  <c r="J11" i="46"/>
  <c r="C11" i="46"/>
  <c r="BA9" i="46"/>
  <c r="AR9" i="46"/>
  <c r="AM9" i="46"/>
  <c r="AD9" i="46"/>
  <c r="BA8" i="46"/>
  <c r="AR8" i="46"/>
  <c r="AM8" i="46"/>
  <c r="AD8" i="46"/>
  <c r="W8" i="46"/>
  <c r="V8" i="46"/>
  <c r="U8" i="46"/>
  <c r="O8" i="46"/>
  <c r="P8" i="46" s="1"/>
  <c r="N8" i="46"/>
  <c r="M8" i="46"/>
  <c r="K8" i="46"/>
  <c r="J8" i="46"/>
  <c r="C8" i="46"/>
  <c r="BA7" i="46"/>
  <c r="AR7" i="46"/>
  <c r="AM7" i="46"/>
  <c r="AD7" i="46"/>
  <c r="Z7" i="46"/>
  <c r="W7" i="46"/>
  <c r="V7" i="46"/>
  <c r="O7" i="46"/>
  <c r="T7" i="46" s="1"/>
  <c r="N7" i="46"/>
  <c r="M7" i="46"/>
  <c r="J7" i="46"/>
  <c r="BA6" i="46"/>
  <c r="AR6" i="46"/>
  <c r="AM6" i="46"/>
  <c r="AD6" i="46"/>
  <c r="Z6" i="46"/>
  <c r="W6" i="46"/>
  <c r="O6" i="46"/>
  <c r="N6" i="46"/>
  <c r="M6" i="46"/>
  <c r="J6" i="46"/>
  <c r="A6" i="46"/>
  <c r="I130" i="47"/>
  <c r="H130" i="47"/>
  <c r="G130" i="47"/>
  <c r="F130" i="47"/>
  <c r="E130" i="47"/>
  <c r="I129" i="47"/>
  <c r="H129" i="47"/>
  <c r="G129" i="47"/>
  <c r="F129" i="47"/>
  <c r="E129" i="47"/>
  <c r="I127" i="47"/>
  <c r="H127" i="47"/>
  <c r="G127" i="47"/>
  <c r="F127" i="47"/>
  <c r="E127" i="47"/>
  <c r="G125" i="47"/>
  <c r="E125" i="47"/>
  <c r="I124" i="47"/>
  <c r="H124" i="47"/>
  <c r="G124" i="47"/>
  <c r="E124" i="47"/>
  <c r="I123" i="47"/>
  <c r="H123" i="47"/>
  <c r="G123" i="47"/>
  <c r="F123" i="47"/>
  <c r="E123" i="47"/>
  <c r="I121" i="47"/>
  <c r="H121" i="47"/>
  <c r="G121" i="47"/>
  <c r="F121" i="47"/>
  <c r="E121" i="47"/>
  <c r="H119" i="47"/>
  <c r="G119" i="47"/>
  <c r="E119" i="47"/>
  <c r="I118" i="47"/>
  <c r="H118" i="47"/>
  <c r="G118" i="47"/>
  <c r="E118" i="47"/>
  <c r="I116" i="47"/>
  <c r="H116" i="47"/>
  <c r="G116" i="47"/>
  <c r="E116" i="47"/>
  <c r="I115" i="47"/>
  <c r="H115" i="47"/>
  <c r="G115" i="47"/>
  <c r="E115" i="47"/>
  <c r="H114" i="47"/>
  <c r="G114" i="47"/>
  <c r="E114" i="47"/>
  <c r="G112" i="47"/>
  <c r="F112" i="47"/>
  <c r="E112" i="47"/>
  <c r="G111" i="47"/>
  <c r="F111" i="47"/>
  <c r="E111" i="47"/>
  <c r="I110" i="47"/>
  <c r="H110" i="47"/>
  <c r="G110" i="47"/>
  <c r="E110" i="47"/>
  <c r="G108" i="47"/>
  <c r="E108" i="47"/>
  <c r="G107" i="47"/>
  <c r="F107" i="47"/>
  <c r="E107" i="47"/>
  <c r="G106" i="47"/>
  <c r="F106" i="47"/>
  <c r="E106" i="47"/>
  <c r="I105" i="47"/>
  <c r="H105" i="47"/>
  <c r="G105" i="47"/>
  <c r="F105" i="47"/>
  <c r="E105" i="47"/>
  <c r="G103" i="47"/>
  <c r="F103" i="47"/>
  <c r="E103" i="47"/>
  <c r="G102" i="47"/>
  <c r="F102" i="47"/>
  <c r="E102" i="47"/>
  <c r="H101" i="47"/>
  <c r="G101" i="47"/>
  <c r="F101" i="47"/>
  <c r="E101" i="47"/>
  <c r="I100" i="47"/>
  <c r="I101" i="47" s="1"/>
  <c r="H100" i="47"/>
  <c r="G100" i="47"/>
  <c r="E100" i="47"/>
  <c r="G98" i="47"/>
  <c r="F98" i="47"/>
  <c r="E98" i="47"/>
  <c r="H97" i="47"/>
  <c r="G97" i="47"/>
  <c r="E97" i="47"/>
  <c r="I96" i="47"/>
  <c r="H96" i="47"/>
  <c r="G96" i="47"/>
  <c r="F96" i="47"/>
  <c r="E96" i="47"/>
  <c r="G94" i="47"/>
  <c r="F94" i="47"/>
  <c r="E94" i="47"/>
  <c r="I93" i="47"/>
  <c r="H93" i="47"/>
  <c r="G93" i="47"/>
  <c r="F93" i="47"/>
  <c r="E93" i="47"/>
  <c r="G92" i="47"/>
  <c r="E92" i="47"/>
  <c r="G91" i="47"/>
  <c r="F91" i="47"/>
  <c r="E91" i="47"/>
  <c r="I90" i="47"/>
  <c r="H90" i="47"/>
  <c r="G90" i="47"/>
  <c r="E90" i="47"/>
  <c r="G88" i="47"/>
  <c r="F88" i="47"/>
  <c r="E88" i="47"/>
  <c r="I87" i="47"/>
  <c r="H87" i="47"/>
  <c r="G87" i="47"/>
  <c r="E87" i="47"/>
  <c r="G86" i="47"/>
  <c r="F86" i="47"/>
  <c r="E86" i="47"/>
  <c r="I85" i="47"/>
  <c r="H85" i="47"/>
  <c r="G85" i="47"/>
  <c r="F85" i="47"/>
  <c r="E85" i="47"/>
  <c r="I83" i="47"/>
  <c r="H83" i="47"/>
  <c r="G83" i="47"/>
  <c r="E83" i="47"/>
  <c r="I82" i="47"/>
  <c r="H82" i="47"/>
  <c r="G82" i="47"/>
  <c r="F82" i="47"/>
  <c r="E82" i="47"/>
  <c r="I81" i="47"/>
  <c r="H81" i="47"/>
  <c r="G81" i="47"/>
  <c r="E81" i="47"/>
  <c r="H80" i="47"/>
  <c r="G80" i="47"/>
  <c r="E80" i="47"/>
  <c r="I78" i="47"/>
  <c r="H78" i="47"/>
  <c r="G78" i="47"/>
  <c r="E78" i="47"/>
  <c r="G77" i="47"/>
  <c r="E77" i="47"/>
  <c r="I76" i="47"/>
  <c r="H76" i="47"/>
  <c r="G76" i="47"/>
  <c r="E76" i="47"/>
  <c r="H74" i="47"/>
  <c r="G74" i="47"/>
  <c r="E74" i="47"/>
  <c r="H73" i="47"/>
  <c r="G73" i="47"/>
  <c r="E73" i="47"/>
  <c r="I72" i="47"/>
  <c r="H72" i="47"/>
  <c r="G72" i="47"/>
  <c r="F72" i="47"/>
  <c r="E72" i="47"/>
  <c r="I70" i="47"/>
  <c r="H70" i="47"/>
  <c r="G70" i="47"/>
  <c r="E70" i="47"/>
  <c r="G69" i="47"/>
  <c r="F69" i="47"/>
  <c r="E69" i="47"/>
  <c r="I68" i="47"/>
  <c r="H68" i="47"/>
  <c r="G68" i="47"/>
  <c r="F68" i="47"/>
  <c r="G66" i="47"/>
  <c r="E66" i="47"/>
  <c r="H65" i="47"/>
  <c r="G65" i="47"/>
  <c r="F65" i="47"/>
  <c r="E65" i="47"/>
  <c r="I64" i="47"/>
  <c r="H64" i="47"/>
  <c r="G64" i="47"/>
  <c r="F64" i="47"/>
  <c r="H62" i="47"/>
  <c r="G62" i="47"/>
  <c r="G61" i="47"/>
  <c r="E61" i="47"/>
  <c r="I60" i="47"/>
  <c r="H60" i="47"/>
  <c r="G60" i="47"/>
  <c r="E60" i="47"/>
  <c r="H59" i="47"/>
  <c r="G59" i="47"/>
  <c r="E59" i="47"/>
  <c r="I57" i="47"/>
  <c r="H57" i="47"/>
  <c r="G57" i="47"/>
  <c r="E57" i="47"/>
  <c r="I56" i="47"/>
  <c r="H56" i="47"/>
  <c r="G56" i="47"/>
  <c r="F56" i="47"/>
  <c r="E56" i="47"/>
  <c r="G55" i="47"/>
  <c r="F55" i="47"/>
  <c r="E55" i="47"/>
  <c r="I54" i="47"/>
  <c r="H54" i="47"/>
  <c r="G54" i="47"/>
  <c r="F54" i="47"/>
  <c r="E54" i="47"/>
  <c r="G52" i="47"/>
  <c r="E52" i="47"/>
  <c r="I51" i="47"/>
  <c r="H51" i="47"/>
  <c r="G51" i="47"/>
  <c r="E51" i="47"/>
  <c r="I49" i="47"/>
  <c r="H49" i="47"/>
  <c r="G49" i="47"/>
  <c r="E49" i="47"/>
  <c r="G48" i="47"/>
  <c r="E48" i="47"/>
  <c r="I47" i="47"/>
  <c r="H47" i="47"/>
  <c r="G47" i="47"/>
  <c r="E47" i="47"/>
  <c r="I45" i="47"/>
  <c r="H45" i="47"/>
  <c r="G45" i="47"/>
  <c r="E45" i="47"/>
  <c r="G44" i="47"/>
  <c r="E44" i="47"/>
  <c r="I43" i="47"/>
  <c r="H43" i="47"/>
  <c r="G43" i="47"/>
  <c r="F43" i="47"/>
  <c r="E43" i="47"/>
  <c r="G41" i="47"/>
  <c r="E41" i="47"/>
  <c r="G40" i="47"/>
  <c r="E40" i="47"/>
  <c r="I39" i="47"/>
  <c r="H39" i="47"/>
  <c r="G39" i="47"/>
  <c r="F39" i="47"/>
  <c r="E39" i="47"/>
  <c r="G38" i="47"/>
  <c r="E38" i="47"/>
  <c r="I37" i="47"/>
  <c r="H37" i="47"/>
  <c r="G37" i="47"/>
  <c r="E37" i="47"/>
  <c r="G35" i="47"/>
  <c r="E35" i="47"/>
  <c r="I34" i="47"/>
  <c r="H34" i="47"/>
  <c r="G34" i="47"/>
  <c r="E34" i="47"/>
  <c r="I33" i="47"/>
  <c r="H33" i="47"/>
  <c r="G33" i="47"/>
  <c r="F33" i="47"/>
  <c r="E33" i="47"/>
  <c r="I32" i="47"/>
  <c r="H32" i="47"/>
  <c r="G32" i="47"/>
  <c r="E32" i="47"/>
  <c r="I31" i="47"/>
  <c r="H31" i="47"/>
  <c r="G31" i="47"/>
  <c r="E31" i="47"/>
  <c r="H30" i="47"/>
  <c r="G30" i="47"/>
  <c r="F30" i="47"/>
  <c r="E30" i="47"/>
  <c r="I28" i="47"/>
  <c r="H28" i="47"/>
  <c r="G28" i="47"/>
  <c r="E28" i="47"/>
  <c r="I27" i="47"/>
  <c r="H27" i="47"/>
  <c r="G27" i="47"/>
  <c r="F27" i="47"/>
  <c r="E27" i="47"/>
  <c r="I25" i="47"/>
  <c r="H25" i="47"/>
  <c r="G25" i="47"/>
  <c r="E25" i="47"/>
  <c r="H23" i="47"/>
  <c r="H21" i="47"/>
  <c r="G21" i="47"/>
  <c r="E21" i="47"/>
  <c r="G20" i="47"/>
  <c r="E20" i="47"/>
  <c r="G19" i="47"/>
  <c r="F19" i="47"/>
  <c r="E19" i="47"/>
  <c r="G18" i="47"/>
  <c r="F18" i="47"/>
  <c r="E18" i="47"/>
  <c r="I17" i="47"/>
  <c r="H17" i="47"/>
  <c r="G17" i="47"/>
  <c r="E17" i="47"/>
  <c r="G15" i="47"/>
  <c r="F15" i="47"/>
  <c r="E15" i="47"/>
  <c r="I14" i="47"/>
  <c r="K8" i="47" s="1"/>
  <c r="K9" i="47" s="1"/>
  <c r="H14" i="47"/>
  <c r="G14" i="47"/>
  <c r="E14" i="47"/>
  <c r="I12" i="47"/>
  <c r="H12" i="47"/>
  <c r="G12" i="47"/>
  <c r="F12" i="47"/>
  <c r="E12" i="47"/>
  <c r="H10" i="47"/>
  <c r="G10" i="47"/>
  <c r="E10" i="47"/>
  <c r="G9" i="47"/>
  <c r="F9" i="47"/>
  <c r="E9" i="47"/>
  <c r="I8" i="47"/>
  <c r="H8" i="47"/>
  <c r="G8" i="47"/>
  <c r="F8" i="47"/>
  <c r="E8" i="47"/>
  <c r="I6" i="47"/>
  <c r="H6" i="47"/>
  <c r="G6" i="47"/>
  <c r="E6" i="47"/>
  <c r="I5" i="47"/>
  <c r="H5" i="47"/>
  <c r="G5" i="47"/>
  <c r="F5" i="47"/>
  <c r="E5" i="47"/>
  <c r="I4" i="47"/>
  <c r="H4" i="47"/>
  <c r="G4" i="47"/>
  <c r="E4" i="47"/>
  <c r="B1" i="47"/>
  <c r="A4" i="47" s="1"/>
  <c r="AO38" i="45"/>
  <c r="AK38" i="45"/>
  <c r="AG38" i="45"/>
  <c r="AC38" i="45"/>
  <c r="Y38" i="45"/>
  <c r="U38" i="45"/>
  <c r="Q38" i="45"/>
  <c r="M38" i="45"/>
  <c r="I38" i="45"/>
  <c r="E38" i="45"/>
  <c r="AO37" i="45"/>
  <c r="AK37" i="45"/>
  <c r="AG37" i="45"/>
  <c r="AC37" i="45"/>
  <c r="Y37" i="45"/>
  <c r="U37" i="45"/>
  <c r="Q37" i="45"/>
  <c r="M37" i="45"/>
  <c r="I37" i="45"/>
  <c r="E37" i="45"/>
  <c r="B37" i="45"/>
  <c r="AO36" i="45"/>
  <c r="AK36" i="45"/>
  <c r="AG36" i="45"/>
  <c r="AC36" i="45"/>
  <c r="Y36" i="45"/>
  <c r="U36" i="45"/>
  <c r="Q36" i="45"/>
  <c r="M36" i="45"/>
  <c r="I36" i="45"/>
  <c r="E36" i="45"/>
  <c r="AO35" i="45"/>
  <c r="AK35" i="45"/>
  <c r="AG35" i="45"/>
  <c r="AC35" i="45"/>
  <c r="Y35" i="45"/>
  <c r="U35" i="45"/>
  <c r="Q35" i="45"/>
  <c r="M35" i="45"/>
  <c r="I35" i="45"/>
  <c r="E35" i="45"/>
  <c r="AO34" i="45"/>
  <c r="AK34" i="45"/>
  <c r="AG34" i="45"/>
  <c r="AC34" i="45"/>
  <c r="Y34" i="45"/>
  <c r="U34" i="45"/>
  <c r="Q34" i="45"/>
  <c r="M34" i="45"/>
  <c r="I34" i="45"/>
  <c r="E34" i="45"/>
  <c r="AO33" i="45"/>
  <c r="AK33" i="45"/>
  <c r="AG33" i="45"/>
  <c r="AC33" i="45"/>
  <c r="Y33" i="45"/>
  <c r="U33" i="45"/>
  <c r="Q33" i="45"/>
  <c r="M33" i="45"/>
  <c r="I33" i="45"/>
  <c r="E33" i="45"/>
  <c r="AO32" i="45"/>
  <c r="AK32" i="45"/>
  <c r="AG32" i="45"/>
  <c r="AC32" i="45"/>
  <c r="Y32" i="45"/>
  <c r="U32" i="45"/>
  <c r="Q32" i="45"/>
  <c r="M32" i="45"/>
  <c r="I32" i="45"/>
  <c r="E32" i="45"/>
  <c r="AO31" i="45"/>
  <c r="AK31" i="45"/>
  <c r="AG31" i="45"/>
  <c r="AC31" i="45"/>
  <c r="Y31" i="45"/>
  <c r="U31" i="45"/>
  <c r="Q31" i="45"/>
  <c r="M31" i="45"/>
  <c r="I31" i="45"/>
  <c r="E31" i="45"/>
  <c r="AO30" i="45"/>
  <c r="AK30" i="45"/>
  <c r="AG30" i="45"/>
  <c r="AC30" i="45"/>
  <c r="Y30" i="45"/>
  <c r="U30" i="45"/>
  <c r="Q30" i="45"/>
  <c r="M30" i="45"/>
  <c r="I30" i="45"/>
  <c r="E30" i="45"/>
  <c r="AO29" i="45"/>
  <c r="AK29" i="45"/>
  <c r="AG29" i="45"/>
  <c r="AC29" i="45"/>
  <c r="Y29" i="45"/>
  <c r="U29" i="45"/>
  <c r="Q29" i="45"/>
  <c r="M29" i="45"/>
  <c r="I29" i="45"/>
  <c r="E29" i="45"/>
  <c r="B29" i="45"/>
  <c r="AO28" i="45"/>
  <c r="AK28" i="45"/>
  <c r="AG28" i="45"/>
  <c r="AC28" i="45"/>
  <c r="Y28" i="45"/>
  <c r="U28" i="45"/>
  <c r="Q28" i="45"/>
  <c r="M28" i="45"/>
  <c r="I28" i="45"/>
  <c r="E28" i="45"/>
  <c r="AO27" i="45"/>
  <c r="AK27" i="45"/>
  <c r="AG27" i="45"/>
  <c r="AC27" i="45"/>
  <c r="Y27" i="45"/>
  <c r="U27" i="45"/>
  <c r="Q27" i="45"/>
  <c r="M27" i="45"/>
  <c r="I27" i="45"/>
  <c r="E27" i="45"/>
  <c r="AO26" i="45"/>
  <c r="AK26" i="45"/>
  <c r="AG26" i="45"/>
  <c r="AC26" i="45"/>
  <c r="Y26" i="45"/>
  <c r="U26" i="45"/>
  <c r="Q26" i="45"/>
  <c r="M26" i="45"/>
  <c r="I26" i="45"/>
  <c r="E26" i="45"/>
  <c r="AO25" i="45"/>
  <c r="AK25" i="45"/>
  <c r="AG25" i="45"/>
  <c r="AC25" i="45"/>
  <c r="Y25" i="45"/>
  <c r="U25" i="45"/>
  <c r="Q25" i="45"/>
  <c r="M25" i="45"/>
  <c r="I25" i="45"/>
  <c r="E25" i="45"/>
  <c r="AO24" i="45"/>
  <c r="AK24" i="45"/>
  <c r="AG24" i="45"/>
  <c r="AC24" i="45"/>
  <c r="Y24" i="45"/>
  <c r="U24" i="45"/>
  <c r="Q24" i="45"/>
  <c r="M24" i="45"/>
  <c r="I24" i="45"/>
  <c r="E24" i="45"/>
  <c r="AO23" i="45"/>
  <c r="AK23" i="45"/>
  <c r="AG23" i="45"/>
  <c r="AC23" i="45"/>
  <c r="Y23" i="45"/>
  <c r="Z23" i="45" s="1"/>
  <c r="U23" i="45"/>
  <c r="Q23" i="45"/>
  <c r="M23" i="45"/>
  <c r="I23" i="45"/>
  <c r="E23" i="45"/>
  <c r="B23" i="45"/>
  <c r="AO22" i="45"/>
  <c r="AK22" i="45"/>
  <c r="AG22" i="45"/>
  <c r="AC22" i="45"/>
  <c r="Y22" i="45"/>
  <c r="U22" i="45"/>
  <c r="Q22" i="45"/>
  <c r="M22" i="45"/>
  <c r="I22" i="45"/>
  <c r="E22" i="45"/>
  <c r="AY21" i="45"/>
  <c r="AX21" i="45"/>
  <c r="AO21" i="45"/>
  <c r="AK21" i="45"/>
  <c r="AG21" i="45"/>
  <c r="AC21" i="45"/>
  <c r="Y21" i="45"/>
  <c r="U21" i="45"/>
  <c r="Q21" i="45"/>
  <c r="M21" i="45"/>
  <c r="I21" i="45"/>
  <c r="E21" i="45"/>
  <c r="AY20" i="45"/>
  <c r="AX20" i="45"/>
  <c r="AO20" i="45"/>
  <c r="AK20" i="45"/>
  <c r="AG20" i="45"/>
  <c r="AC20" i="45"/>
  <c r="Y20" i="45"/>
  <c r="U20" i="45"/>
  <c r="Q20" i="45"/>
  <c r="M20" i="45"/>
  <c r="I20" i="45"/>
  <c r="E20" i="45"/>
  <c r="AY19" i="45"/>
  <c r="AX19" i="45"/>
  <c r="AO19" i="45"/>
  <c r="AK19" i="45"/>
  <c r="AG19" i="45"/>
  <c r="AC19" i="45"/>
  <c r="Y19" i="45"/>
  <c r="U19" i="45"/>
  <c r="Q19" i="45"/>
  <c r="M19" i="45"/>
  <c r="I19" i="45"/>
  <c r="E19" i="45"/>
  <c r="AY18" i="45"/>
  <c r="AX18" i="45"/>
  <c r="AO18" i="45"/>
  <c r="AK18" i="45"/>
  <c r="AG18" i="45"/>
  <c r="AC18" i="45"/>
  <c r="Y18" i="45"/>
  <c r="U18" i="45"/>
  <c r="Q18" i="45"/>
  <c r="M18" i="45"/>
  <c r="I18" i="45"/>
  <c r="E18" i="45"/>
  <c r="AY17" i="45"/>
  <c r="AX17" i="45"/>
  <c r="AO17" i="45"/>
  <c r="AK17" i="45"/>
  <c r="AG17" i="45"/>
  <c r="AC17" i="45"/>
  <c r="Y17" i="45"/>
  <c r="U17" i="45"/>
  <c r="Q17" i="45"/>
  <c r="M17" i="45"/>
  <c r="I17" i="45"/>
  <c r="E17" i="45"/>
  <c r="AY16" i="45"/>
  <c r="AX16" i="45"/>
  <c r="AO16" i="45"/>
  <c r="AK16" i="45"/>
  <c r="AG16" i="45"/>
  <c r="AC16" i="45"/>
  <c r="Y16" i="45"/>
  <c r="U16" i="45"/>
  <c r="Q16" i="45"/>
  <c r="M16" i="45"/>
  <c r="I16" i="45"/>
  <c r="E16" i="45"/>
  <c r="C16" i="45"/>
  <c r="AY15" i="45"/>
  <c r="AX15" i="45"/>
  <c r="AO15" i="45"/>
  <c r="AK15" i="45"/>
  <c r="AG15" i="45"/>
  <c r="AC15" i="45"/>
  <c r="Y15" i="45"/>
  <c r="U15" i="45"/>
  <c r="Q15" i="45"/>
  <c r="M15" i="45"/>
  <c r="I15" i="45"/>
  <c r="E15" i="45"/>
  <c r="B15" i="45"/>
  <c r="AY14" i="45"/>
  <c r="AX14" i="45"/>
  <c r="AO14" i="45"/>
  <c r="AK14" i="45"/>
  <c r="AG14" i="45"/>
  <c r="AC14" i="45"/>
  <c r="Y14" i="45"/>
  <c r="U14" i="45"/>
  <c r="Q14" i="45"/>
  <c r="M14" i="45"/>
  <c r="I14" i="45"/>
  <c r="E14" i="45"/>
  <c r="AY13" i="45"/>
  <c r="AX13" i="45"/>
  <c r="AO13" i="45"/>
  <c r="AK13" i="45"/>
  <c r="AG13" i="45"/>
  <c r="AC13" i="45"/>
  <c r="Y13" i="45"/>
  <c r="U13" i="45"/>
  <c r="Q13" i="45"/>
  <c r="M13" i="45"/>
  <c r="I13" i="45"/>
  <c r="E13" i="45"/>
  <c r="AY12" i="45"/>
  <c r="AX12" i="45"/>
  <c r="AO12" i="45"/>
  <c r="AK12" i="45"/>
  <c r="AG12" i="45"/>
  <c r="AC12" i="45"/>
  <c r="Y12" i="45"/>
  <c r="U12" i="45"/>
  <c r="Q12" i="45"/>
  <c r="M12" i="45"/>
  <c r="I12" i="45"/>
  <c r="E12" i="45"/>
  <c r="AY11" i="45"/>
  <c r="AX11" i="45"/>
  <c r="AO11" i="45"/>
  <c r="AK11" i="45"/>
  <c r="AG11" i="45"/>
  <c r="AC11" i="45"/>
  <c r="Y11" i="45"/>
  <c r="U11" i="45"/>
  <c r="Q11" i="45"/>
  <c r="M11" i="45"/>
  <c r="I11" i="45"/>
  <c r="E11" i="45"/>
  <c r="AY10" i="45"/>
  <c r="AX10" i="45"/>
  <c r="AO10" i="45"/>
  <c r="AK10" i="45"/>
  <c r="AG10" i="45"/>
  <c r="AC10" i="45"/>
  <c r="Y10" i="45"/>
  <c r="U10" i="45"/>
  <c r="Q10" i="45"/>
  <c r="M10" i="45"/>
  <c r="I10" i="45"/>
  <c r="E10" i="45"/>
  <c r="AO9" i="45"/>
  <c r="AK9" i="45"/>
  <c r="AG9" i="45"/>
  <c r="AC9" i="45"/>
  <c r="Y9" i="45"/>
  <c r="U9" i="45"/>
  <c r="Q9" i="45"/>
  <c r="M9" i="45"/>
  <c r="I9" i="45"/>
  <c r="E9" i="45"/>
  <c r="AO8" i="45"/>
  <c r="AN8" i="45" s="1"/>
  <c r="AN9" i="45" s="1"/>
  <c r="AN10" i="45" s="1"/>
  <c r="AN11" i="45" s="1"/>
  <c r="AN12" i="45" s="1"/>
  <c r="AN13" i="45" s="1"/>
  <c r="AN14" i="45" s="1"/>
  <c r="AN15" i="45" s="1"/>
  <c r="AN16" i="45" s="1"/>
  <c r="AK8" i="45"/>
  <c r="AG8" i="45"/>
  <c r="AF8" i="45" s="1"/>
  <c r="AF9" i="45" s="1"/>
  <c r="AF10" i="45" s="1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AF22" i="45" s="1"/>
  <c r="AF23" i="45" s="1"/>
  <c r="AF24" i="45" s="1"/>
  <c r="AC8" i="45"/>
  <c r="Y8" i="45"/>
  <c r="U8" i="45"/>
  <c r="Q8" i="45"/>
  <c r="P8" i="45" s="1"/>
  <c r="P9" i="45" s="1"/>
  <c r="P10" i="45" s="1"/>
  <c r="P11" i="45" s="1"/>
  <c r="P12" i="45" s="1"/>
  <c r="P13" i="45" s="1"/>
  <c r="P14" i="45" s="1"/>
  <c r="M8" i="45"/>
  <c r="I8" i="45"/>
  <c r="H8" i="45" s="1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E8" i="45"/>
  <c r="A8" i="45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7" i="45"/>
  <c r="T41" i="48"/>
  <c r="AH39" i="48"/>
  <c r="AF39" i="48"/>
  <c r="U39" i="48"/>
  <c r="T39" i="48"/>
  <c r="P39" i="48"/>
  <c r="D39" i="1" s="1"/>
  <c r="D40" i="2" s="1"/>
  <c r="E39" i="48"/>
  <c r="D39" i="48"/>
  <c r="F39" i="48" s="1"/>
  <c r="A39" i="48"/>
  <c r="AH38" i="48"/>
  <c r="V38" i="48"/>
  <c r="U38" i="48"/>
  <c r="T38" i="48"/>
  <c r="R38" i="48"/>
  <c r="E38" i="1" s="1"/>
  <c r="P38" i="48"/>
  <c r="D38" i="1" s="1"/>
  <c r="D39" i="2" s="1"/>
  <c r="L38" i="48"/>
  <c r="J38" i="48"/>
  <c r="I38" i="48"/>
  <c r="H38" i="48"/>
  <c r="F38" i="48"/>
  <c r="E38" i="48"/>
  <c r="D38" i="48"/>
  <c r="A38" i="48"/>
  <c r="AH37" i="48"/>
  <c r="V37" i="48"/>
  <c r="U37" i="48"/>
  <c r="T37" i="48"/>
  <c r="P37" i="48"/>
  <c r="D37" i="1" s="1"/>
  <c r="D38" i="2" s="1"/>
  <c r="L37" i="48"/>
  <c r="H37" i="48" s="1"/>
  <c r="F37" i="48"/>
  <c r="E37" i="48"/>
  <c r="D37" i="48"/>
  <c r="A37" i="48"/>
  <c r="AF36" i="48"/>
  <c r="V36" i="48"/>
  <c r="U36" i="48"/>
  <c r="T36" i="48"/>
  <c r="P36" i="48"/>
  <c r="D36" i="1" s="1"/>
  <c r="D37" i="2" s="1"/>
  <c r="N36" i="48"/>
  <c r="L36" i="48"/>
  <c r="H36" i="48"/>
  <c r="F36" i="48"/>
  <c r="E36" i="48"/>
  <c r="D36" i="48"/>
  <c r="A36" i="48"/>
  <c r="AH35" i="48"/>
  <c r="AF35" i="48"/>
  <c r="V35" i="48"/>
  <c r="U35" i="48"/>
  <c r="T35" i="48"/>
  <c r="R35" i="48"/>
  <c r="P35" i="48"/>
  <c r="D35" i="1" s="1"/>
  <c r="D36" i="2" s="1"/>
  <c r="F35" i="48"/>
  <c r="E35" i="48"/>
  <c r="D35" i="48"/>
  <c r="A35" i="48"/>
  <c r="AF34" i="48"/>
  <c r="V34" i="48"/>
  <c r="U34" i="48"/>
  <c r="T34" i="48"/>
  <c r="P34" i="48"/>
  <c r="D34" i="1" s="1"/>
  <c r="D35" i="2" s="1"/>
  <c r="F34" i="48"/>
  <c r="E34" i="48"/>
  <c r="D34" i="48"/>
  <c r="A34" i="48"/>
  <c r="AH33" i="48"/>
  <c r="U33" i="48"/>
  <c r="T33" i="48"/>
  <c r="P33" i="48"/>
  <c r="D33" i="1" s="1"/>
  <c r="D34" i="2" s="1"/>
  <c r="L33" i="48"/>
  <c r="H33" i="48" s="1"/>
  <c r="E33" i="48"/>
  <c r="F33" i="48" s="1"/>
  <c r="D33" i="48"/>
  <c r="A33" i="48"/>
  <c r="AH32" i="48"/>
  <c r="U32" i="48"/>
  <c r="T32" i="48"/>
  <c r="P32" i="48"/>
  <c r="D32" i="1" s="1"/>
  <c r="D33" i="2" s="1"/>
  <c r="N32" i="48"/>
  <c r="L32" i="48"/>
  <c r="H32" i="48" s="1"/>
  <c r="E32" i="48"/>
  <c r="D32" i="48"/>
  <c r="F32" i="48" s="1"/>
  <c r="A32" i="48"/>
  <c r="V31" i="48"/>
  <c r="U31" i="48"/>
  <c r="T31" i="48"/>
  <c r="P31" i="48"/>
  <c r="D31" i="1" s="1"/>
  <c r="D32" i="2" s="1"/>
  <c r="E31" i="48"/>
  <c r="F31" i="48" s="1"/>
  <c r="D31" i="48"/>
  <c r="A31" i="48"/>
  <c r="AF30" i="48"/>
  <c r="V30" i="48"/>
  <c r="U30" i="48"/>
  <c r="T30" i="48"/>
  <c r="P30" i="48"/>
  <c r="D30" i="1" s="1"/>
  <c r="D31" i="2" s="1"/>
  <c r="N30" i="48"/>
  <c r="L30" i="48"/>
  <c r="H30" i="48"/>
  <c r="G30" i="48"/>
  <c r="E30" i="48"/>
  <c r="F30" i="48" s="1"/>
  <c r="D30" i="48"/>
  <c r="A30" i="48"/>
  <c r="AF29" i="48"/>
  <c r="U29" i="48"/>
  <c r="T29" i="48"/>
  <c r="P29" i="48"/>
  <c r="D29" i="1" s="1"/>
  <c r="D30" i="2" s="1"/>
  <c r="E29" i="48"/>
  <c r="F29" i="48" s="1"/>
  <c r="D29" i="48"/>
  <c r="A29" i="48"/>
  <c r="AH28" i="48"/>
  <c r="AF28" i="48"/>
  <c r="V28" i="48"/>
  <c r="U28" i="48"/>
  <c r="T28" i="48"/>
  <c r="P28" i="48"/>
  <c r="D28" i="1" s="1"/>
  <c r="F28" i="48"/>
  <c r="E28" i="48"/>
  <c r="D28" i="48"/>
  <c r="A28" i="48"/>
  <c r="AF27" i="48"/>
  <c r="U27" i="48"/>
  <c r="T27" i="48"/>
  <c r="P27" i="48"/>
  <c r="D27" i="1" s="1"/>
  <c r="D28" i="2" s="1"/>
  <c r="L27" i="48"/>
  <c r="H27" i="48"/>
  <c r="E27" i="48"/>
  <c r="F27" i="48" s="1"/>
  <c r="D27" i="48"/>
  <c r="A27" i="48"/>
  <c r="AF26" i="48"/>
  <c r="X26" i="48"/>
  <c r="U26" i="48"/>
  <c r="T26" i="48"/>
  <c r="R26" i="48"/>
  <c r="E26" i="1" s="1"/>
  <c r="P26" i="48"/>
  <c r="D26" i="1" s="1"/>
  <c r="D27" i="2" s="1"/>
  <c r="F26" i="48"/>
  <c r="E26" i="48"/>
  <c r="D26" i="48"/>
  <c r="A26" i="48"/>
  <c r="AH25" i="48"/>
  <c r="V25" i="48"/>
  <c r="U25" i="48"/>
  <c r="T25" i="48"/>
  <c r="P25" i="48"/>
  <c r="D25" i="1" s="1"/>
  <c r="D26" i="2" s="1"/>
  <c r="N25" i="48"/>
  <c r="L25" i="48"/>
  <c r="H25" i="48"/>
  <c r="F25" i="48"/>
  <c r="E25" i="48"/>
  <c r="D25" i="48"/>
  <c r="A25" i="48"/>
  <c r="AH24" i="48"/>
  <c r="AF24" i="48"/>
  <c r="V24" i="48"/>
  <c r="U24" i="48"/>
  <c r="T24" i="48"/>
  <c r="P24" i="48"/>
  <c r="D24" i="1" s="1"/>
  <c r="D25" i="2" s="1"/>
  <c r="F24" i="48"/>
  <c r="E24" i="48"/>
  <c r="D24" i="48"/>
  <c r="A24" i="48"/>
  <c r="AH23" i="48"/>
  <c r="AF23" i="48"/>
  <c r="V23" i="48"/>
  <c r="U23" i="48"/>
  <c r="T23" i="48"/>
  <c r="R23" i="48"/>
  <c r="E23" i="1" s="1"/>
  <c r="P23" i="48"/>
  <c r="D23" i="1" s="1"/>
  <c r="D24" i="2" s="1"/>
  <c r="N23" i="48"/>
  <c r="L23" i="48"/>
  <c r="J23" i="48"/>
  <c r="H23" i="48"/>
  <c r="F23" i="48"/>
  <c r="E23" i="48"/>
  <c r="D23" i="48"/>
  <c r="A23" i="48"/>
  <c r="AH22" i="48"/>
  <c r="AF22" i="48"/>
  <c r="V22" i="48"/>
  <c r="U22" i="48"/>
  <c r="T22" i="48"/>
  <c r="P22" i="48"/>
  <c r="D22" i="1" s="1"/>
  <c r="D23" i="2" s="1"/>
  <c r="F22" i="48"/>
  <c r="E22" i="48"/>
  <c r="D22" i="48"/>
  <c r="A22" i="48"/>
  <c r="AF21" i="48"/>
  <c r="V21" i="48"/>
  <c r="U21" i="48"/>
  <c r="T21" i="48"/>
  <c r="R21" i="48"/>
  <c r="E21" i="1" s="1"/>
  <c r="P21" i="48"/>
  <c r="D21" i="1" s="1"/>
  <c r="D22" i="2" s="1"/>
  <c r="F21" i="48"/>
  <c r="E21" i="48"/>
  <c r="D21" i="48"/>
  <c r="A21" i="48"/>
  <c r="AH20" i="48"/>
  <c r="AF20" i="48"/>
  <c r="V20" i="48"/>
  <c r="U20" i="48"/>
  <c r="T20" i="48"/>
  <c r="P20" i="48"/>
  <c r="D20" i="1" s="1"/>
  <c r="D21" i="2" s="1"/>
  <c r="N20" i="48"/>
  <c r="G20" i="48" s="1"/>
  <c r="L20" i="48"/>
  <c r="H20" i="48" s="1"/>
  <c r="F20" i="48"/>
  <c r="E20" i="48"/>
  <c r="D20" i="48"/>
  <c r="A20" i="48"/>
  <c r="U19" i="48"/>
  <c r="T19" i="48"/>
  <c r="P19" i="48"/>
  <c r="D19" i="1" s="1"/>
  <c r="D20" i="2" s="1"/>
  <c r="E19" i="48"/>
  <c r="F19" i="48" s="1"/>
  <c r="D19" i="48"/>
  <c r="A19" i="48"/>
  <c r="AJ18" i="48"/>
  <c r="AH18" i="48"/>
  <c r="AF18" i="48"/>
  <c r="V18" i="48"/>
  <c r="U18" i="48"/>
  <c r="T18" i="48"/>
  <c r="R18" i="48"/>
  <c r="E18" i="1" s="1"/>
  <c r="P18" i="48"/>
  <c r="D18" i="1" s="1"/>
  <c r="D19" i="2" s="1"/>
  <c r="I18" i="48"/>
  <c r="E18" i="48"/>
  <c r="F18" i="48" s="1"/>
  <c r="D18" i="48"/>
  <c r="A18" i="48"/>
  <c r="AF17" i="48"/>
  <c r="X17" i="48"/>
  <c r="U17" i="48"/>
  <c r="T17" i="48"/>
  <c r="R17" i="48"/>
  <c r="E17" i="1" s="1"/>
  <c r="EI17" i="1" s="1"/>
  <c r="P17" i="48"/>
  <c r="D17" i="1" s="1"/>
  <c r="D18" i="2" s="1"/>
  <c r="I17" i="48"/>
  <c r="E17" i="48"/>
  <c r="F17" i="48" s="1"/>
  <c r="D17" i="48"/>
  <c r="A17" i="48"/>
  <c r="AF16" i="48"/>
  <c r="V16" i="48"/>
  <c r="U16" i="48"/>
  <c r="T16" i="48"/>
  <c r="P16" i="48"/>
  <c r="D16" i="1" s="1"/>
  <c r="D17" i="2" s="1"/>
  <c r="E16" i="48"/>
  <c r="F16" i="48" s="1"/>
  <c r="D16" i="48"/>
  <c r="A16" i="48"/>
  <c r="AH15" i="48"/>
  <c r="AF15" i="48"/>
  <c r="U15" i="48"/>
  <c r="T15" i="48"/>
  <c r="P15" i="48"/>
  <c r="D15" i="1" s="1"/>
  <c r="D16" i="2" s="1"/>
  <c r="E15" i="48"/>
  <c r="F15" i="48" s="1"/>
  <c r="D15" i="48"/>
  <c r="A15" i="48"/>
  <c r="AH14" i="48"/>
  <c r="AF14" i="48"/>
  <c r="V14" i="48"/>
  <c r="U14" i="48"/>
  <c r="T14" i="48"/>
  <c r="P14" i="48"/>
  <c r="D14" i="1" s="1"/>
  <c r="D15" i="2" s="1"/>
  <c r="E14" i="48"/>
  <c r="F14" i="48" s="1"/>
  <c r="D14" i="48"/>
  <c r="A14" i="48"/>
  <c r="AF13" i="48"/>
  <c r="U13" i="48"/>
  <c r="T13" i="48"/>
  <c r="P13" i="48"/>
  <c r="D13" i="1" s="1"/>
  <c r="D14" i="2" s="1"/>
  <c r="E13" i="48"/>
  <c r="F13" i="48" s="1"/>
  <c r="D13" i="48"/>
  <c r="A13" i="48"/>
  <c r="AH12" i="48"/>
  <c r="AF12" i="48"/>
  <c r="V12" i="48"/>
  <c r="U12" i="48"/>
  <c r="T12" i="48"/>
  <c r="P12" i="48"/>
  <c r="D12" i="1" s="1"/>
  <c r="D13" i="2" s="1"/>
  <c r="E12" i="48"/>
  <c r="F12" i="48" s="1"/>
  <c r="D12" i="48"/>
  <c r="A12" i="48"/>
  <c r="AF11" i="48"/>
  <c r="U11" i="48"/>
  <c r="T11" i="48"/>
  <c r="P11" i="48"/>
  <c r="D11" i="1" s="1"/>
  <c r="D12" i="2" s="1"/>
  <c r="E11" i="48"/>
  <c r="F11" i="48" s="1"/>
  <c r="D11" i="48"/>
  <c r="A11" i="48"/>
  <c r="AF10" i="48"/>
  <c r="V10" i="48"/>
  <c r="U10" i="48"/>
  <c r="T10" i="48"/>
  <c r="P10" i="48"/>
  <c r="D10" i="1" s="1"/>
  <c r="D11" i="2" s="1"/>
  <c r="N10" i="48"/>
  <c r="E10" i="48"/>
  <c r="F10" i="48" s="1"/>
  <c r="D10" i="48"/>
  <c r="A10" i="48"/>
  <c r="AJ9" i="48"/>
  <c r="AI9" i="48"/>
  <c r="AH9" i="48"/>
  <c r="AF9" i="48"/>
  <c r="X9" i="48"/>
  <c r="U9" i="48"/>
  <c r="T9" i="48"/>
  <c r="R9" i="48"/>
  <c r="E9" i="1" s="1"/>
  <c r="DZ9" i="1" s="1"/>
  <c r="P9" i="48"/>
  <c r="D9" i="1" s="1"/>
  <c r="E9" i="48"/>
  <c r="F9" i="48" s="1"/>
  <c r="D9" i="48"/>
  <c r="CJ395" i="59"/>
  <c r="CH395" i="59"/>
  <c r="CF395" i="59"/>
  <c r="CD395" i="59"/>
  <c r="CB395" i="59"/>
  <c r="BZ395" i="59"/>
  <c r="BX395" i="59"/>
  <c r="BV395" i="59"/>
  <c r="BT395" i="59"/>
  <c r="BR395" i="59"/>
  <c r="BP395" i="59"/>
  <c r="BN395" i="59"/>
  <c r="BL395" i="59"/>
  <c r="BJ395" i="59"/>
  <c r="BH395" i="59"/>
  <c r="BF395" i="59"/>
  <c r="BD395" i="59"/>
  <c r="BB395" i="59"/>
  <c r="AZ395" i="59"/>
  <c r="AX395" i="59"/>
  <c r="AV395" i="59"/>
  <c r="AT395" i="59"/>
  <c r="AR395" i="59"/>
  <c r="AP395" i="59"/>
  <c r="AN395" i="59"/>
  <c r="AL395" i="59"/>
  <c r="AJ395" i="59"/>
  <c r="AH395" i="59"/>
  <c r="AF395" i="59"/>
  <c r="AD395" i="59"/>
  <c r="AB395" i="59"/>
  <c r="Z395" i="59"/>
  <c r="X395" i="59"/>
  <c r="V395" i="59"/>
  <c r="T395" i="59"/>
  <c r="R395" i="59"/>
  <c r="P395" i="59"/>
  <c r="N395" i="59"/>
  <c r="L395" i="59"/>
  <c r="J395" i="59"/>
  <c r="H395" i="59"/>
  <c r="F395" i="59"/>
  <c r="D395" i="59"/>
  <c r="B395" i="59"/>
  <c r="CJ362" i="59"/>
  <c r="CH362" i="59"/>
  <c r="CF362" i="59"/>
  <c r="CD362" i="59"/>
  <c r="CB362" i="59"/>
  <c r="BZ362" i="59"/>
  <c r="BX362" i="59"/>
  <c r="BV362" i="59"/>
  <c r="BT362" i="59"/>
  <c r="BR362" i="59"/>
  <c r="BP362" i="59"/>
  <c r="BN362" i="59"/>
  <c r="BL362" i="59"/>
  <c r="BJ362" i="59"/>
  <c r="BH362" i="59"/>
  <c r="BF362" i="59"/>
  <c r="BD362" i="59"/>
  <c r="BB362" i="59"/>
  <c r="AZ362" i="59"/>
  <c r="AX362" i="59"/>
  <c r="AV362" i="59"/>
  <c r="AT362" i="59"/>
  <c r="AR362" i="59"/>
  <c r="AP362" i="59"/>
  <c r="AN362" i="59"/>
  <c r="AL362" i="59"/>
  <c r="AJ362" i="59"/>
  <c r="AH362" i="59"/>
  <c r="AF362" i="59"/>
  <c r="AD362" i="59"/>
  <c r="AB362" i="59"/>
  <c r="Z362" i="59"/>
  <c r="X362" i="59"/>
  <c r="V362" i="59"/>
  <c r="T362" i="59"/>
  <c r="R362" i="59"/>
  <c r="P362" i="59"/>
  <c r="N362" i="59"/>
  <c r="L362" i="59"/>
  <c r="J362" i="59"/>
  <c r="H362" i="59"/>
  <c r="F362" i="59"/>
  <c r="D362" i="59"/>
  <c r="B362" i="59"/>
  <c r="CJ332" i="59"/>
  <c r="CH332" i="59"/>
  <c r="CF332" i="59"/>
  <c r="CD332" i="59"/>
  <c r="CB332" i="59"/>
  <c r="BZ332" i="59"/>
  <c r="BX332" i="59"/>
  <c r="BV332" i="59"/>
  <c r="BT332" i="59"/>
  <c r="BR332" i="59"/>
  <c r="BP332" i="59"/>
  <c r="BN332" i="59"/>
  <c r="BL332" i="59"/>
  <c r="BJ332" i="59"/>
  <c r="BH332" i="59"/>
  <c r="BF332" i="59"/>
  <c r="BD332" i="59"/>
  <c r="BB332" i="59"/>
  <c r="AZ332" i="59"/>
  <c r="AX332" i="59"/>
  <c r="AV332" i="59"/>
  <c r="AT332" i="59"/>
  <c r="AR332" i="59"/>
  <c r="AP332" i="59"/>
  <c r="AN332" i="59"/>
  <c r="AL332" i="59"/>
  <c r="AJ332" i="59"/>
  <c r="AH332" i="59"/>
  <c r="AF332" i="59"/>
  <c r="AD332" i="59"/>
  <c r="AB332" i="59"/>
  <c r="Z332" i="59"/>
  <c r="X332" i="59"/>
  <c r="V332" i="59"/>
  <c r="T332" i="59"/>
  <c r="R332" i="59"/>
  <c r="P332" i="59"/>
  <c r="N332" i="59"/>
  <c r="L332" i="59"/>
  <c r="J332" i="59"/>
  <c r="H332" i="59"/>
  <c r="F332" i="59"/>
  <c r="D332" i="59"/>
  <c r="B332" i="59"/>
  <c r="CJ299" i="59"/>
  <c r="CH299" i="59"/>
  <c r="CF299" i="59"/>
  <c r="CD299" i="59"/>
  <c r="CB299" i="59"/>
  <c r="BZ299" i="59"/>
  <c r="BX299" i="59"/>
  <c r="BV299" i="59"/>
  <c r="BT299" i="59"/>
  <c r="BR299" i="59"/>
  <c r="BP299" i="59"/>
  <c r="BN299" i="59"/>
  <c r="BL299" i="59"/>
  <c r="BJ299" i="59"/>
  <c r="BH299" i="59"/>
  <c r="BF299" i="59"/>
  <c r="BD299" i="59"/>
  <c r="BB299" i="59"/>
  <c r="AZ299" i="59"/>
  <c r="AX299" i="59"/>
  <c r="AV299" i="59"/>
  <c r="AT299" i="59"/>
  <c r="AR299" i="59"/>
  <c r="AP299" i="59"/>
  <c r="AN299" i="59"/>
  <c r="AL299" i="59"/>
  <c r="AJ299" i="59"/>
  <c r="AH299" i="59"/>
  <c r="AF299" i="59"/>
  <c r="AD299" i="59"/>
  <c r="AB299" i="59"/>
  <c r="Z299" i="59"/>
  <c r="X299" i="59"/>
  <c r="V299" i="59"/>
  <c r="T299" i="59"/>
  <c r="R299" i="59"/>
  <c r="P299" i="59"/>
  <c r="N299" i="59"/>
  <c r="L299" i="59"/>
  <c r="J299" i="59"/>
  <c r="H299" i="59"/>
  <c r="F299" i="59"/>
  <c r="D299" i="59"/>
  <c r="B299" i="59"/>
  <c r="CJ267" i="59"/>
  <c r="CH267" i="59"/>
  <c r="CF267" i="59"/>
  <c r="CD267" i="59"/>
  <c r="CB267" i="59"/>
  <c r="BZ267" i="59"/>
  <c r="BX267" i="59"/>
  <c r="BV267" i="59"/>
  <c r="BT267" i="59"/>
  <c r="BR267" i="59"/>
  <c r="BP267" i="59"/>
  <c r="BN267" i="59"/>
  <c r="BL267" i="59"/>
  <c r="BJ267" i="59"/>
  <c r="BH267" i="59"/>
  <c r="BF267" i="59"/>
  <c r="BD267" i="59"/>
  <c r="BB267" i="59"/>
  <c r="AZ267" i="59"/>
  <c r="AX267" i="59"/>
  <c r="AV267" i="59"/>
  <c r="AT267" i="59"/>
  <c r="AR267" i="59"/>
  <c r="AP267" i="59"/>
  <c r="AN267" i="59"/>
  <c r="AL267" i="59"/>
  <c r="AJ267" i="59"/>
  <c r="AH267" i="59"/>
  <c r="AF267" i="59"/>
  <c r="AD267" i="59"/>
  <c r="AB267" i="59"/>
  <c r="Z267" i="59"/>
  <c r="X267" i="59"/>
  <c r="V267" i="59"/>
  <c r="T267" i="59"/>
  <c r="R267" i="59"/>
  <c r="P267" i="59"/>
  <c r="N267" i="59"/>
  <c r="L267" i="59"/>
  <c r="J267" i="59"/>
  <c r="H267" i="59"/>
  <c r="F267" i="59"/>
  <c r="D267" i="59"/>
  <c r="B267" i="59"/>
  <c r="CH234" i="59"/>
  <c r="CF234" i="59"/>
  <c r="CD234" i="59"/>
  <c r="CB234" i="59"/>
  <c r="BZ234" i="59"/>
  <c r="BX234" i="59"/>
  <c r="BV234" i="59"/>
  <c r="BT234" i="59"/>
  <c r="BR234" i="59"/>
  <c r="BP234" i="59"/>
  <c r="BN234" i="59"/>
  <c r="BL234" i="59"/>
  <c r="BJ234" i="59"/>
  <c r="BH234" i="59"/>
  <c r="BF234" i="59"/>
  <c r="BD234" i="59"/>
  <c r="BB234" i="59"/>
  <c r="AZ234" i="59"/>
  <c r="AX234" i="59"/>
  <c r="AV234" i="59"/>
  <c r="AT234" i="59"/>
  <c r="AR234" i="59"/>
  <c r="AP234" i="59"/>
  <c r="AN234" i="59"/>
  <c r="AL234" i="59"/>
  <c r="AJ234" i="59"/>
  <c r="AH234" i="59"/>
  <c r="AF234" i="59"/>
  <c r="AD234" i="59"/>
  <c r="AB234" i="59"/>
  <c r="Z234" i="59"/>
  <c r="X234" i="59"/>
  <c r="V234" i="59"/>
  <c r="T234" i="59"/>
  <c r="R234" i="59"/>
  <c r="P234" i="59"/>
  <c r="N234" i="59"/>
  <c r="L234" i="59"/>
  <c r="J234" i="59"/>
  <c r="H234" i="59"/>
  <c r="F234" i="59"/>
  <c r="D234" i="59"/>
  <c r="B234" i="59"/>
  <c r="CJ201" i="59"/>
  <c r="CH201" i="59"/>
  <c r="CF201" i="59"/>
  <c r="CD201" i="59"/>
  <c r="CB201" i="59"/>
  <c r="BZ201" i="59"/>
  <c r="BX201" i="59"/>
  <c r="BV201" i="59"/>
  <c r="BT201" i="59"/>
  <c r="BR201" i="59"/>
  <c r="BP201" i="59"/>
  <c r="BN201" i="59"/>
  <c r="BL201" i="59"/>
  <c r="BJ201" i="59"/>
  <c r="BH201" i="59"/>
  <c r="BF201" i="59"/>
  <c r="BD201" i="59"/>
  <c r="BB201" i="59"/>
  <c r="AZ201" i="59"/>
  <c r="AX201" i="59"/>
  <c r="AV201" i="59"/>
  <c r="AT201" i="59"/>
  <c r="AR201" i="59"/>
  <c r="AP201" i="59"/>
  <c r="AN201" i="59"/>
  <c r="AL201" i="59"/>
  <c r="AJ201" i="59"/>
  <c r="AH201" i="59"/>
  <c r="AF201" i="59"/>
  <c r="AD201" i="59"/>
  <c r="AB201" i="59"/>
  <c r="Z201" i="59"/>
  <c r="X201" i="59"/>
  <c r="V201" i="59"/>
  <c r="T201" i="59"/>
  <c r="R201" i="59"/>
  <c r="P201" i="59"/>
  <c r="N201" i="59"/>
  <c r="L201" i="59"/>
  <c r="J201" i="59"/>
  <c r="H201" i="59"/>
  <c r="F201" i="59"/>
  <c r="D201" i="59"/>
  <c r="B201" i="59"/>
  <c r="CJ168" i="59"/>
  <c r="CH168" i="59"/>
  <c r="CF168" i="59"/>
  <c r="CD168" i="59"/>
  <c r="CB168" i="59"/>
  <c r="BZ168" i="59"/>
  <c r="BX168" i="59"/>
  <c r="BV168" i="59"/>
  <c r="BT168" i="59"/>
  <c r="BR168" i="59"/>
  <c r="BP168" i="59"/>
  <c r="BN168" i="59"/>
  <c r="BL168" i="59"/>
  <c r="BJ168" i="59"/>
  <c r="BH168" i="59"/>
  <c r="BF168" i="59"/>
  <c r="BD168" i="59"/>
  <c r="BB168" i="59"/>
  <c r="AZ168" i="59"/>
  <c r="AX168" i="59"/>
  <c r="AV168" i="59"/>
  <c r="AT168" i="59"/>
  <c r="AR168" i="59"/>
  <c r="AP168" i="59"/>
  <c r="AN168" i="59"/>
  <c r="AL168" i="59"/>
  <c r="AJ168" i="59"/>
  <c r="AH168" i="59"/>
  <c r="AF168" i="59"/>
  <c r="AD168" i="59"/>
  <c r="AB168" i="59"/>
  <c r="Z168" i="59"/>
  <c r="X168" i="59"/>
  <c r="V168" i="59"/>
  <c r="T168" i="59"/>
  <c r="R168" i="59"/>
  <c r="P168" i="59"/>
  <c r="N168" i="59"/>
  <c r="L168" i="59"/>
  <c r="J168" i="59"/>
  <c r="H168" i="59"/>
  <c r="F168" i="59"/>
  <c r="D168" i="59"/>
  <c r="B168" i="59"/>
  <c r="CJ135" i="59"/>
  <c r="CH135" i="59"/>
  <c r="CF135" i="59"/>
  <c r="CD135" i="59"/>
  <c r="CB135" i="59"/>
  <c r="BZ135" i="59"/>
  <c r="BX135" i="59"/>
  <c r="BV135" i="59"/>
  <c r="BT135" i="59"/>
  <c r="BR135" i="59"/>
  <c r="BP135" i="59"/>
  <c r="BN135" i="59"/>
  <c r="BL135" i="59"/>
  <c r="BJ135" i="59"/>
  <c r="BH135" i="59"/>
  <c r="BF135" i="59"/>
  <c r="BD135" i="59"/>
  <c r="BB135" i="59"/>
  <c r="AZ135" i="59"/>
  <c r="AX135" i="59"/>
  <c r="AV135" i="59"/>
  <c r="AT135" i="59"/>
  <c r="AR135" i="59"/>
  <c r="AP135" i="59"/>
  <c r="AN135" i="59"/>
  <c r="AL135" i="59"/>
  <c r="AJ135" i="59"/>
  <c r="AH135" i="59"/>
  <c r="AF135" i="59"/>
  <c r="AD135" i="59"/>
  <c r="AB135" i="59"/>
  <c r="Z135" i="59"/>
  <c r="X135" i="59"/>
  <c r="V135" i="59"/>
  <c r="T135" i="59"/>
  <c r="R135" i="59"/>
  <c r="P135" i="59"/>
  <c r="N135" i="59"/>
  <c r="L135" i="59"/>
  <c r="J135" i="59"/>
  <c r="H135" i="59"/>
  <c r="F135" i="59"/>
  <c r="D135" i="59"/>
  <c r="B135" i="59"/>
  <c r="CJ102" i="59"/>
  <c r="CH102" i="59"/>
  <c r="CF102" i="59"/>
  <c r="CD102" i="59"/>
  <c r="CB102" i="59"/>
  <c r="BZ102" i="59"/>
  <c r="BX102" i="59"/>
  <c r="BV102" i="59"/>
  <c r="BT102" i="59"/>
  <c r="BR102" i="59"/>
  <c r="BP102" i="59"/>
  <c r="BN102" i="59"/>
  <c r="BL102" i="59"/>
  <c r="BJ102" i="59"/>
  <c r="BH102" i="59"/>
  <c r="BF102" i="59"/>
  <c r="BD102" i="59"/>
  <c r="BB102" i="59"/>
  <c r="AZ102" i="59"/>
  <c r="AX102" i="59"/>
  <c r="AV102" i="59"/>
  <c r="AT102" i="59"/>
  <c r="AR102" i="59"/>
  <c r="AP102" i="59"/>
  <c r="AN102" i="59"/>
  <c r="AL102" i="59"/>
  <c r="AJ102" i="59"/>
  <c r="AH102" i="59"/>
  <c r="AF102" i="59"/>
  <c r="AD102" i="59"/>
  <c r="AB102" i="59"/>
  <c r="Z102" i="59"/>
  <c r="X102" i="59"/>
  <c r="V102" i="59"/>
  <c r="T102" i="59"/>
  <c r="R102" i="59"/>
  <c r="P102" i="59"/>
  <c r="N102" i="59"/>
  <c r="L102" i="59"/>
  <c r="J102" i="59"/>
  <c r="H102" i="59"/>
  <c r="F102" i="59"/>
  <c r="D102" i="59"/>
  <c r="B102" i="59"/>
  <c r="CJ69" i="59"/>
  <c r="CH69" i="59"/>
  <c r="CF69" i="59"/>
  <c r="CD69" i="59"/>
  <c r="CB69" i="59"/>
  <c r="BZ69" i="59"/>
  <c r="BX69" i="59"/>
  <c r="BV69" i="59"/>
  <c r="BT69" i="59"/>
  <c r="BR69" i="59"/>
  <c r="BP69" i="59"/>
  <c r="BN69" i="59"/>
  <c r="BL69" i="59"/>
  <c r="BJ69" i="59"/>
  <c r="BH69" i="59"/>
  <c r="BF69" i="59"/>
  <c r="BD69" i="59"/>
  <c r="BB69" i="59"/>
  <c r="AZ69" i="59"/>
  <c r="AX69" i="59"/>
  <c r="AV69" i="59"/>
  <c r="AT69" i="59"/>
  <c r="AR69" i="59"/>
  <c r="AP69" i="59"/>
  <c r="AN69" i="59"/>
  <c r="AL69" i="59"/>
  <c r="AJ69" i="59"/>
  <c r="AH69" i="59"/>
  <c r="AF69" i="59"/>
  <c r="AD69" i="59"/>
  <c r="AB69" i="59"/>
  <c r="Z69" i="59"/>
  <c r="X69" i="59"/>
  <c r="V69" i="59"/>
  <c r="T69" i="59"/>
  <c r="R69" i="59"/>
  <c r="P69" i="59"/>
  <c r="N69" i="59"/>
  <c r="L69" i="59"/>
  <c r="J69" i="59"/>
  <c r="H69" i="59"/>
  <c r="F69" i="59"/>
  <c r="D69" i="59"/>
  <c r="B69" i="59"/>
  <c r="CJ36" i="59"/>
  <c r="BR36" i="59"/>
  <c r="BN36" i="59"/>
  <c r="CE34" i="59"/>
  <c r="CD36" i="59" s="1"/>
  <c r="CD34" i="59"/>
  <c r="CC34" i="59"/>
  <c r="CB36" i="59" s="1"/>
  <c r="CB34" i="59"/>
  <c r="BY34" i="59"/>
  <c r="BX36" i="59" s="1"/>
  <c r="BX34" i="59"/>
  <c r="BW34" i="59"/>
  <c r="BV36" i="59" s="1"/>
  <c r="BV34" i="59"/>
  <c r="BU34" i="59"/>
  <c r="BT36" i="59" s="1"/>
  <c r="BT34" i="59"/>
  <c r="BM34" i="59"/>
  <c r="BL36" i="59" s="1"/>
  <c r="BL34" i="59"/>
  <c r="BK34" i="59"/>
  <c r="BJ36" i="59" s="1"/>
  <c r="BJ34" i="59"/>
  <c r="BI34" i="59"/>
  <c r="BH36" i="59" s="1"/>
  <c r="BH34" i="59"/>
  <c r="BG34" i="59"/>
  <c r="BF36" i="59" s="1"/>
  <c r="BF34" i="59"/>
  <c r="AY34" i="59"/>
  <c r="AX36" i="59" s="1"/>
  <c r="AX34" i="59"/>
  <c r="AW34" i="59"/>
  <c r="AV36" i="59" s="1"/>
  <c r="AV34" i="59"/>
  <c r="AS34" i="59"/>
  <c r="AR36" i="59" s="1"/>
  <c r="AR34" i="59"/>
  <c r="AQ34" i="59"/>
  <c r="AP36" i="59" s="1"/>
  <c r="AP34" i="59"/>
  <c r="AO34" i="59"/>
  <c r="AN36" i="59" s="1"/>
  <c r="AN34" i="59"/>
  <c r="AM34" i="59"/>
  <c r="AL36" i="59" s="1"/>
  <c r="AL34" i="59"/>
  <c r="AK34" i="59"/>
  <c r="AJ36" i="59" s="1"/>
  <c r="AJ34" i="59"/>
  <c r="AI34" i="59"/>
  <c r="AH36" i="59" s="1"/>
  <c r="AH34" i="59"/>
  <c r="AG34" i="59"/>
  <c r="AF36" i="59" s="1"/>
  <c r="AF34" i="59"/>
  <c r="AE34" i="59"/>
  <c r="AD36" i="59" s="1"/>
  <c r="AD34" i="59"/>
  <c r="AC34" i="59"/>
  <c r="AB36" i="59" s="1"/>
  <c r="AB34" i="59"/>
  <c r="AA34" i="59"/>
  <c r="Z36" i="59" s="1"/>
  <c r="Z34" i="59"/>
  <c r="U34" i="59"/>
  <c r="T36" i="59" s="1"/>
  <c r="T34" i="59"/>
  <c r="S34" i="59"/>
  <c r="R36" i="59" s="1"/>
  <c r="R34" i="59"/>
  <c r="Q34" i="59"/>
  <c r="P36" i="59" s="1"/>
  <c r="P34" i="59"/>
  <c r="O34" i="59"/>
  <c r="N36" i="59" s="1"/>
  <c r="N34" i="59"/>
  <c r="M34" i="59"/>
  <c r="L36" i="59" s="1"/>
  <c r="L34" i="59"/>
  <c r="CE33" i="59"/>
  <c r="CD33" i="59"/>
  <c r="CC33" i="59"/>
  <c r="CB33" i="59"/>
  <c r="BY33" i="59"/>
  <c r="BX33" i="59"/>
  <c r="BW33" i="59"/>
  <c r="BV33" i="59"/>
  <c r="BU33" i="59"/>
  <c r="BT33" i="59"/>
  <c r="BM33" i="59"/>
  <c r="BL33" i="59"/>
  <c r="BK33" i="59"/>
  <c r="BJ33" i="59"/>
  <c r="BI33" i="59"/>
  <c r="BH33" i="59"/>
  <c r="BG33" i="59"/>
  <c r="BF33" i="59"/>
  <c r="AY33" i="59"/>
  <c r="AX33" i="59"/>
  <c r="AW33" i="59"/>
  <c r="AV33" i="59"/>
  <c r="AS33" i="59"/>
  <c r="AR33" i="59"/>
  <c r="AQ33" i="59"/>
  <c r="AP33" i="59"/>
  <c r="AO33" i="59"/>
  <c r="AN33" i="59"/>
  <c r="AM33" i="59"/>
  <c r="AL33" i="59"/>
  <c r="AK33" i="59"/>
  <c r="AJ33" i="59"/>
  <c r="AI33" i="59"/>
  <c r="AH33" i="59"/>
  <c r="AG33" i="59"/>
  <c r="AF33" i="59"/>
  <c r="AE33" i="59"/>
  <c r="AD33" i="59"/>
  <c r="AC33" i="59"/>
  <c r="AB33" i="59"/>
  <c r="AA33" i="59"/>
  <c r="Z33" i="59"/>
  <c r="U33" i="59"/>
  <c r="T33" i="59"/>
  <c r="S33" i="59"/>
  <c r="R33" i="59"/>
  <c r="Q33" i="59"/>
  <c r="P33" i="59"/>
  <c r="O33" i="59"/>
  <c r="N33" i="59"/>
  <c r="M33" i="59"/>
  <c r="L33" i="59"/>
  <c r="F33" i="59"/>
  <c r="B33" i="59"/>
  <c r="CE32" i="59"/>
  <c r="CD32" i="59"/>
  <c r="CC32" i="59"/>
  <c r="CB32" i="59"/>
  <c r="BY32" i="59"/>
  <c r="BX32" i="59"/>
  <c r="BW32" i="59"/>
  <c r="BV32" i="59"/>
  <c r="BU32" i="59"/>
  <c r="BT32" i="59"/>
  <c r="BM32" i="59"/>
  <c r="BL32" i="59"/>
  <c r="BK32" i="59"/>
  <c r="BJ32" i="59"/>
  <c r="BI32" i="59"/>
  <c r="BH32" i="59"/>
  <c r="BG32" i="59"/>
  <c r="BF32" i="59"/>
  <c r="AY32" i="59"/>
  <c r="AX32" i="59"/>
  <c r="AW32" i="59"/>
  <c r="AV32" i="59"/>
  <c r="AS32" i="59"/>
  <c r="AR32" i="59"/>
  <c r="AQ32" i="59"/>
  <c r="AP32" i="59"/>
  <c r="AO32" i="59"/>
  <c r="AN32" i="59"/>
  <c r="AM32" i="59"/>
  <c r="AL32" i="59"/>
  <c r="AK32" i="59"/>
  <c r="AJ32" i="59"/>
  <c r="AI32" i="59"/>
  <c r="AH32" i="59"/>
  <c r="AG32" i="59"/>
  <c r="AF32" i="59"/>
  <c r="AE32" i="59"/>
  <c r="AD32" i="59"/>
  <c r="AC32" i="59"/>
  <c r="AB32" i="59"/>
  <c r="AA32" i="59"/>
  <c r="Z32" i="59"/>
  <c r="U32" i="59"/>
  <c r="T32" i="59"/>
  <c r="S32" i="59"/>
  <c r="R32" i="59"/>
  <c r="Q32" i="59"/>
  <c r="P32" i="59"/>
  <c r="O32" i="59"/>
  <c r="N32" i="59"/>
  <c r="M32" i="59"/>
  <c r="L32" i="59"/>
  <c r="CE31" i="59"/>
  <c r="CD31" i="59"/>
  <c r="CC31" i="59"/>
  <c r="CB31" i="59"/>
  <c r="BY31" i="59"/>
  <c r="BX31" i="59"/>
  <c r="BW31" i="59"/>
  <c r="BV31" i="59"/>
  <c r="BU31" i="59"/>
  <c r="BT31" i="59"/>
  <c r="BM31" i="59"/>
  <c r="BL31" i="59"/>
  <c r="BK31" i="59"/>
  <c r="BJ31" i="59"/>
  <c r="BI31" i="59"/>
  <c r="BH31" i="59"/>
  <c r="BG31" i="59"/>
  <c r="BF31" i="59"/>
  <c r="AY31" i="59"/>
  <c r="AX31" i="59"/>
  <c r="AW31" i="59"/>
  <c r="AV31" i="59"/>
  <c r="AS31" i="59"/>
  <c r="AR31" i="59"/>
  <c r="AQ31" i="59"/>
  <c r="AP31" i="59"/>
  <c r="AO31" i="59"/>
  <c r="AN31" i="59"/>
  <c r="AM31" i="59"/>
  <c r="AL31" i="59"/>
  <c r="AK31" i="59"/>
  <c r="AJ31" i="59"/>
  <c r="AI31" i="59"/>
  <c r="AH31" i="59"/>
  <c r="AG31" i="59"/>
  <c r="AF31" i="59"/>
  <c r="AE31" i="59"/>
  <c r="AD31" i="59"/>
  <c r="AC31" i="59"/>
  <c r="AB31" i="59"/>
  <c r="AA31" i="59"/>
  <c r="Z31" i="59"/>
  <c r="U31" i="59"/>
  <c r="T31" i="59"/>
  <c r="S31" i="59"/>
  <c r="R31" i="59"/>
  <c r="Q31" i="59"/>
  <c r="P31" i="59"/>
  <c r="O31" i="59"/>
  <c r="N31" i="59"/>
  <c r="M31" i="59"/>
  <c r="L31" i="59"/>
  <c r="CE30" i="59"/>
  <c r="CD30" i="59"/>
  <c r="CC30" i="59"/>
  <c r="CB30" i="59"/>
  <c r="BY30" i="59"/>
  <c r="BX30" i="59"/>
  <c r="BW30" i="59"/>
  <c r="BV30" i="59"/>
  <c r="BU30" i="59"/>
  <c r="BT30" i="59"/>
  <c r="BM30" i="59"/>
  <c r="BL30" i="59"/>
  <c r="BK30" i="59"/>
  <c r="BJ30" i="59"/>
  <c r="BI30" i="59"/>
  <c r="BH30" i="59"/>
  <c r="BG30" i="59"/>
  <c r="BF30" i="59"/>
  <c r="AY30" i="59"/>
  <c r="AX30" i="59"/>
  <c r="AW30" i="59"/>
  <c r="AV30" i="59"/>
  <c r="AS30" i="59"/>
  <c r="AR30" i="59"/>
  <c r="AQ30" i="59"/>
  <c r="AP30" i="59"/>
  <c r="AO30" i="59"/>
  <c r="AN30" i="59"/>
  <c r="AM30" i="59"/>
  <c r="AL30" i="59"/>
  <c r="AK30" i="59"/>
  <c r="AJ30" i="59"/>
  <c r="AI30" i="59"/>
  <c r="AH30" i="59"/>
  <c r="AG30" i="59"/>
  <c r="AF30" i="59"/>
  <c r="AE30" i="59"/>
  <c r="AD30" i="59"/>
  <c r="AC30" i="59"/>
  <c r="AB30" i="59"/>
  <c r="AA30" i="59"/>
  <c r="Z30" i="59"/>
  <c r="U30" i="59"/>
  <c r="T30" i="59"/>
  <c r="S30" i="59"/>
  <c r="R30" i="59"/>
  <c r="Q30" i="59"/>
  <c r="P30" i="59"/>
  <c r="O30" i="59"/>
  <c r="N30" i="59"/>
  <c r="M30" i="59"/>
  <c r="L30" i="59"/>
  <c r="F30" i="59"/>
  <c r="CE29" i="59"/>
  <c r="CD29" i="59"/>
  <c r="CC29" i="59"/>
  <c r="CB29" i="59"/>
  <c r="BY29" i="59"/>
  <c r="BX29" i="59"/>
  <c r="BW29" i="59"/>
  <c r="BV29" i="59"/>
  <c r="BU29" i="59"/>
  <c r="BT29" i="59"/>
  <c r="BM29" i="59"/>
  <c r="BL29" i="59"/>
  <c r="BK29" i="59"/>
  <c r="BJ29" i="59"/>
  <c r="BI29" i="59"/>
  <c r="BH29" i="59"/>
  <c r="BG29" i="59"/>
  <c r="BF29" i="59"/>
  <c r="AY29" i="59"/>
  <c r="AX29" i="59"/>
  <c r="AW29" i="59"/>
  <c r="AV29" i="59"/>
  <c r="AS29" i="59"/>
  <c r="AR29" i="59"/>
  <c r="AQ29" i="59"/>
  <c r="AP29" i="59"/>
  <c r="AO29" i="59"/>
  <c r="AN29" i="59"/>
  <c r="AM29" i="59"/>
  <c r="AL29" i="59"/>
  <c r="AK29" i="59"/>
  <c r="AJ29" i="59"/>
  <c r="AI29" i="59"/>
  <c r="AH29" i="59"/>
  <c r="AG29" i="59"/>
  <c r="AF29" i="59"/>
  <c r="AE29" i="59"/>
  <c r="AD29" i="59"/>
  <c r="AC29" i="59"/>
  <c r="AB29" i="59"/>
  <c r="AA29" i="59"/>
  <c r="Z29" i="59"/>
  <c r="U29" i="59"/>
  <c r="T29" i="59"/>
  <c r="S29" i="59"/>
  <c r="R29" i="59"/>
  <c r="Q29" i="59"/>
  <c r="P29" i="59"/>
  <c r="O29" i="59"/>
  <c r="N29" i="59"/>
  <c r="M29" i="59"/>
  <c r="L29" i="59"/>
  <c r="CE28" i="59"/>
  <c r="CD28" i="59"/>
  <c r="CC28" i="59"/>
  <c r="CB28" i="59"/>
  <c r="BY28" i="59"/>
  <c r="BX28" i="59"/>
  <c r="BW28" i="59"/>
  <c r="BV28" i="59"/>
  <c r="BU28" i="59"/>
  <c r="BT28" i="59"/>
  <c r="BM28" i="59"/>
  <c r="BL28" i="59"/>
  <c r="BK28" i="59"/>
  <c r="BJ28" i="59"/>
  <c r="BI28" i="59"/>
  <c r="BH28" i="59"/>
  <c r="BG28" i="59"/>
  <c r="BF28" i="59"/>
  <c r="AY28" i="59"/>
  <c r="AX28" i="59"/>
  <c r="AW28" i="59"/>
  <c r="AV28" i="59"/>
  <c r="AS28" i="59"/>
  <c r="AR28" i="59"/>
  <c r="AQ28" i="59"/>
  <c r="AP28" i="59"/>
  <c r="AO28" i="59"/>
  <c r="AN28" i="59"/>
  <c r="AM28" i="59"/>
  <c r="AL28" i="59"/>
  <c r="AK28" i="59"/>
  <c r="AJ28" i="59"/>
  <c r="AI28" i="59"/>
  <c r="AH28" i="59"/>
  <c r="AG28" i="59"/>
  <c r="AF28" i="59"/>
  <c r="AE28" i="59"/>
  <c r="AD28" i="59"/>
  <c r="AC28" i="59"/>
  <c r="AB28" i="59"/>
  <c r="AA28" i="59"/>
  <c r="Z28" i="59"/>
  <c r="U28" i="59"/>
  <c r="T28" i="59"/>
  <c r="S28" i="59"/>
  <c r="R28" i="59"/>
  <c r="Q28" i="59"/>
  <c r="P28" i="59"/>
  <c r="O28" i="59"/>
  <c r="N28" i="59"/>
  <c r="M28" i="59"/>
  <c r="L28" i="59"/>
  <c r="CE27" i="59"/>
  <c r="CD27" i="59"/>
  <c r="CC27" i="59"/>
  <c r="CB27" i="59"/>
  <c r="BY27" i="59"/>
  <c r="BX27" i="59"/>
  <c r="BW27" i="59"/>
  <c r="BV27" i="59"/>
  <c r="BU27" i="59"/>
  <c r="BT27" i="59"/>
  <c r="BM27" i="59"/>
  <c r="BL27" i="59"/>
  <c r="BK27" i="59"/>
  <c r="BJ27" i="59"/>
  <c r="BI27" i="59"/>
  <c r="BH27" i="59"/>
  <c r="BG27" i="59"/>
  <c r="BF27" i="59"/>
  <c r="AY27" i="59"/>
  <c r="AX27" i="59"/>
  <c r="AW27" i="59"/>
  <c r="AV27" i="59"/>
  <c r="AS27" i="59"/>
  <c r="AR27" i="59"/>
  <c r="AQ27" i="59"/>
  <c r="AP27" i="59"/>
  <c r="AO27" i="59"/>
  <c r="AN27" i="59"/>
  <c r="AM27" i="59"/>
  <c r="AL27" i="59"/>
  <c r="AK27" i="59"/>
  <c r="AJ27" i="59"/>
  <c r="AI27" i="59"/>
  <c r="AH27" i="59"/>
  <c r="AG27" i="59"/>
  <c r="AF27" i="59"/>
  <c r="AE27" i="59"/>
  <c r="AD27" i="59"/>
  <c r="AC27" i="59"/>
  <c r="AB27" i="59"/>
  <c r="AA27" i="59"/>
  <c r="Z27" i="59"/>
  <c r="U27" i="59"/>
  <c r="T27" i="59"/>
  <c r="S27" i="59"/>
  <c r="R27" i="59"/>
  <c r="Q27" i="59"/>
  <c r="P27" i="59"/>
  <c r="O27" i="59"/>
  <c r="N27" i="59"/>
  <c r="M27" i="59"/>
  <c r="L27" i="59"/>
  <c r="CE26" i="59"/>
  <c r="CD26" i="59"/>
  <c r="CC26" i="59"/>
  <c r="CB26" i="59"/>
  <c r="BY26" i="59"/>
  <c r="BX26" i="59"/>
  <c r="BW26" i="59"/>
  <c r="BV26" i="59"/>
  <c r="BU26" i="59"/>
  <c r="BT26" i="59"/>
  <c r="BM26" i="59"/>
  <c r="BL26" i="59"/>
  <c r="BK26" i="59"/>
  <c r="BJ26" i="59"/>
  <c r="BI26" i="59"/>
  <c r="BH26" i="59"/>
  <c r="BG26" i="59"/>
  <c r="BF26" i="59"/>
  <c r="AY26" i="59"/>
  <c r="AX26" i="59"/>
  <c r="AW26" i="59"/>
  <c r="AV26" i="59"/>
  <c r="AS26" i="59"/>
  <c r="AR26" i="59"/>
  <c r="AQ26" i="59"/>
  <c r="AP26" i="59"/>
  <c r="AO26" i="59"/>
  <c r="AN26" i="59"/>
  <c r="AK26" i="59"/>
  <c r="AJ26" i="59"/>
  <c r="AI26" i="59"/>
  <c r="AH26" i="59"/>
  <c r="AG26" i="59"/>
  <c r="AF26" i="59"/>
  <c r="AE26" i="59"/>
  <c r="AD26" i="59"/>
  <c r="AC26" i="59"/>
  <c r="AB26" i="59"/>
  <c r="AA26" i="59"/>
  <c r="Z26" i="59"/>
  <c r="U26" i="59"/>
  <c r="T26" i="59"/>
  <c r="S26" i="59"/>
  <c r="R26" i="59"/>
  <c r="Q26" i="59"/>
  <c r="P26" i="59"/>
  <c r="O26" i="59"/>
  <c r="N26" i="59"/>
  <c r="M26" i="59"/>
  <c r="L26" i="59"/>
  <c r="CE25" i="59"/>
  <c r="CD25" i="59"/>
  <c r="CC25" i="59"/>
  <c r="CB25" i="59"/>
  <c r="BY25" i="59"/>
  <c r="BX25" i="59"/>
  <c r="BW25" i="59"/>
  <c r="BV25" i="59"/>
  <c r="BU25" i="59"/>
  <c r="BT25" i="59"/>
  <c r="BM25" i="59"/>
  <c r="BL25" i="59"/>
  <c r="BK25" i="59"/>
  <c r="BJ25" i="59"/>
  <c r="BI25" i="59"/>
  <c r="BH25" i="59"/>
  <c r="BG25" i="59"/>
  <c r="BF25" i="59"/>
  <c r="AY25" i="59"/>
  <c r="AX25" i="59"/>
  <c r="AW25" i="59"/>
  <c r="AV25" i="59"/>
  <c r="AS25" i="59"/>
  <c r="AR25" i="59"/>
  <c r="AQ25" i="59"/>
  <c r="AP25" i="59"/>
  <c r="AO25" i="59"/>
  <c r="AN25" i="59"/>
  <c r="AK25" i="59"/>
  <c r="AJ25" i="59"/>
  <c r="AI25" i="59"/>
  <c r="AH25" i="59"/>
  <c r="AG25" i="59"/>
  <c r="AF25" i="59"/>
  <c r="AE25" i="59"/>
  <c r="AD25" i="59"/>
  <c r="AC25" i="59"/>
  <c r="AB25" i="59"/>
  <c r="AA25" i="59"/>
  <c r="Z25" i="59"/>
  <c r="U25" i="59"/>
  <c r="T25" i="59"/>
  <c r="S25" i="59"/>
  <c r="R25" i="59"/>
  <c r="Q25" i="59"/>
  <c r="P25" i="59"/>
  <c r="O25" i="59"/>
  <c r="N25" i="59"/>
  <c r="M25" i="59"/>
  <c r="L25" i="59"/>
  <c r="CE24" i="59"/>
  <c r="CD24" i="59"/>
  <c r="CC24" i="59"/>
  <c r="CB24" i="59"/>
  <c r="BY24" i="59"/>
  <c r="BX24" i="59"/>
  <c r="BW24" i="59"/>
  <c r="BV24" i="59"/>
  <c r="BU24" i="59"/>
  <c r="BT24" i="59"/>
  <c r="BM24" i="59"/>
  <c r="BL24" i="59"/>
  <c r="BK24" i="59"/>
  <c r="BJ24" i="59"/>
  <c r="BI24" i="59"/>
  <c r="BH24" i="59"/>
  <c r="BG24" i="59"/>
  <c r="BF24" i="59"/>
  <c r="AY24" i="59"/>
  <c r="AX24" i="59"/>
  <c r="AW24" i="59"/>
  <c r="AV24" i="59"/>
  <c r="AS24" i="59"/>
  <c r="AR24" i="59"/>
  <c r="AQ24" i="59"/>
  <c r="AP24" i="59"/>
  <c r="AO24" i="59"/>
  <c r="AN24" i="59"/>
  <c r="AK24" i="59"/>
  <c r="AJ24" i="59"/>
  <c r="AI24" i="59"/>
  <c r="AH24" i="59"/>
  <c r="AG24" i="59"/>
  <c r="AF24" i="59"/>
  <c r="AE24" i="59"/>
  <c r="AD24" i="59"/>
  <c r="AC24" i="59"/>
  <c r="AB24" i="59"/>
  <c r="AA24" i="59"/>
  <c r="Z24" i="59"/>
  <c r="U24" i="59"/>
  <c r="T24" i="59"/>
  <c r="S24" i="59"/>
  <c r="R24" i="59"/>
  <c r="Q24" i="59"/>
  <c r="P24" i="59"/>
  <c r="O24" i="59"/>
  <c r="N24" i="59"/>
  <c r="M24" i="59"/>
  <c r="L24" i="59"/>
  <c r="CE23" i="59"/>
  <c r="CD23" i="59"/>
  <c r="CC23" i="59"/>
  <c r="CB23" i="59"/>
  <c r="BY23" i="59"/>
  <c r="BX23" i="59"/>
  <c r="BW23" i="59"/>
  <c r="BV23" i="59"/>
  <c r="BU23" i="59"/>
  <c r="BT23" i="59"/>
  <c r="BM23" i="59"/>
  <c r="BL23" i="59"/>
  <c r="BK23" i="59"/>
  <c r="BJ23" i="59"/>
  <c r="BI23" i="59"/>
  <c r="BH23" i="59"/>
  <c r="BG23" i="59"/>
  <c r="BF23" i="59"/>
  <c r="AY23" i="59"/>
  <c r="AX23" i="59"/>
  <c r="AW23" i="59"/>
  <c r="AV23" i="59"/>
  <c r="AS23" i="59"/>
  <c r="AR23" i="59"/>
  <c r="AQ23" i="59"/>
  <c r="AP23" i="59"/>
  <c r="AO23" i="59"/>
  <c r="AN23" i="59"/>
  <c r="AK23" i="59"/>
  <c r="AJ23" i="59"/>
  <c r="AI23" i="59"/>
  <c r="AH23" i="59"/>
  <c r="AG23" i="59"/>
  <c r="AF23" i="59"/>
  <c r="AE23" i="59"/>
  <c r="AD23" i="59"/>
  <c r="AC23" i="59"/>
  <c r="AB23" i="59"/>
  <c r="AA23" i="59"/>
  <c r="Z23" i="59"/>
  <c r="U23" i="59"/>
  <c r="T23" i="59"/>
  <c r="S23" i="59"/>
  <c r="R23" i="59"/>
  <c r="Q23" i="59"/>
  <c r="P23" i="59"/>
  <c r="O23" i="59"/>
  <c r="N23" i="59"/>
  <c r="M23" i="59"/>
  <c r="L23" i="59"/>
  <c r="CE22" i="59"/>
  <c r="CD22" i="59"/>
  <c r="CC22" i="59"/>
  <c r="CB22" i="59"/>
  <c r="BY22" i="59"/>
  <c r="BX22" i="59"/>
  <c r="BW22" i="59"/>
  <c r="BV22" i="59"/>
  <c r="BU22" i="59"/>
  <c r="BT22" i="59"/>
  <c r="BM22" i="59"/>
  <c r="BL22" i="59"/>
  <c r="BK22" i="59"/>
  <c r="BJ22" i="59"/>
  <c r="BI22" i="59"/>
  <c r="BH22" i="59"/>
  <c r="BG22" i="59"/>
  <c r="BF22" i="59"/>
  <c r="AY22" i="59"/>
  <c r="AX22" i="59"/>
  <c r="AW22" i="59"/>
  <c r="AV22" i="59"/>
  <c r="AS22" i="59"/>
  <c r="AR22" i="59"/>
  <c r="AQ22" i="59"/>
  <c r="AP22" i="59"/>
  <c r="AO22" i="59"/>
  <c r="AN22" i="59"/>
  <c r="AK22" i="59"/>
  <c r="AJ22" i="59"/>
  <c r="AI22" i="59"/>
  <c r="AH22" i="59"/>
  <c r="AG22" i="59"/>
  <c r="AF22" i="59"/>
  <c r="AE22" i="59"/>
  <c r="AD22" i="59"/>
  <c r="AC22" i="59"/>
  <c r="AB22" i="59"/>
  <c r="AA22" i="59"/>
  <c r="Z22" i="59"/>
  <c r="U22" i="59"/>
  <c r="T22" i="59"/>
  <c r="S22" i="59"/>
  <c r="R22" i="59"/>
  <c r="Q22" i="59"/>
  <c r="P22" i="59"/>
  <c r="O22" i="59"/>
  <c r="N22" i="59"/>
  <c r="M22" i="59"/>
  <c r="L22" i="59"/>
  <c r="CE21" i="59"/>
  <c r="CD21" i="59"/>
  <c r="CC21" i="59"/>
  <c r="CB21" i="59"/>
  <c r="BY21" i="59"/>
  <c r="BX21" i="59"/>
  <c r="BW21" i="59"/>
  <c r="BV21" i="59"/>
  <c r="BU21" i="59"/>
  <c r="BT21" i="59"/>
  <c r="BM21" i="59"/>
  <c r="BL21" i="59"/>
  <c r="BK21" i="59"/>
  <c r="BJ21" i="59"/>
  <c r="BI21" i="59"/>
  <c r="BH21" i="59"/>
  <c r="BG21" i="59"/>
  <c r="BF21" i="59"/>
  <c r="AY21" i="59"/>
  <c r="AX21" i="59"/>
  <c r="AW21" i="59"/>
  <c r="AV21" i="59"/>
  <c r="AS21" i="59"/>
  <c r="AR21" i="59"/>
  <c r="AQ21" i="59"/>
  <c r="AP21" i="59"/>
  <c r="AO21" i="59"/>
  <c r="AN21" i="59"/>
  <c r="AK21" i="59"/>
  <c r="AJ21" i="59"/>
  <c r="AI21" i="59"/>
  <c r="AH21" i="59"/>
  <c r="AG21" i="59"/>
  <c r="AF21" i="59"/>
  <c r="AE21" i="59"/>
  <c r="AD21" i="59"/>
  <c r="AC21" i="59"/>
  <c r="AB21" i="59"/>
  <c r="AA21" i="59"/>
  <c r="Z21" i="59"/>
  <c r="U21" i="59"/>
  <c r="T21" i="59"/>
  <c r="S21" i="59"/>
  <c r="R21" i="59"/>
  <c r="Q21" i="59"/>
  <c r="P21" i="59"/>
  <c r="O21" i="59"/>
  <c r="N21" i="59"/>
  <c r="M21" i="59"/>
  <c r="L21" i="59"/>
  <c r="H21" i="59"/>
  <c r="F21" i="59"/>
  <c r="CE20" i="59"/>
  <c r="CD20" i="59"/>
  <c r="CC20" i="59"/>
  <c r="CB20" i="59"/>
  <c r="BY20" i="59"/>
  <c r="BX20" i="59"/>
  <c r="BW20" i="59"/>
  <c r="BV20" i="59"/>
  <c r="BU20" i="59"/>
  <c r="BT20" i="59"/>
  <c r="BM20" i="59"/>
  <c r="BL20" i="59"/>
  <c r="BK20" i="59"/>
  <c r="BJ20" i="59"/>
  <c r="BI20" i="59"/>
  <c r="BH20" i="59"/>
  <c r="BG20" i="59"/>
  <c r="BF20" i="59"/>
  <c r="AY20" i="59"/>
  <c r="AX20" i="59"/>
  <c r="AW20" i="59"/>
  <c r="AV20" i="59"/>
  <c r="AS20" i="59"/>
  <c r="AR20" i="59"/>
  <c r="AQ20" i="59"/>
  <c r="AP20" i="59"/>
  <c r="AO20" i="59"/>
  <c r="AN20" i="59"/>
  <c r="AK20" i="59"/>
  <c r="AJ20" i="59"/>
  <c r="AI20" i="59"/>
  <c r="AH20" i="59"/>
  <c r="AG20" i="59"/>
  <c r="AF20" i="59"/>
  <c r="AE20" i="59"/>
  <c r="AD20" i="59"/>
  <c r="AC20" i="59"/>
  <c r="AB20" i="59"/>
  <c r="AA20" i="59"/>
  <c r="Z20" i="59"/>
  <c r="U20" i="59"/>
  <c r="T20" i="59"/>
  <c r="S20" i="59"/>
  <c r="R20" i="59"/>
  <c r="Q20" i="59"/>
  <c r="P20" i="59"/>
  <c r="O20" i="59"/>
  <c r="N20" i="59"/>
  <c r="M20" i="59"/>
  <c r="L20" i="59"/>
  <c r="CE19" i="59"/>
  <c r="CD19" i="59"/>
  <c r="CC19" i="59"/>
  <c r="CB19" i="59"/>
  <c r="BY19" i="59"/>
  <c r="BX19" i="59"/>
  <c r="BW19" i="59"/>
  <c r="BV19" i="59"/>
  <c r="BU19" i="59"/>
  <c r="BT19" i="59"/>
  <c r="BM19" i="59"/>
  <c r="BL19" i="59"/>
  <c r="BK19" i="59"/>
  <c r="BJ19" i="59"/>
  <c r="BI19" i="59"/>
  <c r="BH19" i="59"/>
  <c r="BG19" i="59"/>
  <c r="BF19" i="59"/>
  <c r="AY19" i="59"/>
  <c r="AX19" i="59"/>
  <c r="AW19" i="59"/>
  <c r="AV19" i="59"/>
  <c r="AS19" i="59"/>
  <c r="AR19" i="59"/>
  <c r="AQ19" i="59"/>
  <c r="AP19" i="59"/>
  <c r="AO19" i="59"/>
  <c r="AN19" i="59"/>
  <c r="AK19" i="59"/>
  <c r="AJ19" i="59"/>
  <c r="AI19" i="59"/>
  <c r="AH19" i="59"/>
  <c r="AG19" i="59"/>
  <c r="AF19" i="59"/>
  <c r="AE19" i="59"/>
  <c r="AD19" i="59"/>
  <c r="AC19" i="59"/>
  <c r="AB19" i="59"/>
  <c r="AA19" i="59"/>
  <c r="Z19" i="59"/>
  <c r="U19" i="59"/>
  <c r="T19" i="59"/>
  <c r="S19" i="59"/>
  <c r="R19" i="59"/>
  <c r="Q19" i="59"/>
  <c r="P19" i="59"/>
  <c r="O19" i="59"/>
  <c r="N19" i="59"/>
  <c r="M19" i="59"/>
  <c r="L19" i="59"/>
  <c r="CE18" i="59"/>
  <c r="CD18" i="59"/>
  <c r="CC18" i="59"/>
  <c r="CB18" i="59"/>
  <c r="BY18" i="59"/>
  <c r="BX18" i="59"/>
  <c r="BW18" i="59"/>
  <c r="BV18" i="59"/>
  <c r="BU18" i="59"/>
  <c r="BT18" i="59"/>
  <c r="BM18" i="59"/>
  <c r="BL18" i="59"/>
  <c r="BK18" i="59"/>
  <c r="BJ18" i="59"/>
  <c r="BI18" i="59"/>
  <c r="BH18" i="59"/>
  <c r="BG18" i="59"/>
  <c r="BF18" i="59"/>
  <c r="AY18" i="59"/>
  <c r="AX18" i="59"/>
  <c r="AW18" i="59"/>
  <c r="AV18" i="59"/>
  <c r="AS18" i="59"/>
  <c r="AR18" i="59"/>
  <c r="AQ18" i="59"/>
  <c r="AP18" i="59"/>
  <c r="AO18" i="59"/>
  <c r="AN18" i="59"/>
  <c r="AK18" i="59"/>
  <c r="AJ18" i="59"/>
  <c r="AI18" i="59"/>
  <c r="AH18" i="59"/>
  <c r="AG18" i="59"/>
  <c r="AF18" i="59"/>
  <c r="AE18" i="59"/>
  <c r="AD18" i="59"/>
  <c r="AC18" i="59"/>
  <c r="AB18" i="59"/>
  <c r="AA18" i="59"/>
  <c r="Z18" i="59"/>
  <c r="U18" i="59"/>
  <c r="T18" i="59"/>
  <c r="S18" i="59"/>
  <c r="R18" i="59"/>
  <c r="Q18" i="59"/>
  <c r="P18" i="59"/>
  <c r="O18" i="59"/>
  <c r="N18" i="59"/>
  <c r="M18" i="59"/>
  <c r="L18" i="59"/>
  <c r="F18" i="59"/>
  <c r="B18" i="59"/>
  <c r="CE17" i="59"/>
  <c r="CD17" i="59"/>
  <c r="CC17" i="59"/>
  <c r="CB17" i="59"/>
  <c r="BY17" i="59"/>
  <c r="BX17" i="59"/>
  <c r="BW17" i="59"/>
  <c r="BV17" i="59"/>
  <c r="BU17" i="59"/>
  <c r="BT17" i="59"/>
  <c r="BM17" i="59"/>
  <c r="BL17" i="59"/>
  <c r="BK17" i="59"/>
  <c r="BJ17" i="59"/>
  <c r="BI17" i="59"/>
  <c r="BH17" i="59"/>
  <c r="BG17" i="59"/>
  <c r="BF17" i="59"/>
  <c r="AY17" i="59"/>
  <c r="AX17" i="59"/>
  <c r="AW17" i="59"/>
  <c r="AV17" i="59"/>
  <c r="AS17" i="59"/>
  <c r="AR17" i="59"/>
  <c r="AQ17" i="59"/>
  <c r="AP17" i="59"/>
  <c r="AO17" i="59"/>
  <c r="AN17" i="59"/>
  <c r="AK17" i="59"/>
  <c r="AJ17" i="59"/>
  <c r="AI17" i="59"/>
  <c r="AH17" i="59"/>
  <c r="AG17" i="59"/>
  <c r="AF17" i="59"/>
  <c r="AE17" i="59"/>
  <c r="AD17" i="59"/>
  <c r="AC17" i="59"/>
  <c r="AB17" i="59"/>
  <c r="AA17" i="59"/>
  <c r="Z17" i="59"/>
  <c r="U17" i="59"/>
  <c r="T17" i="59"/>
  <c r="S17" i="59"/>
  <c r="R17" i="59"/>
  <c r="Q17" i="59"/>
  <c r="P17" i="59"/>
  <c r="O17" i="59"/>
  <c r="N17" i="59"/>
  <c r="M17" i="59"/>
  <c r="L17" i="59"/>
  <c r="CE16" i="59"/>
  <c r="CD16" i="59"/>
  <c r="CC16" i="59"/>
  <c r="CB16" i="59"/>
  <c r="BY16" i="59"/>
  <c r="BX16" i="59"/>
  <c r="BW16" i="59"/>
  <c r="BV16" i="59"/>
  <c r="BU16" i="59"/>
  <c r="BT16" i="59"/>
  <c r="BM16" i="59"/>
  <c r="BL16" i="59"/>
  <c r="BK16" i="59"/>
  <c r="BJ16" i="59"/>
  <c r="BI16" i="59"/>
  <c r="BH16" i="59"/>
  <c r="BG16" i="59"/>
  <c r="BF16" i="59"/>
  <c r="AY16" i="59"/>
  <c r="AX16" i="59"/>
  <c r="AW16" i="59"/>
  <c r="AV16" i="59"/>
  <c r="AS16" i="59"/>
  <c r="AR16" i="59"/>
  <c r="AQ16" i="59"/>
  <c r="AP16" i="59"/>
  <c r="AO16" i="59"/>
  <c r="AN16" i="59"/>
  <c r="AK16" i="59"/>
  <c r="AJ16" i="59"/>
  <c r="AI16" i="59"/>
  <c r="AH16" i="59"/>
  <c r="AG16" i="59"/>
  <c r="AF16" i="59"/>
  <c r="AE16" i="59"/>
  <c r="AD16" i="59"/>
  <c r="AC16" i="59"/>
  <c r="AB16" i="59"/>
  <c r="AA16" i="59"/>
  <c r="Z16" i="59"/>
  <c r="U16" i="59"/>
  <c r="T16" i="59"/>
  <c r="S16" i="59"/>
  <c r="R16" i="59"/>
  <c r="Q16" i="59"/>
  <c r="P16" i="59"/>
  <c r="O16" i="59"/>
  <c r="N16" i="59"/>
  <c r="M16" i="59"/>
  <c r="L16" i="59"/>
  <c r="F16" i="59"/>
  <c r="CE15" i="59"/>
  <c r="CD15" i="59"/>
  <c r="CC15" i="59"/>
  <c r="CB15" i="59"/>
  <c r="BY15" i="59"/>
  <c r="BX15" i="59"/>
  <c r="BW15" i="59"/>
  <c r="BV15" i="59"/>
  <c r="BU15" i="59"/>
  <c r="BT15" i="59"/>
  <c r="BM15" i="59"/>
  <c r="BL15" i="59"/>
  <c r="BK15" i="59"/>
  <c r="BJ15" i="59"/>
  <c r="BI15" i="59"/>
  <c r="BH15" i="59"/>
  <c r="BG15" i="59"/>
  <c r="BF15" i="59"/>
  <c r="AY15" i="59"/>
  <c r="AX15" i="59"/>
  <c r="AW15" i="59"/>
  <c r="AV15" i="59"/>
  <c r="AS15" i="59"/>
  <c r="AR15" i="59"/>
  <c r="AQ15" i="59"/>
  <c r="AP15" i="59"/>
  <c r="AO15" i="59"/>
  <c r="AN15" i="59"/>
  <c r="AK15" i="59"/>
  <c r="AJ15" i="59"/>
  <c r="AI15" i="59"/>
  <c r="AH15" i="59"/>
  <c r="AG15" i="59"/>
  <c r="AF15" i="59"/>
  <c r="AE15" i="59"/>
  <c r="AD15" i="59"/>
  <c r="AC15" i="59"/>
  <c r="AB15" i="59"/>
  <c r="AA15" i="59"/>
  <c r="Z15" i="59"/>
  <c r="U15" i="59"/>
  <c r="T15" i="59"/>
  <c r="S15" i="59"/>
  <c r="R15" i="59"/>
  <c r="Q15" i="59"/>
  <c r="P15" i="59"/>
  <c r="O15" i="59"/>
  <c r="N15" i="59"/>
  <c r="M15" i="59"/>
  <c r="L15" i="59"/>
  <c r="CE14" i="59"/>
  <c r="CD14" i="59"/>
  <c r="CC14" i="59"/>
  <c r="CB14" i="59"/>
  <c r="BY14" i="59"/>
  <c r="BX14" i="59"/>
  <c r="BW14" i="59"/>
  <c r="BV14" i="59"/>
  <c r="BU14" i="59"/>
  <c r="BT14" i="59"/>
  <c r="BM14" i="59"/>
  <c r="BL14" i="59"/>
  <c r="BK14" i="59"/>
  <c r="BJ14" i="59"/>
  <c r="BI14" i="59"/>
  <c r="BH14" i="59"/>
  <c r="BG14" i="59"/>
  <c r="BF14" i="59"/>
  <c r="AY14" i="59"/>
  <c r="AX14" i="59"/>
  <c r="AW14" i="59"/>
  <c r="AV14" i="59"/>
  <c r="AS14" i="59"/>
  <c r="AR14" i="59"/>
  <c r="AQ14" i="59"/>
  <c r="AP14" i="59"/>
  <c r="AO14" i="59"/>
  <c r="AN14" i="59"/>
  <c r="AK14" i="59"/>
  <c r="AJ14" i="59"/>
  <c r="AI14" i="59"/>
  <c r="AH14" i="59"/>
  <c r="AG14" i="59"/>
  <c r="AF14" i="59"/>
  <c r="AE14" i="59"/>
  <c r="AD14" i="59"/>
  <c r="AC14" i="59"/>
  <c r="AB14" i="59"/>
  <c r="AA14" i="59"/>
  <c r="Z14" i="59"/>
  <c r="U14" i="59"/>
  <c r="T14" i="59"/>
  <c r="S14" i="59"/>
  <c r="R14" i="59"/>
  <c r="Q14" i="59"/>
  <c r="P14" i="59"/>
  <c r="O14" i="59"/>
  <c r="N14" i="59"/>
  <c r="M14" i="59"/>
  <c r="L14" i="59"/>
  <c r="CE13" i="59"/>
  <c r="CD13" i="59"/>
  <c r="CC13" i="59"/>
  <c r="CB13" i="59"/>
  <c r="BY13" i="59"/>
  <c r="BX13" i="59"/>
  <c r="BW13" i="59"/>
  <c r="BV13" i="59"/>
  <c r="BU13" i="59"/>
  <c r="BT13" i="59"/>
  <c r="BM13" i="59"/>
  <c r="BL13" i="59"/>
  <c r="BK13" i="59"/>
  <c r="BJ13" i="59"/>
  <c r="BI13" i="59"/>
  <c r="BH13" i="59"/>
  <c r="BG13" i="59"/>
  <c r="BF13" i="59"/>
  <c r="AY13" i="59"/>
  <c r="AX13" i="59"/>
  <c r="AW13" i="59"/>
  <c r="AV13" i="59"/>
  <c r="AS13" i="59"/>
  <c r="AR13" i="59"/>
  <c r="AQ13" i="59"/>
  <c r="AP13" i="59"/>
  <c r="AO13" i="59"/>
  <c r="AN13" i="59"/>
  <c r="AK13" i="59"/>
  <c r="AJ13" i="59"/>
  <c r="AI13" i="59"/>
  <c r="AH13" i="59"/>
  <c r="AG13" i="59"/>
  <c r="AF13" i="59"/>
  <c r="AE13" i="59"/>
  <c r="AD13" i="59"/>
  <c r="AC13" i="59"/>
  <c r="AB13" i="59"/>
  <c r="AA13" i="59"/>
  <c r="Z13" i="59"/>
  <c r="U13" i="59"/>
  <c r="T13" i="59"/>
  <c r="S13" i="59"/>
  <c r="R13" i="59"/>
  <c r="Q13" i="59"/>
  <c r="P13" i="59"/>
  <c r="O13" i="59"/>
  <c r="N13" i="59"/>
  <c r="M13" i="59"/>
  <c r="L13" i="59"/>
  <c r="F13" i="59"/>
  <c r="D13" i="59"/>
  <c r="CE12" i="59"/>
  <c r="CD12" i="59"/>
  <c r="CC12" i="59"/>
  <c r="CB12" i="59"/>
  <c r="BY12" i="59"/>
  <c r="BX12" i="59"/>
  <c r="BW12" i="59"/>
  <c r="BV12" i="59"/>
  <c r="BU12" i="59"/>
  <c r="BT12" i="59"/>
  <c r="BM12" i="59"/>
  <c r="BL12" i="59"/>
  <c r="BK12" i="59"/>
  <c r="BJ12" i="59"/>
  <c r="BI12" i="59"/>
  <c r="BH12" i="59"/>
  <c r="BG12" i="59"/>
  <c r="BF12" i="59"/>
  <c r="AY12" i="59"/>
  <c r="AX12" i="59"/>
  <c r="AW12" i="59"/>
  <c r="AV12" i="59"/>
  <c r="AS12" i="59"/>
  <c r="AR12" i="59"/>
  <c r="AQ12" i="59"/>
  <c r="AP12" i="59"/>
  <c r="AO12" i="59"/>
  <c r="AN12" i="59"/>
  <c r="AK12" i="59"/>
  <c r="AJ12" i="59"/>
  <c r="AI12" i="59"/>
  <c r="AH12" i="59"/>
  <c r="AG12" i="59"/>
  <c r="AF12" i="59"/>
  <c r="AE12" i="59"/>
  <c r="AD12" i="59"/>
  <c r="AC12" i="59"/>
  <c r="AB12" i="59"/>
  <c r="AA12" i="59"/>
  <c r="Z12" i="59"/>
  <c r="U12" i="59"/>
  <c r="T12" i="59"/>
  <c r="S12" i="59"/>
  <c r="R12" i="59"/>
  <c r="Q12" i="59"/>
  <c r="P12" i="59"/>
  <c r="O12" i="59"/>
  <c r="N12" i="59"/>
  <c r="M12" i="59"/>
  <c r="L12" i="59"/>
  <c r="H12" i="59"/>
  <c r="F12" i="59"/>
  <c r="CE11" i="59"/>
  <c r="CD11" i="59"/>
  <c r="CC11" i="59"/>
  <c r="CB11" i="59"/>
  <c r="BY11" i="59"/>
  <c r="BX11" i="59"/>
  <c r="BW11" i="59"/>
  <c r="BV11" i="59"/>
  <c r="BU11" i="59"/>
  <c r="BT11" i="59"/>
  <c r="BM11" i="59"/>
  <c r="BL11" i="59"/>
  <c r="BK11" i="59"/>
  <c r="BJ11" i="59"/>
  <c r="BI11" i="59"/>
  <c r="BH11" i="59"/>
  <c r="BG11" i="59"/>
  <c r="BF11" i="59"/>
  <c r="AY11" i="59"/>
  <c r="AX11" i="59"/>
  <c r="AW11" i="59"/>
  <c r="AV11" i="59"/>
  <c r="AS11" i="59"/>
  <c r="AR11" i="59"/>
  <c r="AQ11" i="59"/>
  <c r="AP11" i="59"/>
  <c r="AO11" i="59"/>
  <c r="AN11" i="59"/>
  <c r="AK11" i="59"/>
  <c r="AJ11" i="59"/>
  <c r="AI11" i="59"/>
  <c r="AH11" i="59"/>
  <c r="AG11" i="59"/>
  <c r="AF11" i="59"/>
  <c r="AE11" i="59"/>
  <c r="AD11" i="59"/>
  <c r="AC11" i="59"/>
  <c r="AB11" i="59"/>
  <c r="AA11" i="59"/>
  <c r="Z11" i="59"/>
  <c r="U11" i="59"/>
  <c r="T11" i="59"/>
  <c r="S11" i="59"/>
  <c r="R11" i="59"/>
  <c r="Q11" i="59"/>
  <c r="P11" i="59"/>
  <c r="O11" i="59"/>
  <c r="N11" i="59"/>
  <c r="M11" i="59"/>
  <c r="L11" i="59"/>
  <c r="CE10" i="59"/>
  <c r="CD10" i="59"/>
  <c r="CC10" i="59"/>
  <c r="CB10" i="59"/>
  <c r="BY10" i="59"/>
  <c r="BX10" i="59"/>
  <c r="BW10" i="59"/>
  <c r="BV10" i="59"/>
  <c r="BU10" i="59"/>
  <c r="BT10" i="59"/>
  <c r="BM10" i="59"/>
  <c r="BL10" i="59"/>
  <c r="BK10" i="59"/>
  <c r="BJ10" i="59"/>
  <c r="BI10" i="59"/>
  <c r="BH10" i="59"/>
  <c r="BG10" i="59"/>
  <c r="BF10" i="59"/>
  <c r="AY10" i="59"/>
  <c r="AX10" i="59"/>
  <c r="AW10" i="59"/>
  <c r="AV10" i="59"/>
  <c r="AS10" i="59"/>
  <c r="AR10" i="59"/>
  <c r="AQ10" i="59"/>
  <c r="AP10" i="59"/>
  <c r="AO10" i="59"/>
  <c r="AN10" i="59"/>
  <c r="AK10" i="59"/>
  <c r="AJ10" i="59"/>
  <c r="AI10" i="59"/>
  <c r="AH10" i="59"/>
  <c r="AG10" i="59"/>
  <c r="AF10" i="59"/>
  <c r="AE10" i="59"/>
  <c r="AD10" i="59"/>
  <c r="AC10" i="59"/>
  <c r="AB10" i="59"/>
  <c r="AA10" i="59"/>
  <c r="Z10" i="59"/>
  <c r="U10" i="59"/>
  <c r="T10" i="59"/>
  <c r="S10" i="59"/>
  <c r="R10" i="59"/>
  <c r="Q10" i="59"/>
  <c r="P10" i="59"/>
  <c r="O10" i="59"/>
  <c r="N10" i="59"/>
  <c r="M10" i="59"/>
  <c r="L10" i="59"/>
  <c r="CE9" i="59"/>
  <c r="CD9" i="59"/>
  <c r="CC9" i="59"/>
  <c r="CB9" i="59"/>
  <c r="BY9" i="59"/>
  <c r="BX9" i="59"/>
  <c r="BW9" i="59"/>
  <c r="BV9" i="59"/>
  <c r="BU9" i="59"/>
  <c r="BT9" i="59"/>
  <c r="BM9" i="59"/>
  <c r="BL9" i="59"/>
  <c r="BK9" i="59"/>
  <c r="BJ9" i="59"/>
  <c r="BI9" i="59"/>
  <c r="BH9" i="59"/>
  <c r="BG9" i="59"/>
  <c r="BF9" i="59"/>
  <c r="AY9" i="59"/>
  <c r="AX9" i="59"/>
  <c r="AW9" i="59"/>
  <c r="AV9" i="59"/>
  <c r="AS9" i="59"/>
  <c r="AR9" i="59"/>
  <c r="AQ9" i="59"/>
  <c r="AP9" i="59"/>
  <c r="AO9" i="59"/>
  <c r="AN9" i="59"/>
  <c r="AK9" i="59"/>
  <c r="AJ9" i="59"/>
  <c r="AI9" i="59"/>
  <c r="AH9" i="59"/>
  <c r="AG9" i="59"/>
  <c r="AF9" i="59"/>
  <c r="AE9" i="59"/>
  <c r="AD9" i="59"/>
  <c r="AC9" i="59"/>
  <c r="AB9" i="59"/>
  <c r="AA9" i="59"/>
  <c r="Z9" i="59"/>
  <c r="U9" i="59"/>
  <c r="T9" i="59"/>
  <c r="S9" i="59"/>
  <c r="R9" i="59"/>
  <c r="Q9" i="59"/>
  <c r="P9" i="59"/>
  <c r="O9" i="59"/>
  <c r="N9" i="59"/>
  <c r="M9" i="59"/>
  <c r="L9" i="59"/>
  <c r="CE8" i="59"/>
  <c r="CD8" i="59"/>
  <c r="CC8" i="59"/>
  <c r="CB8" i="59"/>
  <c r="BY8" i="59"/>
  <c r="BX8" i="59"/>
  <c r="BW8" i="59"/>
  <c r="BV8" i="59"/>
  <c r="BU8" i="59"/>
  <c r="BT8" i="59"/>
  <c r="BM8" i="59"/>
  <c r="BL8" i="59"/>
  <c r="BK8" i="59"/>
  <c r="BJ8" i="59"/>
  <c r="BI8" i="59"/>
  <c r="BH8" i="59"/>
  <c r="BG8" i="59"/>
  <c r="BF8" i="59"/>
  <c r="AY8" i="59"/>
  <c r="AX8" i="59"/>
  <c r="AW8" i="59"/>
  <c r="AV8" i="59"/>
  <c r="AS8" i="59"/>
  <c r="AR8" i="59"/>
  <c r="AQ8" i="59"/>
  <c r="AP8" i="59"/>
  <c r="AO8" i="59"/>
  <c r="AN8" i="59"/>
  <c r="AK8" i="59"/>
  <c r="AJ8" i="59"/>
  <c r="AI8" i="59"/>
  <c r="AH8" i="59"/>
  <c r="AG8" i="59"/>
  <c r="AF8" i="59"/>
  <c r="AE8" i="59"/>
  <c r="AD8" i="59"/>
  <c r="AC8" i="59"/>
  <c r="AB8" i="59"/>
  <c r="AA8" i="59"/>
  <c r="Z8" i="59"/>
  <c r="U8" i="59"/>
  <c r="T8" i="59"/>
  <c r="S8" i="59"/>
  <c r="R8" i="59"/>
  <c r="Q8" i="59"/>
  <c r="P8" i="59"/>
  <c r="O8" i="59"/>
  <c r="N8" i="59"/>
  <c r="M8" i="59"/>
  <c r="L8" i="59"/>
  <c r="CE7" i="59"/>
  <c r="CD7" i="59"/>
  <c r="CC7" i="59"/>
  <c r="CB7" i="59"/>
  <c r="BY7" i="59"/>
  <c r="BX7" i="59"/>
  <c r="BW7" i="59"/>
  <c r="BV7" i="59"/>
  <c r="BU7" i="59"/>
  <c r="BT7" i="59"/>
  <c r="BM7" i="59"/>
  <c r="BL7" i="59"/>
  <c r="BK7" i="59"/>
  <c r="BJ7" i="59"/>
  <c r="BI7" i="59"/>
  <c r="BH7" i="59"/>
  <c r="BG7" i="59"/>
  <c r="BF7" i="59"/>
  <c r="AY7" i="59"/>
  <c r="AX7" i="59"/>
  <c r="AW7" i="59"/>
  <c r="AV7" i="59"/>
  <c r="AS7" i="59"/>
  <c r="AR7" i="59"/>
  <c r="AQ7" i="59"/>
  <c r="AP7" i="59"/>
  <c r="AO7" i="59"/>
  <c r="AN7" i="59"/>
  <c r="AK7" i="59"/>
  <c r="AJ7" i="59"/>
  <c r="AI7" i="59"/>
  <c r="AH7" i="59"/>
  <c r="AG7" i="59"/>
  <c r="AF7" i="59"/>
  <c r="AE7" i="59"/>
  <c r="AD7" i="59"/>
  <c r="AC7" i="59"/>
  <c r="AB7" i="59"/>
  <c r="AA7" i="59"/>
  <c r="Z7" i="59"/>
  <c r="U7" i="59"/>
  <c r="T7" i="59"/>
  <c r="S7" i="59"/>
  <c r="R7" i="59"/>
  <c r="Q7" i="59"/>
  <c r="P7" i="59"/>
  <c r="O7" i="59"/>
  <c r="N7" i="59"/>
  <c r="M7" i="59"/>
  <c r="L7" i="59"/>
  <c r="CE6" i="59"/>
  <c r="CD6" i="59"/>
  <c r="CC6" i="59"/>
  <c r="CB6" i="59"/>
  <c r="BY6" i="59"/>
  <c r="BX6" i="59"/>
  <c r="BW6" i="59"/>
  <c r="BV6" i="59"/>
  <c r="BU6" i="59"/>
  <c r="BT6" i="59"/>
  <c r="BM6" i="59"/>
  <c r="BL6" i="59"/>
  <c r="BK6" i="59"/>
  <c r="BJ6" i="59"/>
  <c r="BI6" i="59"/>
  <c r="BH6" i="59"/>
  <c r="BG6" i="59"/>
  <c r="BF6" i="59"/>
  <c r="AY6" i="59"/>
  <c r="AX6" i="59"/>
  <c r="AW6" i="59"/>
  <c r="AV6" i="59"/>
  <c r="AS6" i="59"/>
  <c r="AR6" i="59"/>
  <c r="AQ6" i="59"/>
  <c r="AP6" i="59"/>
  <c r="AO6" i="59"/>
  <c r="AN6" i="59"/>
  <c r="AK6" i="59"/>
  <c r="AJ6" i="59"/>
  <c r="AI6" i="59"/>
  <c r="AH6" i="59"/>
  <c r="AG6" i="59"/>
  <c r="AF6" i="59"/>
  <c r="AE6" i="59"/>
  <c r="AD6" i="59"/>
  <c r="AC6" i="59"/>
  <c r="AB6" i="59"/>
  <c r="AA6" i="59"/>
  <c r="Z6" i="59"/>
  <c r="U6" i="59"/>
  <c r="T6" i="59"/>
  <c r="S6" i="59"/>
  <c r="R6" i="59"/>
  <c r="Q6" i="59"/>
  <c r="P6" i="59"/>
  <c r="O6" i="59"/>
  <c r="N6" i="59"/>
  <c r="M6" i="59"/>
  <c r="L6" i="59"/>
  <c r="CE5" i="59"/>
  <c r="CD5" i="59"/>
  <c r="CC5" i="59"/>
  <c r="CB5" i="59"/>
  <c r="BY5" i="59"/>
  <c r="BX5" i="59"/>
  <c r="BW5" i="59"/>
  <c r="BV5" i="59"/>
  <c r="BU5" i="59"/>
  <c r="BT5" i="59"/>
  <c r="BM5" i="59"/>
  <c r="BL5" i="59"/>
  <c r="BK5" i="59"/>
  <c r="BJ5" i="59"/>
  <c r="BI5" i="59"/>
  <c r="BH5" i="59"/>
  <c r="BG5" i="59"/>
  <c r="BF5" i="59"/>
  <c r="AY5" i="59"/>
  <c r="AX5" i="59"/>
  <c r="AW5" i="59"/>
  <c r="AV5" i="59"/>
  <c r="AS5" i="59"/>
  <c r="AR5" i="59"/>
  <c r="AQ5" i="59"/>
  <c r="AP5" i="59"/>
  <c r="AO5" i="59"/>
  <c r="AN5" i="59"/>
  <c r="AK5" i="59"/>
  <c r="AJ5" i="59"/>
  <c r="AI5" i="59"/>
  <c r="AH5" i="59"/>
  <c r="AG5" i="59"/>
  <c r="AF5" i="59"/>
  <c r="AE5" i="59"/>
  <c r="AD5" i="59"/>
  <c r="AC5" i="59"/>
  <c r="AB5" i="59"/>
  <c r="AA5" i="59"/>
  <c r="Z5" i="59"/>
  <c r="U5" i="59"/>
  <c r="T5" i="59"/>
  <c r="S5" i="59"/>
  <c r="R5" i="59"/>
  <c r="Q5" i="59"/>
  <c r="P5" i="59"/>
  <c r="O5" i="59"/>
  <c r="N5" i="59"/>
  <c r="M5" i="59"/>
  <c r="L5" i="59"/>
  <c r="CE4" i="59"/>
  <c r="CD4" i="59"/>
  <c r="CC4" i="59"/>
  <c r="CB4" i="59"/>
  <c r="BY4" i="59"/>
  <c r="BX4" i="59"/>
  <c r="BW4" i="59"/>
  <c r="BV4" i="59"/>
  <c r="BU4" i="59"/>
  <c r="BT4" i="59"/>
  <c r="BM4" i="59"/>
  <c r="BL4" i="59"/>
  <c r="BK4" i="59"/>
  <c r="BJ4" i="59"/>
  <c r="BI4" i="59"/>
  <c r="BH4" i="59"/>
  <c r="BG4" i="59"/>
  <c r="BF4" i="59"/>
  <c r="AY4" i="59"/>
  <c r="AX4" i="59"/>
  <c r="AW4" i="59"/>
  <c r="AV4" i="59"/>
  <c r="AS4" i="59"/>
  <c r="AR4" i="59"/>
  <c r="AQ4" i="59"/>
  <c r="AP4" i="59"/>
  <c r="AO4" i="59"/>
  <c r="AN4" i="59"/>
  <c r="AK4" i="59"/>
  <c r="AJ4" i="59"/>
  <c r="AI4" i="59"/>
  <c r="AH4" i="59"/>
  <c r="AG4" i="59"/>
  <c r="AF4" i="59"/>
  <c r="AE4" i="59"/>
  <c r="AD4" i="59"/>
  <c r="AC4" i="59"/>
  <c r="AB4" i="59"/>
  <c r="AA4" i="59"/>
  <c r="Z4" i="59"/>
  <c r="U4" i="59"/>
  <c r="T4" i="59"/>
  <c r="S4" i="59"/>
  <c r="R4" i="59"/>
  <c r="Q4" i="59"/>
  <c r="P4" i="59"/>
  <c r="O4" i="59"/>
  <c r="N4" i="59"/>
  <c r="M4" i="59"/>
  <c r="L4" i="59"/>
  <c r="H4" i="59"/>
  <c r="F4" i="59"/>
  <c r="D4" i="59"/>
  <c r="A4" i="59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P15" i="45" l="1"/>
  <c r="P16" i="45" s="1"/>
  <c r="P17" i="45" s="1"/>
  <c r="P18" i="45" s="1"/>
  <c r="P19" i="45" s="1"/>
  <c r="P20" i="45" s="1"/>
  <c r="P21" i="45" s="1"/>
  <c r="P22" i="45" s="1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Y40" i="45"/>
  <c r="AF25" i="45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F37" i="45" s="1"/>
  <c r="AF38" i="45" s="1"/>
  <c r="H24" i="45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AI16" i="45"/>
  <c r="AD29" i="45"/>
  <c r="K6" i="46"/>
  <c r="V6" i="46"/>
  <c r="U6" i="46"/>
  <c r="C6" i="46"/>
  <c r="T6" i="46"/>
  <c r="P6" i="46"/>
  <c r="L10" i="48"/>
  <c r="H10" i="48" s="1"/>
  <c r="L11" i="48"/>
  <c r="H11" i="48" s="1"/>
  <c r="AC46" i="46"/>
  <c r="K144" i="46"/>
  <c r="X143" i="46" s="1"/>
  <c r="V144" i="46"/>
  <c r="C144" i="46"/>
  <c r="N39" i="48" s="1"/>
  <c r="U144" i="46"/>
  <c r="T144" i="46"/>
  <c r="P144" i="46"/>
  <c r="L15" i="48"/>
  <c r="H15" i="48" s="1"/>
  <c r="E35" i="1"/>
  <c r="X35" i="48"/>
  <c r="H30" i="59" s="1"/>
  <c r="AJ35" i="48"/>
  <c r="D30" i="59" s="1"/>
  <c r="C34" i="45"/>
  <c r="I35" i="48"/>
  <c r="AD37" i="45"/>
  <c r="AA11" i="46"/>
  <c r="L12" i="48"/>
  <c r="H12" i="48" s="1"/>
  <c r="X22" i="46"/>
  <c r="K88" i="58"/>
  <c r="V88" i="58"/>
  <c r="U88" i="58"/>
  <c r="AA88" i="58" s="1"/>
  <c r="C88" i="58"/>
  <c r="T88" i="58"/>
  <c r="P88" i="58"/>
  <c r="X18" i="48"/>
  <c r="H13" i="59" s="1"/>
  <c r="AJ23" i="48"/>
  <c r="D18" i="59" s="1"/>
  <c r="JH26" i="1"/>
  <c r="IV26" i="1"/>
  <c r="IJ26" i="1"/>
  <c r="HX26" i="1"/>
  <c r="HL26" i="1"/>
  <c r="GZ26" i="1"/>
  <c r="GN26" i="1"/>
  <c r="GB26" i="1"/>
  <c r="FP26" i="1"/>
  <c r="FD26" i="1"/>
  <c r="ER26" i="1"/>
  <c r="EF26" i="1"/>
  <c r="DT26" i="1"/>
  <c r="DH26" i="1"/>
  <c r="CV26" i="1"/>
  <c r="CJ26" i="1"/>
  <c r="BX26" i="1"/>
  <c r="BL26" i="1"/>
  <c r="AZ26" i="1"/>
  <c r="AN26" i="1"/>
  <c r="AB26" i="1"/>
  <c r="P26" i="1"/>
  <c r="JE26" i="1"/>
  <c r="IS26" i="1"/>
  <c r="IG26" i="1"/>
  <c r="HU26" i="1"/>
  <c r="HI26" i="1"/>
  <c r="GW26" i="1"/>
  <c r="GK26" i="1"/>
  <c r="FY26" i="1"/>
  <c r="FM26" i="1"/>
  <c r="FA26" i="1"/>
  <c r="EO26" i="1"/>
  <c r="EC26" i="1"/>
  <c r="DQ26" i="1"/>
  <c r="DE26" i="1"/>
  <c r="CS26" i="1"/>
  <c r="CG26" i="1"/>
  <c r="BU26" i="1"/>
  <c r="BI26" i="1"/>
  <c r="AW26" i="1"/>
  <c r="AK26" i="1"/>
  <c r="Y26" i="1"/>
  <c r="M26" i="1"/>
  <c r="JB26" i="1"/>
  <c r="IP26" i="1"/>
  <c r="ID26" i="1"/>
  <c r="HR26" i="1"/>
  <c r="HF26" i="1"/>
  <c r="GT26" i="1"/>
  <c r="GH26" i="1"/>
  <c r="FV26" i="1"/>
  <c r="FJ26" i="1"/>
  <c r="EX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HC26" i="1"/>
  <c r="DK26" i="1"/>
  <c r="S26" i="1"/>
  <c r="IM26" i="1"/>
  <c r="EU26" i="1"/>
  <c r="BC26" i="1"/>
  <c r="GE26" i="1"/>
  <c r="CM26" i="1"/>
  <c r="HO26" i="1"/>
  <c r="DW26" i="1"/>
  <c r="AE26" i="1"/>
  <c r="GQ26" i="1"/>
  <c r="CY26" i="1"/>
  <c r="G26" i="1"/>
  <c r="FS26" i="1"/>
  <c r="BO26" i="1"/>
  <c r="AQ26" i="1"/>
  <c r="IY26" i="1"/>
  <c r="IA26" i="1"/>
  <c r="CA26" i="1"/>
  <c r="EI26" i="1"/>
  <c r="FG26" i="1"/>
  <c r="E27" i="2"/>
  <c r="V27" i="48"/>
  <c r="V29" i="48"/>
  <c r="B9" i="45"/>
  <c r="Z9" i="45" s="1"/>
  <c r="B16" i="45"/>
  <c r="AE16" i="45"/>
  <c r="C17" i="45"/>
  <c r="W17" i="45" s="1"/>
  <c r="V23" i="45"/>
  <c r="B32" i="45"/>
  <c r="AH32" i="45" s="1"/>
  <c r="W34" i="45"/>
  <c r="Z37" i="45"/>
  <c r="Z153" i="46"/>
  <c r="C7" i="46"/>
  <c r="U7" i="46"/>
  <c r="T8" i="46"/>
  <c r="AC8" i="46" s="1"/>
  <c r="V16" i="46"/>
  <c r="T22" i="46"/>
  <c r="AC22" i="46" s="1"/>
  <c r="AB22" i="46" s="1"/>
  <c r="K27" i="46"/>
  <c r="X26" i="46" s="1"/>
  <c r="K31" i="46"/>
  <c r="V31" i="46"/>
  <c r="T40" i="46"/>
  <c r="C40" i="46"/>
  <c r="P40" i="46"/>
  <c r="U40" i="46"/>
  <c r="K43" i="46"/>
  <c r="AC43" i="46" s="1"/>
  <c r="V43" i="46"/>
  <c r="C43" i="46"/>
  <c r="K97" i="46"/>
  <c r="V97" i="46"/>
  <c r="U97" i="46"/>
  <c r="AA97" i="46" s="1"/>
  <c r="C97" i="46"/>
  <c r="T97" i="46"/>
  <c r="P97" i="46"/>
  <c r="AC130" i="46"/>
  <c r="AA35" i="58"/>
  <c r="AC47" i="58"/>
  <c r="AA69" i="58"/>
  <c r="K102" i="58"/>
  <c r="V102" i="58"/>
  <c r="C102" i="58"/>
  <c r="U102" i="58"/>
  <c r="T102" i="58"/>
  <c r="P102" i="58"/>
  <c r="V9" i="48"/>
  <c r="V11" i="48"/>
  <c r="V13" i="48"/>
  <c r="V15" i="48"/>
  <c r="V17" i="48"/>
  <c r="IY18" i="1"/>
  <c r="IM18" i="1"/>
  <c r="IA18" i="1"/>
  <c r="HO18" i="1"/>
  <c r="HC18" i="1"/>
  <c r="GQ18" i="1"/>
  <c r="GE18" i="1"/>
  <c r="JH18" i="1"/>
  <c r="IV18" i="1"/>
  <c r="IJ18" i="1"/>
  <c r="HX18" i="1"/>
  <c r="JB18" i="1"/>
  <c r="HU18" i="1"/>
  <c r="GT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HF18" i="1"/>
  <c r="IG18" i="1"/>
  <c r="HR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GN18" i="1"/>
  <c r="IS18" i="1"/>
  <c r="ID18" i="1"/>
  <c r="GZ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HL18" i="1"/>
  <c r="GK18" i="1"/>
  <c r="HI18" i="1"/>
  <c r="GH18" i="1"/>
  <c r="FJ18" i="1"/>
  <c r="BR18" i="1"/>
  <c r="IP18" i="1"/>
  <c r="GW18" i="1"/>
  <c r="DB18" i="1"/>
  <c r="J18" i="1"/>
  <c r="E19" i="2"/>
  <c r="EL18" i="1"/>
  <c r="AT18" i="1"/>
  <c r="JE18" i="1"/>
  <c r="FV18" i="1"/>
  <c r="CD18" i="1"/>
  <c r="DN18" i="1"/>
  <c r="V18" i="1"/>
  <c r="EX18" i="1"/>
  <c r="BF18" i="1"/>
  <c r="DZ18" i="1"/>
  <c r="AH18" i="1"/>
  <c r="V19" i="48"/>
  <c r="G23" i="48"/>
  <c r="G25" i="48"/>
  <c r="G36" i="48"/>
  <c r="X38" i="48"/>
  <c r="H33" i="59" s="1"/>
  <c r="P41" i="48"/>
  <c r="F9" i="45"/>
  <c r="B14" i="45"/>
  <c r="G16" i="45"/>
  <c r="AM16" i="45"/>
  <c r="K17" i="45"/>
  <c r="AD23" i="45"/>
  <c r="B26" i="45"/>
  <c r="AD26" i="45" s="1"/>
  <c r="AH29" i="45"/>
  <c r="AL32" i="45"/>
  <c r="B34" i="45"/>
  <c r="Z34" i="45" s="1"/>
  <c r="AD34" i="45"/>
  <c r="C37" i="45"/>
  <c r="AH37" i="45"/>
  <c r="K7" i="46"/>
  <c r="AC7" i="46" s="1"/>
  <c r="V47" i="46"/>
  <c r="U47" i="46"/>
  <c r="C47" i="46"/>
  <c r="N17" i="48" s="1"/>
  <c r="T47" i="46"/>
  <c r="K47" i="46"/>
  <c r="L17" i="48" s="1"/>
  <c r="K55" i="46"/>
  <c r="X55" i="46" s="1"/>
  <c r="V55" i="46"/>
  <c r="U55" i="46"/>
  <c r="AA55" i="46" s="1"/>
  <c r="C55" i="46"/>
  <c r="K70" i="46"/>
  <c r="V70" i="46"/>
  <c r="U70" i="46"/>
  <c r="C70" i="46"/>
  <c r="N22" i="48" s="1"/>
  <c r="G22" i="48" s="1"/>
  <c r="T70" i="46"/>
  <c r="P70" i="46"/>
  <c r="Y155" i="46"/>
  <c r="K11" i="58"/>
  <c r="V11" i="58"/>
  <c r="U11" i="58"/>
  <c r="AA11" i="58" s="1"/>
  <c r="C11" i="58"/>
  <c r="T11" i="58"/>
  <c r="P11" i="58"/>
  <c r="AC66" i="58"/>
  <c r="AB75" i="58"/>
  <c r="X88" i="58"/>
  <c r="E18" i="2"/>
  <c r="G17" i="48"/>
  <c r="X21" i="48"/>
  <c r="H16" i="59" s="1"/>
  <c r="X23" i="48"/>
  <c r="H18" i="59" s="1"/>
  <c r="V32" i="48"/>
  <c r="V39" i="48"/>
  <c r="B8" i="45"/>
  <c r="AD8" i="45" s="1"/>
  <c r="AL9" i="45"/>
  <c r="B13" i="45"/>
  <c r="K16" i="45"/>
  <c r="AQ16" i="45"/>
  <c r="AH23" i="45"/>
  <c r="AH26" i="45"/>
  <c r="F29" i="45"/>
  <c r="AL29" i="45"/>
  <c r="B31" i="45"/>
  <c r="AD31" i="45" s="1"/>
  <c r="AI34" i="45"/>
  <c r="F37" i="45"/>
  <c r="AL37" i="45"/>
  <c r="AB130" i="46"/>
  <c r="X11" i="58"/>
  <c r="AC80" i="58"/>
  <c r="X101" i="58"/>
  <c r="D41" i="1"/>
  <c r="D10" i="2"/>
  <c r="D42" i="2" s="1"/>
  <c r="I21" i="48"/>
  <c r="I23" i="48"/>
  <c r="V26" i="48"/>
  <c r="G32" i="48"/>
  <c r="JB38" i="1"/>
  <c r="IP38" i="1"/>
  <c r="ID38" i="1"/>
  <c r="HR38" i="1"/>
  <c r="IS38" i="1"/>
  <c r="IA38" i="1"/>
  <c r="IJ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IV38" i="1"/>
  <c r="HO38" i="1"/>
  <c r="GN38" i="1"/>
  <c r="EX38" i="1"/>
  <c r="DW38" i="1"/>
  <c r="CV38" i="1"/>
  <c r="BF38" i="1"/>
  <c r="AE38" i="1"/>
  <c r="JH38" i="1"/>
  <c r="GZ38" i="1"/>
  <c r="FJ38" i="1"/>
  <c r="EI38" i="1"/>
  <c r="DH38" i="1"/>
  <c r="BR38" i="1"/>
  <c r="AQ38" i="1"/>
  <c r="P38" i="1"/>
  <c r="HL38" i="1"/>
  <c r="FV38" i="1"/>
  <c r="EU38" i="1"/>
  <c r="DT38" i="1"/>
  <c r="CD38" i="1"/>
  <c r="BC38" i="1"/>
  <c r="AB38" i="1"/>
  <c r="JE38" i="1"/>
  <c r="HX38" i="1"/>
  <c r="GH38" i="1"/>
  <c r="FG38" i="1"/>
  <c r="EF38" i="1"/>
  <c r="CP38" i="1"/>
  <c r="BO38" i="1"/>
  <c r="AN38" i="1"/>
  <c r="IM38" i="1"/>
  <c r="GT38" i="1"/>
  <c r="FS38" i="1"/>
  <c r="ER38" i="1"/>
  <c r="DB38" i="1"/>
  <c r="CA38" i="1"/>
  <c r="AZ38" i="1"/>
  <c r="J38" i="1"/>
  <c r="HU38" i="1"/>
  <c r="HF38" i="1"/>
  <c r="GE38" i="1"/>
  <c r="FD38" i="1"/>
  <c r="DN38" i="1"/>
  <c r="CM38" i="1"/>
  <c r="BL38" i="1"/>
  <c r="V38" i="1"/>
  <c r="IY38" i="1"/>
  <c r="GQ38" i="1"/>
  <c r="FP38" i="1"/>
  <c r="DZ38" i="1"/>
  <c r="CY38" i="1"/>
  <c r="BX38" i="1"/>
  <c r="AH38" i="1"/>
  <c r="G38" i="1"/>
  <c r="IG38" i="1"/>
  <c r="HC38" i="1"/>
  <c r="GB38" i="1"/>
  <c r="EL38" i="1"/>
  <c r="DK38" i="1"/>
  <c r="CJ38" i="1"/>
  <c r="AT38" i="1"/>
  <c r="S38" i="1"/>
  <c r="E39" i="2"/>
  <c r="G39" i="48"/>
  <c r="C8" i="45"/>
  <c r="N9" i="45"/>
  <c r="B12" i="45"/>
  <c r="O16" i="45"/>
  <c r="B22" i="45"/>
  <c r="Z22" i="45" s="1"/>
  <c r="AL23" i="45"/>
  <c r="B25" i="45"/>
  <c r="Z25" i="45" s="1"/>
  <c r="F26" i="45"/>
  <c r="AL26" i="45"/>
  <c r="B28" i="45"/>
  <c r="R28" i="45" s="1"/>
  <c r="J29" i="45"/>
  <c r="AP29" i="45"/>
  <c r="AH31" i="45"/>
  <c r="G34" i="45"/>
  <c r="AM34" i="45"/>
  <c r="B36" i="45"/>
  <c r="J37" i="45"/>
  <c r="AP37" i="45"/>
  <c r="T11" i="46"/>
  <c r="AC11" i="46" s="1"/>
  <c r="P16" i="46"/>
  <c r="P27" i="46"/>
  <c r="C31" i="46"/>
  <c r="N14" i="48" s="1"/>
  <c r="G14" i="48" s="1"/>
  <c r="X31" i="46"/>
  <c r="AC41" i="46"/>
  <c r="T55" i="46"/>
  <c r="AC105" i="46"/>
  <c r="K122" i="46"/>
  <c r="V122" i="46"/>
  <c r="U122" i="46"/>
  <c r="AA121" i="46" s="1"/>
  <c r="C122" i="46"/>
  <c r="N34" i="48" s="1"/>
  <c r="G34" i="48" s="1"/>
  <c r="T122" i="46"/>
  <c r="P122" i="46"/>
  <c r="Z153" i="58"/>
  <c r="AC55" i="58"/>
  <c r="X97" i="58"/>
  <c r="AA105" i="58"/>
  <c r="AQ17" i="1"/>
  <c r="I9" i="48"/>
  <c r="Q9" i="48"/>
  <c r="JH21" i="1"/>
  <c r="IV21" i="1"/>
  <c r="IJ21" i="1"/>
  <c r="HX21" i="1"/>
  <c r="HL21" i="1"/>
  <c r="GZ21" i="1"/>
  <c r="JB21" i="1"/>
  <c r="IP21" i="1"/>
  <c r="ID21" i="1"/>
  <c r="HR21" i="1"/>
  <c r="HF21" i="1"/>
  <c r="GT21" i="1"/>
  <c r="GH21" i="1"/>
  <c r="FV21" i="1"/>
  <c r="FJ21" i="1"/>
  <c r="EX21" i="1"/>
  <c r="IG21" i="1"/>
  <c r="FY21" i="1"/>
  <c r="HO21" i="1"/>
  <c r="GK21" i="1"/>
  <c r="EU21" i="1"/>
  <c r="EI21" i="1"/>
  <c r="DW21" i="1"/>
  <c r="DK21" i="1"/>
  <c r="CY21" i="1"/>
  <c r="CM21" i="1"/>
  <c r="CA21" i="1"/>
  <c r="BO21" i="1"/>
  <c r="BC21" i="1"/>
  <c r="AQ21" i="1"/>
  <c r="AE21" i="1"/>
  <c r="S21" i="1"/>
  <c r="G21" i="1"/>
  <c r="IS21" i="1"/>
  <c r="GW21" i="1"/>
  <c r="FG21" i="1"/>
  <c r="IA21" i="1"/>
  <c r="FS21" i="1"/>
  <c r="ER21" i="1"/>
  <c r="EF21" i="1"/>
  <c r="DT21" i="1"/>
  <c r="DH21" i="1"/>
  <c r="CV21" i="1"/>
  <c r="CJ21" i="1"/>
  <c r="BX21" i="1"/>
  <c r="BL21" i="1"/>
  <c r="AZ21" i="1"/>
  <c r="AN21" i="1"/>
  <c r="AB21" i="1"/>
  <c r="P21" i="1"/>
  <c r="IM21" i="1"/>
  <c r="GQ21" i="1"/>
  <c r="FP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IY21" i="1"/>
  <c r="HI21" i="1"/>
  <c r="DB21" i="1"/>
  <c r="J21" i="1"/>
  <c r="GN21" i="1"/>
  <c r="FD21" i="1"/>
  <c r="EL21" i="1"/>
  <c r="AT21" i="1"/>
  <c r="CD21" i="1"/>
  <c r="HU21" i="1"/>
  <c r="HC21" i="1"/>
  <c r="FA21" i="1"/>
  <c r="DN21" i="1"/>
  <c r="V21" i="1"/>
  <c r="BF21" i="1"/>
  <c r="JE21" i="1"/>
  <c r="GE21" i="1"/>
  <c r="FM21" i="1"/>
  <c r="CP21" i="1"/>
  <c r="GB21" i="1"/>
  <c r="BR21" i="1"/>
  <c r="E22" i="2"/>
  <c r="DZ21" i="1"/>
  <c r="AH21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JB23" i="1"/>
  <c r="IP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FS23" i="1"/>
  <c r="CA23" i="1"/>
  <c r="HC23" i="1"/>
  <c r="DK23" i="1"/>
  <c r="S23" i="1"/>
  <c r="IM23" i="1"/>
  <c r="EU23" i="1"/>
  <c r="BC23" i="1"/>
  <c r="GE23" i="1"/>
  <c r="CM23" i="1"/>
  <c r="IY23" i="1"/>
  <c r="FG23" i="1"/>
  <c r="BO23" i="1"/>
  <c r="G23" i="1"/>
  <c r="HO23" i="1"/>
  <c r="GQ23" i="1"/>
  <c r="AQ23" i="1"/>
  <c r="IA23" i="1"/>
  <c r="DW23" i="1"/>
  <c r="CY23" i="1"/>
  <c r="EI23" i="1"/>
  <c r="AE23" i="1"/>
  <c r="E24" i="2"/>
  <c r="F8" i="45"/>
  <c r="AL8" i="45"/>
  <c r="B11" i="45"/>
  <c r="S16" i="45"/>
  <c r="B20" i="45"/>
  <c r="AP20" i="45" s="1"/>
  <c r="B21" i="45"/>
  <c r="V21" i="45" s="1"/>
  <c r="C22" i="45"/>
  <c r="AH22" i="45"/>
  <c r="J23" i="45"/>
  <c r="AP23" i="45"/>
  <c r="C25" i="45"/>
  <c r="AQ25" i="45" s="1"/>
  <c r="J26" i="45"/>
  <c r="AP26" i="45"/>
  <c r="N29" i="45"/>
  <c r="F31" i="45"/>
  <c r="AL31" i="45"/>
  <c r="B33" i="45"/>
  <c r="R33" i="45" s="1"/>
  <c r="AD33" i="45"/>
  <c r="K34" i="45"/>
  <c r="AQ34" i="45"/>
  <c r="N37" i="45"/>
  <c r="U36" i="46"/>
  <c r="C36" i="46"/>
  <c r="N15" i="48" s="1"/>
  <c r="G15" i="48" s="1"/>
  <c r="T36" i="46"/>
  <c r="AC36" i="46" s="1"/>
  <c r="P36" i="46"/>
  <c r="V36" i="46"/>
  <c r="AC40" i="46"/>
  <c r="V42" i="46"/>
  <c r="K42" i="46"/>
  <c r="X40" i="46" s="1"/>
  <c r="U42" i="46"/>
  <c r="K126" i="46"/>
  <c r="V126" i="46"/>
  <c r="C126" i="46"/>
  <c r="N35" i="48" s="1"/>
  <c r="U126" i="46"/>
  <c r="AA126" i="46" s="1"/>
  <c r="T126" i="46"/>
  <c r="P126" i="46"/>
  <c r="K92" i="58"/>
  <c r="V92" i="58"/>
  <c r="U92" i="58"/>
  <c r="AA92" i="58" s="1"/>
  <c r="C92" i="58"/>
  <c r="T92" i="58"/>
  <c r="P92" i="58"/>
  <c r="AB113" i="58"/>
  <c r="A13" i="1"/>
  <c r="A13" i="2"/>
  <c r="CP18" i="1"/>
  <c r="JE9" i="1"/>
  <c r="IS9" i="1"/>
  <c r="IG9" i="1"/>
  <c r="HU9" i="1"/>
  <c r="HI9" i="1"/>
  <c r="GW9" i="1"/>
  <c r="GK9" i="1"/>
  <c r="FY9" i="1"/>
  <c r="FM9" i="1"/>
  <c r="FA9" i="1"/>
  <c r="EO9" i="1"/>
  <c r="EC9" i="1"/>
  <c r="DQ9" i="1"/>
  <c r="JB9" i="1"/>
  <c r="IP9" i="1"/>
  <c r="ID9" i="1"/>
  <c r="IY9" i="1"/>
  <c r="IM9" i="1"/>
  <c r="IA9" i="1"/>
  <c r="HO9" i="1"/>
  <c r="HC9" i="1"/>
  <c r="GQ9" i="1"/>
  <c r="GE9" i="1"/>
  <c r="FS9" i="1"/>
  <c r="FG9" i="1"/>
  <c r="EU9" i="1"/>
  <c r="EI9" i="1"/>
  <c r="DW9" i="1"/>
  <c r="DK9" i="1"/>
  <c r="JH9" i="1"/>
  <c r="IV9" i="1"/>
  <c r="IJ9" i="1"/>
  <c r="HX9" i="1"/>
  <c r="HL9" i="1"/>
  <c r="GZ9" i="1"/>
  <c r="GN9" i="1"/>
  <c r="GB9" i="1"/>
  <c r="FP9" i="1"/>
  <c r="FD9" i="1"/>
  <c r="ER9" i="1"/>
  <c r="EF9" i="1"/>
  <c r="DT9" i="1"/>
  <c r="GT9" i="1"/>
  <c r="EL9" i="1"/>
  <c r="DB9" i="1"/>
  <c r="CP9" i="1"/>
  <c r="CD9" i="1"/>
  <c r="BR9" i="1"/>
  <c r="BF9" i="1"/>
  <c r="AT9" i="1"/>
  <c r="AH9" i="1"/>
  <c r="V9" i="1"/>
  <c r="J9" i="1"/>
  <c r="E10" i="2"/>
  <c r="FV9" i="1"/>
  <c r="HF9" i="1"/>
  <c r="DN9" i="1"/>
  <c r="CY9" i="1"/>
  <c r="CM9" i="1"/>
  <c r="CA9" i="1"/>
  <c r="BO9" i="1"/>
  <c r="BC9" i="1"/>
  <c r="AQ9" i="1"/>
  <c r="AE9" i="1"/>
  <c r="S9" i="1"/>
  <c r="G9" i="1"/>
  <c r="EX9" i="1"/>
  <c r="GH9" i="1"/>
  <c r="DH9" i="1"/>
  <c r="CV9" i="1"/>
  <c r="CJ9" i="1"/>
  <c r="BX9" i="1"/>
  <c r="BL9" i="1"/>
  <c r="AZ9" i="1"/>
  <c r="AN9" i="1"/>
  <c r="AB9" i="1"/>
  <c r="P9" i="1"/>
  <c r="FJ9" i="1"/>
  <c r="DE9" i="1"/>
  <c r="CS9" i="1"/>
  <c r="CG9" i="1"/>
  <c r="BU9" i="1"/>
  <c r="BI9" i="1"/>
  <c r="AW9" i="1"/>
  <c r="AK9" i="1"/>
  <c r="Y9" i="1"/>
  <c r="M9" i="1"/>
  <c r="JH17" i="1"/>
  <c r="IV17" i="1"/>
  <c r="IJ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E17" i="1"/>
  <c r="IS17" i="1"/>
  <c r="IG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JB17" i="1"/>
  <c r="IP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HC17" i="1"/>
  <c r="DK17" i="1"/>
  <c r="S17" i="1"/>
  <c r="IM17" i="1"/>
  <c r="EU17" i="1"/>
  <c r="BC17" i="1"/>
  <c r="GE17" i="1"/>
  <c r="CM17" i="1"/>
  <c r="HO17" i="1"/>
  <c r="DW17" i="1"/>
  <c r="AE17" i="1"/>
  <c r="IY17" i="1"/>
  <c r="FG17" i="1"/>
  <c r="BO17" i="1"/>
  <c r="GQ17" i="1"/>
  <c r="CY17" i="1"/>
  <c r="G17" i="1"/>
  <c r="FS17" i="1"/>
  <c r="CA17" i="1"/>
  <c r="V33" i="48"/>
  <c r="G35" i="48"/>
  <c r="AJ38" i="48"/>
  <c r="D33" i="59" s="1"/>
  <c r="V9" i="45"/>
  <c r="B10" i="45"/>
  <c r="W16" i="45"/>
  <c r="B19" i="45"/>
  <c r="N19" i="45" s="1"/>
  <c r="C20" i="45"/>
  <c r="AM20" i="45" s="1"/>
  <c r="AH20" i="45"/>
  <c r="AH21" i="45"/>
  <c r="AL22" i="45"/>
  <c r="N23" i="45"/>
  <c r="AI25" i="45"/>
  <c r="N26" i="45"/>
  <c r="R29" i="45"/>
  <c r="B30" i="45"/>
  <c r="J30" i="45" s="1"/>
  <c r="J31" i="45"/>
  <c r="AP31" i="45"/>
  <c r="AH33" i="45"/>
  <c r="R37" i="45"/>
  <c r="B38" i="45"/>
  <c r="AL38" i="45" s="1"/>
  <c r="P7" i="46"/>
  <c r="V11" i="46"/>
  <c r="T16" i="46"/>
  <c r="AC16" i="46" s="1"/>
  <c r="V22" i="46"/>
  <c r="C22" i="46"/>
  <c r="N12" i="48" s="1"/>
  <c r="C27" i="46"/>
  <c r="N13" i="48" s="1"/>
  <c r="G13" i="48" s="1"/>
  <c r="U27" i="46"/>
  <c r="AA26" i="46" s="1"/>
  <c r="P42" i="46"/>
  <c r="AA46" i="46"/>
  <c r="X84" i="46"/>
  <c r="X92" i="46"/>
  <c r="X26" i="58"/>
  <c r="X126" i="58"/>
  <c r="HR9" i="1"/>
  <c r="IA17" i="1"/>
  <c r="S9" i="48"/>
  <c r="G10" i="48"/>
  <c r="G12" i="48"/>
  <c r="I26" i="48"/>
  <c r="N8" i="45"/>
  <c r="AA16" i="45"/>
  <c r="B17" i="45"/>
  <c r="AD17" i="45" s="1"/>
  <c r="B18" i="45"/>
  <c r="AL18" i="45" s="1"/>
  <c r="AD18" i="45"/>
  <c r="AH19" i="45"/>
  <c r="G20" i="45"/>
  <c r="AL20" i="45"/>
  <c r="AL21" i="45"/>
  <c r="J22" i="45"/>
  <c r="AP22" i="45"/>
  <c r="R23" i="45"/>
  <c r="B24" i="45"/>
  <c r="K25" i="45"/>
  <c r="R26" i="45"/>
  <c r="B27" i="45"/>
  <c r="Z27" i="45" s="1"/>
  <c r="J28" i="45"/>
  <c r="AP28" i="45"/>
  <c r="B35" i="45"/>
  <c r="R35" i="45" s="1"/>
  <c r="AD35" i="45"/>
  <c r="V37" i="45"/>
  <c r="X6" i="46"/>
  <c r="C16" i="46"/>
  <c r="N11" i="48" s="1"/>
  <c r="G11" i="48" s="1"/>
  <c r="P22" i="46"/>
  <c r="AA35" i="46"/>
  <c r="K51" i="46"/>
  <c r="V51" i="46"/>
  <c r="C51" i="46"/>
  <c r="N18" i="48" s="1"/>
  <c r="G18" i="48" s="1"/>
  <c r="U51" i="46"/>
  <c r="AA50" i="46" s="1"/>
  <c r="X75" i="46"/>
  <c r="AB105" i="46"/>
  <c r="X117" i="46"/>
  <c r="AA143" i="46"/>
  <c r="X6" i="58"/>
  <c r="AC51" i="58"/>
  <c r="K64" i="58"/>
  <c r="X64" i="58" s="1"/>
  <c r="V64" i="58"/>
  <c r="U64" i="58"/>
  <c r="AA64" i="58" s="1"/>
  <c r="C64" i="58"/>
  <c r="T64" i="58"/>
  <c r="P64" i="58"/>
  <c r="AB84" i="58"/>
  <c r="AA101" i="58"/>
  <c r="K109" i="58"/>
  <c r="X109" i="58" s="1"/>
  <c r="V109" i="58"/>
  <c r="C109" i="58"/>
  <c r="U109" i="58"/>
  <c r="AA109" i="58" s="1"/>
  <c r="T109" i="58"/>
  <c r="P109" i="58"/>
  <c r="V56" i="46"/>
  <c r="K64" i="46"/>
  <c r="X64" i="46" s="1"/>
  <c r="U69" i="46"/>
  <c r="AA69" i="46" s="1"/>
  <c r="V79" i="46"/>
  <c r="K88" i="46"/>
  <c r="C98" i="46"/>
  <c r="V98" i="46"/>
  <c r="K102" i="46"/>
  <c r="K109" i="46"/>
  <c r="X109" i="46" s="1"/>
  <c r="C110" i="46"/>
  <c r="U110" i="46"/>
  <c r="AA6" i="58"/>
  <c r="V7" i="58"/>
  <c r="K16" i="58"/>
  <c r="AC31" i="58"/>
  <c r="AB31" i="58" s="1"/>
  <c r="V35" i="58"/>
  <c r="U41" i="58"/>
  <c r="AA40" i="58" s="1"/>
  <c r="K46" i="58"/>
  <c r="V69" i="58"/>
  <c r="C93" i="58"/>
  <c r="V93" i="58"/>
  <c r="AC101" i="58"/>
  <c r="C105" i="58"/>
  <c r="V105" i="58"/>
  <c r="V110" i="58"/>
  <c r="X117" i="58"/>
  <c r="C121" i="58"/>
  <c r="V121" i="58"/>
  <c r="C130" i="58"/>
  <c r="V130" i="58"/>
  <c r="K79" i="46"/>
  <c r="K98" i="46"/>
  <c r="K110" i="46"/>
  <c r="K93" i="58"/>
  <c r="X92" i="58" s="1"/>
  <c r="K94" i="58"/>
  <c r="AC94" i="58" s="1"/>
  <c r="T97" i="58"/>
  <c r="AC97" i="58" s="1"/>
  <c r="C101" i="58"/>
  <c r="V101" i="58"/>
  <c r="K105" i="58"/>
  <c r="K121" i="58"/>
  <c r="T122" i="58"/>
  <c r="AC122" i="58" s="1"/>
  <c r="T126" i="58"/>
  <c r="AC126" i="58" s="1"/>
  <c r="K130" i="58"/>
  <c r="U134" i="58"/>
  <c r="AA134" i="58" s="1"/>
  <c r="AB134" i="58" s="1"/>
  <c r="T144" i="58"/>
  <c r="AC144" i="58" s="1"/>
  <c r="AB143" i="58" s="1"/>
  <c r="X105" i="46"/>
  <c r="X121" i="46"/>
  <c r="U97" i="58"/>
  <c r="U126" i="58"/>
  <c r="AA126" i="58" s="1"/>
  <c r="X143" i="58"/>
  <c r="T64" i="46"/>
  <c r="P117" i="46"/>
  <c r="P139" i="46"/>
  <c r="X75" i="58"/>
  <c r="P56" i="46"/>
  <c r="C64" i="46"/>
  <c r="N21" i="48" s="1"/>
  <c r="G21" i="48" s="1"/>
  <c r="U64" i="46"/>
  <c r="AA64" i="46" s="1"/>
  <c r="P79" i="46"/>
  <c r="C88" i="46"/>
  <c r="N26" i="48" s="1"/>
  <c r="G26" i="48" s="1"/>
  <c r="U88" i="46"/>
  <c r="AA88" i="46" s="1"/>
  <c r="C92" i="46"/>
  <c r="N27" i="48" s="1"/>
  <c r="G27" i="48" s="1"/>
  <c r="U92" i="46"/>
  <c r="AA92" i="46" s="1"/>
  <c r="P98" i="46"/>
  <c r="U102" i="46"/>
  <c r="AA101" i="46" s="1"/>
  <c r="U109" i="46"/>
  <c r="AA109" i="46" s="1"/>
  <c r="P110" i="46"/>
  <c r="T117" i="46"/>
  <c r="AC117" i="46" s="1"/>
  <c r="T135" i="46"/>
  <c r="AC135" i="46" s="1"/>
  <c r="T139" i="46"/>
  <c r="AC139" i="46" s="1"/>
  <c r="P7" i="58"/>
  <c r="P153" i="58" s="1"/>
  <c r="O153" i="58" s="1"/>
  <c r="T16" i="58"/>
  <c r="C26" i="58"/>
  <c r="U26" i="58"/>
  <c r="AA26" i="58" s="1"/>
  <c r="P35" i="58"/>
  <c r="K40" i="58"/>
  <c r="X40" i="58" s="1"/>
  <c r="P41" i="58"/>
  <c r="T46" i="58"/>
  <c r="U50" i="58"/>
  <c r="AA50" i="58" s="1"/>
  <c r="AB50" i="58" s="1"/>
  <c r="U56" i="58"/>
  <c r="AA55" i="58" s="1"/>
  <c r="P69" i="58"/>
  <c r="T79" i="58"/>
  <c r="AC79" i="58" s="1"/>
  <c r="P93" i="58"/>
  <c r="T98" i="58"/>
  <c r="AC98" i="58" s="1"/>
  <c r="P105" i="58"/>
  <c r="P121" i="58"/>
  <c r="P130" i="58"/>
  <c r="U139" i="58"/>
  <c r="AA139" i="58" s="1"/>
  <c r="AB139" i="58" s="1"/>
  <c r="T56" i="46"/>
  <c r="AC56" i="46" s="1"/>
  <c r="P69" i="46"/>
  <c r="T79" i="46"/>
  <c r="V92" i="46"/>
  <c r="P93" i="46"/>
  <c r="T98" i="46"/>
  <c r="C102" i="46"/>
  <c r="N29" i="48" s="1"/>
  <c r="G29" i="48" s="1"/>
  <c r="P105" i="46"/>
  <c r="C109" i="46"/>
  <c r="N31" i="48" s="1"/>
  <c r="G31" i="48" s="1"/>
  <c r="U117" i="46"/>
  <c r="AA117" i="46" s="1"/>
  <c r="P121" i="46"/>
  <c r="P130" i="46"/>
  <c r="U135" i="46"/>
  <c r="AA134" i="46" s="1"/>
  <c r="AB134" i="46" s="1"/>
  <c r="U139" i="46"/>
  <c r="AA139" i="46" s="1"/>
  <c r="T7" i="58"/>
  <c r="AC7" i="58" s="1"/>
  <c r="C16" i="58"/>
  <c r="U16" i="58"/>
  <c r="V26" i="58"/>
  <c r="T35" i="58"/>
  <c r="AC35" i="58" s="1"/>
  <c r="P43" i="58"/>
  <c r="C46" i="58"/>
  <c r="U46" i="58"/>
  <c r="AA46" i="58" s="1"/>
  <c r="C50" i="58"/>
  <c r="P51" i="58"/>
  <c r="P55" i="58"/>
  <c r="K56" i="58"/>
  <c r="X55" i="58" s="1"/>
  <c r="P60" i="58"/>
  <c r="C69" i="58"/>
  <c r="T69" i="58"/>
  <c r="AC69" i="58" s="1"/>
  <c r="C79" i="58"/>
  <c r="U79" i="58"/>
  <c r="AA79" i="58" s="1"/>
  <c r="P89" i="58"/>
  <c r="T93" i="58"/>
  <c r="P94" i="58"/>
  <c r="U98" i="58"/>
  <c r="T105" i="58"/>
  <c r="T110" i="58"/>
  <c r="T121" i="58"/>
  <c r="T130" i="58"/>
  <c r="C56" i="46"/>
  <c r="C79" i="46"/>
  <c r="N24" i="48" s="1"/>
  <c r="G24" i="48" s="1"/>
  <c r="C117" i="46"/>
  <c r="N33" i="48" s="1"/>
  <c r="G33" i="48" s="1"/>
  <c r="C135" i="46"/>
  <c r="N37" i="48" s="1"/>
  <c r="G37" i="48" s="1"/>
  <c r="C139" i="46"/>
  <c r="N38" i="48" s="1"/>
  <c r="G38" i="48" s="1"/>
  <c r="C7" i="58"/>
  <c r="C153" i="58" s="1"/>
  <c r="C35" i="58"/>
  <c r="C41" i="58"/>
  <c r="C60" i="58"/>
  <c r="C98" i="58"/>
  <c r="C110" i="58"/>
  <c r="I51" i="4"/>
  <c r="I45" i="4"/>
  <c r="D40" i="53"/>
  <c r="K34" i="37"/>
  <c r="I40" i="37" s="1"/>
  <c r="I51" i="7"/>
  <c r="I45" i="7"/>
  <c r="K34" i="43"/>
  <c r="I40" i="43" s="1"/>
  <c r="I45" i="37"/>
  <c r="K34" i="8"/>
  <c r="I40" i="8" s="1"/>
  <c r="I51" i="16"/>
  <c r="I40" i="6"/>
  <c r="I45" i="6" s="1"/>
  <c r="I44" i="7"/>
  <c r="K34" i="11"/>
  <c r="I40" i="11" s="1"/>
  <c r="I45" i="11" s="1"/>
  <c r="K34" i="13"/>
  <c r="I40" i="13" s="1"/>
  <c r="I45" i="16"/>
  <c r="M20" i="8"/>
  <c r="M20" i="7" s="1"/>
  <c r="M20" i="6" s="1"/>
  <c r="M20" i="37" s="1"/>
  <c r="M20" i="4" s="1"/>
  <c r="M20" i="43" s="1"/>
  <c r="K34" i="9"/>
  <c r="I40" i="9" s="1"/>
  <c r="K34" i="12"/>
  <c r="I40" i="12" s="1"/>
  <c r="M13" i="7"/>
  <c r="M13" i="6" s="1"/>
  <c r="M13" i="37" s="1"/>
  <c r="M13" i="4" s="1"/>
  <c r="M13" i="43" s="1"/>
  <c r="K34" i="10"/>
  <c r="I40" i="10" s="1"/>
  <c r="M9" i="12"/>
  <c r="M9" i="11" s="1"/>
  <c r="M9" i="10" s="1"/>
  <c r="M9" i="9" s="1"/>
  <c r="M9" i="8" s="1"/>
  <c r="M9" i="7" s="1"/>
  <c r="M9" i="6" s="1"/>
  <c r="M9" i="37" s="1"/>
  <c r="M9" i="4" s="1"/>
  <c r="M9" i="43" s="1"/>
  <c r="K34" i="14"/>
  <c r="I40" i="14" s="1"/>
  <c r="I44" i="16"/>
  <c r="K34" i="17"/>
  <c r="I40" i="17" s="1"/>
  <c r="I51" i="24"/>
  <c r="K34" i="15"/>
  <c r="I40" i="15" s="1"/>
  <c r="K34" i="18"/>
  <c r="I40" i="18" s="1"/>
  <c r="I51" i="22"/>
  <c r="I45" i="18"/>
  <c r="M16" i="19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D44" i="20"/>
  <c r="D48" i="20"/>
  <c r="J57" i="20"/>
  <c r="I45" i="24"/>
  <c r="K34" i="20"/>
  <c r="I40" i="20" s="1"/>
  <c r="K34" i="21"/>
  <c r="D38" i="23"/>
  <c r="D40" i="27"/>
  <c r="E40" i="29"/>
  <c r="D45" i="27"/>
  <c r="E45" i="29"/>
  <c r="E46" i="27"/>
  <c r="D46" i="28"/>
  <c r="I45" i="22"/>
  <c r="K34" i="23"/>
  <c r="I44" i="24"/>
  <c r="J24" i="25"/>
  <c r="I44" i="26"/>
  <c r="I40" i="30"/>
  <c r="J56" i="27"/>
  <c r="D51" i="21"/>
  <c r="M17" i="23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M12" i="26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I44" i="25"/>
  <c r="I45" i="25"/>
  <c r="E41" i="27"/>
  <c r="D41" i="28"/>
  <c r="D47" i="27"/>
  <c r="E47" i="29"/>
  <c r="D49" i="29"/>
  <c r="E49" i="30"/>
  <c r="E52" i="32"/>
  <c r="E53" i="32" s="1"/>
  <c r="M19" i="19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18" i="20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J30" i="24"/>
  <c r="J30" i="23" s="1"/>
  <c r="J30" i="21" s="1"/>
  <c r="J30" i="22" s="1"/>
  <c r="J30" i="20" s="1"/>
  <c r="J30" i="19" s="1"/>
  <c r="J30" i="18" s="1"/>
  <c r="J30" i="17" s="1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D42" i="27"/>
  <c r="E42" i="29"/>
  <c r="D43" i="29"/>
  <c r="E43" i="30"/>
  <c r="E43" i="31"/>
  <c r="E52" i="31" s="1"/>
  <c r="E53" i="31" s="1"/>
  <c r="E49" i="31"/>
  <c r="J43" i="33"/>
  <c r="K34" i="26"/>
  <c r="I40" i="26" s="1"/>
  <c r="I44" i="28"/>
  <c r="M11" i="27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I44" i="27"/>
  <c r="J49" i="29"/>
  <c r="M7" i="30"/>
  <c r="M10" i="30"/>
  <c r="M10" i="29" s="1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J37" i="30"/>
  <c r="D39" i="30"/>
  <c r="D52" i="30" s="1"/>
  <c r="D53" i="30" s="1"/>
  <c r="E42" i="30"/>
  <c r="D50" i="30"/>
  <c r="I45" i="33"/>
  <c r="J43" i="32"/>
  <c r="K34" i="31"/>
  <c r="K34" i="32"/>
  <c r="I40" i="32" s="1"/>
  <c r="I45" i="32" s="1"/>
  <c r="D52" i="32"/>
  <c r="D53" i="32" s="1"/>
  <c r="K34" i="29"/>
  <c r="I40" i="29" s="1"/>
  <c r="M8" i="32"/>
  <c r="M8" i="31" s="1"/>
  <c r="M8" i="30" s="1"/>
  <c r="M8" i="29" s="1"/>
  <c r="M8" i="27" s="1"/>
  <c r="M8" i="28" s="1"/>
  <c r="M8" i="26" s="1"/>
  <c r="M8" i="25" s="1"/>
  <c r="M8" i="24" s="1"/>
  <c r="M8" i="23" s="1"/>
  <c r="M8" i="21" s="1"/>
  <c r="M8" i="22" s="1"/>
  <c r="M8" i="20" s="1"/>
  <c r="M8" i="19" s="1"/>
  <c r="M8" i="18" s="1"/>
  <c r="M8" i="17" s="1"/>
  <c r="M8" i="16" s="1"/>
  <c r="M8" i="15" s="1"/>
  <c r="M8" i="14" s="1"/>
  <c r="M8" i="13" s="1"/>
  <c r="M8" i="12" s="1"/>
  <c r="M8" i="11" s="1"/>
  <c r="M8" i="10" s="1"/>
  <c r="M8" i="9" s="1"/>
  <c r="M8" i="8" s="1"/>
  <c r="M8" i="7" s="1"/>
  <c r="M8" i="6" s="1"/>
  <c r="M8" i="37" s="1"/>
  <c r="M8" i="4" s="1"/>
  <c r="M8" i="43" s="1"/>
  <c r="K34" i="28"/>
  <c r="I40" i="28" s="1"/>
  <c r="K34" i="27"/>
  <c r="I40" i="27" s="1"/>
  <c r="M40" i="53"/>
  <c r="Z36" i="45"/>
  <c r="W22" i="45"/>
  <c r="AD38" i="45"/>
  <c r="F34" i="45"/>
  <c r="AR22" i="45"/>
  <c r="J9" i="45"/>
  <c r="AP13" i="45"/>
  <c r="R13" i="45"/>
  <c r="W20" i="45"/>
  <c r="AQ20" i="45"/>
  <c r="AM22" i="45"/>
  <c r="R10" i="45"/>
  <c r="R11" i="45"/>
  <c r="AA20" i="45"/>
  <c r="J25" i="45"/>
  <c r="V34" i="45"/>
  <c r="AI20" i="45"/>
  <c r="R24" i="45"/>
  <c r="AH9" i="45"/>
  <c r="J10" i="45"/>
  <c r="AP14" i="45"/>
  <c r="O22" i="45"/>
  <c r="AE22" i="45"/>
  <c r="AP36" i="45"/>
  <c r="J12" i="45"/>
  <c r="AH12" i="45"/>
  <c r="R14" i="45"/>
  <c r="S17" i="45"/>
  <c r="AR28" i="45"/>
  <c r="V28" i="45"/>
  <c r="X8" i="45"/>
  <c r="X9" i="45" s="1"/>
  <c r="X10" i="45" s="1"/>
  <c r="X11" i="45" s="1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X22" i="45" s="1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S22" i="45"/>
  <c r="AI22" i="45"/>
  <c r="F30" i="45"/>
  <c r="R32" i="45"/>
  <c r="AP12" i="45"/>
  <c r="J13" i="45"/>
  <c r="AH13" i="45"/>
  <c r="K20" i="45"/>
  <c r="G22" i="45"/>
  <c r="J24" i="45"/>
  <c r="AH24" i="45"/>
  <c r="N38" i="45"/>
  <c r="AE20" i="45"/>
  <c r="Z12" i="45"/>
  <c r="J17" i="45"/>
  <c r="AE17" i="45"/>
  <c r="O20" i="45"/>
  <c r="K22" i="45"/>
  <c r="AA22" i="45"/>
  <c r="AQ22" i="45"/>
  <c r="AL34" i="45"/>
  <c r="Z10" i="45"/>
  <c r="AH11" i="45"/>
  <c r="AR15" i="45"/>
  <c r="I46" i="26" s="1"/>
  <c r="Z16" i="48" s="1"/>
  <c r="J16" i="45"/>
  <c r="AR21" i="45"/>
  <c r="AR23" i="45"/>
  <c r="I46" i="18" s="1"/>
  <c r="AD28" i="45"/>
  <c r="V30" i="45"/>
  <c r="J34" i="45"/>
  <c r="AA34" i="45"/>
  <c r="AP34" i="45"/>
  <c r="AR35" i="45"/>
  <c r="R36" i="45"/>
  <c r="K37" i="45"/>
  <c r="AA37" i="45"/>
  <c r="AQ37" i="45"/>
  <c r="AR12" i="45"/>
  <c r="Z15" i="45"/>
  <c r="AH16" i="45"/>
  <c r="AR37" i="45"/>
  <c r="I46" i="4" s="1"/>
  <c r="N32" i="45"/>
  <c r="AD32" i="45"/>
  <c r="O37" i="45"/>
  <c r="AE37" i="45"/>
  <c r="AP9" i="45"/>
  <c r="AH10" i="45"/>
  <c r="AP11" i="45"/>
  <c r="AR14" i="45"/>
  <c r="AS14" i="45" s="1"/>
  <c r="J15" i="45"/>
  <c r="R16" i="45"/>
  <c r="AH28" i="45"/>
  <c r="AR31" i="45"/>
  <c r="AH34" i="45"/>
  <c r="AR11" i="45"/>
  <c r="Z14" i="45"/>
  <c r="AH15" i="45"/>
  <c r="AP16" i="45"/>
  <c r="AA17" i="45"/>
  <c r="AR26" i="45"/>
  <c r="N28" i="45"/>
  <c r="S37" i="45"/>
  <c r="AI37" i="45"/>
  <c r="V38" i="45"/>
  <c r="R9" i="45"/>
  <c r="Z11" i="45"/>
  <c r="AR16" i="45"/>
  <c r="I46" i="25" s="1"/>
  <c r="Z17" i="48" s="1"/>
  <c r="AD17" i="48" s="1"/>
  <c r="J12" i="59" s="1"/>
  <c r="R25" i="45"/>
  <c r="Z28" i="45"/>
  <c r="AP10" i="45"/>
  <c r="AR13" i="45"/>
  <c r="I46" i="27" s="1"/>
  <c r="J14" i="45"/>
  <c r="R15" i="45"/>
  <c r="Z16" i="45"/>
  <c r="AR19" i="45"/>
  <c r="S20" i="45"/>
  <c r="F28" i="45"/>
  <c r="AL28" i="45"/>
  <c r="AH36" i="45"/>
  <c r="G37" i="45"/>
  <c r="W37" i="45"/>
  <c r="AM37" i="45"/>
  <c r="F38" i="45"/>
  <c r="AR10" i="45"/>
  <c r="I46" i="31" s="1"/>
  <c r="J11" i="45"/>
  <c r="R12" i="45"/>
  <c r="Z13" i="45"/>
  <c r="AH14" i="45"/>
  <c r="AP15" i="45"/>
  <c r="AR20" i="45"/>
  <c r="AT20" i="45" s="1"/>
  <c r="Z24" i="45"/>
  <c r="I46" i="28"/>
  <c r="J33" i="45"/>
  <c r="AR36" i="45"/>
  <c r="F36" i="45"/>
  <c r="AP17" i="45"/>
  <c r="AQ17" i="45"/>
  <c r="AH30" i="45"/>
  <c r="I46" i="30"/>
  <c r="AS11" i="45"/>
  <c r="R30" i="45"/>
  <c r="G25" i="45"/>
  <c r="F25" i="45"/>
  <c r="AR25" i="45"/>
  <c r="V32" i="45"/>
  <c r="AP32" i="45"/>
  <c r="I46" i="29"/>
  <c r="AS12" i="45"/>
  <c r="J32" i="45"/>
  <c r="AN17" i="45"/>
  <c r="AN18" i="45" s="1"/>
  <c r="AN19" i="45" s="1"/>
  <c r="AN20" i="45" s="1"/>
  <c r="AN21" i="45" s="1"/>
  <c r="AN22" i="45" s="1"/>
  <c r="AN23" i="45" s="1"/>
  <c r="AN24" i="45" s="1"/>
  <c r="AN25" i="45" s="1"/>
  <c r="AN26" i="45" s="1"/>
  <c r="AN27" i="45" s="1"/>
  <c r="AN28" i="45" s="1"/>
  <c r="AN29" i="45" s="1"/>
  <c r="AN30" i="45" s="1"/>
  <c r="AN31" i="45" s="1"/>
  <c r="AN32" i="45" s="1"/>
  <c r="AN33" i="45" s="1"/>
  <c r="AN34" i="45" s="1"/>
  <c r="AN35" i="45" s="1"/>
  <c r="AN36" i="45" s="1"/>
  <c r="AN37" i="45" s="1"/>
  <c r="AN38" i="45" s="1"/>
  <c r="N24" i="45"/>
  <c r="E40" i="45"/>
  <c r="M40" i="45"/>
  <c r="U40" i="45"/>
  <c r="AC40" i="45"/>
  <c r="AK40" i="45"/>
  <c r="AD30" i="45"/>
  <c r="F33" i="45"/>
  <c r="AR33" i="45"/>
  <c r="AP33" i="45"/>
  <c r="V36" i="45"/>
  <c r="R38" i="45"/>
  <c r="G8" i="45"/>
  <c r="O8" i="45"/>
  <c r="W8" i="45"/>
  <c r="AE8" i="45"/>
  <c r="AM8" i="45"/>
  <c r="AS23" i="45"/>
  <c r="AL24" i="45"/>
  <c r="AE25" i="45"/>
  <c r="AD25" i="45"/>
  <c r="Z32" i="45"/>
  <c r="O34" i="45"/>
  <c r="N34" i="45"/>
  <c r="AR17" i="45"/>
  <c r="AR18" i="45"/>
  <c r="F18" i="45"/>
  <c r="F27" i="45"/>
  <c r="V27" i="45"/>
  <c r="AL27" i="45"/>
  <c r="I46" i="13"/>
  <c r="AS28" i="45"/>
  <c r="I46" i="10"/>
  <c r="S34" i="45"/>
  <c r="R34" i="45"/>
  <c r="AD36" i="45"/>
  <c r="I40" i="45"/>
  <c r="Q40" i="45"/>
  <c r="AG40" i="45"/>
  <c r="AO40" i="45"/>
  <c r="AS15" i="45"/>
  <c r="AI17" i="45"/>
  <c r="I46" i="19"/>
  <c r="AS22" i="45"/>
  <c r="AT22" i="45"/>
  <c r="V24" i="45"/>
  <c r="AP24" i="45"/>
  <c r="O25" i="45"/>
  <c r="N25" i="45"/>
  <c r="AH25" i="45"/>
  <c r="AS31" i="45"/>
  <c r="N36" i="45"/>
  <c r="J8" i="45"/>
  <c r="R8" i="45"/>
  <c r="Z8" i="45"/>
  <c r="AH8" i="45"/>
  <c r="AP8" i="45"/>
  <c r="AR9" i="45"/>
  <c r="F10" i="45"/>
  <c r="N10" i="45"/>
  <c r="V10" i="45"/>
  <c r="AD10" i="45"/>
  <c r="AL10" i="45"/>
  <c r="F11" i="45"/>
  <c r="N11" i="45"/>
  <c r="V11" i="45"/>
  <c r="AD11" i="45"/>
  <c r="AL11" i="45"/>
  <c r="F12" i="45"/>
  <c r="N12" i="45"/>
  <c r="V12" i="45"/>
  <c r="AD12" i="45"/>
  <c r="AL12" i="45"/>
  <c r="F13" i="45"/>
  <c r="N13" i="45"/>
  <c r="V13" i="45"/>
  <c r="AD13" i="45"/>
  <c r="AL13" i="45"/>
  <c r="F14" i="45"/>
  <c r="N14" i="45"/>
  <c r="V14" i="45"/>
  <c r="AD14" i="45"/>
  <c r="AL14" i="45"/>
  <c r="F15" i="45"/>
  <c r="N15" i="45"/>
  <c r="V15" i="45"/>
  <c r="AD15" i="45"/>
  <c r="AL15" i="45"/>
  <c r="F16" i="45"/>
  <c r="N16" i="45"/>
  <c r="V16" i="45"/>
  <c r="AD16" i="45"/>
  <c r="AL16" i="45"/>
  <c r="F17" i="45"/>
  <c r="O17" i="45"/>
  <c r="AM25" i="45"/>
  <c r="AL25" i="45"/>
  <c r="I46" i="15"/>
  <c r="AS26" i="45"/>
  <c r="I46" i="6"/>
  <c r="AS35" i="45"/>
  <c r="K8" i="45"/>
  <c r="S8" i="45"/>
  <c r="AA8" i="45"/>
  <c r="AI8" i="45"/>
  <c r="AQ8" i="45"/>
  <c r="I46" i="20"/>
  <c r="AS21" i="45"/>
  <c r="F24" i="45"/>
  <c r="AR24" i="45"/>
  <c r="AR27" i="45"/>
  <c r="V29" i="45"/>
  <c r="N31" i="45"/>
  <c r="AH38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L8" i="45"/>
  <c r="L9" i="45" s="1"/>
  <c r="L10" i="45" s="1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L22" i="45" s="1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T8" i="45"/>
  <c r="T9" i="45" s="1"/>
  <c r="T10" i="45" s="1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T22" i="45" s="1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AB8" i="45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AJ8" i="45"/>
  <c r="AJ9" i="45" s="1"/>
  <c r="AJ10" i="45" s="1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J22" i="45" s="1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J37" i="45" s="1"/>
  <c r="AJ38" i="45" s="1"/>
  <c r="AR8" i="45"/>
  <c r="AM17" i="45"/>
  <c r="AD24" i="45"/>
  <c r="W25" i="45"/>
  <c r="V25" i="45"/>
  <c r="AP25" i="45"/>
  <c r="N27" i="45"/>
  <c r="AD27" i="45"/>
  <c r="Z29" i="45"/>
  <c r="R31" i="45"/>
  <c r="AL33" i="45"/>
  <c r="AL36" i="45"/>
  <c r="F19" i="45"/>
  <c r="F20" i="45"/>
  <c r="F21" i="45"/>
  <c r="F22" i="45"/>
  <c r="F23" i="45"/>
  <c r="AR30" i="45"/>
  <c r="AE34" i="45"/>
  <c r="AR29" i="45"/>
  <c r="AR34" i="45"/>
  <c r="J36" i="45"/>
  <c r="AR32" i="45"/>
  <c r="F32" i="45"/>
  <c r="J38" i="45"/>
  <c r="Z38" i="45"/>
  <c r="AP38" i="45"/>
  <c r="AR38" i="45"/>
  <c r="I48" i="26" l="1"/>
  <c r="AT16" i="45"/>
  <c r="I47" i="26"/>
  <c r="I47" i="25"/>
  <c r="AS16" i="45"/>
  <c r="AS20" i="45"/>
  <c r="I46" i="22"/>
  <c r="Z21" i="48" s="1"/>
  <c r="I48" i="25"/>
  <c r="J17" i="48"/>
  <c r="B12" i="59" s="1"/>
  <c r="H17" i="48"/>
  <c r="I51" i="28"/>
  <c r="R15" i="48"/>
  <c r="D50" i="29"/>
  <c r="E50" i="30"/>
  <c r="J56" i="28"/>
  <c r="I40" i="21"/>
  <c r="W60" i="58"/>
  <c r="W60" i="46"/>
  <c r="E48" i="20"/>
  <c r="D48" i="19"/>
  <c r="I45" i="13"/>
  <c r="I51" i="13"/>
  <c r="R29" i="48"/>
  <c r="AC121" i="58"/>
  <c r="AH34" i="48"/>
  <c r="AC98" i="46"/>
  <c r="AC102" i="46"/>
  <c r="AB101" i="46" s="1"/>
  <c r="L29" i="48"/>
  <c r="H29" i="48" s="1"/>
  <c r="Z35" i="45"/>
  <c r="AD19" i="45"/>
  <c r="A14" i="1"/>
  <c r="A14" i="2"/>
  <c r="AD20" i="45"/>
  <c r="AD22" i="45"/>
  <c r="V20" i="45"/>
  <c r="AP18" i="45"/>
  <c r="V41" i="48"/>
  <c r="T153" i="58"/>
  <c r="X46" i="46"/>
  <c r="I2" i="54"/>
  <c r="AL30" i="45"/>
  <c r="N22" i="45"/>
  <c r="R22" i="45"/>
  <c r="JH35" i="1"/>
  <c r="JE35" i="1"/>
  <c r="IS35" i="1"/>
  <c r="IG35" i="1"/>
  <c r="HU35" i="1"/>
  <c r="HI35" i="1"/>
  <c r="GW35" i="1"/>
  <c r="GK35" i="1"/>
  <c r="FY35" i="1"/>
  <c r="FM35" i="1"/>
  <c r="FA35" i="1"/>
  <c r="EO35" i="1"/>
  <c r="EC35" i="1"/>
  <c r="DQ35" i="1"/>
  <c r="DE35" i="1"/>
  <c r="CS35" i="1"/>
  <c r="CG35" i="1"/>
  <c r="BU35" i="1"/>
  <c r="BI35" i="1"/>
  <c r="AW35" i="1"/>
  <c r="AK35" i="1"/>
  <c r="Y35" i="1"/>
  <c r="M35" i="1"/>
  <c r="ID35" i="1"/>
  <c r="HC35" i="1"/>
  <c r="GB35" i="1"/>
  <c r="EL35" i="1"/>
  <c r="DK35" i="1"/>
  <c r="CJ35" i="1"/>
  <c r="AT35" i="1"/>
  <c r="S35" i="1"/>
  <c r="IP35" i="1"/>
  <c r="HO35" i="1"/>
  <c r="GN35" i="1"/>
  <c r="EX35" i="1"/>
  <c r="DW35" i="1"/>
  <c r="CV35" i="1"/>
  <c r="BF35" i="1"/>
  <c r="AE35" i="1"/>
  <c r="JB35" i="1"/>
  <c r="IA35" i="1"/>
  <c r="GZ35" i="1"/>
  <c r="FJ35" i="1"/>
  <c r="EI35" i="1"/>
  <c r="DH35" i="1"/>
  <c r="BR35" i="1"/>
  <c r="AQ35" i="1"/>
  <c r="P35" i="1"/>
  <c r="IM35" i="1"/>
  <c r="HL35" i="1"/>
  <c r="FV35" i="1"/>
  <c r="EU35" i="1"/>
  <c r="DT35" i="1"/>
  <c r="CD35" i="1"/>
  <c r="BC35" i="1"/>
  <c r="AB35" i="1"/>
  <c r="IY35" i="1"/>
  <c r="HX35" i="1"/>
  <c r="GH35" i="1"/>
  <c r="FG35" i="1"/>
  <c r="EF35" i="1"/>
  <c r="CP35" i="1"/>
  <c r="BO35" i="1"/>
  <c r="AN35" i="1"/>
  <c r="IJ35" i="1"/>
  <c r="GT35" i="1"/>
  <c r="FS35" i="1"/>
  <c r="ER35" i="1"/>
  <c r="DB35" i="1"/>
  <c r="CA35" i="1"/>
  <c r="AZ35" i="1"/>
  <c r="J35" i="1"/>
  <c r="IV35" i="1"/>
  <c r="HF35" i="1"/>
  <c r="GE35" i="1"/>
  <c r="FD35" i="1"/>
  <c r="DN35" i="1"/>
  <c r="CM35" i="1"/>
  <c r="BL35" i="1"/>
  <c r="V35" i="1"/>
  <c r="HR35" i="1"/>
  <c r="GQ35" i="1"/>
  <c r="FP35" i="1"/>
  <c r="DZ35" i="1"/>
  <c r="CY35" i="1"/>
  <c r="BX35" i="1"/>
  <c r="AH35" i="1"/>
  <c r="G35" i="1"/>
  <c r="E36" i="2"/>
  <c r="T153" i="46"/>
  <c r="D43" i="27"/>
  <c r="E43" i="29"/>
  <c r="E47" i="27"/>
  <c r="D47" i="28"/>
  <c r="I51" i="30"/>
  <c r="R12" i="48"/>
  <c r="E40" i="27"/>
  <c r="D40" i="28"/>
  <c r="I51" i="20"/>
  <c r="R22" i="48"/>
  <c r="E44" i="20"/>
  <c r="D44" i="19"/>
  <c r="I45" i="8"/>
  <c r="I51" i="8"/>
  <c r="R34" i="48"/>
  <c r="AB79" i="58"/>
  <c r="AB92" i="46"/>
  <c r="AC105" i="58"/>
  <c r="AB105" i="58" s="1"/>
  <c r="AH30" i="48"/>
  <c r="AC79" i="46"/>
  <c r="AB79" i="46" s="1"/>
  <c r="L24" i="48"/>
  <c r="H24" i="48" s="1"/>
  <c r="X121" i="58"/>
  <c r="AC92" i="58"/>
  <c r="AH27" i="48"/>
  <c r="AC42" i="46"/>
  <c r="L16" i="48"/>
  <c r="H16" i="48" s="1"/>
  <c r="AC122" i="46"/>
  <c r="AB121" i="46" s="1"/>
  <c r="L34" i="48"/>
  <c r="H34" i="48" s="1"/>
  <c r="R19" i="45"/>
  <c r="B40" i="45"/>
  <c r="Z40" i="45" s="1"/>
  <c r="Z31" i="45"/>
  <c r="J18" i="45"/>
  <c r="L14" i="48"/>
  <c r="H14" i="48" s="1"/>
  <c r="AC31" i="46"/>
  <c r="AP21" i="45"/>
  <c r="AP19" i="45"/>
  <c r="AH17" i="45"/>
  <c r="AD9" i="45"/>
  <c r="C153" i="46"/>
  <c r="N9" i="48"/>
  <c r="I45" i="29"/>
  <c r="I51" i="29"/>
  <c r="R13" i="48"/>
  <c r="D39" i="29"/>
  <c r="E39" i="30"/>
  <c r="E52" i="30" s="1"/>
  <c r="E53" i="30" s="1"/>
  <c r="M34" i="32"/>
  <c r="I45" i="30"/>
  <c r="I45" i="28"/>
  <c r="I45" i="20"/>
  <c r="I51" i="14"/>
  <c r="I45" i="14"/>
  <c r="R28" i="48"/>
  <c r="I45" i="9"/>
  <c r="I51" i="9"/>
  <c r="R33" i="48"/>
  <c r="I51" i="11"/>
  <c r="R31" i="48"/>
  <c r="I51" i="43"/>
  <c r="R39" i="48"/>
  <c r="AB139" i="46"/>
  <c r="AC16" i="58"/>
  <c r="AH11" i="48"/>
  <c r="AC51" i="46"/>
  <c r="AB50" i="46" s="1"/>
  <c r="L18" i="48"/>
  <c r="AB121" i="58"/>
  <c r="Z18" i="45"/>
  <c r="Z19" i="45"/>
  <c r="CC24" i="2"/>
  <c r="Z33" i="45"/>
  <c r="R27" i="45"/>
  <c r="Z21" i="45"/>
  <c r="N18" i="45"/>
  <c r="AC70" i="46"/>
  <c r="L22" i="48"/>
  <c r="H22" i="48" s="1"/>
  <c r="X69" i="46"/>
  <c r="AP35" i="45"/>
  <c r="N30" i="45"/>
  <c r="AL17" i="45"/>
  <c r="AC27" i="46"/>
  <c r="AB26" i="46" s="1"/>
  <c r="AH13" i="48"/>
  <c r="L13" i="48"/>
  <c r="H13" i="48" s="1"/>
  <c r="J21" i="45"/>
  <c r="N21" i="45"/>
  <c r="J19" i="45"/>
  <c r="N33" i="45"/>
  <c r="S25" i="45"/>
  <c r="U153" i="46"/>
  <c r="AA6" i="46"/>
  <c r="AL35" i="45"/>
  <c r="J44" i="32"/>
  <c r="J39" i="30"/>
  <c r="J37" i="29"/>
  <c r="I51" i="26"/>
  <c r="R16" i="48"/>
  <c r="E42" i="27"/>
  <c r="D42" i="28"/>
  <c r="D41" i="26"/>
  <c r="E41" i="28"/>
  <c r="E51" i="21"/>
  <c r="D51" i="22"/>
  <c r="J43" i="31"/>
  <c r="V153" i="58"/>
  <c r="AC88" i="46"/>
  <c r="AB88" i="46" s="1"/>
  <c r="L26" i="48"/>
  <c r="X50" i="46"/>
  <c r="X105" i="58"/>
  <c r="V18" i="45"/>
  <c r="T2" i="54"/>
  <c r="Z20" i="45"/>
  <c r="N35" i="45"/>
  <c r="N17" i="45"/>
  <c r="X88" i="46"/>
  <c r="N19" i="48"/>
  <c r="G19" i="48" s="1"/>
  <c r="J35" i="45"/>
  <c r="CC19" i="2"/>
  <c r="AC102" i="58"/>
  <c r="AB101" i="58" s="1"/>
  <c r="AH29" i="48"/>
  <c r="AH27" i="45"/>
  <c r="J20" i="45"/>
  <c r="AP30" i="45"/>
  <c r="N20" i="45"/>
  <c r="V153" i="46"/>
  <c r="F35" i="45"/>
  <c r="J44" i="33"/>
  <c r="J45" i="33"/>
  <c r="I40" i="23"/>
  <c r="AC40" i="58"/>
  <c r="AB40" i="58" s="1"/>
  <c r="AH16" i="48"/>
  <c r="AB6" i="58"/>
  <c r="AB35" i="46"/>
  <c r="V35" i="45"/>
  <c r="Z30" i="45"/>
  <c r="V17" i="45"/>
  <c r="W9" i="48"/>
  <c r="Q10" i="48"/>
  <c r="V19" i="45"/>
  <c r="K153" i="58"/>
  <c r="AA25" i="45"/>
  <c r="CC18" i="2"/>
  <c r="X79" i="46"/>
  <c r="V22" i="45"/>
  <c r="AB69" i="58"/>
  <c r="N28" i="48"/>
  <c r="G28" i="48" s="1"/>
  <c r="AA40" i="46"/>
  <c r="AB40" i="46" s="1"/>
  <c r="AH35" i="45"/>
  <c r="V26" i="45"/>
  <c r="AL19" i="45"/>
  <c r="K153" i="46"/>
  <c r="Z154" i="46" s="1"/>
  <c r="X162" i="46" s="1"/>
  <c r="AC6" i="46"/>
  <c r="L9" i="48"/>
  <c r="J40" i="32"/>
  <c r="I51" i="32"/>
  <c r="R10" i="48"/>
  <c r="M34" i="30"/>
  <c r="M7" i="29"/>
  <c r="M34" i="31"/>
  <c r="I45" i="15"/>
  <c r="I51" i="15"/>
  <c r="R27" i="48"/>
  <c r="I51" i="17"/>
  <c r="I45" i="17"/>
  <c r="R25" i="48"/>
  <c r="I51" i="6"/>
  <c r="R36" i="48"/>
  <c r="AC130" i="58"/>
  <c r="AH36" i="48"/>
  <c r="AB69" i="46"/>
  <c r="Z17" i="45"/>
  <c r="Y9" i="48"/>
  <c r="I4" i="59" s="1"/>
  <c r="S10" i="48"/>
  <c r="AK9" i="48"/>
  <c r="E4" i="59" s="1"/>
  <c r="G4" i="59"/>
  <c r="AC126" i="46"/>
  <c r="AB126" i="46" s="1"/>
  <c r="L35" i="48"/>
  <c r="CC22" i="2"/>
  <c r="R18" i="45"/>
  <c r="CC39" i="2"/>
  <c r="AB130" i="58"/>
  <c r="V33" i="45"/>
  <c r="AP27" i="45"/>
  <c r="R21" i="45"/>
  <c r="AH18" i="45"/>
  <c r="CC27" i="2"/>
  <c r="G17" i="45"/>
  <c r="V31" i="45"/>
  <c r="AB16" i="48"/>
  <c r="I40" i="31"/>
  <c r="W16" i="58"/>
  <c r="W16" i="46"/>
  <c r="J50" i="29"/>
  <c r="J49" i="27"/>
  <c r="I45" i="26"/>
  <c r="I51" i="18"/>
  <c r="R24" i="48"/>
  <c r="AH19" i="48"/>
  <c r="AC56" i="58"/>
  <c r="AB55" i="58" s="1"/>
  <c r="AB117" i="46"/>
  <c r="AB26" i="58"/>
  <c r="AB126" i="58"/>
  <c r="AC93" i="58"/>
  <c r="AC46" i="58"/>
  <c r="AB46" i="58" s="1"/>
  <c r="AH17" i="48"/>
  <c r="AJ17" i="48" s="1"/>
  <c r="D12" i="59" s="1"/>
  <c r="X46" i="58"/>
  <c r="AC64" i="46"/>
  <c r="AB64" i="46" s="1"/>
  <c r="L21" i="48"/>
  <c r="X101" i="46"/>
  <c r="AD21" i="45"/>
  <c r="R17" i="45"/>
  <c r="O46" i="23"/>
  <c r="O45" i="23" s="1"/>
  <c r="AC55" i="46"/>
  <c r="AB55" i="46" s="1"/>
  <c r="L19" i="48"/>
  <c r="H19" i="48" s="1"/>
  <c r="J27" i="45"/>
  <c r="R20" i="45"/>
  <c r="N16" i="48"/>
  <c r="G16" i="48" s="1"/>
  <c r="AC88" i="58"/>
  <c r="AB88" i="58" s="1"/>
  <c r="AH26" i="48"/>
  <c r="AJ26" i="48" s="1"/>
  <c r="D21" i="59" s="1"/>
  <c r="AB31" i="46"/>
  <c r="V8" i="45"/>
  <c r="Z26" i="45"/>
  <c r="I45" i="27"/>
  <c r="I51" i="27"/>
  <c r="R14" i="48"/>
  <c r="D49" i="27"/>
  <c r="E49" i="29"/>
  <c r="D46" i="26"/>
  <c r="E46" i="28"/>
  <c r="E45" i="27"/>
  <c r="D45" i="28"/>
  <c r="E38" i="23"/>
  <c r="D38" i="21"/>
  <c r="J57" i="19"/>
  <c r="I45" i="10"/>
  <c r="I51" i="10"/>
  <c r="R32" i="48"/>
  <c r="I45" i="12"/>
  <c r="I51" i="12"/>
  <c r="R30" i="48"/>
  <c r="I45" i="43"/>
  <c r="I51" i="37"/>
  <c r="R37" i="48"/>
  <c r="AA16" i="58"/>
  <c r="AB16" i="58" s="1"/>
  <c r="AA97" i="58"/>
  <c r="AB97" i="58" s="1"/>
  <c r="AC109" i="46"/>
  <c r="AB109" i="46" s="1"/>
  <c r="L31" i="48"/>
  <c r="H31" i="48" s="1"/>
  <c r="AC109" i="58"/>
  <c r="AB109" i="58" s="1"/>
  <c r="AH31" i="48"/>
  <c r="AC64" i="58"/>
  <c r="AB64" i="58" s="1"/>
  <c r="AH21" i="48"/>
  <c r="AJ21" i="48" s="1"/>
  <c r="D16" i="59" s="1"/>
  <c r="CC10" i="2"/>
  <c r="F10" i="2"/>
  <c r="CD10" i="2" s="1"/>
  <c r="AB92" i="58"/>
  <c r="X126" i="46"/>
  <c r="X130" i="58"/>
  <c r="AC11" i="58"/>
  <c r="AC153" i="58" s="1"/>
  <c r="AH10" i="48"/>
  <c r="AC47" i="46"/>
  <c r="AB46" i="46" s="1"/>
  <c r="AB35" i="58"/>
  <c r="AC97" i="46"/>
  <c r="AB97" i="46" s="1"/>
  <c r="L28" i="48"/>
  <c r="H28" i="48" s="1"/>
  <c r="U153" i="58"/>
  <c r="AB11" i="46"/>
  <c r="AC144" i="46"/>
  <c r="AB143" i="46" s="1"/>
  <c r="L39" i="48"/>
  <c r="H39" i="48" s="1"/>
  <c r="P153" i="46"/>
  <c r="O153" i="46" s="1"/>
  <c r="X97" i="46"/>
  <c r="AS19" i="45"/>
  <c r="I46" i="21"/>
  <c r="I48" i="21" s="1"/>
  <c r="AB17" i="48"/>
  <c r="AS10" i="45"/>
  <c r="AS37" i="45"/>
  <c r="AS13" i="45"/>
  <c r="AT37" i="45"/>
  <c r="I47" i="15"/>
  <c r="I48" i="15"/>
  <c r="Z27" i="48"/>
  <c r="AP40" i="45"/>
  <c r="AX22" i="45" s="1"/>
  <c r="AX24" i="45" s="1"/>
  <c r="I47" i="10"/>
  <c r="I48" i="10"/>
  <c r="Z32" i="48"/>
  <c r="AL40" i="45"/>
  <c r="I48" i="4"/>
  <c r="I47" i="4"/>
  <c r="Z38" i="48"/>
  <c r="AH40" i="45"/>
  <c r="AD40" i="45"/>
  <c r="I48" i="27"/>
  <c r="I47" i="27"/>
  <c r="Z14" i="48"/>
  <c r="I47" i="29"/>
  <c r="I48" i="29"/>
  <c r="Z13" i="48"/>
  <c r="I48" i="28"/>
  <c r="I47" i="28"/>
  <c r="Z15" i="48"/>
  <c r="I46" i="11"/>
  <c r="AS30" i="45"/>
  <c r="AS38" i="45"/>
  <c r="I46" i="43"/>
  <c r="I46" i="12"/>
  <c r="AS29" i="45"/>
  <c r="I46" i="33"/>
  <c r="AS8" i="45"/>
  <c r="AT8" i="45"/>
  <c r="I46" i="32"/>
  <c r="AS9" i="45"/>
  <c r="R40" i="45"/>
  <c r="I48" i="22"/>
  <c r="V40" i="45"/>
  <c r="I47" i="19"/>
  <c r="I48" i="19"/>
  <c r="Z23" i="48"/>
  <c r="J40" i="45"/>
  <c r="I48" i="13"/>
  <c r="I47" i="13"/>
  <c r="Z29" i="48"/>
  <c r="I46" i="23"/>
  <c r="AS18" i="45"/>
  <c r="N40" i="45"/>
  <c r="I47" i="20"/>
  <c r="I48" i="20"/>
  <c r="Z22" i="48"/>
  <c r="I46" i="24"/>
  <c r="AT17" i="45"/>
  <c r="AS17" i="45"/>
  <c r="I46" i="8"/>
  <c r="AS33" i="45"/>
  <c r="AR40" i="45"/>
  <c r="F40" i="45"/>
  <c r="I46" i="37"/>
  <c r="AS36" i="45"/>
  <c r="I47" i="31"/>
  <c r="I48" i="31"/>
  <c r="Z11" i="48"/>
  <c r="I48" i="6"/>
  <c r="I47" i="6"/>
  <c r="Z36" i="48"/>
  <c r="I48" i="18"/>
  <c r="I47" i="18"/>
  <c r="Z24" i="48"/>
  <c r="I47" i="30"/>
  <c r="I48" i="30"/>
  <c r="Z12" i="48"/>
  <c r="I46" i="14"/>
  <c r="AS27" i="45"/>
  <c r="I46" i="16"/>
  <c r="AT25" i="45"/>
  <c r="AS25" i="45"/>
  <c r="I46" i="9"/>
  <c r="AS32" i="45"/>
  <c r="I46" i="7"/>
  <c r="AT34" i="45"/>
  <c r="AS34" i="45"/>
  <c r="I46" i="17"/>
  <c r="AS24" i="45"/>
  <c r="I47" i="22" l="1"/>
  <c r="Z20" i="48"/>
  <c r="I47" i="21"/>
  <c r="T5" i="54"/>
  <c r="AC154" i="58"/>
  <c r="X163" i="58" s="1"/>
  <c r="E45" i="28"/>
  <c r="D45" i="26"/>
  <c r="E14" i="1"/>
  <c r="AJ14" i="48"/>
  <c r="D9" i="59" s="1"/>
  <c r="C13" i="45"/>
  <c r="J14" i="48"/>
  <c r="B9" i="59" s="1"/>
  <c r="X14" i="48"/>
  <c r="H9" i="59" s="1"/>
  <c r="I14" i="48"/>
  <c r="F9" i="59"/>
  <c r="J40" i="31"/>
  <c r="I45" i="31"/>
  <c r="I51" i="31"/>
  <c r="R11" i="48"/>
  <c r="Y10" i="48"/>
  <c r="I5" i="59" s="1"/>
  <c r="G5" i="59"/>
  <c r="E36" i="1"/>
  <c r="J36" i="48"/>
  <c r="B31" i="59" s="1"/>
  <c r="I36" i="48"/>
  <c r="X36" i="48"/>
  <c r="H31" i="59" s="1"/>
  <c r="F31" i="59"/>
  <c r="C35" i="45"/>
  <c r="AJ36" i="48"/>
  <c r="D31" i="59" s="1"/>
  <c r="E10" i="1"/>
  <c r="AJ10" i="48"/>
  <c r="D5" i="59" s="1"/>
  <c r="J10" i="48"/>
  <c r="B5" i="59" s="1"/>
  <c r="X10" i="48"/>
  <c r="H5" i="59" s="1"/>
  <c r="I10" i="48"/>
  <c r="C9" i="45"/>
  <c r="F5" i="59"/>
  <c r="I51" i="23"/>
  <c r="I45" i="23"/>
  <c r="R19" i="48"/>
  <c r="J44" i="31"/>
  <c r="J43" i="30"/>
  <c r="E39" i="1"/>
  <c r="C38" i="45"/>
  <c r="J39" i="48"/>
  <c r="B34" i="59" s="1"/>
  <c r="I39" i="48"/>
  <c r="X39" i="48"/>
  <c r="H34" i="59" s="1"/>
  <c r="F34" i="59"/>
  <c r="AJ39" i="48"/>
  <c r="D34" i="59" s="1"/>
  <c r="A15" i="1"/>
  <c r="A15" i="2"/>
  <c r="E48" i="19"/>
  <c r="D48" i="18"/>
  <c r="E30" i="1"/>
  <c r="I30" i="48"/>
  <c r="X30" i="48"/>
  <c r="H25" i="59" s="1"/>
  <c r="AJ30" i="48"/>
  <c r="D25" i="59" s="1"/>
  <c r="C29" i="45"/>
  <c r="J30" i="48"/>
  <c r="B25" i="59" s="1"/>
  <c r="F25" i="59"/>
  <c r="D51" i="20"/>
  <c r="E51" i="22"/>
  <c r="E22" i="1"/>
  <c r="X22" i="48"/>
  <c r="H17" i="59" s="1"/>
  <c r="C21" i="45"/>
  <c r="AJ22" i="48"/>
  <c r="D17" i="59" s="1"/>
  <c r="I22" i="48"/>
  <c r="F17" i="59"/>
  <c r="J22" i="48"/>
  <c r="B17" i="59" s="1"/>
  <c r="E47" i="28"/>
  <c r="D47" i="26"/>
  <c r="D50" i="27"/>
  <c r="E50" i="29"/>
  <c r="J21" i="48"/>
  <c r="B16" i="59" s="1"/>
  <c r="H21" i="48"/>
  <c r="J41" i="32"/>
  <c r="K57" i="32"/>
  <c r="K56" i="32"/>
  <c r="J51" i="32"/>
  <c r="J39" i="29"/>
  <c r="J37" i="27"/>
  <c r="J18" i="48"/>
  <c r="B13" i="59" s="1"/>
  <c r="H18" i="48"/>
  <c r="E28" i="1"/>
  <c r="I28" i="48"/>
  <c r="X28" i="48"/>
  <c r="H23" i="59" s="1"/>
  <c r="AJ28" i="48"/>
  <c r="D23" i="59" s="1"/>
  <c r="F23" i="59"/>
  <c r="C27" i="45"/>
  <c r="J28" i="48"/>
  <c r="B23" i="59" s="1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N41" i="48"/>
  <c r="G41" i="48" s="1"/>
  <c r="G9" i="48"/>
  <c r="E29" i="1"/>
  <c r="AJ29" i="48"/>
  <c r="D24" i="59" s="1"/>
  <c r="C28" i="45"/>
  <c r="J29" i="48"/>
  <c r="B24" i="59" s="1"/>
  <c r="I29" i="48"/>
  <c r="X29" i="48"/>
  <c r="H24" i="59" s="1"/>
  <c r="F24" i="59"/>
  <c r="X60" i="46"/>
  <c r="AA60" i="46"/>
  <c r="AB60" i="46" s="1"/>
  <c r="E15" i="1"/>
  <c r="J15" i="48"/>
  <c r="B10" i="59" s="1"/>
  <c r="I15" i="48"/>
  <c r="X15" i="48"/>
  <c r="H10" i="59" s="1"/>
  <c r="C14" i="45"/>
  <c r="F10" i="59"/>
  <c r="AJ15" i="48"/>
  <c r="D10" i="59" s="1"/>
  <c r="J57" i="18"/>
  <c r="E46" i="26"/>
  <c r="D46" i="25"/>
  <c r="E25" i="1"/>
  <c r="AJ25" i="48"/>
  <c r="D20" i="59" s="1"/>
  <c r="J25" i="48"/>
  <c r="B20" i="59" s="1"/>
  <c r="I25" i="48"/>
  <c r="X25" i="48"/>
  <c r="H20" i="59" s="1"/>
  <c r="C24" i="45"/>
  <c r="F20" i="59"/>
  <c r="J9" i="48"/>
  <c r="B4" i="59" s="1"/>
  <c r="H9" i="48"/>
  <c r="L41" i="48"/>
  <c r="H41" i="48" s="1"/>
  <c r="M9" i="48"/>
  <c r="T8" i="54"/>
  <c r="Y154" i="58"/>
  <c r="X161" i="58" s="1"/>
  <c r="E31" i="1"/>
  <c r="C30" i="45"/>
  <c r="F26" i="59"/>
  <c r="AJ31" i="48"/>
  <c r="D26" i="59" s="1"/>
  <c r="J31" i="48"/>
  <c r="B26" i="59" s="1"/>
  <c r="I31" i="48"/>
  <c r="X31" i="48"/>
  <c r="H26" i="59" s="1"/>
  <c r="E34" i="1"/>
  <c r="C33" i="45"/>
  <c r="J34" i="48"/>
  <c r="B29" i="59" s="1"/>
  <c r="I34" i="48"/>
  <c r="X34" i="48"/>
  <c r="H29" i="59" s="1"/>
  <c r="AJ34" i="48"/>
  <c r="D29" i="59" s="1"/>
  <c r="F29" i="59"/>
  <c r="X60" i="58"/>
  <c r="AA60" i="58"/>
  <c r="AB60" i="58" s="1"/>
  <c r="J49" i="28"/>
  <c r="J50" i="27"/>
  <c r="AB11" i="58"/>
  <c r="H35" i="48"/>
  <c r="J35" i="48"/>
  <c r="B30" i="59" s="1"/>
  <c r="AC153" i="46"/>
  <c r="AB153" i="58"/>
  <c r="H26" i="48"/>
  <c r="J26" i="48"/>
  <c r="B21" i="59" s="1"/>
  <c r="E41" i="26"/>
  <c r="D41" i="25"/>
  <c r="J45" i="32"/>
  <c r="D40" i="26"/>
  <c r="E40" i="28"/>
  <c r="E43" i="27"/>
  <c r="D43" i="28"/>
  <c r="E12" i="53"/>
  <c r="J2" i="54"/>
  <c r="I51" i="21"/>
  <c r="R20" i="48"/>
  <c r="I45" i="21"/>
  <c r="AI10" i="48"/>
  <c r="AI11" i="48" s="1"/>
  <c r="AI12" i="48" s="1"/>
  <c r="AI13" i="48" s="1"/>
  <c r="AI14" i="48" s="1"/>
  <c r="AI15" i="48" s="1"/>
  <c r="AI16" i="48" s="1"/>
  <c r="AI17" i="48" s="1"/>
  <c r="AI18" i="48" s="1"/>
  <c r="AI19" i="48" s="1"/>
  <c r="AI20" i="48" s="1"/>
  <c r="AI21" i="48" s="1"/>
  <c r="AI22" i="48" s="1"/>
  <c r="AI23" i="48" s="1"/>
  <c r="AI24" i="48" s="1"/>
  <c r="AI25" i="48" s="1"/>
  <c r="AI26" i="48" s="1"/>
  <c r="AI27" i="48" s="1"/>
  <c r="AI28" i="48" s="1"/>
  <c r="AI29" i="48" s="1"/>
  <c r="AI30" i="48" s="1"/>
  <c r="AI31" i="48" s="1"/>
  <c r="AI32" i="48" s="1"/>
  <c r="AI33" i="48" s="1"/>
  <c r="AI34" i="48" s="1"/>
  <c r="AI35" i="48" s="1"/>
  <c r="AI36" i="48" s="1"/>
  <c r="AI37" i="48" s="1"/>
  <c r="AI38" i="48" s="1"/>
  <c r="AI39" i="48" s="1"/>
  <c r="AH41" i="48"/>
  <c r="E37" i="1"/>
  <c r="X37" i="48"/>
  <c r="H32" i="59" s="1"/>
  <c r="C36" i="45"/>
  <c r="AJ37" i="48"/>
  <c r="D32" i="59" s="1"/>
  <c r="F32" i="59"/>
  <c r="I37" i="48"/>
  <c r="J37" i="48"/>
  <c r="B32" i="59" s="1"/>
  <c r="E32" i="1"/>
  <c r="J32" i="48"/>
  <c r="B27" i="59" s="1"/>
  <c r="I32" i="48"/>
  <c r="F27" i="59"/>
  <c r="X32" i="48"/>
  <c r="H27" i="59" s="1"/>
  <c r="C31" i="45"/>
  <c r="AJ32" i="48"/>
  <c r="D27" i="59" s="1"/>
  <c r="AH38" i="55"/>
  <c r="AH3" i="55"/>
  <c r="AH4" i="55"/>
  <c r="I8" i="54"/>
  <c r="Y154" i="46"/>
  <c r="X161" i="46" s="1"/>
  <c r="W10" i="48"/>
  <c r="Q11" i="48"/>
  <c r="AA153" i="58"/>
  <c r="I10" i="54"/>
  <c r="V154" i="46"/>
  <c r="E42" i="28"/>
  <c r="D42" i="26"/>
  <c r="D39" i="27"/>
  <c r="E39" i="29"/>
  <c r="E52" i="29" s="1"/>
  <c r="E53" i="29" s="1"/>
  <c r="D52" i="29"/>
  <c r="D53" i="29" s="1"/>
  <c r="D38" i="22"/>
  <c r="E38" i="21"/>
  <c r="X16" i="46"/>
  <c r="AA16" i="46"/>
  <c r="AB16" i="46" s="1"/>
  <c r="W153" i="46"/>
  <c r="M34" i="29"/>
  <c r="M7" i="27"/>
  <c r="Z154" i="58"/>
  <c r="X162" i="58" s="1"/>
  <c r="T10" i="54"/>
  <c r="V154" i="58"/>
  <c r="E33" i="1"/>
  <c r="F28" i="59"/>
  <c r="AJ33" i="48"/>
  <c r="D28" i="59" s="1"/>
  <c r="J33" i="48"/>
  <c r="B28" i="59" s="1"/>
  <c r="X33" i="48"/>
  <c r="H28" i="59" s="1"/>
  <c r="I33" i="48"/>
  <c r="C32" i="45"/>
  <c r="E13" i="1"/>
  <c r="J13" i="48"/>
  <c r="B8" i="59" s="1"/>
  <c r="C12" i="45"/>
  <c r="I13" i="48"/>
  <c r="X13" i="48"/>
  <c r="H8" i="59" s="1"/>
  <c r="F8" i="59"/>
  <c r="AJ13" i="48"/>
  <c r="D8" i="59" s="1"/>
  <c r="E12" i="1"/>
  <c r="C11" i="45"/>
  <c r="AJ12" i="48"/>
  <c r="D7" i="59" s="1"/>
  <c r="J12" i="48"/>
  <c r="B7" i="59" s="1"/>
  <c r="X12" i="48"/>
  <c r="H7" i="59" s="1"/>
  <c r="I12" i="48"/>
  <c r="F7" i="59"/>
  <c r="CC36" i="2"/>
  <c r="J56" i="26"/>
  <c r="E49" i="27"/>
  <c r="D49" i="28"/>
  <c r="E24" i="1"/>
  <c r="X24" i="48"/>
  <c r="H19" i="59" s="1"/>
  <c r="AJ24" i="48"/>
  <c r="D19" i="59" s="1"/>
  <c r="C23" i="45"/>
  <c r="I24" i="48"/>
  <c r="F19" i="59"/>
  <c r="J24" i="48"/>
  <c r="B19" i="59" s="1"/>
  <c r="X16" i="58"/>
  <c r="W153" i="58"/>
  <c r="E27" i="1"/>
  <c r="AJ27" i="48"/>
  <c r="D22" i="59" s="1"/>
  <c r="J27" i="48"/>
  <c r="B22" i="59" s="1"/>
  <c r="C26" i="45"/>
  <c r="I27" i="48"/>
  <c r="F22" i="59"/>
  <c r="X27" i="48"/>
  <c r="H22" i="59" s="1"/>
  <c r="N12" i="53"/>
  <c r="U2" i="54"/>
  <c r="O12" i="53" s="1"/>
  <c r="P12" i="53" s="1"/>
  <c r="E16" i="1"/>
  <c r="AJ16" i="48"/>
  <c r="D11" i="59" s="1"/>
  <c r="C15" i="45"/>
  <c r="J16" i="48"/>
  <c r="B11" i="59" s="1"/>
  <c r="X16" i="48"/>
  <c r="H11" i="59" s="1"/>
  <c r="I16" i="48"/>
  <c r="F11" i="59"/>
  <c r="AD16" i="48"/>
  <c r="J11" i="59" s="1"/>
  <c r="AB6" i="46"/>
  <c r="E44" i="19"/>
  <c r="D44" i="18"/>
  <c r="I47" i="16"/>
  <c r="I48" i="16"/>
  <c r="Z26" i="48"/>
  <c r="I47" i="37"/>
  <c r="I48" i="37"/>
  <c r="Z37" i="48"/>
  <c r="AB13" i="48"/>
  <c r="AD13" i="48"/>
  <c r="J8" i="59" s="1"/>
  <c r="I47" i="17"/>
  <c r="I48" i="17"/>
  <c r="Z25" i="48"/>
  <c r="I47" i="24"/>
  <c r="I48" i="24"/>
  <c r="Z18" i="48"/>
  <c r="AD23" i="48"/>
  <c r="J18" i="59" s="1"/>
  <c r="AB23" i="48"/>
  <c r="AB11" i="48"/>
  <c r="AB22" i="48"/>
  <c r="AD22" i="48"/>
  <c r="J17" i="59" s="1"/>
  <c r="I47" i="23"/>
  <c r="I48" i="23"/>
  <c r="Z19" i="48"/>
  <c r="I48" i="33"/>
  <c r="J46" i="33"/>
  <c r="J46" i="32" s="1"/>
  <c r="I47" i="33"/>
  <c r="Z9" i="48"/>
  <c r="AB20" i="48"/>
  <c r="AS40" i="45"/>
  <c r="AR42" i="45"/>
  <c r="AD29" i="48"/>
  <c r="J24" i="59" s="1"/>
  <c r="AB29" i="48"/>
  <c r="I48" i="11"/>
  <c r="I47" i="11"/>
  <c r="Z31" i="48"/>
  <c r="I47" i="7"/>
  <c r="I48" i="7"/>
  <c r="Z35" i="48"/>
  <c r="I47" i="12"/>
  <c r="I48" i="12"/>
  <c r="Z30" i="48"/>
  <c r="AB15" i="48"/>
  <c r="AD15" i="48"/>
  <c r="J10" i="59" s="1"/>
  <c r="AD14" i="48"/>
  <c r="J9" i="59" s="1"/>
  <c r="AB14" i="48"/>
  <c r="AD38" i="48"/>
  <c r="J33" i="59" s="1"/>
  <c r="AB38" i="48"/>
  <c r="AB27" i="48"/>
  <c r="AD27" i="48"/>
  <c r="J22" i="59" s="1"/>
  <c r="AB24" i="48"/>
  <c r="AD24" i="48"/>
  <c r="J19" i="59" s="1"/>
  <c r="I48" i="8"/>
  <c r="I47" i="8"/>
  <c r="Z34" i="48"/>
  <c r="I47" i="14"/>
  <c r="I48" i="14"/>
  <c r="Z28" i="48"/>
  <c r="AD12" i="48"/>
  <c r="J7" i="59" s="1"/>
  <c r="AB12" i="48"/>
  <c r="AB36" i="48"/>
  <c r="AD36" i="48"/>
  <c r="J31" i="59" s="1"/>
  <c r="AD32" i="48"/>
  <c r="J27" i="59" s="1"/>
  <c r="AB32" i="48"/>
  <c r="I48" i="9"/>
  <c r="I47" i="9"/>
  <c r="Z33" i="48"/>
  <c r="AD21" i="48"/>
  <c r="J16" i="59" s="1"/>
  <c r="AB21" i="48"/>
  <c r="I47" i="32"/>
  <c r="I48" i="32"/>
  <c r="Z10" i="48"/>
  <c r="I47" i="43"/>
  <c r="I48" i="43"/>
  <c r="Z39" i="48"/>
  <c r="G15" i="45" l="1"/>
  <c r="AI15" i="45"/>
  <c r="AM15" i="45"/>
  <c r="O15" i="45"/>
  <c r="AT15" i="45"/>
  <c r="S15" i="45"/>
  <c r="AA15" i="45"/>
  <c r="K15" i="45"/>
  <c r="AE15" i="45"/>
  <c r="AQ15" i="45"/>
  <c r="W15" i="45"/>
  <c r="K26" i="45"/>
  <c r="AA26" i="45"/>
  <c r="S26" i="45"/>
  <c r="AQ26" i="45"/>
  <c r="AT26" i="45"/>
  <c r="AM26" i="45"/>
  <c r="AE26" i="45"/>
  <c r="O26" i="45"/>
  <c r="W26" i="45"/>
  <c r="G26" i="45"/>
  <c r="AI26" i="45"/>
  <c r="J56" i="25"/>
  <c r="IY33" i="1"/>
  <c r="IM33" i="1"/>
  <c r="IA33" i="1"/>
  <c r="HO33" i="1"/>
  <c r="HC33" i="1"/>
  <c r="GQ33" i="1"/>
  <c r="GE33" i="1"/>
  <c r="FS33" i="1"/>
  <c r="FG33" i="1"/>
  <c r="EU33" i="1"/>
  <c r="EI33" i="1"/>
  <c r="DW33" i="1"/>
  <c r="DK33" i="1"/>
  <c r="CY33" i="1"/>
  <c r="CM33" i="1"/>
  <c r="CA33" i="1"/>
  <c r="BO33" i="1"/>
  <c r="BC33" i="1"/>
  <c r="AQ33" i="1"/>
  <c r="AE33" i="1"/>
  <c r="S33" i="1"/>
  <c r="G33" i="1"/>
  <c r="IS33" i="1"/>
  <c r="HR33" i="1"/>
  <c r="GB33" i="1"/>
  <c r="FA33" i="1"/>
  <c r="DZ33" i="1"/>
  <c r="CJ33" i="1"/>
  <c r="BI33" i="1"/>
  <c r="AH33" i="1"/>
  <c r="JE33" i="1"/>
  <c r="ID33" i="1"/>
  <c r="GN33" i="1"/>
  <c r="FM33" i="1"/>
  <c r="EL33" i="1"/>
  <c r="CV33" i="1"/>
  <c r="BU33" i="1"/>
  <c r="AT33" i="1"/>
  <c r="IP33" i="1"/>
  <c r="GZ33" i="1"/>
  <c r="FY33" i="1"/>
  <c r="EX33" i="1"/>
  <c r="DH33" i="1"/>
  <c r="CG33" i="1"/>
  <c r="BF33" i="1"/>
  <c r="P33" i="1"/>
  <c r="JB33" i="1"/>
  <c r="HL33" i="1"/>
  <c r="GK33" i="1"/>
  <c r="FJ33" i="1"/>
  <c r="DT33" i="1"/>
  <c r="CS33" i="1"/>
  <c r="BR33" i="1"/>
  <c r="AB33" i="1"/>
  <c r="HX33" i="1"/>
  <c r="GW33" i="1"/>
  <c r="FV33" i="1"/>
  <c r="EF33" i="1"/>
  <c r="DE33" i="1"/>
  <c r="CD33" i="1"/>
  <c r="AN33" i="1"/>
  <c r="M33" i="1"/>
  <c r="IJ33" i="1"/>
  <c r="HI33" i="1"/>
  <c r="GH33" i="1"/>
  <c r="ER33" i="1"/>
  <c r="DQ33" i="1"/>
  <c r="CP33" i="1"/>
  <c r="AZ33" i="1"/>
  <c r="Y33" i="1"/>
  <c r="IV33" i="1"/>
  <c r="HU33" i="1"/>
  <c r="GT33" i="1"/>
  <c r="FD33" i="1"/>
  <c r="EC33" i="1"/>
  <c r="DB33" i="1"/>
  <c r="BL33" i="1"/>
  <c r="AK33" i="1"/>
  <c r="J33" i="1"/>
  <c r="HF33" i="1"/>
  <c r="EO33" i="1"/>
  <c r="BX33" i="1"/>
  <c r="DN33" i="1"/>
  <c r="JH33" i="1"/>
  <c r="AW33" i="1"/>
  <c r="FP33" i="1"/>
  <c r="IG33" i="1"/>
  <c r="V33" i="1"/>
  <c r="E34" i="2"/>
  <c r="E39" i="27"/>
  <c r="D39" i="28"/>
  <c r="D52" i="27"/>
  <c r="D53" i="27" s="1"/>
  <c r="AE14" i="45"/>
  <c r="AQ14" i="45"/>
  <c r="O14" i="45"/>
  <c r="W14" i="45"/>
  <c r="G14" i="45"/>
  <c r="AT14" i="45"/>
  <c r="AA14" i="45"/>
  <c r="AM14" i="45"/>
  <c r="S14" i="45"/>
  <c r="AI14" i="45"/>
  <c r="K14" i="45"/>
  <c r="IY30" i="1"/>
  <c r="IM30" i="1"/>
  <c r="IA30" i="1"/>
  <c r="HO30" i="1"/>
  <c r="HC30" i="1"/>
  <c r="GQ30" i="1"/>
  <c r="GE30" i="1"/>
  <c r="FS30" i="1"/>
  <c r="FG30" i="1"/>
  <c r="EU30" i="1"/>
  <c r="EI30" i="1"/>
  <c r="DW30" i="1"/>
  <c r="DK30" i="1"/>
  <c r="CY30" i="1"/>
  <c r="CM30" i="1"/>
  <c r="CA30" i="1"/>
  <c r="BO30" i="1"/>
  <c r="BC30" i="1"/>
  <c r="AQ30" i="1"/>
  <c r="AE30" i="1"/>
  <c r="IJ30" i="1"/>
  <c r="HI30" i="1"/>
  <c r="GH30" i="1"/>
  <c r="ER30" i="1"/>
  <c r="DQ30" i="1"/>
  <c r="CP30" i="1"/>
  <c r="AZ30" i="1"/>
  <c r="Y30" i="1"/>
  <c r="M30" i="1"/>
  <c r="JH30" i="1"/>
  <c r="IG30" i="1"/>
  <c r="HF30" i="1"/>
  <c r="FP30" i="1"/>
  <c r="EO30" i="1"/>
  <c r="DN30" i="1"/>
  <c r="BX30" i="1"/>
  <c r="AW30" i="1"/>
  <c r="V30" i="1"/>
  <c r="IS30" i="1"/>
  <c r="HR30" i="1"/>
  <c r="GB30" i="1"/>
  <c r="FA30" i="1"/>
  <c r="DZ30" i="1"/>
  <c r="CJ30" i="1"/>
  <c r="BI30" i="1"/>
  <c r="AH30" i="1"/>
  <c r="JE30" i="1"/>
  <c r="ID30" i="1"/>
  <c r="GN30" i="1"/>
  <c r="FM30" i="1"/>
  <c r="EL30" i="1"/>
  <c r="CV30" i="1"/>
  <c r="BU30" i="1"/>
  <c r="AT30" i="1"/>
  <c r="S30" i="1"/>
  <c r="G30" i="1"/>
  <c r="IP30" i="1"/>
  <c r="GZ30" i="1"/>
  <c r="FY30" i="1"/>
  <c r="EX30" i="1"/>
  <c r="DH30" i="1"/>
  <c r="CG30" i="1"/>
  <c r="BF30" i="1"/>
  <c r="JB30" i="1"/>
  <c r="HL30" i="1"/>
  <c r="GK30" i="1"/>
  <c r="FJ30" i="1"/>
  <c r="DT30" i="1"/>
  <c r="CS30" i="1"/>
  <c r="BR30" i="1"/>
  <c r="AB30" i="1"/>
  <c r="FV30" i="1"/>
  <c r="EF30" i="1"/>
  <c r="AK30" i="1"/>
  <c r="P30" i="1"/>
  <c r="IV30" i="1"/>
  <c r="HX30" i="1"/>
  <c r="EC30" i="1"/>
  <c r="DE30" i="1"/>
  <c r="J30" i="1"/>
  <c r="HU30" i="1"/>
  <c r="GW30" i="1"/>
  <c r="DB30" i="1"/>
  <c r="BL30" i="1"/>
  <c r="GT30" i="1"/>
  <c r="FD30" i="1"/>
  <c r="AN30" i="1"/>
  <c r="CD30" i="1"/>
  <c r="E31" i="2"/>
  <c r="AT31" i="45"/>
  <c r="AI31" i="45"/>
  <c r="K31" i="45"/>
  <c r="G31" i="45"/>
  <c r="AM31" i="45"/>
  <c r="AQ31" i="45"/>
  <c r="W31" i="45"/>
  <c r="AE31" i="45"/>
  <c r="O31" i="45"/>
  <c r="S31" i="45"/>
  <c r="AA31" i="45"/>
  <c r="M10" i="48"/>
  <c r="K9" i="48"/>
  <c r="C4" i="59" s="1"/>
  <c r="E19" i="1"/>
  <c r="J19" i="48"/>
  <c r="B14" i="59" s="1"/>
  <c r="I19" i="48"/>
  <c r="X19" i="48"/>
  <c r="H14" i="59" s="1"/>
  <c r="C18" i="45"/>
  <c r="AJ19" i="48"/>
  <c r="D14" i="59" s="1"/>
  <c r="F14" i="59"/>
  <c r="E11" i="1"/>
  <c r="C10" i="45"/>
  <c r="J11" i="48"/>
  <c r="B6" i="59" s="1"/>
  <c r="I11" i="48"/>
  <c r="X11" i="48"/>
  <c r="H6" i="59" s="1"/>
  <c r="AJ11" i="48"/>
  <c r="D6" i="59" s="1"/>
  <c r="F6" i="59"/>
  <c r="K13" i="45"/>
  <c r="AQ13" i="45"/>
  <c r="S13" i="45"/>
  <c r="AI13" i="45"/>
  <c r="W13" i="45"/>
  <c r="G13" i="45"/>
  <c r="O13" i="45"/>
  <c r="AA13" i="45"/>
  <c r="AE13" i="45"/>
  <c r="AM13" i="45"/>
  <c r="AT13" i="45"/>
  <c r="AB153" i="46"/>
  <c r="G23" i="45"/>
  <c r="AT23" i="45"/>
  <c r="AM23" i="45"/>
  <c r="O23" i="45"/>
  <c r="W23" i="45"/>
  <c r="K23" i="45"/>
  <c r="AE23" i="45"/>
  <c r="AA23" i="45"/>
  <c r="S23" i="45"/>
  <c r="AQ23" i="45"/>
  <c r="AI23" i="45"/>
  <c r="K11" i="45"/>
  <c r="AA11" i="45"/>
  <c r="AT11" i="45"/>
  <c r="AQ11" i="45"/>
  <c r="G11" i="45"/>
  <c r="AM11" i="45"/>
  <c r="W11" i="45"/>
  <c r="AE11" i="45"/>
  <c r="O11" i="45"/>
  <c r="S11" i="45"/>
  <c r="AI11" i="45"/>
  <c r="DB13" i="1"/>
  <c r="CY13" i="1"/>
  <c r="DH13" i="1"/>
  <c r="JE13" i="1"/>
  <c r="IS13" i="1"/>
  <c r="IG13" i="1"/>
  <c r="HU13" i="1"/>
  <c r="HI13" i="1"/>
  <c r="GW13" i="1"/>
  <c r="GK13" i="1"/>
  <c r="FY13" i="1"/>
  <c r="FM13" i="1"/>
  <c r="FA13" i="1"/>
  <c r="EO13" i="1"/>
  <c r="EC13" i="1"/>
  <c r="DQ13" i="1"/>
  <c r="CM13" i="1"/>
  <c r="CA13" i="1"/>
  <c r="BO13" i="1"/>
  <c r="BC13" i="1"/>
  <c r="AQ13" i="1"/>
  <c r="AE13" i="1"/>
  <c r="S13" i="1"/>
  <c r="G13" i="1"/>
  <c r="JB13" i="1"/>
  <c r="IP13" i="1"/>
  <c r="ID13" i="1"/>
  <c r="HR13" i="1"/>
  <c r="HF13" i="1"/>
  <c r="GT13" i="1"/>
  <c r="GH13" i="1"/>
  <c r="FV13" i="1"/>
  <c r="FJ13" i="1"/>
  <c r="EX13" i="1"/>
  <c r="EL13" i="1"/>
  <c r="DZ13" i="1"/>
  <c r="DN13" i="1"/>
  <c r="CV13" i="1"/>
  <c r="CJ13" i="1"/>
  <c r="BX13" i="1"/>
  <c r="BL13" i="1"/>
  <c r="AZ13" i="1"/>
  <c r="AN13" i="1"/>
  <c r="AB13" i="1"/>
  <c r="P13" i="1"/>
  <c r="IY13" i="1"/>
  <c r="IM13" i="1"/>
  <c r="IA13" i="1"/>
  <c r="HO13" i="1"/>
  <c r="HC13" i="1"/>
  <c r="GQ13" i="1"/>
  <c r="GE13" i="1"/>
  <c r="FS13" i="1"/>
  <c r="FG13" i="1"/>
  <c r="EU13" i="1"/>
  <c r="EI13" i="1"/>
  <c r="DW13" i="1"/>
  <c r="DK13" i="1"/>
  <c r="CS13" i="1"/>
  <c r="CG13" i="1"/>
  <c r="BU13" i="1"/>
  <c r="BI13" i="1"/>
  <c r="AW13" i="1"/>
  <c r="AK13" i="1"/>
  <c r="Y13" i="1"/>
  <c r="M13" i="1"/>
  <c r="GZ13" i="1"/>
  <c r="DE13" i="1"/>
  <c r="BR13" i="1"/>
  <c r="IJ13" i="1"/>
  <c r="ER13" i="1"/>
  <c r="J13" i="1"/>
  <c r="GB13" i="1"/>
  <c r="AT13" i="1"/>
  <c r="HL13" i="1"/>
  <c r="DT13" i="1"/>
  <c r="CD13" i="1"/>
  <c r="E14" i="2"/>
  <c r="IV13" i="1"/>
  <c r="FD13" i="1"/>
  <c r="V13" i="1"/>
  <c r="GN13" i="1"/>
  <c r="BF13" i="1"/>
  <c r="JH13" i="1"/>
  <c r="FP13" i="1"/>
  <c r="AH13" i="1"/>
  <c r="CP13" i="1"/>
  <c r="EF13" i="1"/>
  <c r="HX13" i="1"/>
  <c r="AW154" i="58"/>
  <c r="X181" i="58" s="1"/>
  <c r="AO154" i="58"/>
  <c r="X174" i="58" s="1"/>
  <c r="AG154" i="58"/>
  <c r="X167" i="58" s="1"/>
  <c r="AV154" i="58"/>
  <c r="X180" i="58" s="1"/>
  <c r="AN154" i="58"/>
  <c r="X173" i="58" s="1"/>
  <c r="AF154" i="58"/>
  <c r="X166" i="58" s="1"/>
  <c r="AU154" i="58"/>
  <c r="X179" i="58" s="1"/>
  <c r="AM154" i="58"/>
  <c r="AT154" i="58"/>
  <c r="X178" i="58" s="1"/>
  <c r="X184" i="58" s="1"/>
  <c r="X186" i="58" s="1"/>
  <c r="AL154" i="58"/>
  <c r="X172" i="58" s="1"/>
  <c r="BA154" i="58"/>
  <c r="AS154" i="58"/>
  <c r="X177" i="58" s="1"/>
  <c r="AK154" i="58"/>
  <c r="X171" i="58" s="1"/>
  <c r="AZ154" i="58"/>
  <c r="X183" i="58" s="1"/>
  <c r="AR154" i="58"/>
  <c r="AJ154" i="58"/>
  <c r="X170" i="58" s="1"/>
  <c r="AX154" i="58"/>
  <c r="X182" i="58" s="1"/>
  <c r="AP154" i="58"/>
  <c r="X175" i="58" s="1"/>
  <c r="AH154" i="58"/>
  <c r="X168" i="58" s="1"/>
  <c r="AY154" i="58"/>
  <c r="AI154" i="58"/>
  <c r="X169" i="58" s="1"/>
  <c r="AQ154" i="58"/>
  <c r="X176" i="58" s="1"/>
  <c r="E42" i="26"/>
  <c r="D42" i="25"/>
  <c r="AM36" i="45"/>
  <c r="O36" i="45"/>
  <c r="G36" i="45"/>
  <c r="AI36" i="45"/>
  <c r="AE36" i="45"/>
  <c r="AA36" i="45"/>
  <c r="K36" i="45"/>
  <c r="S36" i="45"/>
  <c r="W36" i="45"/>
  <c r="AQ36" i="45"/>
  <c r="AT36" i="45"/>
  <c r="E41" i="25"/>
  <c r="D41" i="24"/>
  <c r="JH25" i="1"/>
  <c r="IV25" i="1"/>
  <c r="IJ25" i="1"/>
  <c r="HX25" i="1"/>
  <c r="HL25" i="1"/>
  <c r="GZ25" i="1"/>
  <c r="GN25" i="1"/>
  <c r="GB25" i="1"/>
  <c r="FP25" i="1"/>
  <c r="FD25" i="1"/>
  <c r="ER25" i="1"/>
  <c r="EF25" i="1"/>
  <c r="DT25" i="1"/>
  <c r="DH25" i="1"/>
  <c r="CV25" i="1"/>
  <c r="CJ25" i="1"/>
  <c r="BX25" i="1"/>
  <c r="BL25" i="1"/>
  <c r="AZ25" i="1"/>
  <c r="AN25" i="1"/>
  <c r="AB25" i="1"/>
  <c r="P25" i="1"/>
  <c r="JE25" i="1"/>
  <c r="IS25" i="1"/>
  <c r="IG25" i="1"/>
  <c r="HU25" i="1"/>
  <c r="HI25" i="1"/>
  <c r="GW25" i="1"/>
  <c r="GK25" i="1"/>
  <c r="FY25" i="1"/>
  <c r="FM25" i="1"/>
  <c r="FA25" i="1"/>
  <c r="EO25" i="1"/>
  <c r="EC25" i="1"/>
  <c r="DQ25" i="1"/>
  <c r="DE25" i="1"/>
  <c r="CS25" i="1"/>
  <c r="CG25" i="1"/>
  <c r="BU25" i="1"/>
  <c r="BI25" i="1"/>
  <c r="AW25" i="1"/>
  <c r="AK25" i="1"/>
  <c r="Y25" i="1"/>
  <c r="M25" i="1"/>
  <c r="JB25" i="1"/>
  <c r="IP25" i="1"/>
  <c r="ID25" i="1"/>
  <c r="HR25" i="1"/>
  <c r="HF25" i="1"/>
  <c r="GT25" i="1"/>
  <c r="GH25" i="1"/>
  <c r="FV25" i="1"/>
  <c r="FJ25" i="1"/>
  <c r="EX25" i="1"/>
  <c r="EL25" i="1"/>
  <c r="DZ25" i="1"/>
  <c r="DN25" i="1"/>
  <c r="DB25" i="1"/>
  <c r="CP25" i="1"/>
  <c r="CD25" i="1"/>
  <c r="BR25" i="1"/>
  <c r="BF25" i="1"/>
  <c r="AT25" i="1"/>
  <c r="AH25" i="1"/>
  <c r="V25" i="1"/>
  <c r="J25" i="1"/>
  <c r="GQ25" i="1"/>
  <c r="CY25" i="1"/>
  <c r="G25" i="1"/>
  <c r="IA25" i="1"/>
  <c r="EI25" i="1"/>
  <c r="AQ25" i="1"/>
  <c r="FS25" i="1"/>
  <c r="CA25" i="1"/>
  <c r="HC25" i="1"/>
  <c r="DK25" i="1"/>
  <c r="S25" i="1"/>
  <c r="GE25" i="1"/>
  <c r="CM25" i="1"/>
  <c r="IY25" i="1"/>
  <c r="EU25" i="1"/>
  <c r="DW25" i="1"/>
  <c r="FG25" i="1"/>
  <c r="BC25" i="1"/>
  <c r="AE25" i="1"/>
  <c r="IM25" i="1"/>
  <c r="BO25" i="1"/>
  <c r="HO25" i="1"/>
  <c r="E26" i="2"/>
  <c r="E48" i="18"/>
  <c r="D48" i="17"/>
  <c r="JB36" i="1"/>
  <c r="IP36" i="1"/>
  <c r="ID36" i="1"/>
  <c r="HR36" i="1"/>
  <c r="HF36" i="1"/>
  <c r="GT36" i="1"/>
  <c r="GH36" i="1"/>
  <c r="FV36" i="1"/>
  <c r="FJ36" i="1"/>
  <c r="EX36" i="1"/>
  <c r="EL36" i="1"/>
  <c r="DZ36" i="1"/>
  <c r="DN36" i="1"/>
  <c r="DB36" i="1"/>
  <c r="CP36" i="1"/>
  <c r="CD36" i="1"/>
  <c r="BR36" i="1"/>
  <c r="BF36" i="1"/>
  <c r="AT36" i="1"/>
  <c r="AH36" i="1"/>
  <c r="V36" i="1"/>
  <c r="J36" i="1"/>
  <c r="JH36" i="1"/>
  <c r="IG36" i="1"/>
  <c r="GQ36" i="1"/>
  <c r="FP36" i="1"/>
  <c r="EO36" i="1"/>
  <c r="CY36" i="1"/>
  <c r="BX36" i="1"/>
  <c r="AW36" i="1"/>
  <c r="G36" i="1"/>
  <c r="IS36" i="1"/>
  <c r="HC36" i="1"/>
  <c r="GB36" i="1"/>
  <c r="FA36" i="1"/>
  <c r="DK36" i="1"/>
  <c r="CJ36" i="1"/>
  <c r="BI36" i="1"/>
  <c r="S36" i="1"/>
  <c r="JE36" i="1"/>
  <c r="HO36" i="1"/>
  <c r="GN36" i="1"/>
  <c r="FM36" i="1"/>
  <c r="DW36" i="1"/>
  <c r="CV36" i="1"/>
  <c r="BU36" i="1"/>
  <c r="AE36" i="1"/>
  <c r="IA36" i="1"/>
  <c r="GZ36" i="1"/>
  <c r="FY36" i="1"/>
  <c r="EI36" i="1"/>
  <c r="DH36" i="1"/>
  <c r="CG36" i="1"/>
  <c r="AQ36" i="1"/>
  <c r="P36" i="1"/>
  <c r="IM36" i="1"/>
  <c r="HL36" i="1"/>
  <c r="GK36" i="1"/>
  <c r="EU36" i="1"/>
  <c r="DT36" i="1"/>
  <c r="CS36" i="1"/>
  <c r="BC36" i="1"/>
  <c r="AB36" i="1"/>
  <c r="IY36" i="1"/>
  <c r="HX36" i="1"/>
  <c r="GW36" i="1"/>
  <c r="FG36" i="1"/>
  <c r="EF36" i="1"/>
  <c r="DE36" i="1"/>
  <c r="BO36" i="1"/>
  <c r="AN36" i="1"/>
  <c r="M36" i="1"/>
  <c r="IJ36" i="1"/>
  <c r="HI36" i="1"/>
  <c r="FS36" i="1"/>
  <c r="ER36" i="1"/>
  <c r="DQ36" i="1"/>
  <c r="CA36" i="1"/>
  <c r="AZ36" i="1"/>
  <c r="Y36" i="1"/>
  <c r="IV36" i="1"/>
  <c r="HU36" i="1"/>
  <c r="GE36" i="1"/>
  <c r="FD36" i="1"/>
  <c r="EC36" i="1"/>
  <c r="CM36" i="1"/>
  <c r="BL36" i="1"/>
  <c r="AK36" i="1"/>
  <c r="E37" i="2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DH14" i="1"/>
  <c r="CV14" i="1"/>
  <c r="CJ14" i="1"/>
  <c r="BX14" i="1"/>
  <c r="BL14" i="1"/>
  <c r="AZ14" i="1"/>
  <c r="AN14" i="1"/>
  <c r="AB14" i="1"/>
  <c r="P14" i="1"/>
  <c r="JE14" i="1"/>
  <c r="IS14" i="1"/>
  <c r="IG14" i="1"/>
  <c r="HU14" i="1"/>
  <c r="HI14" i="1"/>
  <c r="GW14" i="1"/>
  <c r="GK14" i="1"/>
  <c r="FY14" i="1"/>
  <c r="FM14" i="1"/>
  <c r="FA14" i="1"/>
  <c r="EO14" i="1"/>
  <c r="EC14" i="1"/>
  <c r="DQ14" i="1"/>
  <c r="DE14" i="1"/>
  <c r="CS14" i="1"/>
  <c r="CG14" i="1"/>
  <c r="BU14" i="1"/>
  <c r="BI14" i="1"/>
  <c r="AW14" i="1"/>
  <c r="AK14" i="1"/>
  <c r="Y14" i="1"/>
  <c r="M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DB14" i="1"/>
  <c r="CP14" i="1"/>
  <c r="CD14" i="1"/>
  <c r="BR14" i="1"/>
  <c r="BF14" i="1"/>
  <c r="AT14" i="1"/>
  <c r="AH14" i="1"/>
  <c r="V14" i="1"/>
  <c r="J14" i="1"/>
  <c r="GQ14" i="1"/>
  <c r="CY14" i="1"/>
  <c r="G14" i="1"/>
  <c r="IA14" i="1"/>
  <c r="EI14" i="1"/>
  <c r="AQ14" i="1"/>
  <c r="FS14" i="1"/>
  <c r="CA14" i="1"/>
  <c r="HC14" i="1"/>
  <c r="DK14" i="1"/>
  <c r="S14" i="1"/>
  <c r="IM14" i="1"/>
  <c r="EU14" i="1"/>
  <c r="BC14" i="1"/>
  <c r="GE14" i="1"/>
  <c r="CM14" i="1"/>
  <c r="IY14" i="1"/>
  <c r="FG14" i="1"/>
  <c r="BO14" i="1"/>
  <c r="HO14" i="1"/>
  <c r="DW14" i="1"/>
  <c r="AE14" i="1"/>
  <c r="E15" i="2"/>
  <c r="AA153" i="46"/>
  <c r="T11" i="54"/>
  <c r="N17" i="53"/>
  <c r="N34" i="53"/>
  <c r="N9" i="53"/>
  <c r="N4" i="53"/>
  <c r="N19" i="53"/>
  <c r="N39" i="53"/>
  <c r="N11" i="53"/>
  <c r="N23" i="53"/>
  <c r="N33" i="53"/>
  <c r="N24" i="53"/>
  <c r="N21" i="53"/>
  <c r="N10" i="53"/>
  <c r="N30" i="53"/>
  <c r="N36" i="53"/>
  <c r="N25" i="53"/>
  <c r="N37" i="53"/>
  <c r="N20" i="53"/>
  <c r="N26" i="53"/>
  <c r="N38" i="53"/>
  <c r="N29" i="53"/>
  <c r="N5" i="53"/>
  <c r="N27" i="53"/>
  <c r="N22" i="53"/>
  <c r="N35" i="53"/>
  <c r="N6" i="53"/>
  <c r="N32" i="53"/>
  <c r="N31" i="53"/>
  <c r="N7" i="53"/>
  <c r="N16" i="53"/>
  <c r="N18" i="53"/>
  <c r="N28" i="53"/>
  <c r="N8" i="53"/>
  <c r="G27" i="45"/>
  <c r="AE27" i="45"/>
  <c r="K27" i="45"/>
  <c r="W27" i="45"/>
  <c r="S27" i="45"/>
  <c r="AA27" i="45"/>
  <c r="AM27" i="45"/>
  <c r="AI27" i="45"/>
  <c r="AQ27" i="45"/>
  <c r="O27" i="45"/>
  <c r="AT27" i="45"/>
  <c r="G21" i="45"/>
  <c r="AM21" i="45"/>
  <c r="K21" i="45"/>
  <c r="O21" i="45"/>
  <c r="AA21" i="45"/>
  <c r="AE21" i="45"/>
  <c r="AQ21" i="45"/>
  <c r="S21" i="45"/>
  <c r="AI21" i="45"/>
  <c r="W21" i="45"/>
  <c r="AT21" i="45"/>
  <c r="K56" i="31"/>
  <c r="J51" i="31"/>
  <c r="J41" i="31"/>
  <c r="K57" i="31"/>
  <c r="J40" i="30"/>
  <c r="JH27" i="1"/>
  <c r="IV27" i="1"/>
  <c r="IJ27" i="1"/>
  <c r="HX27" i="1"/>
  <c r="HL27" i="1"/>
  <c r="GZ27" i="1"/>
  <c r="GN27" i="1"/>
  <c r="GB27" i="1"/>
  <c r="FP27" i="1"/>
  <c r="FD27" i="1"/>
  <c r="ER27" i="1"/>
  <c r="EF27" i="1"/>
  <c r="DT27" i="1"/>
  <c r="DH27" i="1"/>
  <c r="CV27" i="1"/>
  <c r="CJ27" i="1"/>
  <c r="BX27" i="1"/>
  <c r="BL27" i="1"/>
  <c r="AZ27" i="1"/>
  <c r="AN27" i="1"/>
  <c r="AB27" i="1"/>
  <c r="P27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Y27" i="1"/>
  <c r="M27" i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Y27" i="1"/>
  <c r="IM27" i="1"/>
  <c r="IA27" i="1"/>
  <c r="HO27" i="1"/>
  <c r="HC27" i="1"/>
  <c r="GQ27" i="1"/>
  <c r="GE27" i="1"/>
  <c r="FS27" i="1"/>
  <c r="FG27" i="1"/>
  <c r="EU27" i="1"/>
  <c r="EI27" i="1"/>
  <c r="DW27" i="1"/>
  <c r="DK27" i="1"/>
  <c r="CY27" i="1"/>
  <c r="CM27" i="1"/>
  <c r="CA27" i="1"/>
  <c r="BO27" i="1"/>
  <c r="BC27" i="1"/>
  <c r="AQ27" i="1"/>
  <c r="AE27" i="1"/>
  <c r="S27" i="1"/>
  <c r="G27" i="1"/>
  <c r="E28" i="2"/>
  <c r="E38" i="22"/>
  <c r="D38" i="20"/>
  <c r="AV154" i="46"/>
  <c r="X180" i="46" s="1"/>
  <c r="AN154" i="46"/>
  <c r="X173" i="46" s="1"/>
  <c r="AF154" i="46"/>
  <c r="X166" i="46" s="1"/>
  <c r="AU154" i="46"/>
  <c r="X179" i="46" s="1"/>
  <c r="AM154" i="46"/>
  <c r="AT154" i="46"/>
  <c r="X178" i="46" s="1"/>
  <c r="AL154" i="46"/>
  <c r="X172" i="46" s="1"/>
  <c r="BA154" i="46"/>
  <c r="AS154" i="46"/>
  <c r="X177" i="46" s="1"/>
  <c r="AK154" i="46"/>
  <c r="X171" i="46" s="1"/>
  <c r="AZ154" i="46"/>
  <c r="X183" i="46" s="1"/>
  <c r="AR154" i="46"/>
  <c r="AJ154" i="46"/>
  <c r="X170" i="46" s="1"/>
  <c r="AY154" i="46"/>
  <c r="AQ154" i="46"/>
  <c r="X176" i="46" s="1"/>
  <c r="AI154" i="46"/>
  <c r="X169" i="46" s="1"/>
  <c r="AW154" i="46"/>
  <c r="X181" i="46" s="1"/>
  <c r="AO154" i="46"/>
  <c r="X174" i="46" s="1"/>
  <c r="AG154" i="46"/>
  <c r="X167" i="46" s="1"/>
  <c r="AX154" i="46"/>
  <c r="X182" i="46" s="1"/>
  <c r="AP154" i="46"/>
  <c r="X175" i="46" s="1"/>
  <c r="AH154" i="46"/>
  <c r="X168" i="46" s="1"/>
  <c r="AI3" i="55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JH37" i="1"/>
  <c r="IV37" i="1"/>
  <c r="IJ37" i="1"/>
  <c r="HX37" i="1"/>
  <c r="HL37" i="1"/>
  <c r="GZ37" i="1"/>
  <c r="GN37" i="1"/>
  <c r="GB37" i="1"/>
  <c r="FP37" i="1"/>
  <c r="FD37" i="1"/>
  <c r="ER37" i="1"/>
  <c r="EF37" i="1"/>
  <c r="DT37" i="1"/>
  <c r="DH37" i="1"/>
  <c r="CV37" i="1"/>
  <c r="CJ37" i="1"/>
  <c r="BX37" i="1"/>
  <c r="BL37" i="1"/>
  <c r="AZ37" i="1"/>
  <c r="AN37" i="1"/>
  <c r="AB37" i="1"/>
  <c r="P37" i="1"/>
  <c r="JB37" i="1"/>
  <c r="HU37" i="1"/>
  <c r="HF37" i="1"/>
  <c r="FY37" i="1"/>
  <c r="FJ37" i="1"/>
  <c r="EC37" i="1"/>
  <c r="DN37" i="1"/>
  <c r="CG37" i="1"/>
  <c r="BR37" i="1"/>
  <c r="AK37" i="1"/>
  <c r="V37" i="1"/>
  <c r="IG37" i="1"/>
  <c r="HR37" i="1"/>
  <c r="GK37" i="1"/>
  <c r="FV37" i="1"/>
  <c r="EO37" i="1"/>
  <c r="DZ37" i="1"/>
  <c r="CS37" i="1"/>
  <c r="CD37" i="1"/>
  <c r="AW37" i="1"/>
  <c r="AH37" i="1"/>
  <c r="IS37" i="1"/>
  <c r="ID37" i="1"/>
  <c r="GW37" i="1"/>
  <c r="GH37" i="1"/>
  <c r="FA37" i="1"/>
  <c r="EL37" i="1"/>
  <c r="DE37" i="1"/>
  <c r="CP37" i="1"/>
  <c r="BI37" i="1"/>
  <c r="AT37" i="1"/>
  <c r="M37" i="1"/>
  <c r="JE37" i="1"/>
  <c r="IP37" i="1"/>
  <c r="HI37" i="1"/>
  <c r="GT37" i="1"/>
  <c r="FM37" i="1"/>
  <c r="EX37" i="1"/>
  <c r="DQ37" i="1"/>
  <c r="DB37" i="1"/>
  <c r="BU37" i="1"/>
  <c r="BF37" i="1"/>
  <c r="Y37" i="1"/>
  <c r="J37" i="1"/>
  <c r="E38" i="2"/>
  <c r="F12" i="53"/>
  <c r="G12" i="53" s="1"/>
  <c r="J50" i="28"/>
  <c r="J49" i="26"/>
  <c r="W30" i="45"/>
  <c r="AQ30" i="45"/>
  <c r="K30" i="45"/>
  <c r="S30" i="45"/>
  <c r="AA30" i="45"/>
  <c r="AI30" i="45"/>
  <c r="G30" i="45"/>
  <c r="AM30" i="45"/>
  <c r="AE30" i="45"/>
  <c r="O30" i="45"/>
  <c r="AT30" i="45"/>
  <c r="AI28" i="45"/>
  <c r="AM28" i="45"/>
  <c r="K28" i="45"/>
  <c r="S28" i="45"/>
  <c r="G28" i="45"/>
  <c r="W28" i="45"/>
  <c r="O28" i="45"/>
  <c r="AA28" i="45"/>
  <c r="AE28" i="45"/>
  <c r="AQ28" i="45"/>
  <c r="AT28" i="45"/>
  <c r="E50" i="27"/>
  <c r="D50" i="28"/>
  <c r="JB39" i="1"/>
  <c r="IP39" i="1"/>
  <c r="ID39" i="1"/>
  <c r="HR39" i="1"/>
  <c r="HF39" i="1"/>
  <c r="GT39" i="1"/>
  <c r="GH39" i="1"/>
  <c r="FV39" i="1"/>
  <c r="FJ39" i="1"/>
  <c r="EX39" i="1"/>
  <c r="EL39" i="1"/>
  <c r="DZ39" i="1"/>
  <c r="DN39" i="1"/>
  <c r="DB39" i="1"/>
  <c r="CP39" i="1"/>
  <c r="CD39" i="1"/>
  <c r="BR39" i="1"/>
  <c r="BF39" i="1"/>
  <c r="AT39" i="1"/>
  <c r="AH39" i="1"/>
  <c r="V39" i="1"/>
  <c r="J39" i="1"/>
  <c r="JE39" i="1"/>
  <c r="HO39" i="1"/>
  <c r="GN39" i="1"/>
  <c r="FM39" i="1"/>
  <c r="DW39" i="1"/>
  <c r="CV39" i="1"/>
  <c r="BU39" i="1"/>
  <c r="AE39" i="1"/>
  <c r="IM39" i="1"/>
  <c r="HL39" i="1"/>
  <c r="GK39" i="1"/>
  <c r="EU39" i="1"/>
  <c r="DT39" i="1"/>
  <c r="CS39" i="1"/>
  <c r="BC39" i="1"/>
  <c r="AB39" i="1"/>
  <c r="IV39" i="1"/>
  <c r="HU39" i="1"/>
  <c r="GE39" i="1"/>
  <c r="FD39" i="1"/>
  <c r="EC39" i="1"/>
  <c r="CM39" i="1"/>
  <c r="BL39" i="1"/>
  <c r="AK39" i="1"/>
  <c r="IS39" i="1"/>
  <c r="GW39" i="1"/>
  <c r="FP39" i="1"/>
  <c r="EI39" i="1"/>
  <c r="DQ39" i="1"/>
  <c r="CJ39" i="1"/>
  <c r="JH39" i="1"/>
  <c r="IA39" i="1"/>
  <c r="HI39" i="1"/>
  <c r="GB39" i="1"/>
  <c r="AN39" i="1"/>
  <c r="G39" i="1"/>
  <c r="EF39" i="1"/>
  <c r="CY39" i="1"/>
  <c r="CG39" i="1"/>
  <c r="AZ39" i="1"/>
  <c r="S39" i="1"/>
  <c r="HX39" i="1"/>
  <c r="GQ39" i="1"/>
  <c r="FY39" i="1"/>
  <c r="ER39" i="1"/>
  <c r="DK39" i="1"/>
  <c r="BO39" i="1"/>
  <c r="IJ39" i="1"/>
  <c r="HC39" i="1"/>
  <c r="FG39" i="1"/>
  <c r="AW39" i="1"/>
  <c r="P39" i="1"/>
  <c r="IY39" i="1"/>
  <c r="EO39" i="1"/>
  <c r="DH39" i="1"/>
  <c r="CA39" i="1"/>
  <c r="IG39" i="1"/>
  <c r="GZ39" i="1"/>
  <c r="FS39" i="1"/>
  <c r="BI39" i="1"/>
  <c r="M39" i="1"/>
  <c r="FA39" i="1"/>
  <c r="DE39" i="1"/>
  <c r="BX39" i="1"/>
  <c r="AQ39" i="1"/>
  <c r="Y39" i="1"/>
  <c r="E40" i="2"/>
  <c r="R41" i="48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JH16" i="1"/>
  <c r="IV16" i="1"/>
  <c r="IJ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E17" i="2"/>
  <c r="E46" i="25"/>
  <c r="D46" i="24"/>
  <c r="J37" i="28"/>
  <c r="J39" i="27"/>
  <c r="AI38" i="45"/>
  <c r="O38" i="45"/>
  <c r="AQ38" i="45"/>
  <c r="AE38" i="45"/>
  <c r="W38" i="45"/>
  <c r="G38" i="45"/>
  <c r="K38" i="45"/>
  <c r="AM38" i="45"/>
  <c r="AA38" i="45"/>
  <c r="S38" i="45"/>
  <c r="AT38" i="45"/>
  <c r="E45" i="26"/>
  <c r="D45" i="25"/>
  <c r="X156" i="58"/>
  <c r="X153" i="58"/>
  <c r="O41" i="53" s="1"/>
  <c r="P41" i="53" s="1"/>
  <c r="Q41" i="53" s="1"/>
  <c r="X158" i="58"/>
  <c r="JH24" i="1"/>
  <c r="IV24" i="1"/>
  <c r="IJ24" i="1"/>
  <c r="HX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E24" i="1"/>
  <c r="IS24" i="1"/>
  <c r="IG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GE24" i="1"/>
  <c r="CM24" i="1"/>
  <c r="HO24" i="1"/>
  <c r="DW24" i="1"/>
  <c r="AE24" i="1"/>
  <c r="IY24" i="1"/>
  <c r="FG24" i="1"/>
  <c r="BO24" i="1"/>
  <c r="GQ24" i="1"/>
  <c r="CY24" i="1"/>
  <c r="G24" i="1"/>
  <c r="FS24" i="1"/>
  <c r="CA24" i="1"/>
  <c r="HC24" i="1"/>
  <c r="BC24" i="1"/>
  <c r="IM24" i="1"/>
  <c r="EI24" i="1"/>
  <c r="DK24" i="1"/>
  <c r="EU24" i="1"/>
  <c r="AQ24" i="1"/>
  <c r="IA24" i="1"/>
  <c r="E25" i="2"/>
  <c r="S24" i="1"/>
  <c r="M34" i="27"/>
  <c r="M7" i="28"/>
  <c r="I11" i="54"/>
  <c r="E26" i="53"/>
  <c r="E8" i="53"/>
  <c r="E37" i="53"/>
  <c r="E36" i="53"/>
  <c r="E6" i="53"/>
  <c r="E20" i="53"/>
  <c r="E11" i="53"/>
  <c r="E22" i="53"/>
  <c r="E4" i="53"/>
  <c r="E38" i="53"/>
  <c r="E23" i="53"/>
  <c r="E29" i="53"/>
  <c r="E18" i="53"/>
  <c r="E32" i="53"/>
  <c r="E19" i="53"/>
  <c r="E17" i="53"/>
  <c r="E31" i="53"/>
  <c r="E24" i="53"/>
  <c r="E21" i="53"/>
  <c r="E9" i="53"/>
  <c r="E27" i="53"/>
  <c r="E28" i="53"/>
  <c r="E10" i="53"/>
  <c r="E25" i="53"/>
  <c r="E39" i="53"/>
  <c r="E30" i="53"/>
  <c r="E35" i="53"/>
  <c r="E16" i="53"/>
  <c r="E7" i="53"/>
  <c r="E33" i="53"/>
  <c r="E5" i="53"/>
  <c r="E34" i="53"/>
  <c r="IY32" i="1"/>
  <c r="IM32" i="1"/>
  <c r="IA32" i="1"/>
  <c r="HO32" i="1"/>
  <c r="HC32" i="1"/>
  <c r="GQ32" i="1"/>
  <c r="GE32" i="1"/>
  <c r="FS32" i="1"/>
  <c r="FG32" i="1"/>
  <c r="EU32" i="1"/>
  <c r="EI32" i="1"/>
  <c r="DW32" i="1"/>
  <c r="DK32" i="1"/>
  <c r="CY32" i="1"/>
  <c r="CM32" i="1"/>
  <c r="CA32" i="1"/>
  <c r="BO32" i="1"/>
  <c r="BC32" i="1"/>
  <c r="AQ32" i="1"/>
  <c r="AE32" i="1"/>
  <c r="S32" i="1"/>
  <c r="G32" i="1"/>
  <c r="JH32" i="1"/>
  <c r="IG32" i="1"/>
  <c r="HF32" i="1"/>
  <c r="FP32" i="1"/>
  <c r="EO32" i="1"/>
  <c r="DN32" i="1"/>
  <c r="BX32" i="1"/>
  <c r="AW32" i="1"/>
  <c r="V32" i="1"/>
  <c r="IS32" i="1"/>
  <c r="HR32" i="1"/>
  <c r="GB32" i="1"/>
  <c r="FA32" i="1"/>
  <c r="DZ32" i="1"/>
  <c r="CJ32" i="1"/>
  <c r="BI32" i="1"/>
  <c r="AH32" i="1"/>
  <c r="JE32" i="1"/>
  <c r="ID32" i="1"/>
  <c r="GN32" i="1"/>
  <c r="FM32" i="1"/>
  <c r="EL32" i="1"/>
  <c r="CV32" i="1"/>
  <c r="BU32" i="1"/>
  <c r="AT32" i="1"/>
  <c r="IP32" i="1"/>
  <c r="GZ32" i="1"/>
  <c r="FY32" i="1"/>
  <c r="EX32" i="1"/>
  <c r="DH32" i="1"/>
  <c r="CG32" i="1"/>
  <c r="BF32" i="1"/>
  <c r="P32" i="1"/>
  <c r="JB32" i="1"/>
  <c r="HL32" i="1"/>
  <c r="GK32" i="1"/>
  <c r="FJ32" i="1"/>
  <c r="DT32" i="1"/>
  <c r="CS32" i="1"/>
  <c r="BR32" i="1"/>
  <c r="AB32" i="1"/>
  <c r="HX32" i="1"/>
  <c r="GW32" i="1"/>
  <c r="FV32" i="1"/>
  <c r="EF32" i="1"/>
  <c r="DE32" i="1"/>
  <c r="CD32" i="1"/>
  <c r="AN32" i="1"/>
  <c r="M32" i="1"/>
  <c r="IJ32" i="1"/>
  <c r="HI32" i="1"/>
  <c r="GH32" i="1"/>
  <c r="ER32" i="1"/>
  <c r="DQ32" i="1"/>
  <c r="CP32" i="1"/>
  <c r="AZ32" i="1"/>
  <c r="Y32" i="1"/>
  <c r="HU32" i="1"/>
  <c r="J32" i="1"/>
  <c r="FD32" i="1"/>
  <c r="GT32" i="1"/>
  <c r="EC32" i="1"/>
  <c r="BL32" i="1"/>
  <c r="DB32" i="1"/>
  <c r="IV32" i="1"/>
  <c r="AK32" i="1"/>
  <c r="E33" i="2"/>
  <c r="D43" i="26"/>
  <c r="E43" i="28"/>
  <c r="AM33" i="45"/>
  <c r="G33" i="45"/>
  <c r="AE33" i="45"/>
  <c r="AA33" i="45"/>
  <c r="O33" i="45"/>
  <c r="AQ33" i="45"/>
  <c r="AI33" i="45"/>
  <c r="K33" i="45"/>
  <c r="S33" i="45"/>
  <c r="W33" i="45"/>
  <c r="AT33" i="45"/>
  <c r="IY31" i="1"/>
  <c r="IM31" i="1"/>
  <c r="IA31" i="1"/>
  <c r="HO31" i="1"/>
  <c r="HC31" i="1"/>
  <c r="GQ31" i="1"/>
  <c r="GE31" i="1"/>
  <c r="FS31" i="1"/>
  <c r="FG31" i="1"/>
  <c r="EU31" i="1"/>
  <c r="EI31" i="1"/>
  <c r="DW31" i="1"/>
  <c r="DK31" i="1"/>
  <c r="CY31" i="1"/>
  <c r="CM31" i="1"/>
  <c r="CA31" i="1"/>
  <c r="BO31" i="1"/>
  <c r="BC31" i="1"/>
  <c r="AQ31" i="1"/>
  <c r="AE31" i="1"/>
  <c r="S31" i="1"/>
  <c r="G31" i="1"/>
  <c r="IV31" i="1"/>
  <c r="HU31" i="1"/>
  <c r="GT31" i="1"/>
  <c r="FD31" i="1"/>
  <c r="EC31" i="1"/>
  <c r="DB31" i="1"/>
  <c r="BL31" i="1"/>
  <c r="AK31" i="1"/>
  <c r="J31" i="1"/>
  <c r="JH31" i="1"/>
  <c r="IG31" i="1"/>
  <c r="HF31" i="1"/>
  <c r="FP31" i="1"/>
  <c r="EO31" i="1"/>
  <c r="DN31" i="1"/>
  <c r="BX31" i="1"/>
  <c r="AW31" i="1"/>
  <c r="V31" i="1"/>
  <c r="IS31" i="1"/>
  <c r="HR31" i="1"/>
  <c r="GB31" i="1"/>
  <c r="FA31" i="1"/>
  <c r="DZ31" i="1"/>
  <c r="CJ31" i="1"/>
  <c r="BI31" i="1"/>
  <c r="AH31" i="1"/>
  <c r="JE31" i="1"/>
  <c r="ID31" i="1"/>
  <c r="GN31" i="1"/>
  <c r="FM31" i="1"/>
  <c r="EL31" i="1"/>
  <c r="CV31" i="1"/>
  <c r="BU31" i="1"/>
  <c r="AT31" i="1"/>
  <c r="IP31" i="1"/>
  <c r="GZ31" i="1"/>
  <c r="FY31" i="1"/>
  <c r="EX31" i="1"/>
  <c r="DH31" i="1"/>
  <c r="CG31" i="1"/>
  <c r="BF31" i="1"/>
  <c r="P31" i="1"/>
  <c r="JB31" i="1"/>
  <c r="HL31" i="1"/>
  <c r="GK31" i="1"/>
  <c r="FJ31" i="1"/>
  <c r="DT31" i="1"/>
  <c r="CS31" i="1"/>
  <c r="BR31" i="1"/>
  <c r="AB31" i="1"/>
  <c r="HX31" i="1"/>
  <c r="GW31" i="1"/>
  <c r="FV31" i="1"/>
  <c r="EF31" i="1"/>
  <c r="DE31" i="1"/>
  <c r="CD31" i="1"/>
  <c r="AN31" i="1"/>
  <c r="M31" i="1"/>
  <c r="IJ31" i="1"/>
  <c r="Y31" i="1"/>
  <c r="HI31" i="1"/>
  <c r="ER31" i="1"/>
  <c r="GH31" i="1"/>
  <c r="DQ31" i="1"/>
  <c r="CP31" i="1"/>
  <c r="AZ31" i="1"/>
  <c r="E32" i="2"/>
  <c r="G24" i="45"/>
  <c r="AI24" i="45"/>
  <c r="S24" i="45"/>
  <c r="O24" i="45"/>
  <c r="AM24" i="45"/>
  <c r="W24" i="45"/>
  <c r="AE24" i="45"/>
  <c r="K24" i="45"/>
  <c r="AA24" i="45"/>
  <c r="AQ24" i="45"/>
  <c r="AT24" i="45"/>
  <c r="J57" i="17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CM15" i="1"/>
  <c r="CA15" i="1"/>
  <c r="BO15" i="1"/>
  <c r="BC15" i="1"/>
  <c r="AQ15" i="1"/>
  <c r="AE15" i="1"/>
  <c r="S15" i="1"/>
  <c r="G15" i="1"/>
  <c r="JH15" i="1"/>
  <c r="IV15" i="1"/>
  <c r="IJ15" i="1"/>
  <c r="HX15" i="1"/>
  <c r="HL15" i="1"/>
  <c r="GZ15" i="1"/>
  <c r="GN15" i="1"/>
  <c r="GB15" i="1"/>
  <c r="FP15" i="1"/>
  <c r="FD15" i="1"/>
  <c r="ER15" i="1"/>
  <c r="EF15" i="1"/>
  <c r="DT15" i="1"/>
  <c r="DH15" i="1"/>
  <c r="CV15" i="1"/>
  <c r="CJ15" i="1"/>
  <c r="BX15" i="1"/>
  <c r="BL15" i="1"/>
  <c r="AZ15" i="1"/>
  <c r="AN15" i="1"/>
  <c r="AB15" i="1"/>
  <c r="P15" i="1"/>
  <c r="JE15" i="1"/>
  <c r="IS15" i="1"/>
  <c r="IG15" i="1"/>
  <c r="HU15" i="1"/>
  <c r="HI15" i="1"/>
  <c r="GW15" i="1"/>
  <c r="GK15" i="1"/>
  <c r="FY15" i="1"/>
  <c r="FM15" i="1"/>
  <c r="FA15" i="1"/>
  <c r="EO15" i="1"/>
  <c r="EC15" i="1"/>
  <c r="DQ15" i="1"/>
  <c r="DE15" i="1"/>
  <c r="CS15" i="1"/>
  <c r="CG15" i="1"/>
  <c r="BU15" i="1"/>
  <c r="BI15" i="1"/>
  <c r="AW15" i="1"/>
  <c r="AK15" i="1"/>
  <c r="Y15" i="1"/>
  <c r="M15" i="1"/>
  <c r="IP15" i="1"/>
  <c r="EX15" i="1"/>
  <c r="BF15" i="1"/>
  <c r="GH15" i="1"/>
  <c r="CP15" i="1"/>
  <c r="E16" i="2"/>
  <c r="HR15" i="1"/>
  <c r="DZ15" i="1"/>
  <c r="AH15" i="1"/>
  <c r="JB15" i="1"/>
  <c r="FJ15" i="1"/>
  <c r="BR15" i="1"/>
  <c r="GT15" i="1"/>
  <c r="DB15" i="1"/>
  <c r="J15" i="1"/>
  <c r="ID15" i="1"/>
  <c r="EL15" i="1"/>
  <c r="AT15" i="1"/>
  <c r="HF15" i="1"/>
  <c r="DN15" i="1"/>
  <c r="V15" i="1"/>
  <c r="FV15" i="1"/>
  <c r="CD15" i="1"/>
  <c r="E47" i="26"/>
  <c r="D47" i="25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JB22" i="1"/>
  <c r="IP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V22" i="1"/>
  <c r="J22" i="1"/>
  <c r="IY22" i="1"/>
  <c r="FG22" i="1"/>
  <c r="BO22" i="1"/>
  <c r="AE22" i="1"/>
  <c r="GQ22" i="1"/>
  <c r="CY22" i="1"/>
  <c r="M22" i="1"/>
  <c r="IA22" i="1"/>
  <c r="EI22" i="1"/>
  <c r="AQ22" i="1"/>
  <c r="FS22" i="1"/>
  <c r="CA22" i="1"/>
  <c r="Y22" i="1"/>
  <c r="IM22" i="1"/>
  <c r="EU22" i="1"/>
  <c r="BC22" i="1"/>
  <c r="AK22" i="1"/>
  <c r="S22" i="1"/>
  <c r="DW22" i="1"/>
  <c r="HC22" i="1"/>
  <c r="GE22" i="1"/>
  <c r="G22" i="1"/>
  <c r="CM22" i="1"/>
  <c r="DK22" i="1"/>
  <c r="E23" i="2"/>
  <c r="HO22" i="1"/>
  <c r="K29" i="45"/>
  <c r="S29" i="45"/>
  <c r="AE29" i="45"/>
  <c r="G29" i="45"/>
  <c r="AM29" i="45"/>
  <c r="AI29" i="45"/>
  <c r="O29" i="45"/>
  <c r="AA29" i="45"/>
  <c r="W29" i="45"/>
  <c r="AQ29" i="45"/>
  <c r="AT29" i="45"/>
  <c r="A16" i="1"/>
  <c r="A16" i="2"/>
  <c r="J44" i="30"/>
  <c r="J45" i="30"/>
  <c r="J43" i="29"/>
  <c r="AQ35" i="45"/>
  <c r="S35" i="45"/>
  <c r="O35" i="45"/>
  <c r="W35" i="45"/>
  <c r="AA35" i="45"/>
  <c r="AE35" i="45"/>
  <c r="AM35" i="45"/>
  <c r="K35" i="45"/>
  <c r="AT35" i="45"/>
  <c r="AI35" i="45"/>
  <c r="G35" i="45"/>
  <c r="E44" i="18"/>
  <c r="D44" i="17"/>
  <c r="S12" i="45"/>
  <c r="O12" i="45"/>
  <c r="AE12" i="45"/>
  <c r="K12" i="45"/>
  <c r="AA12" i="45"/>
  <c r="AI12" i="45"/>
  <c r="AQ12" i="45"/>
  <c r="AT12" i="45"/>
  <c r="W12" i="45"/>
  <c r="G12" i="45"/>
  <c r="AM12" i="45"/>
  <c r="E20" i="1"/>
  <c r="C19" i="45"/>
  <c r="X20" i="48"/>
  <c r="H15" i="59" s="1"/>
  <c r="AJ20" i="48"/>
  <c r="D15" i="59" s="1"/>
  <c r="I20" i="48"/>
  <c r="J20" i="48"/>
  <c r="B15" i="59" s="1"/>
  <c r="F15" i="59"/>
  <c r="JB28" i="1"/>
  <c r="IP28" i="1"/>
  <c r="ID28" i="1"/>
  <c r="HR28" i="1"/>
  <c r="HF28" i="1"/>
  <c r="GT28" i="1"/>
  <c r="GH28" i="1"/>
  <c r="FV28" i="1"/>
  <c r="JH28" i="1"/>
  <c r="IV28" i="1"/>
  <c r="IJ28" i="1"/>
  <c r="HX28" i="1"/>
  <c r="HL28" i="1"/>
  <c r="GZ28" i="1"/>
  <c r="GN28" i="1"/>
  <c r="GB28" i="1"/>
  <c r="HO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IS28" i="1"/>
  <c r="GW28" i="1"/>
  <c r="IA28" i="1"/>
  <c r="GE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JE28" i="1"/>
  <c r="HI28" i="1"/>
  <c r="IM28" i="1"/>
  <c r="GQ28" i="1"/>
  <c r="FM28" i="1"/>
  <c r="FA28" i="1"/>
  <c r="EO28" i="1"/>
  <c r="EC28" i="1"/>
  <c r="DQ28" i="1"/>
  <c r="DE28" i="1"/>
  <c r="CS28" i="1"/>
  <c r="CG28" i="1"/>
  <c r="BU28" i="1"/>
  <c r="BI28" i="1"/>
  <c r="AW28" i="1"/>
  <c r="AK28" i="1"/>
  <c r="Y28" i="1"/>
  <c r="M28" i="1"/>
  <c r="HU28" i="1"/>
  <c r="FY28" i="1"/>
  <c r="IG28" i="1"/>
  <c r="GK28" i="1"/>
  <c r="EX28" i="1"/>
  <c r="BF28" i="1"/>
  <c r="CP28" i="1"/>
  <c r="IY28" i="1"/>
  <c r="DZ28" i="1"/>
  <c r="AH28" i="1"/>
  <c r="HC28" i="1"/>
  <c r="FJ28" i="1"/>
  <c r="BR28" i="1"/>
  <c r="EL28" i="1"/>
  <c r="AT28" i="1"/>
  <c r="DB28" i="1"/>
  <c r="CD28" i="1"/>
  <c r="DN28" i="1"/>
  <c r="J28" i="1"/>
  <c r="E29" i="2"/>
  <c r="V28" i="1"/>
  <c r="AD20" i="48"/>
  <c r="J15" i="59" s="1"/>
  <c r="IY12" i="1"/>
  <c r="IM12" i="1"/>
  <c r="IA12" i="1"/>
  <c r="HO12" i="1"/>
  <c r="HC12" i="1"/>
  <c r="GQ12" i="1"/>
  <c r="GE12" i="1"/>
  <c r="FS12" i="1"/>
  <c r="FG12" i="1"/>
  <c r="EU12" i="1"/>
  <c r="EI12" i="1"/>
  <c r="DW12" i="1"/>
  <c r="DK12" i="1"/>
  <c r="DH12" i="1"/>
  <c r="CV12" i="1"/>
  <c r="CJ12" i="1"/>
  <c r="BX12" i="1"/>
  <c r="BL12" i="1"/>
  <c r="AZ12" i="1"/>
  <c r="AN12" i="1"/>
  <c r="AB12" i="1"/>
  <c r="P12" i="1"/>
  <c r="JH12" i="1"/>
  <c r="IV12" i="1"/>
  <c r="IJ12" i="1"/>
  <c r="HX12" i="1"/>
  <c r="HL12" i="1"/>
  <c r="GZ12" i="1"/>
  <c r="GN12" i="1"/>
  <c r="GB12" i="1"/>
  <c r="FP12" i="1"/>
  <c r="FD12" i="1"/>
  <c r="ER12" i="1"/>
  <c r="EF12" i="1"/>
  <c r="DT12" i="1"/>
  <c r="DE12" i="1"/>
  <c r="CS12" i="1"/>
  <c r="CG12" i="1"/>
  <c r="BU12" i="1"/>
  <c r="BI12" i="1"/>
  <c r="AW12" i="1"/>
  <c r="AK12" i="1"/>
  <c r="Y12" i="1"/>
  <c r="M12" i="1"/>
  <c r="JE12" i="1"/>
  <c r="IS12" i="1"/>
  <c r="IG12" i="1"/>
  <c r="HU12" i="1"/>
  <c r="HI12" i="1"/>
  <c r="GW12" i="1"/>
  <c r="GK12" i="1"/>
  <c r="FY12" i="1"/>
  <c r="FM12" i="1"/>
  <c r="FA12" i="1"/>
  <c r="EO12" i="1"/>
  <c r="EC12" i="1"/>
  <c r="DQ12" i="1"/>
  <c r="DB12" i="1"/>
  <c r="CP12" i="1"/>
  <c r="CD12" i="1"/>
  <c r="BR12" i="1"/>
  <c r="BF12" i="1"/>
  <c r="AT12" i="1"/>
  <c r="AH12" i="1"/>
  <c r="V12" i="1"/>
  <c r="J12" i="1"/>
  <c r="CY12" i="1"/>
  <c r="CM12" i="1"/>
  <c r="CA12" i="1"/>
  <c r="BO12" i="1"/>
  <c r="BC12" i="1"/>
  <c r="AQ12" i="1"/>
  <c r="AE12" i="1"/>
  <c r="S12" i="1"/>
  <c r="G12" i="1"/>
  <c r="IP12" i="1"/>
  <c r="EX12" i="1"/>
  <c r="E13" i="2"/>
  <c r="GH12" i="1"/>
  <c r="HR12" i="1"/>
  <c r="DZ12" i="1"/>
  <c r="JB12" i="1"/>
  <c r="FJ12" i="1"/>
  <c r="GT12" i="1"/>
  <c r="ID12" i="1"/>
  <c r="EL12" i="1"/>
  <c r="HF12" i="1"/>
  <c r="DN12" i="1"/>
  <c r="FV12" i="1"/>
  <c r="DE10" i="1"/>
  <c r="CS10" i="1"/>
  <c r="CG10" i="1"/>
  <c r="BU10" i="1"/>
  <c r="BI10" i="1"/>
  <c r="AW10" i="1"/>
  <c r="AK10" i="1"/>
  <c r="Y10" i="1"/>
  <c r="M10" i="1"/>
  <c r="DB10" i="1"/>
  <c r="CP10" i="1"/>
  <c r="CD10" i="1"/>
  <c r="BR10" i="1"/>
  <c r="BF10" i="1"/>
  <c r="AT10" i="1"/>
  <c r="AH10" i="1"/>
  <c r="V10" i="1"/>
  <c r="J10" i="1"/>
  <c r="CY10" i="1"/>
  <c r="CM10" i="1"/>
  <c r="CA10" i="1"/>
  <c r="BO10" i="1"/>
  <c r="BC10" i="1"/>
  <c r="AQ10" i="1"/>
  <c r="AE10" i="1"/>
  <c r="S10" i="1"/>
  <c r="G10" i="1"/>
  <c r="DH10" i="1"/>
  <c r="CV10" i="1"/>
  <c r="CJ10" i="1"/>
  <c r="BX10" i="1"/>
  <c r="BL10" i="1"/>
  <c r="AZ10" i="1"/>
  <c r="AN10" i="1"/>
  <c r="AB10" i="1"/>
  <c r="P10" i="1"/>
  <c r="JE10" i="1"/>
  <c r="IS10" i="1"/>
  <c r="IG10" i="1"/>
  <c r="HU10" i="1"/>
  <c r="HI10" i="1"/>
  <c r="GW10" i="1"/>
  <c r="GK10" i="1"/>
  <c r="FY10" i="1"/>
  <c r="FM10" i="1"/>
  <c r="FA10" i="1"/>
  <c r="EO10" i="1"/>
  <c r="EC10" i="1"/>
  <c r="DQ10" i="1"/>
  <c r="JB10" i="1"/>
  <c r="IP10" i="1"/>
  <c r="ID10" i="1"/>
  <c r="HR10" i="1"/>
  <c r="HF10" i="1"/>
  <c r="GT10" i="1"/>
  <c r="GH10" i="1"/>
  <c r="FV10" i="1"/>
  <c r="FJ10" i="1"/>
  <c r="EX10" i="1"/>
  <c r="EL10" i="1"/>
  <c r="DZ10" i="1"/>
  <c r="DN10" i="1"/>
  <c r="E11" i="2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HX10" i="1"/>
  <c r="EF10" i="1"/>
  <c r="JH10" i="1"/>
  <c r="FP10" i="1"/>
  <c r="GZ10" i="1"/>
  <c r="IJ10" i="1"/>
  <c r="ER10" i="1"/>
  <c r="GB10" i="1"/>
  <c r="HL10" i="1"/>
  <c r="DT10" i="1"/>
  <c r="GN10" i="1"/>
  <c r="IV10" i="1"/>
  <c r="FD10" i="1"/>
  <c r="E41" i="1"/>
  <c r="D49" i="26"/>
  <c r="E49" i="28"/>
  <c r="T3" i="54"/>
  <c r="AA154" i="58"/>
  <c r="X164" i="58" s="1"/>
  <c r="T4" i="54"/>
  <c r="AB154" i="58"/>
  <c r="X165" i="58" s="1"/>
  <c r="IY34" i="1"/>
  <c r="IM34" i="1"/>
  <c r="IA34" i="1"/>
  <c r="HO34" i="1"/>
  <c r="HC34" i="1"/>
  <c r="GQ34" i="1"/>
  <c r="GE34" i="1"/>
  <c r="FS34" i="1"/>
  <c r="FG34" i="1"/>
  <c r="EU34" i="1"/>
  <c r="EI34" i="1"/>
  <c r="DW34" i="1"/>
  <c r="DK34" i="1"/>
  <c r="CY34" i="1"/>
  <c r="CM34" i="1"/>
  <c r="CA34" i="1"/>
  <c r="BO34" i="1"/>
  <c r="BC34" i="1"/>
  <c r="AQ34" i="1"/>
  <c r="AE34" i="1"/>
  <c r="S34" i="1"/>
  <c r="G34" i="1"/>
  <c r="IS34" i="1"/>
  <c r="HR34" i="1"/>
  <c r="GB34" i="1"/>
  <c r="FA34" i="1"/>
  <c r="DZ34" i="1"/>
  <c r="CJ34" i="1"/>
  <c r="BI34" i="1"/>
  <c r="AH34" i="1"/>
  <c r="JE34" i="1"/>
  <c r="ID34" i="1"/>
  <c r="GN34" i="1"/>
  <c r="FM34" i="1"/>
  <c r="EL34" i="1"/>
  <c r="CV34" i="1"/>
  <c r="BU34" i="1"/>
  <c r="AT34" i="1"/>
  <c r="IP34" i="1"/>
  <c r="GZ34" i="1"/>
  <c r="FY34" i="1"/>
  <c r="EX34" i="1"/>
  <c r="DH34" i="1"/>
  <c r="CG34" i="1"/>
  <c r="BF34" i="1"/>
  <c r="P34" i="1"/>
  <c r="JB34" i="1"/>
  <c r="HL34" i="1"/>
  <c r="GK34" i="1"/>
  <c r="FJ34" i="1"/>
  <c r="DT34" i="1"/>
  <c r="CS34" i="1"/>
  <c r="BR34" i="1"/>
  <c r="AB34" i="1"/>
  <c r="HX34" i="1"/>
  <c r="GW34" i="1"/>
  <c r="FV34" i="1"/>
  <c r="EF34" i="1"/>
  <c r="DE34" i="1"/>
  <c r="CD34" i="1"/>
  <c r="AN34" i="1"/>
  <c r="M34" i="1"/>
  <c r="IJ34" i="1"/>
  <c r="HI34" i="1"/>
  <c r="GH34" i="1"/>
  <c r="ER34" i="1"/>
  <c r="DQ34" i="1"/>
  <c r="CP34" i="1"/>
  <c r="AZ34" i="1"/>
  <c r="Y34" i="1"/>
  <c r="IV34" i="1"/>
  <c r="HU34" i="1"/>
  <c r="GT34" i="1"/>
  <c r="FD34" i="1"/>
  <c r="EC34" i="1"/>
  <c r="DB34" i="1"/>
  <c r="BL34" i="1"/>
  <c r="AK34" i="1"/>
  <c r="J34" i="1"/>
  <c r="JH34" i="1"/>
  <c r="IG34" i="1"/>
  <c r="HF34" i="1"/>
  <c r="FP34" i="1"/>
  <c r="EO34" i="1"/>
  <c r="DN34" i="1"/>
  <c r="BX34" i="1"/>
  <c r="AW34" i="1"/>
  <c r="V34" i="1"/>
  <c r="E35" i="2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IV29" i="1"/>
  <c r="IJ29" i="1"/>
  <c r="HX29" i="1"/>
  <c r="HL29" i="1"/>
  <c r="GZ29" i="1"/>
  <c r="GN29" i="1"/>
  <c r="GB29" i="1"/>
  <c r="FP29" i="1"/>
  <c r="FD29" i="1"/>
  <c r="ER29" i="1"/>
  <c r="EF29" i="1"/>
  <c r="DT29" i="1"/>
  <c r="DH29" i="1"/>
  <c r="CV29" i="1"/>
  <c r="CJ29" i="1"/>
  <c r="BX29" i="1"/>
  <c r="BL29" i="1"/>
  <c r="AZ29" i="1"/>
  <c r="AN29" i="1"/>
  <c r="AB29" i="1"/>
  <c r="P29" i="1"/>
  <c r="FY29" i="1"/>
  <c r="CG29" i="1"/>
  <c r="HI29" i="1"/>
  <c r="DQ29" i="1"/>
  <c r="Y29" i="1"/>
  <c r="IS29" i="1"/>
  <c r="FA29" i="1"/>
  <c r="BI29" i="1"/>
  <c r="GK29" i="1"/>
  <c r="CS29" i="1"/>
  <c r="JE29" i="1"/>
  <c r="FM29" i="1"/>
  <c r="BU29" i="1"/>
  <c r="M29" i="1"/>
  <c r="HU29" i="1"/>
  <c r="GW29" i="1"/>
  <c r="AW29" i="1"/>
  <c r="IG29" i="1"/>
  <c r="EC29" i="1"/>
  <c r="DE29" i="1"/>
  <c r="EO29" i="1"/>
  <c r="AK29" i="1"/>
  <c r="E30" i="2"/>
  <c r="J45" i="31"/>
  <c r="K9" i="45"/>
  <c r="S9" i="45"/>
  <c r="G9" i="45"/>
  <c r="O9" i="45"/>
  <c r="AI9" i="45"/>
  <c r="W9" i="45"/>
  <c r="AE9" i="45"/>
  <c r="AM9" i="45"/>
  <c r="AQ9" i="45"/>
  <c r="AA9" i="45"/>
  <c r="AT9" i="45"/>
  <c r="C40" i="45"/>
  <c r="AK10" i="48"/>
  <c r="E5" i="59" s="1"/>
  <c r="N15" i="53"/>
  <c r="U5" i="54"/>
  <c r="O15" i="53" s="1"/>
  <c r="P15" i="53" s="1"/>
  <c r="E40" i="26"/>
  <c r="D40" i="25"/>
  <c r="AE32" i="45"/>
  <c r="AQ32" i="45"/>
  <c r="AM32" i="45"/>
  <c r="O32" i="45"/>
  <c r="AA32" i="45"/>
  <c r="S32" i="45"/>
  <c r="K32" i="45"/>
  <c r="G32" i="45"/>
  <c r="AI32" i="45"/>
  <c r="W32" i="45"/>
  <c r="AT32" i="45"/>
  <c r="AD11" i="48"/>
  <c r="J6" i="59" s="1"/>
  <c r="X156" i="46"/>
  <c r="X153" i="46"/>
  <c r="F41" i="53" s="1"/>
  <c r="G41" i="53" s="1"/>
  <c r="H41" i="53" s="1"/>
  <c r="X158" i="46"/>
  <c r="W11" i="48"/>
  <c r="Q12" i="48"/>
  <c r="I5" i="54"/>
  <c r="AC154" i="46"/>
  <c r="X163" i="46" s="1"/>
  <c r="D51" i="19"/>
  <c r="E51" i="20"/>
  <c r="S11" i="48"/>
  <c r="AD19" i="48"/>
  <c r="J14" i="59" s="1"/>
  <c r="AB19" i="48"/>
  <c r="AD37" i="48"/>
  <c r="J32" i="59" s="1"/>
  <c r="AB37" i="48"/>
  <c r="AD25" i="48"/>
  <c r="J20" i="59" s="1"/>
  <c r="AB25" i="48"/>
  <c r="AD35" i="48"/>
  <c r="J30" i="59" s="1"/>
  <c r="AB35" i="48"/>
  <c r="J47" i="32"/>
  <c r="J48" i="32"/>
  <c r="J46" i="31"/>
  <c r="Z41" i="48"/>
  <c r="AB9" i="48"/>
  <c r="AA9" i="48"/>
  <c r="AD9" i="48"/>
  <c r="J4" i="59" s="1"/>
  <c r="AD26" i="48"/>
  <c r="J21" i="59" s="1"/>
  <c r="AB26" i="48"/>
  <c r="AD10" i="48"/>
  <c r="J5" i="59" s="1"/>
  <c r="AB10" i="48"/>
  <c r="AD34" i="48"/>
  <c r="J29" i="59" s="1"/>
  <c r="AB34" i="48"/>
  <c r="AB18" i="48"/>
  <c r="AD18" i="48"/>
  <c r="J13" i="59" s="1"/>
  <c r="AD33" i="48"/>
  <c r="J28" i="59" s="1"/>
  <c r="AB33" i="48"/>
  <c r="AD30" i="48"/>
  <c r="J25" i="59" s="1"/>
  <c r="AB30" i="48"/>
  <c r="J48" i="33"/>
  <c r="J47" i="33"/>
  <c r="AD39" i="48"/>
  <c r="J34" i="59" s="1"/>
  <c r="AB39" i="48"/>
  <c r="AB28" i="48"/>
  <c r="AD28" i="48"/>
  <c r="J23" i="59" s="1"/>
  <c r="AB31" i="48"/>
  <c r="AD31" i="48"/>
  <c r="J26" i="59" s="1"/>
  <c r="W12" i="48" l="1"/>
  <c r="Q13" i="48"/>
  <c r="N14" i="53"/>
  <c r="U4" i="54"/>
  <c r="O14" i="53" s="1"/>
  <c r="P14" i="53" s="1"/>
  <c r="D49" i="25"/>
  <c r="E49" i="26"/>
  <c r="D44" i="16"/>
  <c r="E44" i="17"/>
  <c r="J41" i="48"/>
  <c r="X41" i="48"/>
  <c r="I41" i="48"/>
  <c r="AJ41" i="48"/>
  <c r="CC15" i="2"/>
  <c r="J56" i="24"/>
  <c r="CC40" i="2"/>
  <c r="I4" i="54"/>
  <c r="AB154" i="46"/>
  <c r="X165" i="46" s="1"/>
  <c r="D40" i="24"/>
  <c r="E40" i="25"/>
  <c r="E50" i="28"/>
  <c r="D50" i="26"/>
  <c r="J50" i="26"/>
  <c r="J49" i="25"/>
  <c r="D48" i="16"/>
  <c r="E48" i="17"/>
  <c r="E42" i="25"/>
  <c r="D42" i="24"/>
  <c r="AI10" i="45"/>
  <c r="AA10" i="45"/>
  <c r="S10" i="45"/>
  <c r="AT10" i="45"/>
  <c r="K10" i="45"/>
  <c r="O10" i="45"/>
  <c r="AQ10" i="45"/>
  <c r="AE10" i="45"/>
  <c r="G10" i="45"/>
  <c r="AM10" i="45"/>
  <c r="W10" i="45"/>
  <c r="JB19" i="1"/>
  <c r="IP19" i="1"/>
  <c r="ID19" i="1"/>
  <c r="HR19" i="1"/>
  <c r="HF19" i="1"/>
  <c r="GT19" i="1"/>
  <c r="GH19" i="1"/>
  <c r="FV19" i="1"/>
  <c r="FJ19" i="1"/>
  <c r="EX19" i="1"/>
  <c r="EL19" i="1"/>
  <c r="DZ19" i="1"/>
  <c r="DN19" i="1"/>
  <c r="DB19" i="1"/>
  <c r="CP19" i="1"/>
  <c r="CD19" i="1"/>
  <c r="BR19" i="1"/>
  <c r="BF19" i="1"/>
  <c r="AT19" i="1"/>
  <c r="AH19" i="1"/>
  <c r="V19" i="1"/>
  <c r="J19" i="1"/>
  <c r="IY19" i="1"/>
  <c r="IM19" i="1"/>
  <c r="IA19" i="1"/>
  <c r="HO19" i="1"/>
  <c r="HC19" i="1"/>
  <c r="GQ19" i="1"/>
  <c r="GE19" i="1"/>
  <c r="FS19" i="1"/>
  <c r="FG19" i="1"/>
  <c r="EU19" i="1"/>
  <c r="EI19" i="1"/>
  <c r="DW19" i="1"/>
  <c r="DK19" i="1"/>
  <c r="CY19" i="1"/>
  <c r="CM19" i="1"/>
  <c r="CA19" i="1"/>
  <c r="BO19" i="1"/>
  <c r="BC19" i="1"/>
  <c r="AQ19" i="1"/>
  <c r="AE19" i="1"/>
  <c r="S19" i="1"/>
  <c r="G19" i="1"/>
  <c r="IV19" i="1"/>
  <c r="IG19" i="1"/>
  <c r="GZ19" i="1"/>
  <c r="GK19" i="1"/>
  <c r="FD19" i="1"/>
  <c r="EO19" i="1"/>
  <c r="DH19" i="1"/>
  <c r="CS19" i="1"/>
  <c r="BL19" i="1"/>
  <c r="AW19" i="1"/>
  <c r="P19" i="1"/>
  <c r="JH19" i="1"/>
  <c r="IS19" i="1"/>
  <c r="HL19" i="1"/>
  <c r="GW19" i="1"/>
  <c r="FP19" i="1"/>
  <c r="FA19" i="1"/>
  <c r="DT19" i="1"/>
  <c r="DE19" i="1"/>
  <c r="BX19" i="1"/>
  <c r="BI19" i="1"/>
  <c r="AB19" i="1"/>
  <c r="M19" i="1"/>
  <c r="JE19" i="1"/>
  <c r="HX19" i="1"/>
  <c r="HI19" i="1"/>
  <c r="GB19" i="1"/>
  <c r="FM19" i="1"/>
  <c r="EF19" i="1"/>
  <c r="DQ19" i="1"/>
  <c r="CJ19" i="1"/>
  <c r="BU19" i="1"/>
  <c r="AN19" i="1"/>
  <c r="Y19" i="1"/>
  <c r="IJ19" i="1"/>
  <c r="HU19" i="1"/>
  <c r="GN19" i="1"/>
  <c r="FY19" i="1"/>
  <c r="ER19" i="1"/>
  <c r="EC19" i="1"/>
  <c r="CV19" i="1"/>
  <c r="CG19" i="1"/>
  <c r="AZ19" i="1"/>
  <c r="AK19" i="1"/>
  <c r="E20" i="2"/>
  <c r="A17" i="1"/>
  <c r="A17" i="2"/>
  <c r="Y11" i="48"/>
  <c r="I6" i="59" s="1"/>
  <c r="S12" i="48"/>
  <c r="AK11" i="48"/>
  <c r="E6" i="59" s="1"/>
  <c r="G6" i="59"/>
  <c r="O19" i="45"/>
  <c r="S19" i="45"/>
  <c r="AE19" i="45"/>
  <c r="AI19" i="45"/>
  <c r="G19" i="45"/>
  <c r="AA19" i="45"/>
  <c r="W19" i="45"/>
  <c r="AQ19" i="45"/>
  <c r="K19" i="45"/>
  <c r="AM19" i="45"/>
  <c r="AT19" i="45"/>
  <c r="D43" i="25"/>
  <c r="E43" i="26"/>
  <c r="J39" i="28"/>
  <c r="J37" i="26"/>
  <c r="J41" i="30"/>
  <c r="K57" i="30"/>
  <c r="J51" i="30"/>
  <c r="K56" i="30"/>
  <c r="J40" i="29"/>
  <c r="DH11" i="1"/>
  <c r="CV11" i="1"/>
  <c r="CJ11" i="1"/>
  <c r="BX11" i="1"/>
  <c r="BL11" i="1"/>
  <c r="AZ11" i="1"/>
  <c r="JH11" i="1"/>
  <c r="IV11" i="1"/>
  <c r="IJ11" i="1"/>
  <c r="HX11" i="1"/>
  <c r="HL11" i="1"/>
  <c r="GZ11" i="1"/>
  <c r="GN11" i="1"/>
  <c r="GB11" i="1"/>
  <c r="FP11" i="1"/>
  <c r="FD11" i="1"/>
  <c r="ER11" i="1"/>
  <c r="EF11" i="1"/>
  <c r="DT11" i="1"/>
  <c r="JE11" i="1"/>
  <c r="IS11" i="1"/>
  <c r="IG11" i="1"/>
  <c r="HU11" i="1"/>
  <c r="HI11" i="1"/>
  <c r="GW11" i="1"/>
  <c r="GK11" i="1"/>
  <c r="FY11" i="1"/>
  <c r="FM11" i="1"/>
  <c r="FA11" i="1"/>
  <c r="EO11" i="1"/>
  <c r="EC11" i="1"/>
  <c r="DQ11" i="1"/>
  <c r="JB11" i="1"/>
  <c r="IP11" i="1"/>
  <c r="ID11" i="1"/>
  <c r="HR11" i="1"/>
  <c r="HF11" i="1"/>
  <c r="GT11" i="1"/>
  <c r="GH11" i="1"/>
  <c r="FV11" i="1"/>
  <c r="FJ11" i="1"/>
  <c r="EX11" i="1"/>
  <c r="EL11" i="1"/>
  <c r="DZ11" i="1"/>
  <c r="DN11" i="1"/>
  <c r="IY11" i="1"/>
  <c r="IM11" i="1"/>
  <c r="IA11" i="1"/>
  <c r="HO11" i="1"/>
  <c r="HC11" i="1"/>
  <c r="GQ11" i="1"/>
  <c r="GE11" i="1"/>
  <c r="FS11" i="1"/>
  <c r="FG11" i="1"/>
  <c r="EU11" i="1"/>
  <c r="EI11" i="1"/>
  <c r="DW11" i="1"/>
  <c r="DK11" i="1"/>
  <c r="CP11" i="1"/>
  <c r="BO11" i="1"/>
  <c r="AN11" i="1"/>
  <c r="AB11" i="1"/>
  <c r="P11" i="1"/>
  <c r="DB11" i="1"/>
  <c r="CA11" i="1"/>
  <c r="CM11" i="1"/>
  <c r="AW11" i="1"/>
  <c r="AK11" i="1"/>
  <c r="Y11" i="1"/>
  <c r="M11" i="1"/>
  <c r="CY11" i="1"/>
  <c r="BI11" i="1"/>
  <c r="BU11" i="1"/>
  <c r="AT11" i="1"/>
  <c r="AH11" i="1"/>
  <c r="V11" i="1"/>
  <c r="J11" i="1"/>
  <c r="CG11" i="1"/>
  <c r="BF11" i="1"/>
  <c r="E12" i="2"/>
  <c r="DE11" i="1"/>
  <c r="CD11" i="1"/>
  <c r="BC11" i="1"/>
  <c r="AE11" i="1"/>
  <c r="BR11" i="1"/>
  <c r="G11" i="1"/>
  <c r="AQ11" i="1"/>
  <c r="S11" i="1"/>
  <c r="CS11" i="1"/>
  <c r="CC37" i="2"/>
  <c r="CC30" i="2"/>
  <c r="F11" i="2"/>
  <c r="CD11" i="2" s="1"/>
  <c r="CC11" i="2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CV20" i="1"/>
  <c r="CJ20" i="1"/>
  <c r="BX20" i="1"/>
  <c r="BL20" i="1"/>
  <c r="AZ20" i="1"/>
  <c r="AN20" i="1"/>
  <c r="AB20" i="1"/>
  <c r="P20" i="1"/>
  <c r="JE20" i="1"/>
  <c r="IS20" i="1"/>
  <c r="IG20" i="1"/>
  <c r="HU20" i="1"/>
  <c r="HI20" i="1"/>
  <c r="GW20" i="1"/>
  <c r="GK20" i="1"/>
  <c r="FY20" i="1"/>
  <c r="FM20" i="1"/>
  <c r="FA20" i="1"/>
  <c r="EO20" i="1"/>
  <c r="EC20" i="1"/>
  <c r="DQ20" i="1"/>
  <c r="DE20" i="1"/>
  <c r="CS20" i="1"/>
  <c r="CG20" i="1"/>
  <c r="BU20" i="1"/>
  <c r="BI20" i="1"/>
  <c r="AW20" i="1"/>
  <c r="AK20" i="1"/>
  <c r="Y20" i="1"/>
  <c r="M20" i="1"/>
  <c r="JB20" i="1"/>
  <c r="IP20" i="1"/>
  <c r="ID20" i="1"/>
  <c r="HR20" i="1"/>
  <c r="HF20" i="1"/>
  <c r="GT20" i="1"/>
  <c r="GH20" i="1"/>
  <c r="FV20" i="1"/>
  <c r="FJ20" i="1"/>
  <c r="EX20" i="1"/>
  <c r="EL20" i="1"/>
  <c r="DZ20" i="1"/>
  <c r="DN20" i="1"/>
  <c r="DB20" i="1"/>
  <c r="CP20" i="1"/>
  <c r="CD20" i="1"/>
  <c r="BR20" i="1"/>
  <c r="BF20" i="1"/>
  <c r="AT20" i="1"/>
  <c r="AH20" i="1"/>
  <c r="V20" i="1"/>
  <c r="J20" i="1"/>
  <c r="IM20" i="1"/>
  <c r="EU20" i="1"/>
  <c r="BC20" i="1"/>
  <c r="GE20" i="1"/>
  <c r="CM20" i="1"/>
  <c r="HO20" i="1"/>
  <c r="DW20" i="1"/>
  <c r="AE20" i="1"/>
  <c r="IY20" i="1"/>
  <c r="FG20" i="1"/>
  <c r="BO20" i="1"/>
  <c r="GQ20" i="1"/>
  <c r="CY20" i="1"/>
  <c r="G20" i="1"/>
  <c r="IA20" i="1"/>
  <c r="EI20" i="1"/>
  <c r="AQ20" i="1"/>
  <c r="HC20" i="1"/>
  <c r="DK20" i="1"/>
  <c r="S20" i="1"/>
  <c r="FS20" i="1"/>
  <c r="CA20" i="1"/>
  <c r="E21" i="2"/>
  <c r="CC33" i="2"/>
  <c r="E46" i="24"/>
  <c r="D46" i="23"/>
  <c r="CC26" i="2"/>
  <c r="CC16" i="2"/>
  <c r="CC25" i="2"/>
  <c r="E51" i="19"/>
  <c r="D51" i="18"/>
  <c r="J44" i="29"/>
  <c r="J43" i="27"/>
  <c r="F5" i="53"/>
  <c r="G5" i="53" s="1"/>
  <c r="F32" i="53"/>
  <c r="F20" i="53"/>
  <c r="F11" i="53"/>
  <c r="G11" i="53" s="1"/>
  <c r="F22" i="53"/>
  <c r="F19" i="53"/>
  <c r="F6" i="53"/>
  <c r="G6" i="53" s="1"/>
  <c r="F25" i="53"/>
  <c r="F37" i="53"/>
  <c r="F4" i="53"/>
  <c r="F24" i="53"/>
  <c r="F17" i="53"/>
  <c r="F26" i="53"/>
  <c r="F7" i="53"/>
  <c r="G7" i="53" s="1"/>
  <c r="F27" i="53"/>
  <c r="F28" i="53"/>
  <c r="F30" i="53"/>
  <c r="F16" i="53"/>
  <c r="G16" i="53" s="1"/>
  <c r="F10" i="53"/>
  <c r="G10" i="53" s="1"/>
  <c r="F31" i="53"/>
  <c r="G31" i="53" s="1"/>
  <c r="F36" i="53"/>
  <c r="G36" i="53" s="1"/>
  <c r="F21" i="53"/>
  <c r="F34" i="53"/>
  <c r="F23" i="53"/>
  <c r="F35" i="53"/>
  <c r="F38" i="53"/>
  <c r="G38" i="53" s="1"/>
  <c r="H38" i="53" s="1"/>
  <c r="F9" i="53"/>
  <c r="G9" i="53" s="1"/>
  <c r="F39" i="53"/>
  <c r="F29" i="53"/>
  <c r="F8" i="53"/>
  <c r="G8" i="53" s="1"/>
  <c r="F33" i="53"/>
  <c r="G33" i="53" s="1"/>
  <c r="F18" i="53"/>
  <c r="G18" i="53" s="1"/>
  <c r="E45" i="25"/>
  <c r="D45" i="24"/>
  <c r="E41" i="24"/>
  <c r="D41" i="23"/>
  <c r="CC14" i="2"/>
  <c r="CC31" i="2"/>
  <c r="E39" i="28"/>
  <c r="E52" i="28" s="1"/>
  <c r="E53" i="28" s="1"/>
  <c r="D39" i="26"/>
  <c r="D52" i="28"/>
  <c r="D53" i="28" s="1"/>
  <c r="CC35" i="2"/>
  <c r="N13" i="53"/>
  <c r="N40" i="53" s="1"/>
  <c r="U3" i="54"/>
  <c r="O13" i="53" s="1"/>
  <c r="P13" i="53" s="1"/>
  <c r="Q12" i="53" s="1"/>
  <c r="CC13" i="2"/>
  <c r="CC29" i="2"/>
  <c r="CC23" i="2"/>
  <c r="E47" i="25"/>
  <c r="D47" i="24"/>
  <c r="CC32" i="2"/>
  <c r="M7" i="26"/>
  <c r="M34" i="28"/>
  <c r="CC38" i="2"/>
  <c r="E38" i="20"/>
  <c r="D38" i="19"/>
  <c r="O9" i="53"/>
  <c r="P9" i="53" s="1"/>
  <c r="O32" i="53"/>
  <c r="O10" i="53"/>
  <c r="P10" i="53" s="1"/>
  <c r="O21" i="53"/>
  <c r="O16" i="53"/>
  <c r="O6" i="53"/>
  <c r="P6" i="53" s="1"/>
  <c r="O19" i="53"/>
  <c r="O28" i="53"/>
  <c r="O33" i="53"/>
  <c r="O20" i="53"/>
  <c r="O5" i="53"/>
  <c r="P5" i="53" s="1"/>
  <c r="O17" i="53"/>
  <c r="O24" i="53"/>
  <c r="O35" i="53"/>
  <c r="O22" i="53"/>
  <c r="O25" i="53"/>
  <c r="O34" i="53"/>
  <c r="O37" i="53"/>
  <c r="O23" i="53"/>
  <c r="O4" i="53"/>
  <c r="O8" i="53"/>
  <c r="P8" i="53" s="1"/>
  <c r="O38" i="53"/>
  <c r="O31" i="53"/>
  <c r="O7" i="53"/>
  <c r="P7" i="53" s="1"/>
  <c r="O11" i="53"/>
  <c r="P11" i="53" s="1"/>
  <c r="O18" i="53"/>
  <c r="P18" i="53" s="1"/>
  <c r="O27" i="53"/>
  <c r="O39" i="53"/>
  <c r="O26" i="53"/>
  <c r="P24" i="53" s="1"/>
  <c r="O29" i="53"/>
  <c r="O36" i="53"/>
  <c r="O30" i="53"/>
  <c r="AI18" i="45"/>
  <c r="AM18" i="45"/>
  <c r="K18" i="45"/>
  <c r="AA18" i="45"/>
  <c r="O18" i="45"/>
  <c r="AE18" i="45"/>
  <c r="AQ18" i="45"/>
  <c r="G18" i="45"/>
  <c r="S18" i="45"/>
  <c r="W18" i="45"/>
  <c r="AT18" i="45"/>
  <c r="E52" i="27"/>
  <c r="E53" i="27" s="1"/>
  <c r="J57" i="16"/>
  <c r="CC28" i="2"/>
  <c r="M11" i="48"/>
  <c r="M12" i="48" s="1"/>
  <c r="M13" i="48" s="1"/>
  <c r="M14" i="48" s="1"/>
  <c r="M15" i="48" s="1"/>
  <c r="M16" i="48" s="1"/>
  <c r="M17" i="48" s="1"/>
  <c r="M18" i="48" s="1"/>
  <c r="M19" i="48" s="1"/>
  <c r="M20" i="48" s="1"/>
  <c r="M21" i="48" s="1"/>
  <c r="M22" i="48" s="1"/>
  <c r="M23" i="48" s="1"/>
  <c r="M24" i="48" s="1"/>
  <c r="M25" i="48" s="1"/>
  <c r="M26" i="48" s="1"/>
  <c r="M27" i="48" s="1"/>
  <c r="M28" i="48" s="1"/>
  <c r="M29" i="48" s="1"/>
  <c r="M30" i="48" s="1"/>
  <c r="M31" i="48" s="1"/>
  <c r="M32" i="48" s="1"/>
  <c r="M33" i="48" s="1"/>
  <c r="M34" i="48" s="1"/>
  <c r="M35" i="48" s="1"/>
  <c r="M36" i="48" s="1"/>
  <c r="M37" i="48" s="1"/>
  <c r="M38" i="48" s="1"/>
  <c r="M39" i="48" s="1"/>
  <c r="K10" i="48"/>
  <c r="C5" i="59" s="1"/>
  <c r="E15" i="53"/>
  <c r="F15" i="53" s="1"/>
  <c r="G15" i="53" s="1"/>
  <c r="J5" i="54"/>
  <c r="AA40" i="45"/>
  <c r="AE40" i="45"/>
  <c r="G40" i="45"/>
  <c r="AQ40" i="45"/>
  <c r="AY22" i="45" s="1"/>
  <c r="AY24" i="45" s="1"/>
  <c r="AY26" i="45" s="1"/>
  <c r="AM40" i="45"/>
  <c r="S40" i="45"/>
  <c r="K40" i="45"/>
  <c r="O40" i="45"/>
  <c r="AI40" i="45"/>
  <c r="W40" i="45"/>
  <c r="AT40" i="45"/>
  <c r="CC17" i="2"/>
  <c r="I3" i="54"/>
  <c r="AA154" i="46"/>
  <c r="X164" i="46" s="1"/>
  <c r="X184" i="46" s="1"/>
  <c r="X186" i="46" s="1"/>
  <c r="CC34" i="2"/>
  <c r="AB41" i="48"/>
  <c r="AD41" i="48"/>
  <c r="J48" i="31"/>
  <c r="J47" i="31"/>
  <c r="J46" i="30"/>
  <c r="AE9" i="48"/>
  <c r="K4" i="59" s="1"/>
  <c r="AC9" i="48"/>
  <c r="AA10" i="48"/>
  <c r="G19" i="53" l="1"/>
  <c r="P16" i="53"/>
  <c r="A18" i="1"/>
  <c r="A18" i="2"/>
  <c r="D48" i="15"/>
  <c r="E48" i="16"/>
  <c r="E49" i="25"/>
  <c r="D49" i="24"/>
  <c r="K11" i="48"/>
  <c r="C6" i="59" s="1"/>
  <c r="D46" i="21"/>
  <c r="E46" i="23"/>
  <c r="P36" i="53"/>
  <c r="P19" i="53"/>
  <c r="Q14" i="53" s="1"/>
  <c r="P31" i="53"/>
  <c r="M7" i="25"/>
  <c r="M34" i="26"/>
  <c r="D39" i="25"/>
  <c r="E39" i="26"/>
  <c r="D52" i="26"/>
  <c r="D53" i="26" s="1"/>
  <c r="G24" i="53"/>
  <c r="H24" i="53" s="1"/>
  <c r="CC20" i="2"/>
  <c r="J50" i="25"/>
  <c r="J49" i="24"/>
  <c r="E14" i="53"/>
  <c r="F14" i="53" s="1"/>
  <c r="G14" i="53" s="1"/>
  <c r="H14" i="53" s="1"/>
  <c r="J4" i="54"/>
  <c r="E43" i="25"/>
  <c r="D43" i="24"/>
  <c r="D44" i="15"/>
  <c r="E44" i="16"/>
  <c r="D41" i="21"/>
  <c r="E41" i="23"/>
  <c r="E51" i="18"/>
  <c r="D51" i="17"/>
  <c r="J57" i="15"/>
  <c r="P33" i="53"/>
  <c r="E45" i="24"/>
  <c r="D45" i="23"/>
  <c r="G4" i="53"/>
  <c r="E40" i="24"/>
  <c r="D40" i="23"/>
  <c r="J37" i="25"/>
  <c r="J39" i="26"/>
  <c r="W13" i="48"/>
  <c r="Q14" i="48"/>
  <c r="E38" i="19"/>
  <c r="D38" i="18"/>
  <c r="E47" i="24"/>
  <c r="D47" i="23"/>
  <c r="J44" i="27"/>
  <c r="J43" i="28"/>
  <c r="CC21" i="2"/>
  <c r="S13" i="48"/>
  <c r="AK12" i="48"/>
  <c r="E7" i="59" s="1"/>
  <c r="K12" i="48"/>
  <c r="C7" i="59" s="1"/>
  <c r="G7" i="59"/>
  <c r="Y12" i="48"/>
  <c r="I7" i="59" s="1"/>
  <c r="D50" i="25"/>
  <c r="E50" i="26"/>
  <c r="J56" i="23"/>
  <c r="J41" i="29"/>
  <c r="K56" i="29"/>
  <c r="K57" i="29"/>
  <c r="J51" i="29"/>
  <c r="J40" i="27"/>
  <c r="P4" i="53"/>
  <c r="O40" i="53"/>
  <c r="O42" i="53" s="1"/>
  <c r="E13" i="53"/>
  <c r="J3" i="54"/>
  <c r="P38" i="53"/>
  <c r="Q38" i="53" s="1"/>
  <c r="J45" i="29"/>
  <c r="E42" i="2"/>
  <c r="CC42" i="2" s="1"/>
  <c r="F12" i="2"/>
  <c r="CC12" i="2"/>
  <c r="D42" i="23"/>
  <c r="E42" i="24"/>
  <c r="AE10" i="48"/>
  <c r="K5" i="59" s="1"/>
  <c r="AC10" i="48"/>
  <c r="AA11" i="48"/>
  <c r="J48" i="30"/>
  <c r="J47" i="30"/>
  <c r="J46" i="29"/>
  <c r="Q24" i="53" l="1"/>
  <c r="D42" i="21"/>
  <c r="E42" i="23"/>
  <c r="D40" i="21"/>
  <c r="E40" i="23"/>
  <c r="J57" i="14"/>
  <c r="E44" i="15"/>
  <c r="D44" i="14"/>
  <c r="M34" i="25"/>
  <c r="M7" i="24"/>
  <c r="F13" i="53"/>
  <c r="E40" i="53"/>
  <c r="K13" i="48"/>
  <c r="C8" i="59" s="1"/>
  <c r="Y13" i="48"/>
  <c r="I8" i="59" s="1"/>
  <c r="S14" i="48"/>
  <c r="AK13" i="48"/>
  <c r="E8" i="59" s="1"/>
  <c r="G8" i="59"/>
  <c r="E38" i="18"/>
  <c r="D38" i="17"/>
  <c r="E51" i="17"/>
  <c r="D51" i="16"/>
  <c r="E43" i="24"/>
  <c r="D43" i="23"/>
  <c r="J39" i="25"/>
  <c r="J37" i="24"/>
  <c r="CD12" i="2"/>
  <c r="F13" i="2"/>
  <c r="J56" i="21"/>
  <c r="H4" i="53"/>
  <c r="E48" i="15"/>
  <c r="D48" i="14"/>
  <c r="Q4" i="53"/>
  <c r="Q40" i="53" s="1"/>
  <c r="Q42" i="53" s="1"/>
  <c r="P40" i="53"/>
  <c r="P42" i="53" s="1"/>
  <c r="E47" i="23"/>
  <c r="D47" i="21"/>
  <c r="J41" i="27"/>
  <c r="K57" i="27"/>
  <c r="K56" i="27"/>
  <c r="J40" i="28"/>
  <c r="J45" i="28" s="1"/>
  <c r="J51" i="27"/>
  <c r="E50" i="25"/>
  <c r="D50" i="24"/>
  <c r="J44" i="28"/>
  <c r="J43" i="26"/>
  <c r="W14" i="48"/>
  <c r="Q15" i="48"/>
  <c r="D45" i="21"/>
  <c r="E45" i="23"/>
  <c r="D41" i="22"/>
  <c r="E41" i="21"/>
  <c r="A19" i="1"/>
  <c r="A19" i="2"/>
  <c r="E52" i="26"/>
  <c r="E53" i="26" s="1"/>
  <c r="D46" i="22"/>
  <c r="E46" i="21"/>
  <c r="E49" i="24"/>
  <c r="D49" i="23"/>
  <c r="J45" i="27"/>
  <c r="J49" i="23"/>
  <c r="J50" i="24"/>
  <c r="E39" i="25"/>
  <c r="E52" i="25" s="1"/>
  <c r="E53" i="25" s="1"/>
  <c r="D39" i="24"/>
  <c r="D52" i="25"/>
  <c r="D53" i="25" s="1"/>
  <c r="J47" i="29"/>
  <c r="J48" i="29"/>
  <c r="J46" i="27"/>
  <c r="AE11" i="48"/>
  <c r="K6" i="59" s="1"/>
  <c r="AC11" i="48"/>
  <c r="AA12" i="48"/>
  <c r="D44" i="13" l="1"/>
  <c r="E44" i="14"/>
  <c r="E47" i="21"/>
  <c r="D47" i="22"/>
  <c r="S15" i="48"/>
  <c r="AK14" i="48"/>
  <c r="E9" i="59" s="1"/>
  <c r="K14" i="48"/>
  <c r="C9" i="59" s="1"/>
  <c r="G9" i="59"/>
  <c r="Y14" i="48"/>
  <c r="I9" i="59" s="1"/>
  <c r="E41" i="22"/>
  <c r="D41" i="20"/>
  <c r="D50" i="23"/>
  <c r="E50" i="24"/>
  <c r="J56" i="22"/>
  <c r="D51" i="15"/>
  <c r="E51" i="16"/>
  <c r="J57" i="13"/>
  <c r="D43" i="21"/>
  <c r="E43" i="23"/>
  <c r="E46" i="22"/>
  <c r="D46" i="20"/>
  <c r="E45" i="21"/>
  <c r="D45" i="22"/>
  <c r="CD13" i="2"/>
  <c r="F14" i="2"/>
  <c r="A20" i="1"/>
  <c r="A20" i="2"/>
  <c r="W15" i="48"/>
  <c r="Q16" i="48"/>
  <c r="J41" i="28"/>
  <c r="K57" i="28"/>
  <c r="J40" i="26"/>
  <c r="K56" i="28"/>
  <c r="J51" i="28"/>
  <c r="E38" i="17"/>
  <c r="D38" i="16"/>
  <c r="G13" i="53"/>
  <c r="F40" i="53"/>
  <c r="F42" i="53" s="1"/>
  <c r="E40" i="21"/>
  <c r="D40" i="22"/>
  <c r="D39" i="23"/>
  <c r="E39" i="24"/>
  <c r="E52" i="24" s="1"/>
  <c r="E53" i="24" s="1"/>
  <c r="D52" i="24"/>
  <c r="D53" i="24" s="1"/>
  <c r="J49" i="21"/>
  <c r="J50" i="23"/>
  <c r="D48" i="13"/>
  <c r="E48" i="14"/>
  <c r="J37" i="23"/>
  <c r="J39" i="24"/>
  <c r="M7" i="23"/>
  <c r="M34" i="24"/>
  <c r="E49" i="23"/>
  <c r="D49" i="21"/>
  <c r="J44" i="26"/>
  <c r="J45" i="26"/>
  <c r="J43" i="25"/>
  <c r="D42" i="22"/>
  <c r="E42" i="21"/>
  <c r="AC12" i="48"/>
  <c r="AE12" i="48"/>
  <c r="K7" i="59" s="1"/>
  <c r="AA13" i="48"/>
  <c r="J48" i="27"/>
  <c r="J47" i="27"/>
  <c r="J46" i="28"/>
  <c r="M34" i="23" l="1"/>
  <c r="M7" i="21"/>
  <c r="H12" i="53"/>
  <c r="H40" i="53" s="1"/>
  <c r="H42" i="53" s="1"/>
  <c r="G50" i="54" s="1"/>
  <c r="G40" i="53"/>
  <c r="G42" i="53" s="1"/>
  <c r="E51" i="15"/>
  <c r="D51" i="14"/>
  <c r="D38" i="15"/>
  <c r="E38" i="16"/>
  <c r="W16" i="48"/>
  <c r="Q17" i="48"/>
  <c r="D46" i="19"/>
  <c r="E46" i="20"/>
  <c r="J44" i="25"/>
  <c r="J43" i="24"/>
  <c r="J56" i="20"/>
  <c r="J39" i="23"/>
  <c r="J37" i="21"/>
  <c r="E39" i="23"/>
  <c r="D39" i="21"/>
  <c r="D52" i="23"/>
  <c r="D53" i="23" s="1"/>
  <c r="K15" i="48"/>
  <c r="C10" i="59" s="1"/>
  <c r="Y15" i="48"/>
  <c r="I10" i="59" s="1"/>
  <c r="S16" i="48"/>
  <c r="AK15" i="48"/>
  <c r="E10" i="59" s="1"/>
  <c r="G10" i="59"/>
  <c r="A21" i="1"/>
  <c r="A21" i="2"/>
  <c r="D43" i="22"/>
  <c r="E43" i="21"/>
  <c r="E50" i="23"/>
  <c r="D50" i="21"/>
  <c r="D47" i="20"/>
  <c r="E47" i="22"/>
  <c r="D49" i="22"/>
  <c r="E49" i="21"/>
  <c r="E48" i="13"/>
  <c r="D48" i="12"/>
  <c r="D40" i="20"/>
  <c r="E40" i="22"/>
  <c r="CD14" i="2"/>
  <c r="F15" i="2"/>
  <c r="D41" i="19"/>
  <c r="E41" i="20"/>
  <c r="D42" i="20"/>
  <c r="E42" i="22"/>
  <c r="J41" i="26"/>
  <c r="K57" i="26"/>
  <c r="J40" i="25"/>
  <c r="J45" i="25" s="1"/>
  <c r="K56" i="26"/>
  <c r="J51" i="26"/>
  <c r="J57" i="12"/>
  <c r="J50" i="21"/>
  <c r="J49" i="22"/>
  <c r="D45" i="20"/>
  <c r="E45" i="22"/>
  <c r="E44" i="13"/>
  <c r="D44" i="12"/>
  <c r="J47" i="28"/>
  <c r="J48" i="28"/>
  <c r="J46" i="26"/>
  <c r="AE13" i="48"/>
  <c r="K8" i="59" s="1"/>
  <c r="AC13" i="48"/>
  <c r="AA14" i="48"/>
  <c r="J56" i="19" l="1"/>
  <c r="J57" i="11"/>
  <c r="E42" i="20"/>
  <c r="D42" i="19"/>
  <c r="D43" i="20"/>
  <c r="E43" i="22"/>
  <c r="J44" i="24"/>
  <c r="J43" i="23"/>
  <c r="D44" i="11"/>
  <c r="E44" i="12"/>
  <c r="E38" i="15"/>
  <c r="D38" i="14"/>
  <c r="E41" i="19"/>
  <c r="D41" i="18"/>
  <c r="D49" i="20"/>
  <c r="E49" i="22"/>
  <c r="A22" i="1"/>
  <c r="A22" i="2"/>
  <c r="D39" i="22"/>
  <c r="E39" i="21"/>
  <c r="D52" i="21"/>
  <c r="D53" i="21" s="1"/>
  <c r="D51" i="13"/>
  <c r="E51" i="14"/>
  <c r="CD15" i="2"/>
  <c r="F16" i="2"/>
  <c r="E52" i="23"/>
  <c r="E53" i="23" s="1"/>
  <c r="D48" i="11"/>
  <c r="E48" i="12"/>
  <c r="D45" i="19"/>
  <c r="E45" i="20"/>
  <c r="J41" i="25"/>
  <c r="K57" i="25"/>
  <c r="J40" i="24"/>
  <c r="K56" i="25"/>
  <c r="J51" i="25"/>
  <c r="D47" i="19"/>
  <c r="E47" i="20"/>
  <c r="J39" i="21"/>
  <c r="J37" i="22"/>
  <c r="E46" i="19"/>
  <c r="D46" i="18"/>
  <c r="D50" i="22"/>
  <c r="E50" i="21"/>
  <c r="S17" i="48"/>
  <c r="AK16" i="48"/>
  <c r="E11" i="59" s="1"/>
  <c r="K16" i="48"/>
  <c r="C11" i="59" s="1"/>
  <c r="G11" i="59"/>
  <c r="Y16" i="48"/>
  <c r="I11" i="59" s="1"/>
  <c r="W17" i="48"/>
  <c r="Q18" i="48"/>
  <c r="J50" i="22"/>
  <c r="J49" i="20"/>
  <c r="E40" i="20"/>
  <c r="D40" i="19"/>
  <c r="M7" i="22"/>
  <c r="M34" i="21"/>
  <c r="AE14" i="48"/>
  <c r="K9" i="59" s="1"/>
  <c r="AC14" i="48"/>
  <c r="AA15" i="48"/>
  <c r="J48" i="26"/>
  <c r="J47" i="26"/>
  <c r="J46" i="25"/>
  <c r="W18" i="48" l="1"/>
  <c r="Q19" i="48"/>
  <c r="M7" i="20"/>
  <c r="M34" i="22"/>
  <c r="E48" i="11"/>
  <c r="D48" i="10"/>
  <c r="E39" i="22"/>
  <c r="E52" i="22" s="1"/>
  <c r="E53" i="22" s="1"/>
  <c r="D39" i="20"/>
  <c r="D52" i="22"/>
  <c r="D53" i="22" s="1"/>
  <c r="D50" i="20"/>
  <c r="E50" i="22"/>
  <c r="E46" i="18"/>
  <c r="D46" i="17"/>
  <c r="J41" i="24"/>
  <c r="K57" i="24"/>
  <c r="J40" i="23"/>
  <c r="K56" i="24"/>
  <c r="J51" i="24"/>
  <c r="CD16" i="2"/>
  <c r="F17" i="2"/>
  <c r="A23" i="1"/>
  <c r="A23" i="2"/>
  <c r="D42" i="18"/>
  <c r="E42" i="19"/>
  <c r="E44" i="11"/>
  <c r="D44" i="10"/>
  <c r="E40" i="19"/>
  <c r="D40" i="18"/>
  <c r="J39" i="22"/>
  <c r="J37" i="20"/>
  <c r="D49" i="19"/>
  <c r="E49" i="20"/>
  <c r="D51" i="12"/>
  <c r="E51" i="13"/>
  <c r="E41" i="18"/>
  <c r="D41" i="17"/>
  <c r="J45" i="24"/>
  <c r="J57" i="10"/>
  <c r="D43" i="19"/>
  <c r="E43" i="20"/>
  <c r="D45" i="18"/>
  <c r="E45" i="19"/>
  <c r="J45" i="23"/>
  <c r="J44" i="23"/>
  <c r="J43" i="21"/>
  <c r="J56" i="18"/>
  <c r="J49" i="19"/>
  <c r="J50" i="20"/>
  <c r="K17" i="48"/>
  <c r="C12" i="59" s="1"/>
  <c r="Y17" i="48"/>
  <c r="I12" i="59" s="1"/>
  <c r="S18" i="48"/>
  <c r="AK17" i="48"/>
  <c r="E12" i="59" s="1"/>
  <c r="G12" i="59"/>
  <c r="D47" i="18"/>
  <c r="E47" i="19"/>
  <c r="E52" i="21"/>
  <c r="E53" i="21" s="1"/>
  <c r="D38" i="13"/>
  <c r="E38" i="14"/>
  <c r="J47" i="25"/>
  <c r="J48" i="25"/>
  <c r="J46" i="24"/>
  <c r="AC15" i="48"/>
  <c r="AE15" i="48"/>
  <c r="K10" i="59" s="1"/>
  <c r="AA16" i="48"/>
  <c r="J44" i="21" l="1"/>
  <c r="J43" i="22"/>
  <c r="J56" i="17"/>
  <c r="J57" i="9"/>
  <c r="J41" i="23"/>
  <c r="K57" i="23"/>
  <c r="J40" i="21"/>
  <c r="J45" i="21" s="1"/>
  <c r="K56" i="23"/>
  <c r="J51" i="23"/>
  <c r="E39" i="20"/>
  <c r="D39" i="19"/>
  <c r="D52" i="20"/>
  <c r="D53" i="20" s="1"/>
  <c r="S19" i="48"/>
  <c r="AK18" i="48"/>
  <c r="E13" i="59" s="1"/>
  <c r="K18" i="48"/>
  <c r="C13" i="59" s="1"/>
  <c r="Y18" i="48"/>
  <c r="I13" i="59" s="1"/>
  <c r="G13" i="59"/>
  <c r="J39" i="20"/>
  <c r="J37" i="19"/>
  <c r="E48" i="10"/>
  <c r="D48" i="9"/>
  <c r="E38" i="13"/>
  <c r="D38" i="12"/>
  <c r="E41" i="17"/>
  <c r="D41" i="16"/>
  <c r="A24" i="1"/>
  <c r="A24" i="2"/>
  <c r="E46" i="17"/>
  <c r="D46" i="16"/>
  <c r="E42" i="18"/>
  <c r="D42" i="17"/>
  <c r="E40" i="18"/>
  <c r="D40" i="17"/>
  <c r="CD17" i="2"/>
  <c r="F18" i="2"/>
  <c r="J49" i="18"/>
  <c r="J50" i="19"/>
  <c r="E45" i="18"/>
  <c r="D45" i="17"/>
  <c r="M7" i="19"/>
  <c r="M34" i="20"/>
  <c r="E49" i="19"/>
  <c r="D49" i="18"/>
  <c r="E47" i="18"/>
  <c r="D47" i="17"/>
  <c r="E51" i="12"/>
  <c r="D51" i="11"/>
  <c r="E44" i="10"/>
  <c r="D44" i="9"/>
  <c r="D50" i="19"/>
  <c r="E50" i="20"/>
  <c r="W19" i="48"/>
  <c r="Q20" i="48"/>
  <c r="E43" i="19"/>
  <c r="D43" i="18"/>
  <c r="AE16" i="48"/>
  <c r="K11" i="59" s="1"/>
  <c r="AC16" i="48"/>
  <c r="AA17" i="48"/>
  <c r="J47" i="24"/>
  <c r="J48" i="24"/>
  <c r="J46" i="23"/>
  <c r="D50" i="18" l="1"/>
  <c r="E50" i="19"/>
  <c r="J50" i="18"/>
  <c r="J49" i="17"/>
  <c r="E48" i="9"/>
  <c r="D48" i="8"/>
  <c r="K19" i="48"/>
  <c r="C14" i="59" s="1"/>
  <c r="Y19" i="48"/>
  <c r="I14" i="59" s="1"/>
  <c r="S20" i="48"/>
  <c r="AK19" i="48"/>
  <c r="E14" i="59" s="1"/>
  <c r="G14" i="59"/>
  <c r="CD18" i="2"/>
  <c r="F19" i="2"/>
  <c r="J57" i="8"/>
  <c r="A25" i="1"/>
  <c r="A25" i="2"/>
  <c r="J39" i="19"/>
  <c r="J37" i="18"/>
  <c r="D39" i="18"/>
  <c r="E39" i="19"/>
  <c r="E52" i="19" s="1"/>
  <c r="E53" i="19" s="1"/>
  <c r="D52" i="19"/>
  <c r="D53" i="19" s="1"/>
  <c r="D51" i="10"/>
  <c r="E51" i="11"/>
  <c r="M34" i="19"/>
  <c r="M7" i="18"/>
  <c r="E40" i="17"/>
  <c r="D40" i="16"/>
  <c r="D41" i="15"/>
  <c r="E41" i="16"/>
  <c r="E52" i="20"/>
  <c r="E53" i="20" s="1"/>
  <c r="J56" i="16"/>
  <c r="E44" i="9"/>
  <c r="D44" i="8"/>
  <c r="E45" i="17"/>
  <c r="D45" i="16"/>
  <c r="W20" i="48"/>
  <c r="Q21" i="48"/>
  <c r="E47" i="17"/>
  <c r="D47" i="16"/>
  <c r="D42" i="16"/>
  <c r="E42" i="17"/>
  <c r="E38" i="12"/>
  <c r="D38" i="11"/>
  <c r="E43" i="18"/>
  <c r="D43" i="17"/>
  <c r="J41" i="21"/>
  <c r="K57" i="21"/>
  <c r="J40" i="22"/>
  <c r="K56" i="21"/>
  <c r="J51" i="21"/>
  <c r="J44" i="22"/>
  <c r="J43" i="20"/>
  <c r="J45" i="22"/>
  <c r="E49" i="18"/>
  <c r="D49" i="17"/>
  <c r="D46" i="15"/>
  <c r="E46" i="16"/>
  <c r="J47" i="23"/>
  <c r="J48" i="23"/>
  <c r="J46" i="21"/>
  <c r="AC17" i="48"/>
  <c r="AE17" i="48"/>
  <c r="K12" i="59" s="1"/>
  <c r="AA18" i="48"/>
  <c r="J44" i="20" l="1"/>
  <c r="J43" i="19"/>
  <c r="W21" i="48"/>
  <c r="Q22" i="48"/>
  <c r="D51" i="9"/>
  <c r="E51" i="10"/>
  <c r="J57" i="7"/>
  <c r="E48" i="8"/>
  <c r="D48" i="7"/>
  <c r="D38" i="10"/>
  <c r="E38" i="11"/>
  <c r="D45" i="15"/>
  <c r="E45" i="16"/>
  <c r="E41" i="15"/>
  <c r="D41" i="14"/>
  <c r="CD19" i="2"/>
  <c r="F20" i="2"/>
  <c r="D40" i="15"/>
  <c r="E40" i="16"/>
  <c r="E39" i="18"/>
  <c r="D39" i="17"/>
  <c r="D52" i="18"/>
  <c r="D53" i="18" s="1"/>
  <c r="J49" i="16"/>
  <c r="J50" i="17"/>
  <c r="E46" i="15"/>
  <c r="D46" i="14"/>
  <c r="J41" i="22"/>
  <c r="K57" i="22"/>
  <c r="J40" i="20"/>
  <c r="K56" i="22"/>
  <c r="J51" i="22"/>
  <c r="E44" i="8"/>
  <c r="D44" i="7"/>
  <c r="J39" i="18"/>
  <c r="J37" i="17"/>
  <c r="E49" i="17"/>
  <c r="D49" i="16"/>
  <c r="E42" i="16"/>
  <c r="D42" i="15"/>
  <c r="M34" i="18"/>
  <c r="M7" i="17"/>
  <c r="D47" i="15"/>
  <c r="E47" i="16"/>
  <c r="S21" i="48"/>
  <c r="AK20" i="48"/>
  <c r="E15" i="59" s="1"/>
  <c r="K20" i="48"/>
  <c r="C15" i="59" s="1"/>
  <c r="Y20" i="48"/>
  <c r="I15" i="59" s="1"/>
  <c r="G15" i="59"/>
  <c r="E43" i="17"/>
  <c r="D43" i="16"/>
  <c r="J56" i="15"/>
  <c r="A26" i="1"/>
  <c r="A26" i="2"/>
  <c r="E50" i="18"/>
  <c r="D50" i="17"/>
  <c r="AE18" i="48"/>
  <c r="K13" i="59" s="1"/>
  <c r="AC18" i="48"/>
  <c r="AA19" i="48"/>
  <c r="J48" i="21"/>
  <c r="J47" i="21"/>
  <c r="J46" i="22"/>
  <c r="J37" i="16" l="1"/>
  <c r="J39" i="17"/>
  <c r="E52" i="18"/>
  <c r="E53" i="18" s="1"/>
  <c r="M34" i="17"/>
  <c r="M7" i="16"/>
  <c r="D44" i="6"/>
  <c r="E44" i="7"/>
  <c r="D40" i="14"/>
  <c r="E40" i="15"/>
  <c r="E51" i="9"/>
  <c r="D51" i="8"/>
  <c r="D47" i="14"/>
  <c r="E47" i="15"/>
  <c r="D50" i="16"/>
  <c r="E50" i="17"/>
  <c r="D38" i="9"/>
  <c r="E38" i="10"/>
  <c r="W22" i="48"/>
  <c r="Q23" i="48"/>
  <c r="D42" i="14"/>
  <c r="E42" i="15"/>
  <c r="CD20" i="2"/>
  <c r="F21" i="2"/>
  <c r="J49" i="15"/>
  <c r="J50" i="16"/>
  <c r="D48" i="6"/>
  <c r="E48" i="7"/>
  <c r="J44" i="19"/>
  <c r="J43" i="18"/>
  <c r="D43" i="15"/>
  <c r="E43" i="16"/>
  <c r="D45" i="14"/>
  <c r="E45" i="15"/>
  <c r="A27" i="1"/>
  <c r="A27" i="2"/>
  <c r="D49" i="15"/>
  <c r="E49" i="16"/>
  <c r="J41" i="20"/>
  <c r="J40" i="19"/>
  <c r="J45" i="19" s="1"/>
  <c r="K57" i="20"/>
  <c r="K56" i="20"/>
  <c r="J51" i="20"/>
  <c r="D41" i="13"/>
  <c r="E41" i="14"/>
  <c r="J45" i="20"/>
  <c r="D46" i="13"/>
  <c r="E46" i="14"/>
  <c r="J56" i="14"/>
  <c r="K21" i="48"/>
  <c r="C16" i="59" s="1"/>
  <c r="Y21" i="48"/>
  <c r="I16" i="59" s="1"/>
  <c r="S22" i="48"/>
  <c r="AK21" i="48"/>
  <c r="E16" i="59" s="1"/>
  <c r="G16" i="59"/>
  <c r="D39" i="16"/>
  <c r="E39" i="17"/>
  <c r="E52" i="17" s="1"/>
  <c r="E53" i="17" s="1"/>
  <c r="D52" i="17"/>
  <c r="D53" i="17" s="1"/>
  <c r="J57" i="6"/>
  <c r="J47" i="22"/>
  <c r="J48" i="22"/>
  <c r="J46" i="20"/>
  <c r="AC19" i="48"/>
  <c r="AE19" i="48"/>
  <c r="K14" i="59" s="1"/>
  <c r="AA20" i="48"/>
  <c r="S23" i="48" l="1"/>
  <c r="AK22" i="48"/>
  <c r="E17" i="59" s="1"/>
  <c r="K22" i="48"/>
  <c r="C17" i="59" s="1"/>
  <c r="Y22" i="48"/>
  <c r="I17" i="59" s="1"/>
  <c r="G17" i="59"/>
  <c r="E49" i="15"/>
  <c r="D49" i="14"/>
  <c r="E40" i="14"/>
  <c r="D40" i="13"/>
  <c r="E41" i="13"/>
  <c r="D41" i="12"/>
  <c r="E50" i="16"/>
  <c r="D50" i="15"/>
  <c r="J57" i="37"/>
  <c r="A28" i="1"/>
  <c r="A28" i="2"/>
  <c r="D42" i="13"/>
  <c r="E42" i="14"/>
  <c r="E44" i="6"/>
  <c r="D44" i="37"/>
  <c r="E48" i="6"/>
  <c r="D48" i="37"/>
  <c r="W23" i="48"/>
  <c r="Q24" i="48"/>
  <c r="E47" i="14"/>
  <c r="D47" i="13"/>
  <c r="M34" i="16"/>
  <c r="M7" i="15"/>
  <c r="J56" i="13"/>
  <c r="E45" i="14"/>
  <c r="D45" i="13"/>
  <c r="E51" i="8"/>
  <c r="D51" i="7"/>
  <c r="D39" i="15"/>
  <c r="E39" i="16"/>
  <c r="E52" i="16" s="1"/>
  <c r="E53" i="16" s="1"/>
  <c r="D52" i="16"/>
  <c r="D53" i="16" s="1"/>
  <c r="J41" i="19"/>
  <c r="J40" i="18"/>
  <c r="K57" i="19"/>
  <c r="K56" i="19"/>
  <c r="J51" i="19"/>
  <c r="E46" i="13"/>
  <c r="D46" i="12"/>
  <c r="E43" i="15"/>
  <c r="D43" i="14"/>
  <c r="J49" i="14"/>
  <c r="J50" i="15"/>
  <c r="J44" i="18"/>
  <c r="J43" i="17"/>
  <c r="CD21" i="2"/>
  <c r="F22" i="2"/>
  <c r="E38" i="9"/>
  <c r="D38" i="8"/>
  <c r="J39" i="16"/>
  <c r="J37" i="15"/>
  <c r="AE20" i="48"/>
  <c r="K15" i="59" s="1"/>
  <c r="AC20" i="48"/>
  <c r="AA21" i="48"/>
  <c r="J47" i="20"/>
  <c r="J48" i="20"/>
  <c r="J46" i="19"/>
  <c r="E48" i="37" l="1"/>
  <c r="D48" i="4"/>
  <c r="J57" i="4"/>
  <c r="D49" i="13"/>
  <c r="E49" i="14"/>
  <c r="J41" i="18"/>
  <c r="J40" i="17"/>
  <c r="K57" i="18"/>
  <c r="K56" i="18"/>
  <c r="J51" i="18"/>
  <c r="J44" i="17"/>
  <c r="J45" i="17"/>
  <c r="J43" i="16"/>
  <c r="E46" i="12"/>
  <c r="D46" i="11"/>
  <c r="J56" i="12"/>
  <c r="J45" i="18"/>
  <c r="M34" i="15"/>
  <c r="M7" i="14"/>
  <c r="E44" i="37"/>
  <c r="D44" i="4"/>
  <c r="E50" i="15"/>
  <c r="D50" i="14"/>
  <c r="A29" i="1"/>
  <c r="A29" i="2"/>
  <c r="E39" i="15"/>
  <c r="E52" i="15" s="1"/>
  <c r="E53" i="15" s="1"/>
  <c r="D39" i="14"/>
  <c r="D52" i="15"/>
  <c r="D53" i="15" s="1"/>
  <c r="D43" i="13"/>
  <c r="E43" i="14"/>
  <c r="E38" i="8"/>
  <c r="D38" i="7"/>
  <c r="E51" i="7"/>
  <c r="D51" i="6"/>
  <c r="E47" i="13"/>
  <c r="D47" i="12"/>
  <c r="E41" i="12"/>
  <c r="D41" i="11"/>
  <c r="CD22" i="2"/>
  <c r="F23" i="2"/>
  <c r="J37" i="14"/>
  <c r="J39" i="15"/>
  <c r="E42" i="13"/>
  <c r="D42" i="12"/>
  <c r="J50" i="14"/>
  <c r="J49" i="13"/>
  <c r="E45" i="13"/>
  <c r="D45" i="12"/>
  <c r="W24" i="48"/>
  <c r="Q25" i="48"/>
  <c r="D40" i="12"/>
  <c r="E40" i="13"/>
  <c r="K23" i="48"/>
  <c r="C18" i="59" s="1"/>
  <c r="Y23" i="48"/>
  <c r="I18" i="59" s="1"/>
  <c r="S24" i="48"/>
  <c r="G18" i="59"/>
  <c r="AK23" i="48"/>
  <c r="E18" i="59" s="1"/>
  <c r="J48" i="19"/>
  <c r="J47" i="19"/>
  <c r="J46" i="18"/>
  <c r="AE21" i="48"/>
  <c r="K16" i="59" s="1"/>
  <c r="AC21" i="48"/>
  <c r="AA22" i="48"/>
  <c r="D40" i="11" l="1"/>
  <c r="E40" i="12"/>
  <c r="D46" i="10"/>
  <c r="E46" i="11"/>
  <c r="J41" i="17"/>
  <c r="J40" i="16"/>
  <c r="K57" i="17"/>
  <c r="K56" i="17"/>
  <c r="J51" i="17"/>
  <c r="Q26" i="48"/>
  <c r="W25" i="48"/>
  <c r="E42" i="12"/>
  <c r="D42" i="11"/>
  <c r="E47" i="12"/>
  <c r="D47" i="11"/>
  <c r="E43" i="13"/>
  <c r="D43" i="12"/>
  <c r="D44" i="43"/>
  <c r="E44" i="43" s="1"/>
  <c r="E44" i="4"/>
  <c r="J45" i="16"/>
  <c r="J44" i="16"/>
  <c r="J43" i="15"/>
  <c r="D45" i="11"/>
  <c r="E45" i="12"/>
  <c r="E51" i="6"/>
  <c r="D51" i="37"/>
  <c r="D39" i="13"/>
  <c r="E39" i="14"/>
  <c r="D52" i="14"/>
  <c r="D53" i="14" s="1"/>
  <c r="M34" i="14"/>
  <c r="M7" i="13"/>
  <c r="E49" i="13"/>
  <c r="D49" i="12"/>
  <c r="S25" i="48"/>
  <c r="AK24" i="48"/>
  <c r="E19" i="59" s="1"/>
  <c r="K24" i="48"/>
  <c r="C19" i="59" s="1"/>
  <c r="Y24" i="48"/>
  <c r="I19" i="59" s="1"/>
  <c r="G19" i="59"/>
  <c r="J39" i="14"/>
  <c r="J37" i="13"/>
  <c r="J57" i="43"/>
  <c r="J50" i="13"/>
  <c r="J49" i="12"/>
  <c r="CD23" i="2"/>
  <c r="F24" i="2"/>
  <c r="D38" i="6"/>
  <c r="E38" i="7"/>
  <c r="A30" i="1"/>
  <c r="A30" i="2"/>
  <c r="J56" i="11"/>
  <c r="D48" i="43"/>
  <c r="E48" i="43" s="1"/>
  <c r="E48" i="4"/>
  <c r="D41" i="10"/>
  <c r="E41" i="11"/>
  <c r="D50" i="13"/>
  <c r="E50" i="14"/>
  <c r="AC22" i="48"/>
  <c r="AE22" i="48"/>
  <c r="K17" i="59" s="1"/>
  <c r="AA23" i="48"/>
  <c r="J48" i="18"/>
  <c r="J47" i="18"/>
  <c r="J46" i="17"/>
  <c r="E38" i="6" l="1"/>
  <c r="D38" i="37"/>
  <c r="J39" i="13"/>
  <c r="J37" i="12"/>
  <c r="CD24" i="2"/>
  <c r="F25" i="2"/>
  <c r="M34" i="13"/>
  <c r="M7" i="12"/>
  <c r="E45" i="11"/>
  <c r="D45" i="10"/>
  <c r="E47" i="11"/>
  <c r="D47" i="10"/>
  <c r="J56" i="10"/>
  <c r="J43" i="14"/>
  <c r="J44" i="15"/>
  <c r="J41" i="16"/>
  <c r="J40" i="15"/>
  <c r="K57" i="16"/>
  <c r="K56" i="16"/>
  <c r="J51" i="16"/>
  <c r="J50" i="12"/>
  <c r="J49" i="11"/>
  <c r="E42" i="11"/>
  <c r="D42" i="10"/>
  <c r="E50" i="13"/>
  <c r="D50" i="12"/>
  <c r="E52" i="14"/>
  <c r="E53" i="14" s="1"/>
  <c r="A31" i="1"/>
  <c r="A31" i="2"/>
  <c r="E39" i="13"/>
  <c r="D39" i="12"/>
  <c r="D52" i="13"/>
  <c r="D53" i="13" s="1"/>
  <c r="E46" i="10"/>
  <c r="D46" i="9"/>
  <c r="K25" i="48"/>
  <c r="C20" i="59" s="1"/>
  <c r="Y25" i="48"/>
  <c r="I20" i="59" s="1"/>
  <c r="AK25" i="48"/>
  <c r="E20" i="59" s="1"/>
  <c r="S26" i="48"/>
  <c r="G20" i="59"/>
  <c r="D51" i="4"/>
  <c r="E51" i="37"/>
  <c r="W26" i="48"/>
  <c r="Q27" i="48"/>
  <c r="E41" i="10"/>
  <c r="D41" i="9"/>
  <c r="E49" i="12"/>
  <c r="D49" i="11"/>
  <c r="E43" i="12"/>
  <c r="D43" i="11"/>
  <c r="E40" i="11"/>
  <c r="D40" i="10"/>
  <c r="J48" i="17"/>
  <c r="J47" i="17"/>
  <c r="J46" i="16"/>
  <c r="AE23" i="48"/>
  <c r="K18" i="59" s="1"/>
  <c r="AC23" i="48"/>
  <c r="AA24" i="48"/>
  <c r="Q28" i="48" l="1"/>
  <c r="W27" i="48"/>
  <c r="J56" i="9"/>
  <c r="CD25" i="2"/>
  <c r="F26" i="2"/>
  <c r="E46" i="9"/>
  <c r="D46" i="8"/>
  <c r="D50" i="11"/>
  <c r="E50" i="12"/>
  <c r="A32" i="1"/>
  <c r="A32" i="2"/>
  <c r="E49" i="11"/>
  <c r="D49" i="10"/>
  <c r="D47" i="9"/>
  <c r="E47" i="10"/>
  <c r="J39" i="12"/>
  <c r="J37" i="11"/>
  <c r="E51" i="4"/>
  <c r="D51" i="43"/>
  <c r="E51" i="43" s="1"/>
  <c r="E42" i="10"/>
  <c r="D42" i="9"/>
  <c r="J41" i="15"/>
  <c r="J40" i="14"/>
  <c r="K57" i="15"/>
  <c r="K56" i="15"/>
  <c r="J51" i="15"/>
  <c r="D43" i="10"/>
  <c r="E43" i="11"/>
  <c r="E39" i="12"/>
  <c r="E52" i="12" s="1"/>
  <c r="E53" i="12" s="1"/>
  <c r="D39" i="11"/>
  <c r="D52" i="12"/>
  <c r="D53" i="12" s="1"/>
  <c r="D45" i="9"/>
  <c r="E45" i="10"/>
  <c r="D38" i="4"/>
  <c r="E38" i="37"/>
  <c r="Y26" i="48"/>
  <c r="I21" i="59" s="1"/>
  <c r="S27" i="48"/>
  <c r="G21" i="59"/>
  <c r="AK26" i="48"/>
  <c r="E21" i="59" s="1"/>
  <c r="K26" i="48"/>
  <c r="C21" i="59" s="1"/>
  <c r="E52" i="13"/>
  <c r="E53" i="13" s="1"/>
  <c r="J50" i="11"/>
  <c r="J49" i="10"/>
  <c r="J45" i="15"/>
  <c r="J44" i="14"/>
  <c r="J43" i="13"/>
  <c r="D40" i="9"/>
  <c r="E40" i="10"/>
  <c r="E41" i="9"/>
  <c r="D41" i="8"/>
  <c r="M34" i="12"/>
  <c r="M7" i="11"/>
  <c r="AE24" i="48"/>
  <c r="K19" i="59" s="1"/>
  <c r="AC24" i="48"/>
  <c r="AA25" i="48"/>
  <c r="J48" i="16"/>
  <c r="J47" i="16"/>
  <c r="J46" i="15"/>
  <c r="J41" i="14" l="1"/>
  <c r="J40" i="13"/>
  <c r="K57" i="14"/>
  <c r="K56" i="14"/>
  <c r="J51" i="14"/>
  <c r="E46" i="8"/>
  <c r="D46" i="7"/>
  <c r="K27" i="48"/>
  <c r="C22" i="59" s="1"/>
  <c r="Y27" i="48"/>
  <c r="I22" i="59" s="1"/>
  <c r="AK27" i="48"/>
  <c r="E22" i="59" s="1"/>
  <c r="S28" i="48"/>
  <c r="G22" i="59"/>
  <c r="D39" i="10"/>
  <c r="E39" i="11"/>
  <c r="D52" i="11"/>
  <c r="D53" i="11" s="1"/>
  <c r="D47" i="8"/>
  <c r="E47" i="9"/>
  <c r="J49" i="9"/>
  <c r="J50" i="10"/>
  <c r="E42" i="9"/>
  <c r="D42" i="8"/>
  <c r="E49" i="10"/>
  <c r="D49" i="9"/>
  <c r="CD26" i="2"/>
  <c r="F27" i="2"/>
  <c r="E43" i="10"/>
  <c r="D43" i="9"/>
  <c r="J56" i="8"/>
  <c r="D40" i="8"/>
  <c r="E40" i="9"/>
  <c r="E38" i="4"/>
  <c r="D38" i="43"/>
  <c r="A33" i="1"/>
  <c r="A33" i="2"/>
  <c r="M34" i="11"/>
  <c r="M7" i="10"/>
  <c r="E41" i="8"/>
  <c r="D41" i="7"/>
  <c r="J44" i="13"/>
  <c r="J45" i="13"/>
  <c r="J43" i="12"/>
  <c r="J37" i="10"/>
  <c r="J39" i="11"/>
  <c r="J45" i="14"/>
  <c r="D45" i="8"/>
  <c r="E45" i="9"/>
  <c r="E50" i="11"/>
  <c r="D50" i="10"/>
  <c r="W28" i="48"/>
  <c r="Q29" i="48"/>
  <c r="J47" i="15"/>
  <c r="J48" i="15"/>
  <c r="J46" i="14"/>
  <c r="AE25" i="48"/>
  <c r="K20" i="59" s="1"/>
  <c r="AC25" i="48"/>
  <c r="AA26" i="48"/>
  <c r="M7" i="9" l="1"/>
  <c r="M34" i="10"/>
  <c r="D40" i="7"/>
  <c r="E40" i="8"/>
  <c r="E49" i="9"/>
  <c r="D49" i="8"/>
  <c r="D47" i="7"/>
  <c r="E47" i="8"/>
  <c r="J56" i="7"/>
  <c r="D46" i="6"/>
  <c r="E46" i="7"/>
  <c r="Q30" i="48"/>
  <c r="W29" i="48"/>
  <c r="J39" i="10"/>
  <c r="J37" i="9"/>
  <c r="D42" i="7"/>
  <c r="E42" i="8"/>
  <c r="E52" i="11"/>
  <c r="E53" i="11" s="1"/>
  <c r="J44" i="12"/>
  <c r="J43" i="11"/>
  <c r="A34" i="1"/>
  <c r="A34" i="2"/>
  <c r="E43" i="9"/>
  <c r="D43" i="8"/>
  <c r="E39" i="10"/>
  <c r="D39" i="9"/>
  <c r="D52" i="10"/>
  <c r="D53" i="10" s="1"/>
  <c r="E50" i="10"/>
  <c r="D50" i="9"/>
  <c r="E38" i="43"/>
  <c r="Y28" i="48"/>
  <c r="I23" i="59" s="1"/>
  <c r="S29" i="48"/>
  <c r="AK28" i="48"/>
  <c r="E23" i="59" s="1"/>
  <c r="G23" i="59"/>
  <c r="K28" i="48"/>
  <c r="C23" i="59" s="1"/>
  <c r="D41" i="6"/>
  <c r="E41" i="7"/>
  <c r="CD27" i="2"/>
  <c r="F28" i="2"/>
  <c r="J49" i="8"/>
  <c r="J50" i="9"/>
  <c r="J41" i="13"/>
  <c r="J40" i="12"/>
  <c r="K57" i="13"/>
  <c r="K56" i="13"/>
  <c r="J51" i="13"/>
  <c r="D45" i="7"/>
  <c r="E45" i="8"/>
  <c r="AC26" i="48"/>
  <c r="AE26" i="48"/>
  <c r="K21" i="59" s="1"/>
  <c r="AA27" i="48"/>
  <c r="J47" i="14"/>
  <c r="J48" i="14"/>
  <c r="J46" i="13"/>
  <c r="E41" i="6" l="1"/>
  <c r="D41" i="37"/>
  <c r="E50" i="9"/>
  <c r="D50" i="8"/>
  <c r="A35" i="1"/>
  <c r="A35" i="2"/>
  <c r="E47" i="7"/>
  <c r="D47" i="6"/>
  <c r="J39" i="9"/>
  <c r="J37" i="8"/>
  <c r="J44" i="11"/>
  <c r="J43" i="10"/>
  <c r="E49" i="8"/>
  <c r="D49" i="7"/>
  <c r="J41" i="12"/>
  <c r="J40" i="11"/>
  <c r="J45" i="11" s="1"/>
  <c r="K57" i="12"/>
  <c r="K56" i="12"/>
  <c r="J51" i="12"/>
  <c r="J45" i="12"/>
  <c r="W30" i="48"/>
  <c r="Q31" i="48"/>
  <c r="E45" i="7"/>
  <c r="D45" i="6"/>
  <c r="J49" i="7"/>
  <c r="J50" i="8"/>
  <c r="E39" i="9"/>
  <c r="E52" i="9" s="1"/>
  <c r="E53" i="9" s="1"/>
  <c r="D39" i="8"/>
  <c r="D52" i="9"/>
  <c r="D53" i="9" s="1"/>
  <c r="CD28" i="2"/>
  <c r="F29" i="2"/>
  <c r="K29" i="48"/>
  <c r="C24" i="59" s="1"/>
  <c r="Y29" i="48"/>
  <c r="I24" i="59" s="1"/>
  <c r="G24" i="59"/>
  <c r="AK29" i="48"/>
  <c r="E24" i="59" s="1"/>
  <c r="S30" i="48"/>
  <c r="E52" i="10"/>
  <c r="E53" i="10" s="1"/>
  <c r="E46" i="6"/>
  <c r="D46" i="37"/>
  <c r="E40" i="7"/>
  <c r="D40" i="6"/>
  <c r="E43" i="8"/>
  <c r="D43" i="7"/>
  <c r="E42" i="7"/>
  <c r="D42" i="6"/>
  <c r="J56" i="6"/>
  <c r="M34" i="9"/>
  <c r="M7" i="8"/>
  <c r="J48" i="13"/>
  <c r="J47" i="13"/>
  <c r="J46" i="12"/>
  <c r="AE27" i="48"/>
  <c r="K22" i="59" s="1"/>
  <c r="AC27" i="48"/>
  <c r="AA28" i="48"/>
  <c r="E42" i="6" l="1"/>
  <c r="D42" i="37"/>
  <c r="E47" i="6"/>
  <c r="D47" i="37"/>
  <c r="Q32" i="48"/>
  <c r="W31" i="48"/>
  <c r="D49" i="6"/>
  <c r="E49" i="7"/>
  <c r="Y30" i="48"/>
  <c r="I25" i="59" s="1"/>
  <c r="S31" i="48"/>
  <c r="AK30" i="48"/>
  <c r="E25" i="59" s="1"/>
  <c r="G25" i="59"/>
  <c r="K30" i="48"/>
  <c r="C25" i="59" s="1"/>
  <c r="E39" i="8"/>
  <c r="E52" i="8" s="1"/>
  <c r="E53" i="8" s="1"/>
  <c r="D39" i="7"/>
  <c r="D52" i="8"/>
  <c r="D53" i="8" s="1"/>
  <c r="J44" i="10"/>
  <c r="J43" i="9"/>
  <c r="A36" i="1"/>
  <c r="A36" i="2"/>
  <c r="D43" i="6"/>
  <c r="E43" i="7"/>
  <c r="M34" i="8"/>
  <c r="M7" i="7"/>
  <c r="E50" i="8"/>
  <c r="D50" i="7"/>
  <c r="E40" i="6"/>
  <c r="D40" i="37"/>
  <c r="J56" i="37"/>
  <c r="J50" i="7"/>
  <c r="J49" i="6"/>
  <c r="J39" i="8"/>
  <c r="J37" i="7"/>
  <c r="E41" i="37"/>
  <c r="D41" i="4"/>
  <c r="E46" i="37"/>
  <c r="D46" i="4"/>
  <c r="CD29" i="2"/>
  <c r="F30" i="2"/>
  <c r="D45" i="37"/>
  <c r="E45" i="6"/>
  <c r="J41" i="11"/>
  <c r="J40" i="10"/>
  <c r="K57" i="11"/>
  <c r="K56" i="11"/>
  <c r="J51" i="11"/>
  <c r="AE28" i="48"/>
  <c r="K23" i="59" s="1"/>
  <c r="AC28" i="48"/>
  <c r="AA29" i="48"/>
  <c r="J47" i="12"/>
  <c r="J48" i="12"/>
  <c r="J46" i="11"/>
  <c r="D39" i="6" l="1"/>
  <c r="E39" i="7"/>
  <c r="D52" i="7"/>
  <c r="D53" i="7" s="1"/>
  <c r="J41" i="10"/>
  <c r="J40" i="9"/>
  <c r="K57" i="10"/>
  <c r="K56" i="10"/>
  <c r="J51" i="10"/>
  <c r="D41" i="43"/>
  <c r="E41" i="43" s="1"/>
  <c r="E41" i="4"/>
  <c r="E43" i="6"/>
  <c r="D43" i="37"/>
  <c r="D40" i="4"/>
  <c r="E40" i="37"/>
  <c r="W32" i="48"/>
  <c r="Q33" i="48"/>
  <c r="E49" i="6"/>
  <c r="D49" i="37"/>
  <c r="J39" i="7"/>
  <c r="J37" i="6"/>
  <c r="A37" i="1"/>
  <c r="A37" i="2"/>
  <c r="E47" i="37"/>
  <c r="D47" i="4"/>
  <c r="D46" i="43"/>
  <c r="E46" i="43" s="1"/>
  <c r="E46" i="4"/>
  <c r="D45" i="4"/>
  <c r="E45" i="37"/>
  <c r="D50" i="6"/>
  <c r="E50" i="7"/>
  <c r="J44" i="9"/>
  <c r="J45" i="9"/>
  <c r="J43" i="8"/>
  <c r="CD30" i="2"/>
  <c r="F31" i="2"/>
  <c r="J45" i="10"/>
  <c r="AK31" i="48"/>
  <c r="E26" i="59" s="1"/>
  <c r="K31" i="48"/>
  <c r="C26" i="59" s="1"/>
  <c r="Y31" i="48"/>
  <c r="I26" i="59" s="1"/>
  <c r="S32" i="48"/>
  <c r="G26" i="59"/>
  <c r="E42" i="37"/>
  <c r="D42" i="4"/>
  <c r="J56" i="4"/>
  <c r="J50" i="6"/>
  <c r="J49" i="37"/>
  <c r="M34" i="7"/>
  <c r="M7" i="6"/>
  <c r="J48" i="11"/>
  <c r="J47" i="11"/>
  <c r="J46" i="10"/>
  <c r="AE29" i="48"/>
  <c r="K24" i="59" s="1"/>
  <c r="AC29" i="48"/>
  <c r="AA30" i="48"/>
  <c r="W33" i="48" l="1"/>
  <c r="Q34" i="48"/>
  <c r="J50" i="37"/>
  <c r="J49" i="4"/>
  <c r="J56" i="43"/>
  <c r="E50" i="6"/>
  <c r="D50" i="37"/>
  <c r="A38" i="1"/>
  <c r="A38" i="2"/>
  <c r="D40" i="43"/>
  <c r="E40" i="43" s="1"/>
  <c r="E40" i="4"/>
  <c r="J41" i="9"/>
  <c r="J40" i="8"/>
  <c r="K57" i="9"/>
  <c r="K56" i="9"/>
  <c r="J51" i="9"/>
  <c r="G27" i="59"/>
  <c r="Y32" i="48"/>
  <c r="I27" i="59" s="1"/>
  <c r="S33" i="48"/>
  <c r="AK32" i="48"/>
  <c r="E27" i="59" s="1"/>
  <c r="K32" i="48"/>
  <c r="C27" i="59" s="1"/>
  <c r="J39" i="6"/>
  <c r="J37" i="37"/>
  <c r="E43" i="37"/>
  <c r="D43" i="4"/>
  <c r="D47" i="43"/>
  <c r="E47" i="43" s="1"/>
  <c r="E47" i="4"/>
  <c r="D42" i="43"/>
  <c r="E42" i="43" s="1"/>
  <c r="E42" i="4"/>
  <c r="CD31" i="2"/>
  <c r="F32" i="2"/>
  <c r="D45" i="43"/>
  <c r="E45" i="43" s="1"/>
  <c r="E45" i="4"/>
  <c r="M34" i="6"/>
  <c r="M7" i="37"/>
  <c r="E49" i="37"/>
  <c r="D49" i="4"/>
  <c r="E52" i="7"/>
  <c r="E53" i="7" s="1"/>
  <c r="J44" i="8"/>
  <c r="J45" i="8"/>
  <c r="J43" i="7"/>
  <c r="E39" i="6"/>
  <c r="D39" i="37"/>
  <c r="D52" i="6"/>
  <c r="D53" i="6" s="1"/>
  <c r="AC30" i="48"/>
  <c r="AE30" i="48"/>
  <c r="K25" i="59" s="1"/>
  <c r="AA31" i="48"/>
  <c r="J48" i="10"/>
  <c r="J47" i="10"/>
  <c r="J46" i="9"/>
  <c r="E49" i="4" l="1"/>
  <c r="D49" i="43"/>
  <c r="E49" i="43" s="1"/>
  <c r="J41" i="8"/>
  <c r="J40" i="7"/>
  <c r="K57" i="8"/>
  <c r="K56" i="8"/>
  <c r="J51" i="8"/>
  <c r="Z155" i="58"/>
  <c r="Z155" i="46"/>
  <c r="E39" i="37"/>
  <c r="D39" i="4"/>
  <c r="D52" i="37"/>
  <c r="D53" i="37" s="1"/>
  <c r="M7" i="4"/>
  <c r="M34" i="37"/>
  <c r="S34" i="48"/>
  <c r="AK33" i="48"/>
  <c r="E28" i="59" s="1"/>
  <c r="K33" i="48"/>
  <c r="C28" i="59" s="1"/>
  <c r="G28" i="59"/>
  <c r="Y33" i="48"/>
  <c r="I28" i="59" s="1"/>
  <c r="E52" i="6"/>
  <c r="E53" i="6" s="1"/>
  <c r="J50" i="4"/>
  <c r="J49" i="43"/>
  <c r="J44" i="7"/>
  <c r="J45" i="7"/>
  <c r="J43" i="6"/>
  <c r="E43" i="4"/>
  <c r="D43" i="43"/>
  <c r="E43" i="43" s="1"/>
  <c r="A39" i="1"/>
  <c r="A40" i="2" s="1"/>
  <c r="A39" i="2"/>
  <c r="W34" i="48"/>
  <c r="Q35" i="48"/>
  <c r="CD32" i="2"/>
  <c r="F33" i="2"/>
  <c r="J39" i="37"/>
  <c r="J37" i="4"/>
  <c r="E50" i="37"/>
  <c r="D50" i="4"/>
  <c r="J48" i="9"/>
  <c r="J47" i="9"/>
  <c r="J46" i="8"/>
  <c r="AE31" i="48"/>
  <c r="K26" i="59" s="1"/>
  <c r="AC31" i="48"/>
  <c r="AA32" i="48"/>
  <c r="D50" i="43" l="1"/>
  <c r="E50" i="43" s="1"/>
  <c r="E50" i="4"/>
  <c r="M34" i="4"/>
  <c r="M7" i="43"/>
  <c r="M34" i="43" s="1"/>
  <c r="D39" i="43"/>
  <c r="E39" i="4"/>
  <c r="E52" i="4" s="1"/>
  <c r="E53" i="4" s="1"/>
  <c r="D52" i="4"/>
  <c r="D53" i="4" s="1"/>
  <c r="CD33" i="2"/>
  <c r="F34" i="2"/>
  <c r="J44" i="6"/>
  <c r="J43" i="37"/>
  <c r="E52" i="37"/>
  <c r="E53" i="37" s="1"/>
  <c r="J41" i="7"/>
  <c r="J40" i="6"/>
  <c r="K57" i="7"/>
  <c r="K56" i="7"/>
  <c r="J51" i="7"/>
  <c r="J50" i="43"/>
  <c r="J39" i="4"/>
  <c r="J37" i="43"/>
  <c r="J39" i="43" s="1"/>
  <c r="W35" i="48"/>
  <c r="Q36" i="48"/>
  <c r="K34" i="48"/>
  <c r="C29" i="59" s="1"/>
  <c r="Y34" i="48"/>
  <c r="I29" i="59" s="1"/>
  <c r="S35" i="48"/>
  <c r="AK34" i="48"/>
  <c r="E29" i="59" s="1"/>
  <c r="G29" i="59"/>
  <c r="AE32" i="48"/>
  <c r="K27" i="59" s="1"/>
  <c r="AC32" i="48"/>
  <c r="AA33" i="48"/>
  <c r="J47" i="8"/>
  <c r="J48" i="8"/>
  <c r="J46" i="7"/>
  <c r="J41" i="6" l="1"/>
  <c r="J40" i="37"/>
  <c r="K57" i="6"/>
  <c r="K56" i="6"/>
  <c r="J51" i="6"/>
  <c r="W36" i="48"/>
  <c r="Q37" i="48"/>
  <c r="E39" i="43"/>
  <c r="E52" i="43" s="1"/>
  <c r="E53" i="43" s="1"/>
  <c r="D52" i="43"/>
  <c r="D53" i="43" s="1"/>
  <c r="J44" i="37"/>
  <c r="J45" i="37"/>
  <c r="J43" i="4"/>
  <c r="W155" i="46"/>
  <c r="W155" i="58"/>
  <c r="S36" i="48"/>
  <c r="AK35" i="48"/>
  <c r="E30" i="59" s="1"/>
  <c r="K35" i="48"/>
  <c r="C30" i="59" s="1"/>
  <c r="G30" i="59"/>
  <c r="Y35" i="48"/>
  <c r="I30" i="59" s="1"/>
  <c r="J45" i="6"/>
  <c r="CD34" i="2"/>
  <c r="F35" i="2"/>
  <c r="J47" i="7"/>
  <c r="J48" i="7"/>
  <c r="J46" i="6"/>
  <c r="AE33" i="48"/>
  <c r="K28" i="59" s="1"/>
  <c r="AC33" i="48"/>
  <c r="AA34" i="48"/>
  <c r="W37" i="48" l="1"/>
  <c r="Q38" i="48"/>
  <c r="CD35" i="2"/>
  <c r="F36" i="2"/>
  <c r="J44" i="4"/>
  <c r="J43" i="43"/>
  <c r="K36" i="48"/>
  <c r="C31" i="59" s="1"/>
  <c r="Y36" i="48"/>
  <c r="I31" i="59" s="1"/>
  <c r="G31" i="59"/>
  <c r="S37" i="48"/>
  <c r="AK36" i="48"/>
  <c r="E31" i="59" s="1"/>
  <c r="J41" i="37"/>
  <c r="J40" i="4"/>
  <c r="J45" i="4" s="1"/>
  <c r="K57" i="37"/>
  <c r="K56" i="37"/>
  <c r="J51" i="37"/>
  <c r="AE34" i="48"/>
  <c r="K29" i="59" s="1"/>
  <c r="AC34" i="48"/>
  <c r="AA35" i="48"/>
  <c r="J48" i="6"/>
  <c r="J47" i="6"/>
  <c r="J46" i="37"/>
  <c r="J44" i="43" l="1"/>
  <c r="J41" i="4"/>
  <c r="J40" i="43"/>
  <c r="K57" i="4"/>
  <c r="K56" i="4"/>
  <c r="J51" i="4"/>
  <c r="CD36" i="2"/>
  <c r="F37" i="2"/>
  <c r="S38" i="48"/>
  <c r="AK37" i="48"/>
  <c r="E32" i="59" s="1"/>
  <c r="G32" i="59"/>
  <c r="K37" i="48"/>
  <c r="C32" i="59" s="1"/>
  <c r="Y37" i="48"/>
  <c r="I32" i="59" s="1"/>
  <c r="Q39" i="48"/>
  <c r="W39" i="48" s="1"/>
  <c r="W38" i="48"/>
  <c r="J47" i="37"/>
  <c r="J48" i="37"/>
  <c r="J46" i="4"/>
  <c r="AE35" i="48"/>
  <c r="K30" i="59" s="1"/>
  <c r="AC35" i="48"/>
  <c r="AA36" i="48"/>
  <c r="J41" i="43" l="1"/>
  <c r="K57" i="43"/>
  <c r="K56" i="43"/>
  <c r="J51" i="43"/>
  <c r="AK38" i="48"/>
  <c r="E33" i="59" s="1"/>
  <c r="K38" i="48"/>
  <c r="C33" i="59" s="1"/>
  <c r="G33" i="59"/>
  <c r="Y38" i="48"/>
  <c r="I33" i="59" s="1"/>
  <c r="S39" i="48"/>
  <c r="CD37" i="2"/>
  <c r="F38" i="2"/>
  <c r="J45" i="43"/>
  <c r="AC36" i="48"/>
  <c r="AE36" i="48"/>
  <c r="K31" i="59" s="1"/>
  <c r="AA37" i="48"/>
  <c r="J48" i="4"/>
  <c r="J47" i="4"/>
  <c r="J46" i="43"/>
  <c r="CD38" i="2" l="1"/>
  <c r="F39" i="2"/>
  <c r="Y39" i="48"/>
  <c r="I34" i="59" s="1"/>
  <c r="H36" i="59" s="1"/>
  <c r="G34" i="59"/>
  <c r="F36" i="59" s="1"/>
  <c r="AK39" i="48"/>
  <c r="E34" i="59" s="1"/>
  <c r="D36" i="59" s="1"/>
  <c r="K39" i="48"/>
  <c r="C34" i="59" s="1"/>
  <c r="B36" i="59" s="1"/>
  <c r="J47" i="43"/>
  <c r="J48" i="43"/>
  <c r="AE37" i="48"/>
  <c r="K32" i="59" s="1"/>
  <c r="AC37" i="48"/>
  <c r="AA38" i="48"/>
  <c r="CD39" i="2" l="1"/>
  <c r="F40" i="2"/>
  <c r="CD40" i="2" s="1"/>
  <c r="AE38" i="48"/>
  <c r="K33" i="59" s="1"/>
  <c r="AC38" i="48"/>
  <c r="AA39" i="48"/>
  <c r="AE39" i="48" l="1"/>
  <c r="K34" i="59" s="1"/>
  <c r="J36" i="59" s="1"/>
  <c r="AC39" i="48"/>
  <c r="X16" i="59" l="1"/>
  <c r="X10" i="59"/>
  <c r="X12" i="59"/>
  <c r="X26" i="59"/>
  <c r="X6" i="59"/>
  <c r="X21" i="59"/>
  <c r="X13" i="59"/>
  <c r="X8" i="59"/>
  <c r="X20" i="59"/>
  <c r="X11" i="59"/>
  <c r="X18" i="59"/>
  <c r="X29" i="59"/>
  <c r="X34" i="59"/>
  <c r="X14" i="59" l="1"/>
  <c r="X24" i="59"/>
  <c r="X5" i="59"/>
  <c r="X32" i="59" l="1"/>
  <c r="X22" i="59"/>
  <c r="X7" i="59"/>
  <c r="X17" i="59"/>
  <c r="V20" i="59"/>
  <c r="V16" i="59"/>
  <c r="X30" i="59"/>
  <c r="V33" i="59"/>
  <c r="V34" i="59"/>
  <c r="X23" i="59"/>
  <c r="X31" i="59"/>
  <c r="X28" i="59"/>
  <c r="X4" i="59"/>
  <c r="X19" i="59"/>
  <c r="V18" i="59"/>
  <c r="X25" i="59"/>
  <c r="X15" i="59"/>
  <c r="X9" i="59"/>
  <c r="X27" i="59"/>
  <c r="V32" i="59"/>
  <c r="X33" i="59"/>
  <c r="V5" i="59"/>
  <c r="V28" i="59" l="1"/>
  <c r="V25" i="59"/>
  <c r="V30" i="59"/>
  <c r="V8" i="59"/>
  <c r="V9" i="59"/>
  <c r="V27" i="59"/>
  <c r="Y4" i="59"/>
  <c r="V15" i="59"/>
  <c r="V19" i="59"/>
  <c r="V10" i="59"/>
  <c r="V11" i="59"/>
  <c r="V23" i="59"/>
  <c r="V26" i="59"/>
  <c r="V21" i="59"/>
  <c r="V31" i="59"/>
  <c r="V29" i="59"/>
  <c r="V4" i="59"/>
  <c r="V7" i="59"/>
  <c r="V17" i="59"/>
  <c r="V13" i="59"/>
  <c r="V12" i="59"/>
  <c r="V14" i="59"/>
  <c r="V24" i="59"/>
  <c r="V22" i="59"/>
  <c r="V6" i="59"/>
  <c r="Y5" i="59" l="1"/>
  <c r="W4" i="59"/>
  <c r="Y6" i="59" l="1"/>
  <c r="W5" i="59"/>
  <c r="Y7" i="59" l="1"/>
  <c r="W6" i="59"/>
  <c r="W7" i="59" l="1"/>
  <c r="Y8" i="59"/>
  <c r="W8" i="59" l="1"/>
  <c r="Y9" i="59"/>
  <c r="Y10" i="59" l="1"/>
  <c r="W9" i="59"/>
  <c r="Y11" i="59" l="1"/>
  <c r="W10" i="59"/>
  <c r="Y12" i="59" l="1"/>
  <c r="W11" i="59"/>
  <c r="Y13" i="59" l="1"/>
  <c r="W12" i="59"/>
  <c r="W13" i="59" l="1"/>
  <c r="Y14" i="59"/>
  <c r="W14" i="59" l="1"/>
  <c r="Y15" i="59"/>
  <c r="W15" i="59" l="1"/>
  <c r="Y16" i="59"/>
  <c r="W16" i="59" l="1"/>
  <c r="Y17" i="59"/>
  <c r="W17" i="59" l="1"/>
  <c r="Y18" i="59"/>
  <c r="W18" i="59" l="1"/>
  <c r="Y19" i="59"/>
  <c r="Y20" i="59" l="1"/>
  <c r="W19" i="59"/>
  <c r="Y21" i="59" l="1"/>
  <c r="W20" i="59"/>
  <c r="Y22" i="59" l="1"/>
  <c r="W21" i="59"/>
  <c r="Y23" i="59" l="1"/>
  <c r="W22" i="59"/>
  <c r="Y24" i="59" l="1"/>
  <c r="W23" i="59"/>
  <c r="Y25" i="59" l="1"/>
  <c r="W24" i="59"/>
  <c r="W25" i="59" l="1"/>
  <c r="Y26" i="59"/>
  <c r="W26" i="59" l="1"/>
  <c r="Y27" i="59"/>
  <c r="W27" i="59" l="1"/>
  <c r="Y28" i="59"/>
  <c r="W28" i="59" l="1"/>
  <c r="Y29" i="59"/>
  <c r="W29" i="59" l="1"/>
  <c r="Y30" i="59"/>
  <c r="W30" i="59" l="1"/>
  <c r="Y31" i="59"/>
  <c r="Y32" i="59" l="1"/>
  <c r="W31" i="59"/>
  <c r="W32" i="59" l="1"/>
  <c r="Y33" i="59"/>
  <c r="W33" i="59" l="1"/>
  <c r="Y34" i="59"/>
  <c r="X36" i="59" s="1"/>
  <c r="W34" i="59" l="1"/>
  <c r="V36" i="59" s="1"/>
  <c r="BB33" i="59" l="1"/>
  <c r="BD33" i="59"/>
  <c r="AZ33" i="59"/>
  <c r="AZ12" i="59" l="1"/>
  <c r="BD12" i="59"/>
  <c r="BB12" i="59"/>
  <c r="AZ28" i="59" l="1"/>
  <c r="BD32" i="59"/>
  <c r="BB32" i="59"/>
  <c r="AZ32" i="59"/>
  <c r="BB28" i="59"/>
  <c r="BD28" i="59"/>
  <c r="BD30" i="59"/>
  <c r="BD13" i="59"/>
  <c r="BD14" i="59"/>
  <c r="BD18" i="59"/>
  <c r="BD29" i="59"/>
  <c r="BD27" i="59"/>
  <c r="BD10" i="59"/>
  <c r="BD20" i="59"/>
  <c r="BD19" i="59"/>
  <c r="BD17" i="59"/>
  <c r="BD22" i="59"/>
  <c r="BD25" i="59"/>
  <c r="BD23" i="59"/>
  <c r="BD24" i="59"/>
  <c r="BD11" i="59"/>
  <c r="BD15" i="59"/>
  <c r="BD16" i="59"/>
  <c r="BD21" i="59"/>
  <c r="BD7" i="59"/>
  <c r="AZ24" i="59"/>
  <c r="BB24" i="59"/>
  <c r="AZ27" i="59"/>
  <c r="BB10" i="59"/>
  <c r="AZ10" i="59"/>
  <c r="BB27" i="59"/>
  <c r="BB7" i="59"/>
  <c r="AZ7" i="59"/>
  <c r="BB20" i="59"/>
  <c r="AZ20" i="59"/>
  <c r="AZ23" i="59"/>
  <c r="BB23" i="59"/>
  <c r="BB25" i="59"/>
  <c r="AZ25" i="59"/>
  <c r="BB30" i="59"/>
  <c r="AZ30" i="59"/>
  <c r="BB29" i="59"/>
  <c r="AZ29" i="59"/>
  <c r="BB22" i="59"/>
  <c r="AZ22" i="59"/>
  <c r="BB21" i="59"/>
  <c r="AZ21" i="59"/>
  <c r="BB19" i="59"/>
  <c r="AZ19" i="59"/>
  <c r="AZ18" i="59"/>
  <c r="BB18" i="59"/>
  <c r="BB17" i="59"/>
  <c r="AZ17" i="59"/>
  <c r="BB16" i="59"/>
  <c r="AZ16" i="59"/>
  <c r="BB15" i="59"/>
  <c r="AZ15" i="59"/>
  <c r="BB14" i="59"/>
  <c r="AZ14" i="59"/>
  <c r="BB13" i="59"/>
  <c r="AZ13" i="59"/>
  <c r="AZ11" i="59"/>
  <c r="BB11" i="59"/>
  <c r="BD34" i="59" l="1"/>
  <c r="AZ34" i="59"/>
  <c r="BB34" i="59"/>
  <c r="BD4" i="59"/>
  <c r="BD9" i="59"/>
  <c r="BD31" i="59"/>
  <c r="BD8" i="59"/>
  <c r="BE4" i="59"/>
  <c r="BB4" i="59"/>
  <c r="AZ4" i="59"/>
  <c r="AZ31" i="59"/>
  <c r="BB31" i="59"/>
  <c r="BB9" i="59"/>
  <c r="AZ9" i="59"/>
  <c r="AZ8" i="59"/>
  <c r="BB8" i="59"/>
  <c r="BD5" i="59" l="1"/>
  <c r="AZ5" i="59"/>
  <c r="BB5" i="59"/>
  <c r="BC4" i="59"/>
  <c r="BA4" i="59"/>
  <c r="BD6" i="59" l="1"/>
  <c r="BD26" i="59"/>
  <c r="AZ26" i="59"/>
  <c r="BB26" i="59"/>
  <c r="BE5" i="59"/>
  <c r="AZ6" i="59"/>
  <c r="BB6" i="59"/>
  <c r="BA5" i="59" l="1"/>
  <c r="BC5" i="59"/>
  <c r="BE6" i="59"/>
  <c r="BC6" i="59" l="1"/>
  <c r="BE7" i="59"/>
  <c r="BA6" i="59"/>
  <c r="BA7" i="59" l="1"/>
  <c r="BC7" i="59"/>
  <c r="BE8" i="59"/>
  <c r="BC8" i="59" l="1"/>
  <c r="BE9" i="59"/>
  <c r="BA8" i="59"/>
  <c r="BC9" i="59" l="1"/>
  <c r="BA9" i="59"/>
  <c r="BE10" i="59"/>
  <c r="BE11" i="59" l="1"/>
  <c r="BA10" i="59"/>
  <c r="BC10" i="59"/>
  <c r="BE12" i="59"/>
  <c r="BA11" i="59" l="1"/>
  <c r="BC11" i="59"/>
  <c r="BC12" i="59"/>
  <c r="BA12" i="59"/>
  <c r="BE13" i="59"/>
  <c r="BE14" i="59" l="1"/>
  <c r="BC13" i="59"/>
  <c r="BA13" i="59"/>
  <c r="BC14" i="59" l="1"/>
  <c r="BA14" i="59"/>
  <c r="BE15" i="59"/>
  <c r="BE16" i="59" l="1"/>
  <c r="BA15" i="59"/>
  <c r="BC15" i="59"/>
  <c r="BC16" i="59" l="1"/>
  <c r="BE17" i="59"/>
  <c r="BA16" i="59"/>
  <c r="BE18" i="59" l="1"/>
  <c r="BA17" i="59"/>
  <c r="BC17" i="59"/>
  <c r="BE19" i="59" l="1"/>
  <c r="BC18" i="59"/>
  <c r="BA18" i="59"/>
  <c r="BE20" i="59" l="1"/>
  <c r="BC19" i="59"/>
  <c r="BA19" i="59"/>
  <c r="BE21" i="59" l="1"/>
  <c r="BC20" i="59"/>
  <c r="BA20" i="59"/>
  <c r="BC21" i="59" l="1"/>
  <c r="BA21" i="59"/>
  <c r="BE22" i="59"/>
  <c r="BE23" i="59" l="1"/>
  <c r="BA22" i="59"/>
  <c r="BC22" i="59"/>
  <c r="BC23" i="59" l="1"/>
  <c r="BE24" i="59"/>
  <c r="BA23" i="59"/>
  <c r="BE25" i="59" l="1"/>
  <c r="BA24" i="59"/>
  <c r="BC24" i="59"/>
  <c r="BC25" i="59" l="1"/>
  <c r="BA25" i="59"/>
  <c r="BE26" i="59"/>
  <c r="BC26" i="59" l="1"/>
  <c r="BA26" i="59"/>
  <c r="BE27" i="59" l="1"/>
  <c r="BC27" i="59"/>
  <c r="BA27" i="59"/>
  <c r="BA28" i="59" l="1"/>
  <c r="BA29" i="59"/>
  <c r="BC28" i="59"/>
  <c r="BE29" i="59"/>
  <c r="BE28" i="59"/>
  <c r="BE31" i="59" l="1"/>
  <c r="BC29" i="59"/>
  <c r="BE30" i="59"/>
  <c r="BA30" i="59"/>
  <c r="BC30" i="59"/>
  <c r="BE32" i="59"/>
  <c r="BA31" i="59"/>
  <c r="BC31" i="59"/>
  <c r="BC32" i="59" l="1"/>
  <c r="BE33" i="59"/>
  <c r="BA32" i="59"/>
  <c r="BE34" i="59" l="1"/>
  <c r="BD36" i="59" s="1"/>
  <c r="BC33" i="59"/>
  <c r="BA33" i="59"/>
  <c r="BC34" i="59" l="1"/>
  <c r="BB36" i="59" s="1"/>
  <c r="BA34" i="59"/>
  <c r="AZ36" i="59" s="1"/>
  <c r="AT26" i="59" l="1"/>
  <c r="AT10" i="59"/>
  <c r="AT18" i="59"/>
  <c r="AT20" i="59"/>
  <c r="AT29" i="59"/>
  <c r="AT17" i="59"/>
  <c r="AT6" i="59"/>
  <c r="AT4" i="59"/>
  <c r="AT14" i="59"/>
  <c r="AT32" i="59"/>
  <c r="AT11" i="59"/>
  <c r="AT7" i="59"/>
  <c r="AT33" i="59"/>
  <c r="AT15" i="59"/>
  <c r="AT31" i="59"/>
  <c r="AT16" i="59"/>
  <c r="AT13" i="59"/>
  <c r="AT5" i="59"/>
  <c r="AT8" i="59"/>
  <c r="AT28" i="59"/>
  <c r="AT12" i="59"/>
  <c r="AT30" i="59"/>
  <c r="AT27" i="59"/>
  <c r="AT21" i="59" l="1"/>
  <c r="AT22" i="59"/>
  <c r="AT23" i="59"/>
  <c r="AT19" i="59"/>
  <c r="AT24" i="59"/>
  <c r="AT9" i="59"/>
  <c r="AU4" i="59"/>
  <c r="AT25" i="59"/>
  <c r="AU5" i="59" l="1"/>
  <c r="AU6" i="59" l="1"/>
  <c r="AU7" i="59" l="1"/>
  <c r="AU8" i="59" l="1"/>
  <c r="AU9" i="59" l="1"/>
  <c r="AU10" i="59" l="1"/>
  <c r="AU11" i="59" l="1"/>
  <c r="AU12" i="59" l="1"/>
  <c r="AU13" i="59" l="1"/>
  <c r="AU14" i="59" l="1"/>
  <c r="AU15" i="59" l="1"/>
  <c r="AU16" i="59" l="1"/>
  <c r="AU17" i="59" l="1"/>
  <c r="AU18" i="59" l="1"/>
  <c r="AU19" i="59" l="1"/>
  <c r="AU20" i="59" l="1"/>
  <c r="AU21" i="59" l="1"/>
  <c r="AU22" i="59" l="1"/>
  <c r="AU23" i="59" l="1"/>
  <c r="AU24" i="59" l="1"/>
  <c r="AU25" i="59" l="1"/>
  <c r="AU26" i="59" l="1"/>
  <c r="AU27" i="59" l="1"/>
  <c r="AU28" i="59" l="1"/>
  <c r="AU29" i="59" l="1"/>
  <c r="AU30" i="59" l="1"/>
  <c r="AU31" i="59" l="1"/>
  <c r="AU32" i="59" l="1"/>
  <c r="AU33" i="59" l="1"/>
  <c r="AT34" i="59" l="1"/>
  <c r="AU34" i="59" l="1"/>
  <c r="AT36" i="59" s="1"/>
  <c r="CH34" i="59" l="1"/>
  <c r="BZ34" i="59"/>
  <c r="CH33" i="59"/>
  <c r="BZ32" i="59"/>
  <c r="CH31" i="59"/>
  <c r="CH30" i="59"/>
  <c r="CH29" i="59"/>
  <c r="CH28" i="59"/>
  <c r="BZ28" i="59"/>
  <c r="CH27" i="59"/>
  <c r="BZ27" i="59"/>
  <c r="CH26" i="59"/>
  <c r="BZ25" i="59"/>
  <c r="CH24" i="59"/>
  <c r="BZ22" i="59"/>
  <c r="CH21" i="59"/>
  <c r="CH20" i="59"/>
  <c r="BZ19" i="59"/>
  <c r="CH18" i="59"/>
  <c r="CH17" i="59"/>
  <c r="CH15" i="59"/>
  <c r="BZ15" i="59"/>
  <c r="CH13" i="59"/>
  <c r="BZ13" i="59"/>
  <c r="CH12" i="59"/>
  <c r="CH10" i="59"/>
  <c r="CH8" i="59"/>
  <c r="CH7" i="59"/>
  <c r="BZ7" i="59"/>
  <c r="CH6" i="59"/>
  <c r="BZ6" i="59"/>
  <c r="CH5" i="59"/>
  <c r="CH4" i="59"/>
  <c r="CA4" i="59"/>
  <c r="CH19" i="59" l="1"/>
  <c r="CH11" i="59"/>
  <c r="BZ10" i="59"/>
  <c r="CH16" i="59"/>
  <c r="BZ8" i="59"/>
  <c r="BZ9" i="59"/>
  <c r="CH22" i="59"/>
  <c r="BZ29" i="59"/>
  <c r="CH9" i="59"/>
  <c r="CH14" i="59"/>
  <c r="CI4" i="59"/>
  <c r="BZ5" i="59"/>
  <c r="BZ12" i="59"/>
  <c r="BZ26" i="59"/>
  <c r="BZ16" i="59"/>
  <c r="BZ20" i="59"/>
  <c r="BZ17" i="59"/>
  <c r="BZ21" i="59"/>
  <c r="CH32" i="59"/>
  <c r="BZ14" i="59"/>
  <c r="CH23" i="59"/>
  <c r="CH25" i="59"/>
  <c r="BZ4" i="59"/>
  <c r="BZ11" i="59"/>
  <c r="BZ18" i="59"/>
  <c r="BZ23" i="59"/>
  <c r="BZ30" i="59"/>
  <c r="BZ33" i="59"/>
  <c r="BZ24" i="59"/>
  <c r="BZ31" i="59"/>
  <c r="CI5" i="59" l="1"/>
  <c r="CI6" i="59"/>
  <c r="CA5" i="59"/>
  <c r="CF12" i="59" l="1"/>
  <c r="CF20" i="59"/>
  <c r="CI7" i="59"/>
  <c r="CF6" i="59"/>
  <c r="CF33" i="59"/>
  <c r="CF10" i="59"/>
  <c r="CF18" i="59"/>
  <c r="CA6" i="59"/>
  <c r="CF14" i="59" l="1"/>
  <c r="CF30" i="59"/>
  <c r="CF24" i="59"/>
  <c r="CF22" i="59"/>
  <c r="CF16" i="59"/>
  <c r="CF26" i="59"/>
  <c r="CF32" i="59"/>
  <c r="CF29" i="59"/>
  <c r="CF21" i="59"/>
  <c r="CF5" i="59"/>
  <c r="CF11" i="59"/>
  <c r="CF17" i="59"/>
  <c r="CF28" i="59"/>
  <c r="CF9" i="59"/>
  <c r="CF4" i="59"/>
  <c r="CG4" i="59"/>
  <c r="CF25" i="59"/>
  <c r="CF15" i="59"/>
  <c r="CF19" i="59"/>
  <c r="CF31" i="59"/>
  <c r="CF23" i="59"/>
  <c r="CF13" i="59"/>
  <c r="CA7" i="59"/>
  <c r="CF27" i="59"/>
  <c r="CF34" i="59"/>
  <c r="CF8" i="59"/>
  <c r="CF7" i="59"/>
  <c r="CI8" i="59"/>
  <c r="CI9" i="59" l="1"/>
  <c r="CA8" i="59"/>
  <c r="CA9" i="59" l="1"/>
  <c r="CI10" i="59"/>
  <c r="CG5" i="59"/>
  <c r="CA10" i="59" l="1"/>
  <c r="CG6" i="59"/>
  <c r="CI11" i="59"/>
  <c r="CG7" i="59" l="1"/>
  <c r="CA11" i="59"/>
  <c r="CI12" i="59"/>
  <c r="CI13" i="59" l="1"/>
  <c r="CG8" i="59"/>
  <c r="CA12" i="59"/>
  <c r="CG9" i="59" l="1"/>
  <c r="CA13" i="59"/>
  <c r="CI14" i="59"/>
  <c r="CA14" i="59" l="1"/>
  <c r="CI15" i="59"/>
  <c r="CG10" i="59"/>
  <c r="CA15" i="59" l="1"/>
  <c r="CG11" i="59"/>
  <c r="CI16" i="59"/>
  <c r="CI17" i="59" l="1"/>
  <c r="CG12" i="59"/>
  <c r="CA16" i="59"/>
  <c r="CA17" i="59" l="1"/>
  <c r="CG13" i="59"/>
  <c r="CI18" i="59"/>
  <c r="CA18" i="59" l="1"/>
  <c r="CI19" i="59"/>
  <c r="CG14" i="59"/>
  <c r="CG15" i="59" l="1"/>
  <c r="CI20" i="59"/>
  <c r="CA19" i="59"/>
  <c r="CA20" i="59" l="1"/>
  <c r="CI21" i="59"/>
  <c r="CG16" i="59"/>
  <c r="CI22" i="59" l="1"/>
  <c r="CG17" i="59"/>
  <c r="CA21" i="59"/>
  <c r="CI23" i="59" l="1"/>
  <c r="CA22" i="59"/>
  <c r="CG18" i="59"/>
  <c r="CG19" i="59" l="1"/>
  <c r="CI24" i="59"/>
  <c r="CA23" i="59"/>
  <c r="CG20" i="59" l="1"/>
  <c r="CA24" i="59"/>
  <c r="CI25" i="59"/>
  <c r="CI26" i="59" l="1"/>
  <c r="CA25" i="59"/>
  <c r="CG21" i="59"/>
  <c r="CG22" i="59" l="1"/>
  <c r="CA26" i="59"/>
  <c r="CI27" i="59"/>
  <c r="CA27" i="59" l="1"/>
  <c r="CI28" i="59"/>
  <c r="CG23" i="59"/>
  <c r="CG24" i="59" l="1"/>
  <c r="CI29" i="59"/>
  <c r="CA28" i="59"/>
  <c r="CI30" i="59" l="1"/>
  <c r="CG25" i="59"/>
  <c r="CA29" i="59"/>
  <c r="CA30" i="59" l="1"/>
  <c r="CI31" i="59"/>
  <c r="CG26" i="59"/>
  <c r="CG27" i="59" l="1"/>
  <c r="CI32" i="59"/>
  <c r="CA31" i="59"/>
  <c r="CI33" i="59" l="1"/>
  <c r="CI34" i="59"/>
  <c r="CH36" i="59" s="1"/>
  <c r="CG28" i="59"/>
  <c r="CA32" i="59"/>
  <c r="CA33" i="59" l="1"/>
  <c r="CG29" i="59"/>
  <c r="CG30" i="59" l="1"/>
  <c r="CA34" i="59"/>
  <c r="BZ36" i="59" s="1"/>
  <c r="CG31" i="59" l="1"/>
  <c r="CG32" i="59" l="1"/>
  <c r="CG33" i="59" l="1"/>
  <c r="CG34" i="59"/>
  <c r="CF36" i="59" s="1"/>
  <c r="BP11" i="59" l="1"/>
  <c r="BP8" i="59"/>
  <c r="BP7" i="59"/>
  <c r="BQ4" i="59"/>
  <c r="BP4" i="59" l="1"/>
  <c r="BP20" i="59"/>
  <c r="BP5" i="59"/>
  <c r="BP9" i="59"/>
  <c r="BQ5" i="59" l="1"/>
  <c r="BP29" i="59"/>
  <c r="BP19" i="59"/>
  <c r="BP31" i="59"/>
  <c r="BP21" i="59"/>
  <c r="BP16" i="59"/>
  <c r="BP28" i="59"/>
  <c r="BP27" i="59"/>
  <c r="BP15" i="59"/>
  <c r="BP18" i="59"/>
  <c r="BP32" i="59"/>
  <c r="BP23" i="59"/>
  <c r="BP25" i="59"/>
  <c r="BP24" i="59"/>
  <c r="BP10" i="59"/>
  <c r="BP33" i="59"/>
  <c r="BP17" i="59"/>
  <c r="BP6" i="59" l="1"/>
  <c r="BP26" i="59"/>
  <c r="BP34" i="59"/>
  <c r="BP12" i="59"/>
  <c r="BP13" i="59"/>
  <c r="BP14" i="59"/>
  <c r="BQ6" i="59"/>
  <c r="BP30" i="59"/>
  <c r="BP22" i="59"/>
  <c r="BQ7" i="59" l="1"/>
  <c r="BQ8" i="59" l="1"/>
  <c r="BQ9" i="59" l="1"/>
  <c r="BQ10" i="59" l="1"/>
  <c r="BQ11" i="59" l="1"/>
  <c r="BQ12" i="59" l="1"/>
  <c r="BQ13" i="59" l="1"/>
  <c r="BQ14" i="59" l="1"/>
  <c r="BQ15" i="59" l="1"/>
  <c r="BQ16" i="59" l="1"/>
  <c r="BQ17" i="59" l="1"/>
  <c r="BQ18" i="59" l="1"/>
  <c r="BQ19" i="59" l="1"/>
  <c r="BQ20" i="59" l="1"/>
  <c r="BQ21" i="59" l="1"/>
  <c r="BQ22" i="59" l="1"/>
  <c r="BQ23" i="59" l="1"/>
  <c r="BQ24" i="59" l="1"/>
  <c r="BQ25" i="59" l="1"/>
  <c r="BQ26" i="59" l="1"/>
  <c r="BQ27" i="59" l="1"/>
  <c r="BQ28" i="59" l="1"/>
  <c r="BQ29" i="59" l="1"/>
  <c r="BQ30" i="59" l="1"/>
  <c r="BQ31" i="59" l="1"/>
  <c r="BQ32" i="59" l="1"/>
  <c r="BQ33" i="59" l="1"/>
  <c r="BQ34" i="59" l="1"/>
  <c r="BP36" i="59" s="1"/>
</calcChain>
</file>

<file path=xl/comments1.xml><?xml version="1.0" encoding="utf-8"?>
<comments xmlns="http://schemas.openxmlformats.org/spreadsheetml/2006/main">
  <authors>
    <author>Produksi-PM</author>
  </authors>
  <commentList>
    <comment ref="R3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4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4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4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4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4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R4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FLOWMETER Error</t>
        </r>
      </text>
    </comment>
    <comment ref="BL57" authorId="0">
      <text>
        <r>
          <rPr>
            <b/>
            <sz val="9"/>
            <color indexed="81"/>
            <rFont val="Tahoma"/>
            <family val="2"/>
          </rPr>
          <t xml:space="preserve">Produksi-PM:
</t>
        </r>
        <r>
          <rPr>
            <sz val="9"/>
            <color indexed="81"/>
            <rFont val="Tahoma"/>
            <family val="2"/>
          </rPr>
          <t>FLOWMETER Error</t>
        </r>
      </text>
    </comment>
    <comment ref="BL58" authorId="0">
      <text>
        <r>
          <rPr>
            <b/>
            <sz val="9"/>
            <color indexed="81"/>
            <rFont val="Tahoma"/>
            <family val="2"/>
          </rPr>
          <t xml:space="preserve">Produksi-PM:
</t>
        </r>
        <r>
          <rPr>
            <sz val="9"/>
            <color indexed="81"/>
            <rFont val="Tahoma"/>
            <family val="2"/>
          </rPr>
          <t>FLOWMETER Error</t>
        </r>
      </text>
    </comment>
    <comment ref="BL59" authorId="0">
      <text>
        <r>
          <rPr>
            <b/>
            <sz val="9"/>
            <color indexed="81"/>
            <rFont val="Tahoma"/>
            <family val="2"/>
          </rPr>
          <t xml:space="preserve">Produksi-PM:
</t>
        </r>
        <r>
          <rPr>
            <sz val="9"/>
            <color indexed="81"/>
            <rFont val="Tahoma"/>
            <family val="2"/>
          </rPr>
          <t>FLOWMETER Error</t>
        </r>
      </text>
    </comment>
    <comment ref="BL60" authorId="0">
      <text>
        <r>
          <rPr>
            <b/>
            <sz val="9"/>
            <color indexed="81"/>
            <rFont val="Tahoma"/>
            <family val="2"/>
          </rPr>
          <t xml:space="preserve">Produksi-PM:
</t>
        </r>
        <r>
          <rPr>
            <sz val="9"/>
            <color indexed="81"/>
            <rFont val="Tahoma"/>
            <family val="2"/>
          </rPr>
          <t>FLOWMETER Error</t>
        </r>
      </text>
    </comment>
    <comment ref="BL61" authorId="0">
      <text>
        <r>
          <rPr>
            <b/>
            <sz val="9"/>
            <color indexed="81"/>
            <rFont val="Tahoma"/>
            <family val="2"/>
          </rPr>
          <t xml:space="preserve">Produksi-PM:
</t>
        </r>
        <r>
          <rPr>
            <sz val="9"/>
            <color indexed="81"/>
            <rFont val="Tahoma"/>
            <family val="2"/>
          </rPr>
          <t>FLOWMETER Error</t>
        </r>
      </text>
    </comment>
    <comment ref="F20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PHP sebagian core 12" + backlog</t>
        </r>
      </text>
    </comment>
    <comment ref="BF205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selama periode Pm 17 jalan 1 ply, target speed di Pm 16. Dianggap max speed 1250 mpm
F 13 : 1250, 22%
F 11,2 : 1250, 22%
T 14 : 1220, 22%</t>
        </r>
      </text>
    </comment>
    <comment ref="H297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Steam Error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8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8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</commentList>
</comments>
</file>

<file path=xl/comments3.xml><?xml version="1.0" encoding="utf-8"?>
<comments xmlns="http://schemas.openxmlformats.org/spreadsheetml/2006/main">
  <authors>
    <author>Produksi-PM</author>
  </authors>
  <commentList>
    <comment ref="H8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  <comment ref="H8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SnH</t>
        </r>
      </text>
    </comment>
  </commentList>
</comments>
</file>

<file path=xl/comments4.xml><?xml version="1.0" encoding="utf-8"?>
<comments xmlns="http://schemas.openxmlformats.org/spreadsheetml/2006/main">
  <authors>
    <author>win10</author>
  </authors>
  <commentList>
    <comment ref="V11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Seset Trial</t>
        </r>
      </text>
    </comment>
  </commentList>
</comments>
</file>

<file path=xl/sharedStrings.xml><?xml version="1.0" encoding="utf-8"?>
<sst xmlns="http://schemas.openxmlformats.org/spreadsheetml/2006/main" count="6185" uniqueCount="815">
  <si>
    <t xml:space="preserve"> </t>
  </si>
  <si>
    <t>Efficiency</t>
  </si>
  <si>
    <t>Total</t>
  </si>
  <si>
    <t>PRODUCTION DAILY REPORT</t>
  </si>
  <si>
    <t>GRADE</t>
  </si>
  <si>
    <t>GSM</t>
  </si>
  <si>
    <t>LOSS</t>
  </si>
  <si>
    <t>Facial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</si>
  <si>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</si>
  <si>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</si>
  <si>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</si>
  <si>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</si>
  <si>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</si>
  <si>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</si>
  <si>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</si>
  <si>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</si>
  <si>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</si>
  <si>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</si>
  <si>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</si>
  <si>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</si>
  <si>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</si>
  <si>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</si>
  <si>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</si>
  <si>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</si>
  <si>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</si>
  <si>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</si>
  <si>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</si>
  <si>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</si>
  <si>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</si>
  <si>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</si>
  <si>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</si>
  <si>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</si>
  <si>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</si>
  <si>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</si>
  <si>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</si>
  <si>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</si>
  <si>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</si>
  <si>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</si>
  <si>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</si>
  <si>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</si>
  <si>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</si>
  <si>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</si>
  <si>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ASPA</t>
  </si>
  <si>
    <t>TOTAL NBKP</t>
  </si>
  <si>
    <t>LBKP RAPP MHW</t>
  </si>
  <si>
    <t>BROKE FROM OUTSIDE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</si>
  <si>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</si>
  <si>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</si>
  <si>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</si>
  <si>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</si>
  <si>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</si>
  <si>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</si>
  <si>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</si>
  <si>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</si>
  <si>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</si>
  <si>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</si>
  <si>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</si>
  <si>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</si>
  <si>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</si>
  <si>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</si>
  <si>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</si>
  <si>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</si>
  <si>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</si>
  <si>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</si>
  <si>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</si>
  <si>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</si>
  <si>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</si>
  <si>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</si>
  <si>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</si>
  <si>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</si>
  <si>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</si>
  <si>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</si>
  <si>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</si>
  <si>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</si>
  <si>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</si>
  <si>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</si>
  <si>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</si>
  <si>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</si>
  <si>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</si>
  <si>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</si>
  <si>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</si>
  <si>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</si>
  <si>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</si>
  <si>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</si>
  <si>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</si>
  <si>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</si>
  <si>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</si>
  <si>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</si>
  <si>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</si>
  <si>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</si>
  <si>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</si>
  <si>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</si>
  <si>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</si>
  <si>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</si>
  <si>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</si>
  <si>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</si>
  <si>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</si>
  <si>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</si>
  <si>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</si>
  <si>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</si>
  <si>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</si>
  <si>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</si>
  <si>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</si>
  <si>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</si>
  <si>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</si>
  <si>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</si>
  <si>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</si>
  <si>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</si>
  <si>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</si>
  <si>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</si>
  <si>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</si>
  <si>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</si>
  <si>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</si>
  <si>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</si>
  <si>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</si>
  <si>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</si>
  <si>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</si>
  <si>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</si>
  <si>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</si>
  <si>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</si>
  <si>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</si>
  <si>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</si>
  <si>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</si>
  <si>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</si>
  <si>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</si>
  <si>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</si>
  <si>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</si>
  <si>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</si>
  <si>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</si>
  <si>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</si>
  <si>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</si>
  <si>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</si>
  <si>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</si>
  <si>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</si>
  <si>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</si>
  <si>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</si>
  <si>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</si>
  <si>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</si>
  <si>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</si>
  <si>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</si>
  <si>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</si>
  <si>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</si>
  <si>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</si>
  <si>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</si>
  <si>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</si>
  <si>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</si>
  <si>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</si>
  <si>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EBKP MONDE</t>
  </si>
  <si>
    <t>Total PM11</t>
  </si>
  <si>
    <t>TISSUE MACHINE 11</t>
  </si>
  <si>
    <t>PM 11</t>
  </si>
  <si>
    <t xml:space="preserve">PM11 Efficiency Report </t>
  </si>
  <si>
    <t>TISSUE MACHINE 45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</si>
  <si>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</si>
  <si>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</si>
  <si>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</si>
  <si>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</si>
  <si>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</si>
  <si>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</si>
  <si>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</si>
  <si>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</si>
  <si>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</si>
  <si>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</si>
  <si>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</si>
  <si>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</si>
  <si>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</si>
  <si>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</si>
  <si>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</si>
  <si>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</si>
  <si>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</si>
  <si>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</si>
  <si>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</si>
  <si>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</si>
  <si>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</si>
  <si>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</si>
  <si>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</si>
  <si>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</si>
  <si>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</si>
  <si>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</si>
  <si>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</si>
  <si>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</si>
  <si>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</si>
  <si>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</si>
  <si>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</si>
  <si>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</si>
  <si>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</si>
  <si>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</si>
  <si>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</si>
  <si>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</si>
  <si>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</si>
  <si>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</si>
  <si>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</si>
  <si>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</si>
  <si>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</si>
  <si>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</si>
  <si>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</si>
  <si>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</si>
  <si>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</si>
  <si>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</si>
  <si>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</si>
  <si>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</si>
  <si>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>PAPER MACHINE 11 DAILY REPORT 1</t>
  </si>
  <si>
    <t xml:space="preserve">Kapasitas Teori Real (ton) </t>
  </si>
  <si>
    <t>Speed real (ton) with Available Time</t>
  </si>
  <si>
    <t>Change Grade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</si>
  <si>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</si>
  <si>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</si>
  <si>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</si>
  <si>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</si>
  <si>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</si>
  <si>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</si>
  <si>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</si>
  <si>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CANFOR</t>
  </si>
  <si>
    <t>LBKP TEL PELITA</t>
  </si>
  <si>
    <t>REJECT ROLL</t>
  </si>
  <si>
    <t>PM 12</t>
  </si>
  <si>
    <t>PM 16</t>
  </si>
  <si>
    <t>PHP (ton)</t>
  </si>
  <si>
    <t>STEAM/Ton FG</t>
  </si>
  <si>
    <t>ELECTRIC/ton FG</t>
  </si>
  <si>
    <t>STEAM /ton FG</t>
  </si>
  <si>
    <t>ELECTRIC /ton FG</t>
  </si>
  <si>
    <t>Today</t>
  </si>
  <si>
    <t>Todate</t>
  </si>
  <si>
    <t>November</t>
  </si>
  <si>
    <t>Oktober</t>
  </si>
  <si>
    <t>Juli</t>
  </si>
  <si>
    <t>Juni</t>
  </si>
  <si>
    <t>Mei</t>
  </si>
  <si>
    <t>April</t>
  </si>
  <si>
    <t>Maret</t>
  </si>
  <si>
    <t>Februari</t>
  </si>
  <si>
    <t>Januari</t>
  </si>
  <si>
    <t>Kehilangan Effisiensi PM 11 terdiri dari:</t>
  </si>
  <si>
    <t>MG</t>
  </si>
  <si>
    <t>awal bulan produksi MG mengikuti real speed karea usia felt sudah 7minggu</t>
  </si>
  <si>
    <t>CAKRAWALA</t>
  </si>
  <si>
    <t/>
  </si>
  <si>
    <t>NB : info pak hartono untuk napkin + towel speed 1600mpm, gsm tinggi 92ton(&gt;17)</t>
  </si>
  <si>
    <t>change Grade</t>
  </si>
  <si>
    <t>PM 11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</si>
  <si>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</si>
  <si>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</si>
  <si>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</si>
  <si>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</si>
  <si>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</si>
  <si>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</si>
  <si>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</si>
  <si>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</si>
  <si>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</si>
  <si>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</si>
  <si>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</si>
  <si>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</si>
  <si>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</si>
  <si>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</si>
  <si>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</si>
  <si>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</si>
  <si>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</si>
  <si>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</si>
  <si>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</si>
  <si>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</si>
  <si>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</si>
  <si>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Hole</t>
  </si>
  <si>
    <t>Maintenance</t>
  </si>
  <si>
    <t>Down Time EID</t>
  </si>
  <si>
    <t>Down Time Mekanik</t>
  </si>
  <si>
    <t>Loss Time EID</t>
  </si>
  <si>
    <t>Loss Time Mekanik</t>
  </si>
  <si>
    <t>Scheduled Shut Down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</si>
  <si>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</si>
  <si>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</si>
  <si>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</si>
  <si>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</si>
  <si>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</si>
  <si>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</si>
  <si>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</si>
  <si>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</si>
  <si>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</si>
  <si>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LT/DT Percentage</t>
  </si>
  <si>
    <t>Total LT/DT (ton)</t>
  </si>
  <si>
    <t>Tonase</t>
  </si>
  <si>
    <t>Prosentase</t>
  </si>
  <si>
    <t>Total Prosentase</t>
  </si>
  <si>
    <t>Baklog</t>
  </si>
  <si>
    <t>Sisa spool popereel</t>
  </si>
  <si>
    <t xml:space="preserve">Sisa Spool seset </t>
  </si>
  <si>
    <t>Sisa Spool rewinder</t>
  </si>
  <si>
    <t>Pending</t>
  </si>
  <si>
    <t>Ngelokor</t>
  </si>
  <si>
    <t>Keriput</t>
  </si>
  <si>
    <t>Start up</t>
  </si>
  <si>
    <t>Potongan jelek</t>
  </si>
  <si>
    <t>Trim</t>
  </si>
  <si>
    <t>Warisan</t>
  </si>
  <si>
    <t>Kertas sobek pinggir</t>
  </si>
  <si>
    <t>Joint</t>
  </si>
  <si>
    <t>Dirt</t>
  </si>
  <si>
    <t>Formasi jelek</t>
  </si>
  <si>
    <t>MDT &lt; std</t>
  </si>
  <si>
    <t>Lembab</t>
  </si>
  <si>
    <t>Seset Change Grade</t>
  </si>
  <si>
    <t>Diameter &lt; std</t>
  </si>
  <si>
    <t>soping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</si>
  <si>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</si>
  <si>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</si>
  <si>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</si>
  <si>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</si>
  <si>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</si>
  <si>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</si>
  <si>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</si>
  <si>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</si>
  <si>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warna kehijauan</t>
  </si>
  <si>
    <t>UNKNOWN</t>
  </si>
  <si>
    <t>Gripis</t>
  </si>
  <si>
    <t>TOTALIZER</t>
  </si>
  <si>
    <t>SUZANO</t>
  </si>
  <si>
    <t>PM 14</t>
  </si>
  <si>
    <t>PM 15</t>
  </si>
  <si>
    <t>PM 17</t>
  </si>
  <si>
    <t>STEAM/ton FG</t>
  </si>
  <si>
    <t>STEAM DIP/ton FG</t>
  </si>
  <si>
    <t>ELECTRIC DIP/ton FG</t>
  </si>
  <si>
    <t>GAS /ton FG</t>
  </si>
  <si>
    <t>STEAM DIP /ton FG</t>
  </si>
  <si>
    <t>ELECTRIC DIP /ton FG</t>
  </si>
  <si>
    <t>Desember</t>
  </si>
  <si>
    <t>PULP AND BROKE DAILY REPORT 11</t>
  </si>
  <si>
    <t>CHEMICAL DAILY REPORT PM 11</t>
  </si>
  <si>
    <t>SINERGY</t>
  </si>
  <si>
    <t>Loss time</t>
  </si>
  <si>
    <t>Down Time</t>
  </si>
  <si>
    <t>Backlog</t>
  </si>
  <si>
    <t>Loss Time Marketing</t>
  </si>
  <si>
    <t>Hood</t>
  </si>
  <si>
    <t>Yankee</t>
  </si>
  <si>
    <t>NBKP SCA</t>
  </si>
  <si>
    <t>LBKP ACACIA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</si>
  <si>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</si>
  <si>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</si>
  <si>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</si>
  <si>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</si>
  <si>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</si>
  <si>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</si>
  <si>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</si>
  <si>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</si>
  <si>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</si>
  <si>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</si>
  <si>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</si>
  <si>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</si>
  <si>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</si>
  <si>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</si>
  <si>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</si>
  <si>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</si>
  <si>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</si>
  <si>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</si>
  <si>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</si>
  <si>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</si>
  <si>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</si>
  <si>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</si>
  <si>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</si>
  <si>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</si>
  <si>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</si>
  <si>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</si>
  <si>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</si>
  <si>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</si>
  <si>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</si>
  <si>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</si>
  <si>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</si>
  <si>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</si>
  <si>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</si>
  <si>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</si>
  <si>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</si>
  <si>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</si>
  <si>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</si>
  <si>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</si>
  <si>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</si>
  <si>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</si>
  <si>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</si>
  <si>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</si>
  <si>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</si>
  <si>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</si>
  <si>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</si>
  <si>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</si>
  <si>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</si>
  <si>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</si>
  <si>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</si>
  <si>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</si>
  <si>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</si>
  <si>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</si>
  <si>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</si>
  <si>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</si>
  <si>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</si>
  <si>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</si>
  <si>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</si>
  <si>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</si>
  <si>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</si>
  <si>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</si>
  <si>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</si>
  <si>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</si>
  <si>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</si>
  <si>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</si>
  <si>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</si>
  <si>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</si>
  <si>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</si>
  <si>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11 Running Time</t>
  </si>
  <si>
    <t>Down Time PLN</t>
  </si>
  <si>
    <t>Eff Avaliable</t>
  </si>
  <si>
    <t>Eff Running</t>
  </si>
  <si>
    <t xml:space="preserve">Kapasitas Running (ton) </t>
  </si>
  <si>
    <t>Eff FG vs Target  Running(%)</t>
  </si>
  <si>
    <t>Off White</t>
  </si>
  <si>
    <t>EBKP NAVIA/ENCE</t>
  </si>
  <si>
    <t>Seset Spol Getar &amp; Astor</t>
  </si>
  <si>
    <t>NBKP Catalyst/Crafton</t>
  </si>
  <si>
    <t>Steam, &amp; gangguan sinergy (X)</t>
  </si>
  <si>
    <t>Freq, Trip PLN (X)</t>
  </si>
  <si>
    <t>Cleaning Holes (X)</t>
  </si>
  <si>
    <t>Per hari</t>
  </si>
  <si>
    <t>Blowing</t>
  </si>
  <si>
    <t>0</t>
  </si>
  <si>
    <t>- Change Grade</t>
  </si>
  <si>
    <t>Vaccum Turbo</t>
  </si>
  <si>
    <t>CRESSBROOKE</t>
  </si>
  <si>
    <t>Agustus</t>
  </si>
  <si>
    <t>September</t>
  </si>
  <si>
    <t>SS</t>
  </si>
  <si>
    <t>PHP PM</t>
  </si>
  <si>
    <t xml:space="preserve">PM11 Efficiency Running Report </t>
  </si>
  <si>
    <t>- Speed pm belum bisa maksimal pakai turbo vacuum</t>
  </si>
  <si>
    <t>Electric WPL /ton FG</t>
  </si>
  <si>
    <t>ELECTRIC WPL /ton FG</t>
  </si>
  <si>
    <t>DESEMBER</t>
  </si>
  <si>
    <t>.12.25</t>
  </si>
  <si>
    <t>- Awal shift Prod F.13 Gsm HB Speed 1570 Mpm/-24%</t>
  </si>
  <si>
    <t>Speed masih belum maksimal rawan hole
Speed naik bertahap</t>
  </si>
  <si>
    <t>Speed blm target kertas rawan hole &amp; blowing</t>
  </si>
  <si>
    <t>PM coba naikan speed kertas putus² dan sambung agak susah.</t>
  </si>
  <si>
    <t>- 06.00 Change Grade MG 16.5 HW, Speed 1100/- 0.35 %</t>
  </si>
  <si>
    <t>- Awal shift Prod MG15.5 OW speed 1100/-0,35%</t>
  </si>
  <si>
    <t>- 08.13 change grade MG15.5 OW speed 1100/-0,35%</t>
  </si>
  <si>
    <t>- Pm kurang lancar putus keriput sebelah ds &amp; rawan blowing 54 cm dari ds</t>
  </si>
  <si>
    <t>1171/1110</t>
  </si>
  <si>
    <t>1100/1096</t>
  </si>
  <si>
    <t>1123/1101</t>
  </si>
  <si>
    <t>- Change Spool (11x)</t>
  </si>
  <si>
    <t>- Change Blade (2x)</t>
  </si>
  <si>
    <t>- Sheet Breaks (4x)</t>
  </si>
  <si>
    <t>- Change Spool (8x)</t>
  </si>
  <si>
    <t>- Change Blade (0x)</t>
  </si>
  <si>
    <t>- Sheet Breaks (6x)</t>
  </si>
  <si>
    <t>- Change Spool (7x)</t>
  </si>
  <si>
    <t>- Sheet Breaks (8x)</t>
  </si>
  <si>
    <t>F 13 VP OW</t>
  </si>
  <si>
    <t>MG 15,5 VP OW</t>
  </si>
  <si>
    <t>MG 16,5 VP HW</t>
  </si>
  <si>
    <t>High White</t>
  </si>
  <si>
    <t>- Sheet Breaks (18x)</t>
  </si>
  <si>
    <t>- Change Spool (26x)</t>
  </si>
  <si>
    <t>Facial/MG</t>
  </si>
  <si>
    <t>13/15,5/16,5</t>
  </si>
  <si>
    <t>NBKP Rottneros</t>
  </si>
  <si>
    <t>Dicky Fahrizal</t>
  </si>
  <si>
    <t>Slamet Ariadi</t>
  </si>
  <si>
    <t>Iir Endra</t>
  </si>
  <si>
    <t>F 13</t>
  </si>
  <si>
    <t>MG 15,5</t>
  </si>
  <si>
    <t>135*2</t>
  </si>
  <si>
    <t>102+83*2</t>
  </si>
  <si>
    <t>MG 16,5</t>
  </si>
  <si>
    <t>50+100*2+22</t>
  </si>
  <si>
    <t>- Awal shift Prod MG 16.5 HW, Speed 1100/-0.35%</t>
  </si>
  <si>
    <t xml:space="preserve">- 15.30 PM trip listrik fliker, lanjut cleaning PM area &amp; cleaning/karcher SPR buntu. </t>
  </si>
  <si>
    <t>- 15.55 PM persiapan jln</t>
  </si>
  <si>
    <t xml:space="preserve">- 16.33 Kertas ON Reel. </t>
  </si>
  <si>
    <t xml:space="preserve">- kertas kurang lancar sering putus pecah. </t>
  </si>
  <si>
    <t>- 05.30 - 05.50 Kertas Lepas Sisi FS (Tidak Pick Up) , Kertas Masuk UTM</t>
  </si>
  <si>
    <t>- Change Spool (9x)</t>
  </si>
  <si>
    <t>- Sheet Breaks (2x)</t>
  </si>
  <si>
    <t>- Sheet Breaks (12x)</t>
  </si>
  <si>
    <t>- Change Spool (25x)</t>
  </si>
  <si>
    <t>- 15.30 PM trip listrik flicker.</t>
  </si>
  <si>
    <t>16,5</t>
  </si>
  <si>
    <t>91*2+14*2+76</t>
  </si>
  <si>
    <t>LANJUT; 
1. Cleaning PM area
2. Copot felt/nyisikan tepi DS
3. Cleaning silo/Hydromix
4. Vertical Screen
5. Cleaning SPR</t>
  </si>
  <si>
    <t>- Awal shift pm masih stop, revisi
- 19.51 pm persiapan jalan
- 20.27 pm jalan</t>
  </si>
  <si>
    <t>- 20.55 pm onreel</t>
  </si>
  <si>
    <t>- 21.00 pompa lbkp inverter rusak, buburan habis</t>
  </si>
  <si>
    <t>- 22.00 pompa lbkp jalan bypass dari panel</t>
  </si>
  <si>
    <t>- 22:00 Prod MG 16.5 HW, Speed 1190/-0.35%</t>
  </si>
  <si>
    <t>1151/1147</t>
  </si>
  <si>
    <t>- Awal shift Prod MG 16,5 VP HW, Speed 1150/-0.35%</t>
  </si>
  <si>
    <t>- Change Spool (0x)</t>
  </si>
  <si>
    <t>- Sheet Breaks (0x)</t>
  </si>
  <si>
    <t>- Change Spool (3x)</t>
  </si>
  <si>
    <t>- Change Blade (1x)</t>
  </si>
  <si>
    <t>1190/1185</t>
  </si>
  <si>
    <t>1150/1145</t>
  </si>
  <si>
    <t>- Change Spool (10x)</t>
  </si>
  <si>
    <t>Pompa lbkp inverter rusak, buburan habis</t>
  </si>
  <si>
    <t>- 07.30 stop Revisi Overhoul STR, cek vertical screen
cleaning jalur approach flow total</t>
  </si>
  <si>
    <t>Planned Shut</t>
  </si>
  <si>
    <t>Stop Revisi Overhoul STR, cek vertical screen
cleaning jalur approach flow total</t>
  </si>
  <si>
    <t>Angga Permana</t>
  </si>
  <si>
    <t>- Awal shift Prod MG 17 VP HW, Speed 1170/-0.35%</t>
  </si>
  <si>
    <t>- Awal shift Prod MG 17 VP HW, Speed 1200/-0.35%</t>
  </si>
  <si>
    <t>- Awal shift Prod MG 17 VP HW, Speed 1230/-0.35%</t>
  </si>
  <si>
    <t>1200/1195</t>
  </si>
  <si>
    <t>MG 17 VP HW</t>
  </si>
  <si>
    <t>1170/1165</t>
  </si>
  <si>
    <t>1230/1225</t>
  </si>
  <si>
    <t>- Change Spool (24x)</t>
  </si>
  <si>
    <t>14+91*2+76</t>
  </si>
  <si>
    <t>MG 17</t>
  </si>
  <si>
    <t>100+81*2</t>
  </si>
  <si>
    <t>- 06.35 change grade MG 14 HW speed 1270/-0.35%</t>
  </si>
  <si>
    <t>1232/1227</t>
  </si>
  <si>
    <t>1230/1226</t>
  </si>
  <si>
    <t>17</t>
  </si>
  <si>
    <t>17/14</t>
  </si>
  <si>
    <t>42*2+61*3</t>
  </si>
  <si>
    <t>101,5*2+61</t>
  </si>
  <si>
    <t>52*5</t>
  </si>
  <si>
    <t>MG 14</t>
  </si>
  <si>
    <t>- Awal shift Prod MG 14 HW speed 1270/-0.35%</t>
  </si>
  <si>
    <t>- Komputer dcs masih belum bisa sementara cuma pakai 1 komputer</t>
  </si>
  <si>
    <t>MG 14 VP HW</t>
  </si>
  <si>
    <t>- 03.40 change grade MG 19 HW speed 1150/-0.35%</t>
  </si>
  <si>
    <t>1270/1265</t>
  </si>
  <si>
    <t>MG 14 VP OW</t>
  </si>
  <si>
    <t>1220/1215</t>
  </si>
  <si>
    <t>1253/1248</t>
  </si>
  <si>
    <t>- Change Spool (23x)</t>
  </si>
  <si>
    <t>PM trip listrik flicker</t>
  </si>
  <si>
    <t>14</t>
  </si>
  <si>
    <t>14/19</t>
  </si>
  <si>
    <t>SODIUM HYPOCHLORID</t>
  </si>
  <si>
    <t>MG 19</t>
  </si>
  <si>
    <t>MG 19 VP HW</t>
  </si>
  <si>
    <t>- Awal shift Prod MG 19 HW speed 1150/-0.35%</t>
  </si>
  <si>
    <t>- Awal shift Prod MG 21,5 OW speed 990/-0.35%</t>
  </si>
  <si>
    <t>- speed tidak bisa maksimal Kertas Ada blowing sisi DS</t>
  </si>
  <si>
    <t>- Awal shift Prod MG 21,5 OW speed 1010/-0.35%</t>
  </si>
  <si>
    <t>- 17.00 Kertas Ada blowing sisi DS pm turun speed 990 dan unload nip.</t>
  </si>
  <si>
    <t>- 12.15 change MG21.5 OW speed 1010/-0.35%</t>
  </si>
  <si>
    <t>- 09.34 change MG17HW(pengalihan warna) speed 1250/-0,35%</t>
  </si>
  <si>
    <t>- 11.30 change MG17OW speed 1250/-0,35%</t>
  </si>
  <si>
    <t>1135/1131</t>
  </si>
  <si>
    <t>1010/1006</t>
  </si>
  <si>
    <t>990/986</t>
  </si>
  <si>
    <t>1045/1041</t>
  </si>
  <si>
    <t>- Change Blade (7x)</t>
  </si>
  <si>
    <t>MG 17 VP OW</t>
  </si>
  <si>
    <t>MG 21,5 VP OW</t>
  </si>
  <si>
    <t>19/17/17/21,5</t>
  </si>
  <si>
    <t>60*4+22</t>
  </si>
  <si>
    <t>MG 17 HW</t>
  </si>
  <si>
    <t>MG 17 OW</t>
  </si>
  <si>
    <t>MG 21,5 OW</t>
  </si>
  <si>
    <t>62,5+92,5+111</t>
  </si>
  <si>
    <t>47+111*2</t>
  </si>
  <si>
    <t>CHEMZYME</t>
  </si>
  <si>
    <t>1623/1249</t>
  </si>
  <si>
    <t>1670/1269</t>
  </si>
  <si>
    <t>- Change Blade (3x)</t>
  </si>
  <si>
    <t>- Change Spool (27x)</t>
  </si>
  <si>
    <t>MG/Facial</t>
  </si>
  <si>
    <t>21,5/13</t>
  </si>
  <si>
    <t>MG 21 VP OW</t>
  </si>
  <si>
    <t>F 13 VP HW</t>
  </si>
  <si>
    <t>- 07.33 change grade F 13 speed 1670/-24%</t>
  </si>
  <si>
    <t>- Awal shift Prod F 13 speed 1670/-24%</t>
  </si>
  <si>
    <t>47,5+74*3</t>
  </si>
  <si>
    <t>128,5*2+15</t>
  </si>
  <si>
    <t>- Awal shift Prod F 13 speed 1690/-24%</t>
  </si>
  <si>
    <t>- PM speed turun 1690-1520 Mpm kertas baru bisa acc.</t>
  </si>
  <si>
    <t>- Speed naik perlahan.</t>
  </si>
  <si>
    <t>- 00.40 Change ke F.10,5 Gsm HB, Speed 1690 Mpm/-24%</t>
  </si>
  <si>
    <t xml:space="preserve">- 02:44 F.10,5 speed turun 1520 Mpm kertas pinhole hampir rata. </t>
  </si>
  <si>
    <t>1595/1212</t>
  </si>
  <si>
    <t>1690/1284</t>
  </si>
  <si>
    <t>1651/1255</t>
  </si>
  <si>
    <t>- Change Blade (5x)</t>
  </si>
  <si>
    <t>- Change Blade (13x)</t>
  </si>
  <si>
    <t>- Change Spool (28x)</t>
  </si>
  <si>
    <t>F 10,5 VP OW</t>
  </si>
  <si>
    <t>13/10,5</t>
  </si>
  <si>
    <t>133*2</t>
  </si>
  <si>
    <t>- Awal shift Prod  SN.13 Gsm. 
Speed Awal; 1350 Mpm/20 %
Speed Akhir; 1350 Mpm/20 %</t>
  </si>
  <si>
    <t>- Awal shift Prod  SN 13 speed 1350/20%
Speed awal 1350/20%</t>
  </si>
  <si>
    <t>- Awal shift Prod F10.3
09.40 change grade SN13</t>
  </si>
  <si>
    <t xml:space="preserve">09.40 change grade SN13
10.40 kertas mulai acc 
Lost time marketing : 60 menit(spec belum standar) </t>
  </si>
  <si>
    <t>LT</t>
  </si>
  <si>
    <t>F 10,3</t>
  </si>
  <si>
    <t>SN 13</t>
  </si>
  <si>
    <t>1436,67/1169,47</t>
  </si>
  <si>
    <t>1350/1080</t>
  </si>
  <si>
    <t>1378,89/1109,82</t>
  </si>
  <si>
    <t>Facial/Sanitary Napkin</t>
  </si>
  <si>
    <t>10,3/13</t>
  </si>
  <si>
    <t>Sanitary Napkin</t>
  </si>
  <si>
    <t xml:space="preserve">- Lost time marketing : 60 menit(spec belum standar) </t>
  </si>
  <si>
    <t>Angga P</t>
  </si>
  <si>
    <t>F 10,3 VP OW</t>
  </si>
  <si>
    <t>SN 13 VP OW</t>
  </si>
  <si>
    <t>266*1</t>
  </si>
  <si>
    <t>58*2+48*3</t>
  </si>
  <si>
    <t>- Change Spool (6x)</t>
  </si>
  <si>
    <t>- Change Spool (20x)</t>
  </si>
  <si>
    <t>spek belum standar</t>
  </si>
  <si>
    <t>13</t>
  </si>
  <si>
    <t>54*3+15*7</t>
  </si>
  <si>
    <t>- Awal shift Prod  SN 14 Gsm Speed 1350 Mpm/-20%</t>
  </si>
  <si>
    <t>- 01.30 Change ke SN 15 Gsm Speed 1350 Mpm/-20%</t>
  </si>
  <si>
    <t>- Awal shift Prod SN 15 Gsm Speed 1350 Mpm/-20%</t>
  </si>
  <si>
    <t xml:space="preserve">- Awal Shift Rewinder A Ganti Potongan penampang banyak yg jelek Penampangnya) 
Med Adjust chuck sebelah DS &amp; FS, </t>
  </si>
  <si>
    <t xml:space="preserve">- Jam 11.00 Potongan Rewinder Mulai Bagus penumpang nya </t>
  </si>
  <si>
    <t>- Rewinder B Jam 09.30 Setting Potongan banyak yg jelek &amp; serabut karena holder kocak, sementara pinjam holder on 12 yg kocak di repair MED</t>
  </si>
  <si>
    <t>- 06.25 Change ke F.10,3 Gsm LB Speed 1560 Mpm/-16%</t>
  </si>
  <si>
    <t>Blade sering nyelilit FS/DS</t>
  </si>
  <si>
    <t>- Blade sering nyelilit FS/DS</t>
  </si>
  <si>
    <t>- 02.30 Ganti sloter blade no 2 dan sudah tdk nyelilit.</t>
  </si>
  <si>
    <t>- 19.40 change grade SN 14 speed 1350/-20%</t>
  </si>
  <si>
    <t>1379/1103</t>
  </si>
  <si>
    <t>1359/1087</t>
  </si>
  <si>
    <t>- Awal shift Prod SN 13 Gsm Speed 1350 Mpm/-20%</t>
  </si>
  <si>
    <t>13/14/15</t>
  </si>
  <si>
    <t>1365/1092</t>
  </si>
  <si>
    <t>- Change Blade (4x)</t>
  </si>
  <si>
    <t>- Change Blade (9x)</t>
  </si>
  <si>
    <t>Sanitary Napkin/Facial</t>
  </si>
  <si>
    <t>15/10,3</t>
  </si>
  <si>
    <t>SN 14 VP OW</t>
  </si>
  <si>
    <t>15*7+54*3</t>
  </si>
  <si>
    <t>15+48*4+54</t>
  </si>
  <si>
    <t>54*2+39*4</t>
  </si>
  <si>
    <t>39*4+54*2</t>
  </si>
  <si>
    <t>23*4+28*6</t>
  </si>
  <si>
    <t>54*2+27,5*3+26,5*2</t>
  </si>
  <si>
    <t>SN 14</t>
  </si>
  <si>
    <t>SN 15</t>
  </si>
  <si>
    <t>SN 15 VP OW</t>
  </si>
  <si>
    <t>- Awal shift Prod F 10,3 Gsm LB Speed 1560 Mpm/-16%</t>
  </si>
  <si>
    <t>- Speed blm bisa maksimal rawan pun hole</t>
  </si>
  <si>
    <t>- Awal shift Prod F 10,3 Gsm LB Speed 1610 Mpm/-16%</t>
  </si>
  <si>
    <t>- Awal shift Prod F 10,3 Gsm LB Speed 1640 Mpm/-16%</t>
  </si>
  <si>
    <t>1560/1310</t>
  </si>
  <si>
    <t>1640/1377</t>
  </si>
  <si>
    <t>1610/1352</t>
  </si>
  <si>
    <t>1603/1346</t>
  </si>
  <si>
    <t>- Change Spool (5x)</t>
  </si>
  <si>
    <t>1355/1085</t>
  </si>
  <si>
    <t>- Change Spool (17x)</t>
  </si>
  <si>
    <t>10,3</t>
  </si>
  <si>
    <t>54*2+27,5*3+26,5*3</t>
  </si>
  <si>
    <t>26,5*3+27,5*3+54*2</t>
  </si>
  <si>
    <t>26,5*4+27,5*6</t>
  </si>
  <si>
    <t>- 1800kg masuk reject rewinder error, LT EID</t>
  </si>
  <si>
    <t>- Rew A mulai awal shift sering ngelokor. Med eid coba perbaikan ,Sementara speed rendah 350 m/min</t>
  </si>
  <si>
    <t xml:space="preserve">- 16.00 perbaikan selesai speed sudah stabil. </t>
  </si>
  <si>
    <t>- Speed pm belum bisa maksimal rawan hole</t>
  </si>
  <si>
    <t>- Naik bertahap</t>
  </si>
  <si>
    <t>- Speed masih belum maksimal rawan hole</t>
  </si>
  <si>
    <t>- Speed naik bertahap</t>
  </si>
  <si>
    <t>yankee</t>
  </si>
  <si>
    <t>reel</t>
  </si>
  <si>
    <t>creeping</t>
  </si>
  <si>
    <t>time</t>
  </si>
  <si>
    <t>trim</t>
  </si>
  <si>
    <t>Teori</t>
  </si>
  <si>
    <t>Accept</t>
  </si>
  <si>
    <t>Eff</t>
  </si>
  <si>
    <t>- Sheet Breaks (3x)</t>
  </si>
  <si>
    <t>- Change Blade (8x)</t>
  </si>
  <si>
    <t>- Change Spool (18x)</t>
  </si>
  <si>
    <t>- Reject rewinder error, LT EID</t>
  </si>
  <si>
    <t>Reject rewinder error, LT EID</t>
  </si>
  <si>
    <t>126+144</t>
  </si>
  <si>
    <t xml:space="preserve">- 16.00 Kertas ada hole FS dan </t>
  </si>
  <si>
    <t>- Speed turun dari 1660-1610 Mpm hole baru bisa hilang.</t>
  </si>
  <si>
    <t>- 06.25 change F13HB Speed 1620/-24%</t>
  </si>
  <si>
    <t>1610/1343</t>
  </si>
  <si>
    <t>- Awal shift Prod F 13 HB Speed 1620/-24%</t>
  </si>
  <si>
    <t>1620/1231</t>
  </si>
  <si>
    <t>1610/1349</t>
  </si>
  <si>
    <t>- Awal shift Prod F 13 HB Speed 1610/-24%</t>
  </si>
  <si>
    <t>- Awal shift Prod F 13 HB Speed 1625/-24%</t>
  </si>
  <si>
    <t>- 06.25 change grade MG14OW Speed 1300/-0,35%</t>
  </si>
  <si>
    <t>1596/1235</t>
  </si>
  <si>
    <t>1625/1235</t>
  </si>
  <si>
    <t>1610/1223</t>
  </si>
  <si>
    <t>1511/1251</t>
  </si>
  <si>
    <t>13/14</t>
  </si>
  <si>
    <t>72*3+51</t>
  </si>
  <si>
    <t>107,5*2+18*3</t>
  </si>
  <si>
    <t>- Awal shift Prod MG14OW Speed 1300/-0,35%</t>
  </si>
  <si>
    <t>- Awal shift pm kurang lancar kertas sering putus sebelah DS. Pm turun speed 1270/-0.35%</t>
  </si>
  <si>
    <t>- 07.40 pm mulai lancar</t>
  </si>
  <si>
    <t>- Awal shift Prod MG14OW Speed 1270/-0,35%</t>
  </si>
  <si>
    <t>- 21.00 Change ke MG 16,5 Gsm Hw Speed 1260 Mpm/-0,35%</t>
  </si>
  <si>
    <t>- 17.00 Change ke MG 16,5 Gsm OW speed 1270/-0,35%</t>
  </si>
  <si>
    <t>- Awal shift Prod MG 17 HW Speed 1260/-0.35%</t>
  </si>
  <si>
    <t>1272/1268</t>
  </si>
  <si>
    <t>1267/1263</t>
  </si>
  <si>
    <t>1260/1255</t>
  </si>
  <si>
    <t>1266/1262</t>
  </si>
  <si>
    <t>14/16,5/17</t>
  </si>
  <si>
    <t>MG 16,5 VP HW/OW</t>
  </si>
  <si>
    <t>59*4+22+14</t>
  </si>
  <si>
    <t>130*2</t>
  </si>
  <si>
    <t xml:space="preserve">- Presure steam tidak stabil kertas lembab sebelah </t>
  </si>
  <si>
    <t>- DS sering putus putus.</t>
  </si>
  <si>
    <t>- Steam kurang stabil</t>
  </si>
  <si>
    <t>- Awal shift Prod MG 16,5 HW Speed 1260/-0.35%</t>
  </si>
  <si>
    <t>- 01.42 pipa blower sudah selesai bersihkan trip yang tersumbat, rew mulai jalan</t>
  </si>
  <si>
    <t>- Awal shift rew A masih stop, blower buntu(pipa blower buntu, bongkar mekanik)</t>
  </si>
  <si>
    <t>- Pm kurang lancar kertas sering putus dari sebelah Ds, indikasi felt crushing (aus), jadi kertas sebelah Ds lembab.</t>
  </si>
  <si>
    <t>- Speed turun 1180 Mpm.</t>
  </si>
  <si>
    <t>- Felt Sebelah DS Aus Nyiprat Air</t>
  </si>
  <si>
    <t>- Awal shift Prod MG 16,5 HW Speed 1200/-0.35%</t>
  </si>
  <si>
    <t>1240/1235</t>
  </si>
  <si>
    <t>- Awal shift Prod MG 16,5 HW Speed 1180/-0.35%</t>
  </si>
  <si>
    <t>- Awal shift Prod MG 17 HW Speed 1200/-0.35%</t>
  </si>
  <si>
    <t>- 22.10 Kertas putus² dari DS, (crushing)</t>
  </si>
  <si>
    <t>- 18:04 change MG 16,5 HW Speed 1220/-0.35%</t>
  </si>
  <si>
    <t>1215/1211</t>
  </si>
  <si>
    <t>1180/1175</t>
  </si>
  <si>
    <t>1198/1194</t>
  </si>
  <si>
    <t>- Awal shift Prod MG 17 HW Speed 1220/-0.35%</t>
  </si>
  <si>
    <t>- Change Spool (22x)</t>
  </si>
  <si>
    <t>17/16,5</t>
  </si>
  <si>
    <t>100*2+61</t>
  </si>
  <si>
    <t>71+88+93+20</t>
  </si>
  <si>
    <t>100*2+79</t>
  </si>
  <si>
    <t>79+88+101</t>
  </si>
  <si>
    <t>98*2+61+15</t>
  </si>
  <si>
    <t>45*6</t>
  </si>
  <si>
    <t>81+79+93+19</t>
  </si>
  <si>
    <t>Reject rewinder error, LT MED</t>
  </si>
  <si>
    <t>- Reject rewinder error, LT MED</t>
  </si>
  <si>
    <t>- Awal shift Prod MG 16,5 HW Speed 1210/-0.35%</t>
  </si>
  <si>
    <t>- Awal shift Prod MG 16,5 HW Speed 1215/-0.35%</t>
  </si>
  <si>
    <t>1201/1197</t>
  </si>
  <si>
    <t>1210/1205</t>
  </si>
  <si>
    <t>1215/1210</t>
  </si>
  <si>
    <t>22+50+100*2</t>
  </si>
  <si>
    <t>- Awal shift Prod MG 16.5 HW, Speed 1210/-0.35 %
Speed Awal 1210/-0.35 %</t>
  </si>
  <si>
    <t>- Awal shift Prod MG17HW Speed awal : 1230/-0.35%</t>
  </si>
  <si>
    <t>- Awal shift Prod MG 17 HW, Speed 1230/-0.35 %
Speed Awal 1230/-0.35 %</t>
  </si>
  <si>
    <t>1223,33/1180,52</t>
  </si>
  <si>
    <t>21.08 steam turun 14 bar
21.11 steam ok</t>
  </si>
  <si>
    <t>16,5/17</t>
  </si>
  <si>
    <t>1210/1205,77</t>
  </si>
  <si>
    <t>1230/1225,7</t>
  </si>
  <si>
    <t>Slamet A</t>
  </si>
  <si>
    <t>MG 18 VP HW</t>
  </si>
  <si>
    <t>15+98*2+61</t>
  </si>
  <si>
    <t>60+72*2+60</t>
  </si>
  <si>
    <t>100*2+50+22</t>
  </si>
  <si>
    <t>103*2+54</t>
  </si>
  <si>
    <t>- Awal shift Prod  MG 17 HW, Speed 1210/-0.35 %</t>
  </si>
  <si>
    <t>- Awal shift Prod MG17HW
Speed awal : 1200/-0.35%</t>
  </si>
  <si>
    <t>- Awal shift Prod MG 17 HW, Speed 1230/-0.35 %
Speed Awal 1230/-MG.17 Gsm HW. 
Speed Awal; 1200 Mpm/-0,35 %</t>
  </si>
  <si>
    <t>- Awal shift Prod MG 17 HW, Speed 1200/-0.35 %</t>
  </si>
  <si>
    <t>- Awal shift Prod MG17HW
Speed awal : 1210/-0.35%</t>
  </si>
  <si>
    <t>Pm kurang lancar kertas sering putus sebelah FS turun speed 1200 mulai lancar</t>
  </si>
  <si>
    <t>- Awal shift Prod MG 17 HW, Speed 1210/-0.35 %</t>
  </si>
  <si>
    <t>1200/1195,8</t>
  </si>
  <si>
    <t>61*2+142</t>
  </si>
  <si>
    <t xml:space="preserve">Dicky </t>
  </si>
  <si>
    <t>- 18.05 pm kertas sering putus sebelah FS, pm turun speed 1200 mpm pm mulai lancar</t>
  </si>
  <si>
    <t>- 22.34 pm stop vaccum turbo trip</t>
  </si>
  <si>
    <t>- 23.30 On Reel Prod MG 16 HW, Speed 1200/-0.35 %</t>
  </si>
  <si>
    <t xml:space="preserve">- 05.00 Change Grade MG 14 HW Speed 1270/-035 % tidak lancar turun </t>
  </si>
  <si>
    <t>- 23.30 On Reel</t>
  </si>
  <si>
    <t>- Awal Shift PM Stop, Vacuum Turbo Tríp Cek Eid</t>
  </si>
  <si>
    <t>DT</t>
  </si>
  <si>
    <t>- Awal shift PM STOP</t>
  </si>
  <si>
    <t>1218/1214</t>
  </si>
  <si>
    <t>- Sheet Breaks (1x)</t>
  </si>
  <si>
    <t>MG 16 VP HW</t>
  </si>
  <si>
    <t>MG 14 VP OW/HW</t>
  </si>
  <si>
    <t>PM stop vaccum turbo trip</t>
  </si>
  <si>
    <t>MG 16</t>
  </si>
  <si>
    <t>- Awal shift Prod  MG 16 HW, Speed 1220/-0.35 %</t>
  </si>
  <si>
    <t>- Awal shift Prod  MG 16 HW, Speed 1210/-0.35 %</t>
  </si>
  <si>
    <t>16/14</t>
  </si>
  <si>
    <t xml:space="preserve">- 13.00 kertas putus² dari DS/FS </t>
  </si>
  <si>
    <t>- 13.30 PM speed turun 1270 ke 1250 Mpm.</t>
  </si>
  <si>
    <t>- Awal shift Prod  MG 14 HW, Speed 1270/-0.35 %</t>
  </si>
  <si>
    <t>- Awal shift pm kertas sering putus sebelah FS dan DS, pm turun speed 1220 mpm pm mulai lancar</t>
  </si>
  <si>
    <t>- Speed belum maksimal kertas masih ada putus sebelah FS dan DS,</t>
  </si>
  <si>
    <t>- Awal shift Prod  MG 14 HW, Speed 1220/-0.35 %</t>
  </si>
  <si>
    <t>- Speed blm target kertas masih sesekali putus.</t>
  </si>
  <si>
    <t>1266/1261</t>
  </si>
  <si>
    <t>1235/1231</t>
  </si>
  <si>
    <t>- Sheet Breaks (5x)</t>
  </si>
  <si>
    <t>- Sheet Breaks (10x)</t>
  </si>
  <si>
    <t>- 22.00 Change Grade MG 17 OW, Speed 1210/-0.35%</t>
  </si>
  <si>
    <t>- Awal shift Prod  MG 17 OW, Speed 1210/-0.35%</t>
  </si>
  <si>
    <t>- perbaikan crane</t>
  </si>
  <si>
    <t>1216/1211</t>
  </si>
  <si>
    <t>Perbaikan crane</t>
  </si>
  <si>
    <t>14/17</t>
  </si>
  <si>
    <t>22+60*4</t>
  </si>
  <si>
    <t>90*2+17+75</t>
  </si>
  <si>
    <t>- Awal shift Prod   MG 17 OW, Speed 1210/-0.35 %</t>
  </si>
  <si>
    <t>185+152+222+</t>
  </si>
  <si>
    <t xml:space="preserve">Change Grade F 13 : 21 Menit kertas hole sampai kertas acc. </t>
  </si>
  <si>
    <t>- 18.00 Change Grade F 13 HB, Speed 1650/-24%</t>
  </si>
  <si>
    <t>- Awal shift Prod  F 13 VP OW speed 1500/-24%</t>
  </si>
  <si>
    <t>1485/1235</t>
  </si>
  <si>
    <t>1500/1254</t>
  </si>
  <si>
    <t>1448/1231</t>
  </si>
  <si>
    <t>17/13</t>
  </si>
  <si>
    <t>128.5*2+15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</si>
</sst>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#,##0.000"/>
    <numFmt numFmtId="171" formatCode="_(* #,##0.0_);_(* \(#,##0.0\);_(* &quot;-&quot;??_);_(@_)"/>
    <numFmt numFmtId="172" formatCode="[$-409]d\-mmm\-yy;@"/>
    <numFmt numFmtId="173" formatCode="_(* #,##0.000_);_(* \(#,##0.000\);_(* &quot;-&quot;??_);_(@_)"/>
    <numFmt numFmtId="174" formatCode="#,##0.000_);\(#,##0.000\)"/>
    <numFmt numFmtId="175" formatCode="0.0"/>
    <numFmt numFmtId="176" formatCode="0.000"/>
    <numFmt numFmtId="177" formatCode="0_);[Red]\(0\)"/>
    <numFmt numFmtId="178" formatCode="_(* #,##0.00_);_(* \(#,##0.00\);_(* &quot;-&quot;_);_(@_)"/>
    <numFmt numFmtId="179" formatCode="_(* #,##0.0_);_(* \(#,##0.0\);_(* &quot;-&quot;_);_(@_)"/>
    <numFmt numFmtId="180" formatCode="[$-409]mmm\-yy;@"/>
    <numFmt numFmtId="181" formatCode="_(* #,##0.000_);_(* \(#,##0.000\);_(* &quot;-&quot;_);_(@_)"/>
    <numFmt numFmtId="182" formatCode="_-* #,##0.000_-;\-* #,##0.000_-;_-* &quot;-&quot;???_-;_-@_-"/>
  </numFmts>
  <fonts count="7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1"/>
    </font>
  </fonts>
  <fills count="5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C8E98"/>
        <bgColor indexed="64"/>
      </patternFill>
    </fill>
    <fill>
      <patternFill patternType="solid">
        <fgColor rgb="FF8C91FE"/>
        <bgColor indexed="64"/>
      </patternFill>
    </fill>
    <fill>
      <patternFill patternType="solid">
        <fgColor rgb="FFC9EE9C"/>
        <bgColor indexed="64"/>
      </patternFill>
    </fill>
    <fill>
      <patternFill patternType="solid">
        <fgColor rgb="FFEAA0C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4" tint="0.59999389629810485"/>
        <bgColor indexed="64"/>
      </patternFill>
    </fill>
  </fills>
  <borders count="10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71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1" fillId="3" borderId="0" applyNumberFormat="0" applyBorder="0" applyAlignment="0" applyProtection="0"/>
    <xf numFmtId="0" fontId="14" fillId="20" borderId="1" applyNumberFormat="0" applyAlignment="0" applyProtection="0"/>
    <xf numFmtId="0" fontId="19" fillId="21" borderId="2" applyNumberFormat="0" applyAlignment="0" applyProtection="0"/>
    <xf numFmtId="165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10" fillId="0" borderId="6" applyNumberFormat="0" applyFill="0" applyAlignment="0" applyProtection="0"/>
    <xf numFmtId="0" fontId="5" fillId="22" borderId="0" applyNumberFormat="0" applyBorder="0" applyAlignment="0" applyProtection="0"/>
    <xf numFmtId="0" fontId="50" fillId="0" borderId="0"/>
    <xf numFmtId="0" fontId="5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23" borderId="7" applyNumberFormat="0" applyFont="0" applyAlignment="0" applyProtection="0"/>
    <xf numFmtId="0" fontId="15" fillId="20" borderId="8" applyNumberFormat="0" applyAlignment="0" applyProtection="0"/>
    <xf numFmtId="9" fontId="47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47" fillId="0" borderId="0"/>
    <xf numFmtId="0" fontId="47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7" fillId="0" borderId="0"/>
    <xf numFmtId="0" fontId="47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43" fontId="71" fillId="0" borderId="0"/>
  </cellStyleXfs>
  <cellXfs count="1041">
    <xf numFmtId="0" fontId="0" fillId="0" borderId="0" xfId="0"/>
    <xf numFmtId="0" fontId="0" fillId="0" borderId="0" xfId="0" applyAlignment="1">
      <alignment horizontal="center"/>
    </xf>
    <xf numFmtId="0" fontId="30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30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30" fillId="0" borderId="18" xfId="0" applyFont="1" applyBorder="1"/>
    <xf numFmtId="165" fontId="30" fillId="0" borderId="18" xfId="28" applyFont="1" applyBorder="1"/>
    <xf numFmtId="165" fontId="0" fillId="0" borderId="0" xfId="0" applyNumberFormat="1"/>
    <xf numFmtId="170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30" fillId="0" borderId="11" xfId="0" applyNumberFormat="1" applyFont="1" applyBorder="1"/>
    <xf numFmtId="165" fontId="30" fillId="0" borderId="0" xfId="0" applyNumberFormat="1" applyFont="1"/>
    <xf numFmtId="165" fontId="30" fillId="0" borderId="18" xfId="28" applyFont="1" applyFill="1" applyBorder="1"/>
    <xf numFmtId="0" fontId="30" fillId="0" borderId="0" xfId="0" applyFont="1"/>
    <xf numFmtId="0" fontId="30" fillId="0" borderId="18" xfId="28" applyNumberFormat="1" applyFont="1" applyBorder="1"/>
    <xf numFmtId="0" fontId="29" fillId="24" borderId="11" xfId="0" quotePrefix="1" applyFont="1" applyFill="1" applyBorder="1"/>
    <xf numFmtId="0" fontId="43" fillId="0" borderId="0" xfId="0" applyFont="1"/>
    <xf numFmtId="0" fontId="44" fillId="0" borderId="0" xfId="0" applyFont="1" applyAlignment="1">
      <alignment horizontal="center" vertical="center" wrapText="1"/>
    </xf>
    <xf numFmtId="164" fontId="44" fillId="0" borderId="0" xfId="29" applyFont="1" applyFill="1" applyBorder="1" applyAlignment="1">
      <alignment horizontal="center" vertical="center" wrapText="1"/>
    </xf>
    <xf numFmtId="177" fontId="44" fillId="0" borderId="0" xfId="0" applyNumberFormat="1" applyFont="1" applyAlignment="1">
      <alignment horizontal="center" vertical="center" wrapText="1"/>
    </xf>
    <xf numFmtId="178" fontId="44" fillId="0" borderId="0" xfId="29" applyNumberFormat="1" applyFont="1" applyFill="1" applyBorder="1" applyAlignment="1">
      <alignment horizontal="center" vertical="center" wrapText="1"/>
    </xf>
    <xf numFmtId="166" fontId="44" fillId="0" borderId="0" xfId="52" applyNumberFormat="1" applyFont="1" applyFill="1" applyBorder="1" applyAlignment="1">
      <alignment horizontal="center" vertical="center" wrapText="1"/>
    </xf>
    <xf numFmtId="0" fontId="45" fillId="0" borderId="0" xfId="0" applyFont="1"/>
    <xf numFmtId="0" fontId="45" fillId="0" borderId="14" xfId="0" applyFont="1" applyBorder="1" applyAlignment="1">
      <alignment horizontal="center" vertical="center" wrapText="1"/>
    </xf>
    <xf numFmtId="164" fontId="45" fillId="0" borderId="14" xfId="29" applyFont="1" applyFill="1" applyBorder="1" applyAlignment="1">
      <alignment horizontal="center" vertical="center" wrapText="1"/>
    </xf>
    <xf numFmtId="178" fontId="44" fillId="0" borderId="11" xfId="29" applyNumberFormat="1" applyFont="1" applyFill="1" applyBorder="1" applyAlignment="1">
      <alignment horizontal="center"/>
    </xf>
    <xf numFmtId="0" fontId="44" fillId="0" borderId="0" xfId="0" applyFont="1"/>
    <xf numFmtId="0" fontId="45" fillId="25" borderId="14" xfId="0" applyFont="1" applyFill="1" applyBorder="1" applyAlignment="1">
      <alignment horizontal="center" vertical="center" wrapText="1"/>
    </xf>
    <xf numFmtId="177" fontId="45" fillId="0" borderId="14" xfId="0" applyNumberFormat="1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4" fillId="0" borderId="11" xfId="0" applyFont="1" applyBorder="1"/>
    <xf numFmtId="164" fontId="44" fillId="0" borderId="11" xfId="29" applyFont="1" applyFill="1" applyBorder="1" applyAlignment="1">
      <alignment vertical="center"/>
    </xf>
    <xf numFmtId="177" fontId="44" fillId="0" borderId="11" xfId="0" applyNumberFormat="1" applyFont="1" applyBorder="1"/>
    <xf numFmtId="164" fontId="44" fillId="0" borderId="11" xfId="29" applyFont="1" applyFill="1" applyBorder="1" applyAlignment="1">
      <alignment horizontal="center"/>
    </xf>
    <xf numFmtId="178" fontId="44" fillId="0" borderId="11" xfId="29" applyNumberFormat="1" applyFont="1" applyFill="1" applyBorder="1" applyAlignment="1">
      <alignment vertical="center"/>
    </xf>
    <xf numFmtId="166" fontId="44" fillId="0" borderId="11" xfId="52" applyNumberFormat="1" applyFont="1" applyFill="1" applyBorder="1" applyAlignment="1">
      <alignment vertical="center"/>
    </xf>
    <xf numFmtId="0" fontId="44" fillId="0" borderId="11" xfId="0" applyFont="1" applyBorder="1" applyAlignment="1">
      <alignment wrapText="1"/>
    </xf>
    <xf numFmtId="172" fontId="41" fillId="0" borderId="11" xfId="46" applyNumberFormat="1" applyFont="1" applyBorder="1" applyAlignment="1">
      <alignment horizontal="center"/>
    </xf>
    <xf numFmtId="0" fontId="41" fillId="0" borderId="11" xfId="46" applyFont="1" applyBorder="1" applyAlignment="1">
      <alignment horizontal="center"/>
    </xf>
    <xf numFmtId="0" fontId="41" fillId="0" borderId="11" xfId="31" applyNumberFormat="1" applyFont="1" applyFill="1" applyBorder="1" applyAlignment="1">
      <alignment horizontal="center"/>
    </xf>
    <xf numFmtId="0" fontId="44" fillId="0" borderId="11" xfId="0" applyFont="1" applyBorder="1" applyAlignment="1">
      <alignment horizontal="center" vertical="center" wrapText="1"/>
    </xf>
    <xf numFmtId="9" fontId="44" fillId="0" borderId="11" xfId="0" applyNumberFormat="1" applyFont="1" applyBorder="1" applyAlignment="1">
      <alignment horizontal="center" vertical="center" wrapText="1"/>
    </xf>
    <xf numFmtId="9" fontId="44" fillId="0" borderId="11" xfId="29" applyNumberFormat="1" applyFont="1" applyFill="1" applyBorder="1" applyAlignment="1">
      <alignment vertical="center"/>
    </xf>
    <xf numFmtId="9" fontId="44" fillId="0" borderId="11" xfId="52" applyFont="1" applyFill="1" applyBorder="1" applyAlignment="1">
      <alignment vertical="center"/>
    </xf>
    <xf numFmtId="164" fontId="41" fillId="0" borderId="11" xfId="29" applyFont="1" applyFill="1" applyBorder="1" applyAlignment="1">
      <alignment horizontal="center"/>
    </xf>
    <xf numFmtId="178" fontId="41" fillId="0" borderId="11" xfId="29" applyNumberFormat="1" applyFont="1" applyFill="1" applyBorder="1" applyAlignment="1">
      <alignment horizontal="center"/>
    </xf>
    <xf numFmtId="178" fontId="44" fillId="0" borderId="11" xfId="29" applyNumberFormat="1" applyFont="1" applyBorder="1" applyAlignment="1">
      <alignment vertical="center"/>
    </xf>
    <xf numFmtId="2" fontId="44" fillId="0" borderId="11" xfId="0" applyNumberFormat="1" applyFont="1" applyBorder="1"/>
    <xf numFmtId="2" fontId="41" fillId="0" borderId="11" xfId="48" applyNumberFormat="1" applyFont="1" applyBorder="1"/>
    <xf numFmtId="178" fontId="45" fillId="0" borderId="11" xfId="29" applyNumberFormat="1" applyFont="1" applyFill="1" applyBorder="1" applyAlignment="1">
      <alignment vertical="center"/>
    </xf>
    <xf numFmtId="2" fontId="38" fillId="0" borderId="11" xfId="48" applyNumberFormat="1" applyFont="1" applyBorder="1"/>
    <xf numFmtId="0" fontId="44" fillId="0" borderId="11" xfId="0" applyFont="1" applyBorder="1" applyAlignment="1">
      <alignment horizontal="center" wrapText="1"/>
    </xf>
    <xf numFmtId="9" fontId="44" fillId="0" borderId="11" xfId="0" applyNumberFormat="1" applyFont="1" applyBorder="1" applyAlignment="1">
      <alignment horizontal="center" wrapText="1"/>
    </xf>
    <xf numFmtId="2" fontId="47" fillId="0" borderId="11" xfId="45" applyNumberFormat="1" applyBorder="1"/>
    <xf numFmtId="0" fontId="25" fillId="24" borderId="11" xfId="44" applyFont="1" applyFill="1" applyBorder="1"/>
    <xf numFmtId="178" fontId="44" fillId="0" borderId="0" xfId="29" applyNumberFormat="1" applyFont="1" applyFill="1" applyBorder="1" applyAlignment="1">
      <alignment vertical="center"/>
    </xf>
    <xf numFmtId="0" fontId="44" fillId="0" borderId="0" xfId="0" applyFont="1" applyAlignment="1">
      <alignment horizontal="center"/>
    </xf>
    <xf numFmtId="177" fontId="44" fillId="0" borderId="0" xfId="0" applyNumberFormat="1" applyFont="1"/>
    <xf numFmtId="172" fontId="41" fillId="0" borderId="11" xfId="43" applyNumberFormat="1" applyFont="1" applyBorder="1" applyAlignment="1">
      <alignment horizontal="center"/>
    </xf>
    <xf numFmtId="0" fontId="41" fillId="0" borderId="11" xfId="43" applyFont="1" applyBorder="1" applyAlignment="1">
      <alignment horizontal="center"/>
    </xf>
    <xf numFmtId="0" fontId="41" fillId="0" borderId="11" xfId="30" applyNumberFormat="1" applyFont="1" applyFill="1" applyBorder="1" applyAlignment="1">
      <alignment horizontal="center"/>
    </xf>
    <xf numFmtId="164" fontId="45" fillId="0" borderId="11" xfId="29" applyFont="1" applyFill="1" applyBorder="1" applyAlignment="1">
      <alignment vertical="center"/>
    </xf>
    <xf numFmtId="9" fontId="45" fillId="25" borderId="11" xfId="29" applyNumberFormat="1" applyFont="1" applyFill="1" applyBorder="1" applyAlignment="1">
      <alignment vertical="center"/>
    </xf>
    <xf numFmtId="178" fontId="45" fillId="25" borderId="11" xfId="29" applyNumberFormat="1" applyFont="1" applyFill="1" applyBorder="1" applyAlignment="1">
      <alignment vertical="center"/>
    </xf>
    <xf numFmtId="177" fontId="45" fillId="0" borderId="11" xfId="0" applyNumberFormat="1" applyFont="1" applyBorder="1"/>
    <xf numFmtId="0" fontId="45" fillId="0" borderId="11" xfId="0" applyFont="1" applyBorder="1"/>
    <xf numFmtId="164" fontId="45" fillId="25" borderId="11" xfId="29" applyFont="1" applyFill="1" applyBorder="1" applyAlignment="1">
      <alignment horizontal="center"/>
    </xf>
    <xf numFmtId="0" fontId="44" fillId="0" borderId="11" xfId="49" applyFont="1" applyBorder="1"/>
    <xf numFmtId="10" fontId="45" fillId="25" borderId="11" xfId="52" applyNumberFormat="1" applyFont="1" applyFill="1" applyBorder="1" applyAlignment="1">
      <alignment vertical="center"/>
    </xf>
    <xf numFmtId="166" fontId="45" fillId="25" borderId="11" xfId="52" applyNumberFormat="1" applyFont="1" applyFill="1" applyBorder="1" applyAlignment="1">
      <alignment vertical="center"/>
    </xf>
    <xf numFmtId="165" fontId="45" fillId="0" borderId="11" xfId="0" applyNumberFormat="1" applyFont="1" applyBorder="1" applyAlignment="1">
      <alignment horizontal="right"/>
    </xf>
    <xf numFmtId="172" fontId="41" fillId="0" borderId="0" xfId="43" applyNumberFormat="1" applyFont="1" applyAlignment="1">
      <alignment horizontal="center"/>
    </xf>
    <xf numFmtId="0" fontId="41" fillId="0" borderId="0" xfId="43" applyFont="1" applyAlignment="1">
      <alignment horizontal="center"/>
    </xf>
    <xf numFmtId="0" fontId="41" fillId="0" borderId="0" xfId="30" applyNumberFormat="1" applyFont="1" applyFill="1" applyBorder="1" applyAlignment="1">
      <alignment horizontal="center"/>
    </xf>
    <xf numFmtId="164" fontId="44" fillId="0" borderId="0" xfId="29" applyFont="1" applyFill="1" applyBorder="1" applyAlignment="1">
      <alignment vertical="center"/>
    </xf>
    <xf numFmtId="164" fontId="44" fillId="0" borderId="0" xfId="29" applyFont="1" applyFill="1" applyBorder="1" applyAlignment="1">
      <alignment horizontal="center"/>
    </xf>
    <xf numFmtId="178" fontId="44" fillId="0" borderId="0" xfId="29" applyNumberFormat="1" applyFont="1" applyFill="1" applyBorder="1" applyAlignment="1">
      <alignment horizontal="center"/>
    </xf>
    <xf numFmtId="165" fontId="45" fillId="0" borderId="0" xfId="0" applyNumberFormat="1" applyFont="1" applyAlignment="1">
      <alignment horizontal="right"/>
    </xf>
    <xf numFmtId="178" fontId="45" fillId="0" borderId="0" xfId="29" applyNumberFormat="1" applyFont="1" applyFill="1" applyBorder="1" applyAlignment="1">
      <alignment horizontal="right"/>
    </xf>
    <xf numFmtId="166" fontId="45" fillId="0" borderId="0" xfId="52" applyNumberFormat="1" applyFont="1" applyFill="1" applyBorder="1" applyAlignment="1">
      <alignment vertical="center"/>
    </xf>
    <xf numFmtId="0" fontId="44" fillId="0" borderId="0" xfId="0" applyFont="1" applyAlignment="1">
      <alignment wrapText="1"/>
    </xf>
    <xf numFmtId="0" fontId="45" fillId="0" borderId="0" xfId="52" applyNumberFormat="1" applyFont="1" applyFill="1" applyBorder="1" applyAlignment="1">
      <alignment vertical="center"/>
    </xf>
    <xf numFmtId="165" fontId="44" fillId="0" borderId="0" xfId="29" applyNumberFormat="1" applyFont="1" applyFill="1" applyBorder="1" applyAlignment="1">
      <alignment horizontal="center" vertical="center" wrapText="1"/>
    </xf>
    <xf numFmtId="165" fontId="45" fillId="0" borderId="14" xfId="0" applyNumberFormat="1" applyFont="1" applyBorder="1" applyAlignment="1">
      <alignment horizontal="center" vertical="center" wrapText="1"/>
    </xf>
    <xf numFmtId="165" fontId="44" fillId="0" borderId="11" xfId="29" applyNumberFormat="1" applyFont="1" applyFill="1" applyBorder="1" applyAlignment="1">
      <alignment vertical="center"/>
    </xf>
    <xf numFmtId="165" fontId="44" fillId="0" borderId="0" xfId="0" applyNumberFormat="1" applyFont="1"/>
    <xf numFmtId="165" fontId="45" fillId="25" borderId="11" xfId="29" applyNumberFormat="1" applyFont="1" applyFill="1" applyBorder="1" applyAlignment="1">
      <alignment vertical="center"/>
    </xf>
    <xf numFmtId="165" fontId="45" fillId="0" borderId="11" xfId="29" applyNumberFormat="1" applyFont="1" applyFill="1" applyBorder="1" applyAlignment="1">
      <alignment vertical="center"/>
    </xf>
    <xf numFmtId="165" fontId="44" fillId="0" borderId="0" xfId="29" applyNumberFormat="1" applyFont="1" applyFill="1" applyBorder="1" applyAlignment="1">
      <alignment vertical="center"/>
    </xf>
    <xf numFmtId="179" fontId="52" fillId="0" borderId="11" xfId="29" applyNumberFormat="1" applyFont="1" applyFill="1" applyBorder="1" applyAlignment="1">
      <alignment vertical="center"/>
    </xf>
    <xf numFmtId="166" fontId="52" fillId="0" borderId="0" xfId="53" applyNumberFormat="1" applyFont="1" applyFill="1" applyBorder="1" applyAlignment="1">
      <alignment vertical="center"/>
    </xf>
    <xf numFmtId="178" fontId="51" fillId="0" borderId="11" xfId="29" applyNumberFormat="1" applyFont="1" applyFill="1" applyBorder="1" applyAlignment="1">
      <alignment vertical="center"/>
    </xf>
    <xf numFmtId="10" fontId="52" fillId="25" borderId="11" xfId="52" applyNumberFormat="1" applyFont="1" applyFill="1" applyBorder="1"/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4" fillId="0" borderId="0" xfId="0" applyNumberFormat="1" applyFont="1"/>
    <xf numFmtId="15" fontId="45" fillId="0" borderId="0" xfId="0" applyNumberFormat="1" applyFont="1"/>
    <xf numFmtId="17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9" fillId="24" borderId="33" xfId="28" applyFont="1" applyFill="1" applyBorder="1" applyAlignment="1" applyProtection="1">
      <alignment horizontal="center" vertical="center"/>
    </xf>
    <xf numFmtId="165" fontId="29" fillId="24" borderId="34" xfId="28" applyFont="1" applyFill="1" applyBorder="1" applyAlignment="1" applyProtection="1">
      <alignment horizontal="center" vertical="center"/>
    </xf>
    <xf numFmtId="165" fontId="29" fillId="24" borderId="35" xfId="28" applyFont="1" applyFill="1" applyBorder="1" applyAlignment="1" applyProtection="1">
      <alignment horizontal="center" vertical="center"/>
    </xf>
    <xf numFmtId="165" fontId="29" fillId="24" borderId="36" xfId="28" applyFont="1" applyFill="1" applyBorder="1" applyAlignment="1" applyProtection="1">
      <alignment horizontal="center" vertical="center"/>
    </xf>
    <xf numFmtId="166" fontId="29" fillId="24" borderId="37" xfId="52" applyNumberFormat="1" applyFont="1" applyFill="1" applyBorder="1" applyAlignment="1" applyProtection="1">
      <alignment horizontal="center" vertical="center"/>
    </xf>
    <xf numFmtId="166" fontId="29" fillId="24" borderId="30" xfId="52" applyNumberFormat="1" applyFont="1" applyFill="1" applyBorder="1" applyAlignment="1" applyProtection="1">
      <alignment horizontal="center" vertical="center"/>
    </xf>
    <xf numFmtId="166" fontId="29" fillId="24" borderId="38" xfId="52" applyNumberFormat="1" applyFont="1" applyFill="1" applyBorder="1" applyAlignment="1" applyProtection="1">
      <alignment horizontal="center" vertical="center"/>
    </xf>
    <xf numFmtId="165" fontId="29" fillId="24" borderId="39" xfId="28" applyFont="1" applyFill="1" applyBorder="1" applyAlignment="1" applyProtection="1">
      <alignment horizontal="center" vertical="center"/>
    </xf>
    <xf numFmtId="165" fontId="29" fillId="24" borderId="39" xfId="28" applyFont="1" applyFill="1" applyBorder="1" applyAlignment="1" applyProtection="1">
      <alignment horizontal="center"/>
    </xf>
    <xf numFmtId="165" fontId="29" fillId="24" borderId="40" xfId="28" applyFont="1" applyFill="1" applyBorder="1" applyAlignment="1" applyProtection="1">
      <alignment horizontal="center"/>
    </xf>
    <xf numFmtId="166" fontId="29" fillId="24" borderId="41" xfId="52" applyNumberFormat="1" applyFont="1" applyFill="1" applyBorder="1" applyAlignment="1" applyProtection="1">
      <alignment horizontal="center" vertical="center"/>
    </xf>
    <xf numFmtId="165" fontId="25" fillId="24" borderId="0" xfId="28" applyFont="1" applyFill="1" applyProtection="1"/>
    <xf numFmtId="165" fontId="29" fillId="24" borderId="15" xfId="28" applyFont="1" applyFill="1" applyBorder="1" applyAlignment="1" applyProtection="1">
      <alignment horizontal="center" vertical="center"/>
    </xf>
    <xf numFmtId="165" fontId="29" fillId="24" borderId="42" xfId="28" applyFont="1" applyFill="1" applyBorder="1" applyAlignment="1" applyProtection="1">
      <alignment horizontal="center" vertical="center"/>
    </xf>
    <xf numFmtId="166" fontId="29" fillId="24" borderId="36" xfId="52" applyNumberFormat="1" applyFont="1" applyFill="1" applyBorder="1" applyAlignment="1" applyProtection="1">
      <alignment horizontal="center" vertical="center"/>
    </xf>
    <xf numFmtId="166" fontId="29" fillId="24" borderId="15" xfId="52" applyNumberFormat="1" applyFont="1" applyFill="1" applyBorder="1" applyAlignment="1" applyProtection="1">
      <alignment horizontal="center" vertical="center"/>
    </xf>
    <xf numFmtId="166" fontId="29" fillId="24" borderId="35" xfId="52" applyNumberFormat="1" applyFont="1" applyFill="1" applyBorder="1" applyAlignment="1" applyProtection="1">
      <alignment horizontal="center" vertical="center"/>
    </xf>
    <xf numFmtId="165" fontId="29" fillId="24" borderId="36" xfId="28" applyFont="1" applyFill="1" applyBorder="1" applyAlignment="1" applyProtection="1">
      <alignment horizontal="center"/>
    </xf>
    <xf numFmtId="165" fontId="29" fillId="24" borderId="43" xfId="28" applyFont="1" applyFill="1" applyBorder="1" applyAlignment="1" applyProtection="1">
      <alignment horizontal="center"/>
    </xf>
    <xf numFmtId="165" fontId="29" fillId="24" borderId="11" xfId="28" applyFont="1" applyFill="1" applyBorder="1" applyAlignment="1" applyProtection="1">
      <alignment horizontal="center"/>
    </xf>
    <xf numFmtId="165" fontId="29" fillId="24" borderId="44" xfId="28" applyFont="1" applyFill="1" applyBorder="1" applyAlignment="1" applyProtection="1">
      <alignment horizontal="center"/>
    </xf>
    <xf numFmtId="165" fontId="29" fillId="24" borderId="38" xfId="28" applyFont="1" applyFill="1" applyBorder="1" applyAlignment="1" applyProtection="1">
      <alignment horizontal="center"/>
    </xf>
    <xf numFmtId="0" fontId="29" fillId="24" borderId="45" xfId="0" applyFont="1" applyFill="1" applyBorder="1" applyAlignment="1">
      <alignment horizontal="left"/>
    </xf>
    <xf numFmtId="0" fontId="29" fillId="24" borderId="46" xfId="0" applyFont="1" applyFill="1" applyBorder="1" applyAlignment="1">
      <alignment horizontal="left"/>
    </xf>
    <xf numFmtId="0" fontId="29" fillId="24" borderId="47" xfId="0" applyFont="1" applyFill="1" applyBorder="1" applyAlignment="1">
      <alignment horizontal="left"/>
    </xf>
    <xf numFmtId="165" fontId="29" fillId="24" borderId="27" xfId="0" applyNumberFormat="1" applyFont="1" applyFill="1" applyBorder="1" applyAlignment="1">
      <alignment horizontal="left"/>
    </xf>
    <xf numFmtId="165" fontId="29" fillId="24" borderId="21" xfId="28" applyFont="1" applyFill="1" applyBorder="1" applyAlignment="1" applyProtection="1">
      <alignment horizontal="right" vertical="center"/>
    </xf>
    <xf numFmtId="0" fontId="29" fillId="24" borderId="48" xfId="0" applyFont="1" applyFill="1" applyBorder="1" applyAlignment="1">
      <alignment horizontal="center"/>
    </xf>
    <xf numFmtId="165" fontId="29" fillId="24" borderId="17" xfId="28" applyFont="1" applyFill="1" applyBorder="1" applyAlignment="1" applyProtection="1">
      <alignment horizontal="right" vertical="center"/>
    </xf>
    <xf numFmtId="0" fontId="29" fillId="24" borderId="49" xfId="0" applyFont="1" applyFill="1" applyBorder="1" applyAlignment="1">
      <alignment horizontal="center"/>
    </xf>
    <xf numFmtId="165" fontId="29" fillId="0" borderId="11" xfId="28" applyFont="1" applyFill="1" applyBorder="1" applyAlignment="1" applyProtection="1">
      <alignment horizontal="right"/>
    </xf>
    <xf numFmtId="0" fontId="29" fillId="24" borderId="50" xfId="0" applyFont="1" applyFill="1" applyBorder="1" applyAlignment="1">
      <alignment horizontal="center"/>
    </xf>
    <xf numFmtId="165" fontId="29" fillId="24" borderId="11" xfId="28" applyFont="1" applyFill="1" applyBorder="1" applyAlignment="1" applyProtection="1">
      <alignment horizontal="right" vertical="center"/>
    </xf>
    <xf numFmtId="165" fontId="25" fillId="20" borderId="11" xfId="28" applyFont="1" applyFill="1" applyBorder="1" applyAlignment="1" applyProtection="1">
      <alignment horizontal="right"/>
    </xf>
    <xf numFmtId="165" fontId="29" fillId="24" borderId="11" xfId="28" applyFont="1" applyFill="1" applyBorder="1" applyAlignment="1" applyProtection="1">
      <alignment horizontal="right"/>
    </xf>
    <xf numFmtId="174" fontId="29" fillId="24" borderId="11" xfId="28" applyNumberFormat="1" applyFont="1" applyFill="1" applyBorder="1" applyAlignment="1" applyProtection="1">
      <alignment horizontal="right"/>
    </xf>
    <xf numFmtId="39" fontId="29" fillId="24" borderId="11" xfId="28" applyNumberFormat="1" applyFont="1" applyFill="1" applyBorder="1" applyAlignment="1" applyProtection="1">
      <alignment horizontal="right"/>
    </xf>
    <xf numFmtId="165" fontId="29" fillId="24" borderId="14" xfId="28" applyFont="1" applyFill="1" applyBorder="1" applyAlignment="1" applyProtection="1">
      <alignment horizontal="right"/>
    </xf>
    <xf numFmtId="0" fontId="29" fillId="24" borderId="51" xfId="0" applyFont="1" applyFill="1" applyBorder="1" applyAlignment="1">
      <alignment horizontal="center"/>
    </xf>
    <xf numFmtId="165" fontId="29" fillId="24" borderId="23" xfId="0" applyNumberFormat="1" applyFont="1" applyFill="1" applyBorder="1" applyAlignment="1">
      <alignment horizontal="right"/>
    </xf>
    <xf numFmtId="0" fontId="29" fillId="24" borderId="24" xfId="0" applyFont="1" applyFill="1" applyBorder="1" applyAlignment="1">
      <alignment horizontal="center"/>
    </xf>
    <xf numFmtId="165" fontId="29" fillId="24" borderId="11" xfId="28" applyFont="1" applyFill="1" applyBorder="1" applyProtection="1"/>
    <xf numFmtId="165" fontId="29" fillId="24" borderId="14" xfId="28" applyFont="1" applyFill="1" applyBorder="1" applyProtection="1"/>
    <xf numFmtId="165" fontId="25" fillId="20" borderId="11" xfId="28" applyFont="1" applyFill="1" applyBorder="1" applyProtection="1"/>
    <xf numFmtId="165" fontId="29" fillId="24" borderId="50" xfId="28" applyFont="1" applyFill="1" applyBorder="1" applyAlignment="1" applyProtection="1">
      <alignment horizontal="center"/>
    </xf>
    <xf numFmtId="165" fontId="29" fillId="24" borderId="21" xfId="28" applyFont="1" applyFill="1" applyBorder="1" applyAlignment="1" applyProtection="1">
      <alignment horizontal="center"/>
    </xf>
    <xf numFmtId="165" fontId="29" fillId="24" borderId="48" xfId="28" applyFont="1" applyFill="1" applyBorder="1" applyAlignment="1" applyProtection="1">
      <alignment horizontal="center"/>
    </xf>
    <xf numFmtId="166" fontId="29" fillId="24" borderId="23" xfId="52" applyNumberFormat="1" applyFont="1" applyFill="1" applyBorder="1" applyProtection="1"/>
    <xf numFmtId="166" fontId="29" fillId="24" borderId="24" xfId="52" applyNumberFormat="1" applyFont="1" applyFill="1" applyBorder="1" applyProtection="1"/>
    <xf numFmtId="0" fontId="22" fillId="0" borderId="0" xfId="0" applyFont="1"/>
    <xf numFmtId="0" fontId="25" fillId="24" borderId="0" xfId="0" applyFont="1" applyFill="1"/>
    <xf numFmtId="0" fontId="23" fillId="0" borderId="0" xfId="0" applyFont="1"/>
    <xf numFmtId="0" fontId="24" fillId="0" borderId="0" xfId="0" applyFont="1"/>
    <xf numFmtId="0" fontId="26" fillId="24" borderId="0" xfId="0" applyFont="1" applyFill="1"/>
    <xf numFmtId="165" fontId="27" fillId="24" borderId="0" xfId="28" applyFont="1" applyFill="1" applyAlignment="1" applyProtection="1">
      <alignment horizontal="right"/>
    </xf>
    <xf numFmtId="0" fontId="28" fillId="24" borderId="0" xfId="0" applyFont="1" applyFill="1"/>
    <xf numFmtId="165" fontId="25" fillId="24" borderId="0" xfId="0" applyNumberFormat="1" applyFont="1" applyFill="1"/>
    <xf numFmtId="0" fontId="29" fillId="24" borderId="33" xfId="0" applyFont="1" applyFill="1" applyBorder="1" applyAlignment="1">
      <alignment horizontal="center" vertical="center"/>
    </xf>
    <xf numFmtId="0" fontId="29" fillId="24" borderId="15" xfId="0" applyFont="1" applyFill="1" applyBorder="1" applyAlignment="1">
      <alignment horizontal="center" vertical="center"/>
    </xf>
    <xf numFmtId="0" fontId="29" fillId="24" borderId="42" xfId="0" applyFont="1" applyFill="1" applyBorder="1" applyAlignment="1">
      <alignment horizontal="center" vertical="center"/>
    </xf>
    <xf numFmtId="0" fontId="29" fillId="24" borderId="52" xfId="0" applyFont="1" applyFill="1" applyBorder="1" applyAlignment="1">
      <alignment horizontal="center"/>
    </xf>
    <xf numFmtId="0" fontId="29" fillId="24" borderId="42" xfId="0" applyFont="1" applyFill="1" applyBorder="1" applyAlignment="1">
      <alignment horizontal="center" wrapText="1"/>
    </xf>
    <xf numFmtId="0" fontId="29" fillId="24" borderId="33" xfId="0" applyFont="1" applyFill="1" applyBorder="1" applyAlignment="1">
      <alignment horizontal="center"/>
    </xf>
    <xf numFmtId="0" fontId="29" fillId="24" borderId="15" xfId="0" applyFont="1" applyFill="1" applyBorder="1" applyAlignment="1">
      <alignment horizontal="center"/>
    </xf>
    <xf numFmtId="0" fontId="29" fillId="24" borderId="35" xfId="0" applyFont="1" applyFill="1" applyBorder="1" applyAlignment="1">
      <alignment horizontal="center"/>
    </xf>
    <xf numFmtId="165" fontId="29" fillId="24" borderId="11" xfId="0" applyNumberFormat="1" applyFont="1" applyFill="1" applyBorder="1" applyAlignment="1">
      <alignment horizontal="center"/>
    </xf>
    <xf numFmtId="0" fontId="29" fillId="24" borderId="53" xfId="0" applyFont="1" applyFill="1" applyBorder="1" applyAlignment="1">
      <alignment horizontal="left" vertical="center"/>
    </xf>
    <xf numFmtId="0" fontId="29" fillId="24" borderId="54" xfId="0" quotePrefix="1" applyFont="1" applyFill="1" applyBorder="1"/>
    <xf numFmtId="0" fontId="29" fillId="24" borderId="35" xfId="0" applyFont="1" applyFill="1" applyBorder="1" applyAlignment="1">
      <alignment vertical="center" wrapText="1"/>
    </xf>
    <xf numFmtId="0" fontId="29" fillId="24" borderId="30" xfId="0" applyFont="1" applyFill="1" applyBorder="1" applyAlignment="1">
      <alignment horizontal="left" vertical="center"/>
    </xf>
    <xf numFmtId="0" fontId="29" fillId="24" borderId="41" xfId="0" applyFont="1" applyFill="1" applyBorder="1" applyAlignment="1">
      <alignment vertical="center" wrapText="1"/>
    </xf>
    <xf numFmtId="0" fontId="29" fillId="24" borderId="55" xfId="0" applyFont="1" applyFill="1" applyBorder="1" applyAlignment="1">
      <alignment horizontal="left" vertical="center"/>
    </xf>
    <xf numFmtId="0" fontId="29" fillId="24" borderId="54" xfId="0" applyFont="1" applyFill="1" applyBorder="1" applyAlignment="1">
      <alignment horizontal="center"/>
    </xf>
    <xf numFmtId="0" fontId="29" fillId="24" borderId="54" xfId="0" applyFont="1" applyFill="1" applyBorder="1"/>
    <xf numFmtId="0" fontId="29" fillId="24" borderId="56" xfId="0" applyFont="1" applyFill="1" applyBorder="1" applyAlignment="1">
      <alignment horizontal="center" vertical="center"/>
    </xf>
    <xf numFmtId="0" fontId="29" fillId="24" borderId="46" xfId="0" applyFont="1" applyFill="1" applyBorder="1" applyAlignment="1">
      <alignment horizontal="left" vertical="center"/>
    </xf>
    <xf numFmtId="0" fontId="29" fillId="24" borderId="29" xfId="0" applyFont="1" applyFill="1" applyBorder="1" applyAlignment="1">
      <alignment horizontal="center"/>
    </xf>
    <xf numFmtId="0" fontId="29" fillId="24" borderId="0" xfId="0" applyFont="1" applyFill="1"/>
    <xf numFmtId="0" fontId="29" fillId="24" borderId="0" xfId="0" applyFont="1" applyFill="1" applyAlignment="1">
      <alignment horizontal="center" vertical="center" wrapText="1"/>
    </xf>
    <xf numFmtId="0" fontId="29" fillId="24" borderId="0" xfId="0" applyFont="1" applyFill="1" applyAlignment="1">
      <alignment horizontal="center"/>
    </xf>
    <xf numFmtId="0" fontId="29" fillId="24" borderId="37" xfId="0" applyFont="1" applyFill="1" applyBorder="1" applyAlignment="1">
      <alignment horizontal="center"/>
    </xf>
    <xf numFmtId="0" fontId="29" fillId="24" borderId="41" xfId="0" applyFont="1" applyFill="1" applyBorder="1" applyAlignment="1">
      <alignment horizontal="center"/>
    </xf>
    <xf numFmtId="0" fontId="25" fillId="24" borderId="33" xfId="0" applyFont="1" applyFill="1" applyBorder="1"/>
    <xf numFmtId="0" fontId="25" fillId="24" borderId="42" xfId="0" applyFont="1" applyFill="1" applyBorder="1"/>
    <xf numFmtId="0" fontId="29" fillId="24" borderId="15" xfId="0" applyFont="1" applyFill="1" applyBorder="1"/>
    <xf numFmtId="0" fontId="29" fillId="24" borderId="42" xfId="0" applyFont="1" applyFill="1" applyBorder="1" applyAlignment="1">
      <alignment horizontal="center"/>
    </xf>
    <xf numFmtId="165" fontId="25" fillId="24" borderId="0" xfId="28" applyFont="1" applyFill="1" applyBorder="1" applyProtection="1"/>
    <xf numFmtId="0" fontId="25" fillId="24" borderId="57" xfId="0" applyFont="1" applyFill="1" applyBorder="1" applyAlignment="1">
      <alignment horizontal="center"/>
    </xf>
    <xf numFmtId="0" fontId="25" fillId="24" borderId="10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165" fontId="29" fillId="24" borderId="0" xfId="28" applyFont="1" applyFill="1" applyBorder="1" applyProtection="1"/>
    <xf numFmtId="0" fontId="29" fillId="24" borderId="12" xfId="0" applyFont="1" applyFill="1" applyBorder="1" applyAlignment="1">
      <alignment horizontal="center"/>
    </xf>
    <xf numFmtId="0" fontId="29" fillId="24" borderId="58" xfId="0" applyFont="1" applyFill="1" applyBorder="1" applyAlignment="1">
      <alignment horizontal="center"/>
    </xf>
    <xf numFmtId="165" fontId="29" fillId="24" borderId="23" xfId="0" applyNumberFormat="1" applyFont="1" applyFill="1" applyBorder="1"/>
    <xf numFmtId="2" fontId="25" fillId="24" borderId="0" xfId="0" applyNumberFormat="1" applyFont="1" applyFill="1"/>
    <xf numFmtId="0" fontId="29" fillId="24" borderId="59" xfId="0" applyFont="1" applyFill="1" applyBorder="1"/>
    <xf numFmtId="0" fontId="29" fillId="24" borderId="60" xfId="0" applyFont="1" applyFill="1" applyBorder="1" applyAlignment="1">
      <alignment horizontal="left"/>
    </xf>
    <xf numFmtId="0" fontId="25" fillId="24" borderId="60" xfId="0" applyFont="1" applyFill="1" applyBorder="1"/>
    <xf numFmtId="165" fontId="25" fillId="24" borderId="60" xfId="28" applyFont="1" applyFill="1" applyBorder="1" applyProtection="1"/>
    <xf numFmtId="0" fontId="25" fillId="24" borderId="32" xfId="0" applyFont="1" applyFill="1" applyBorder="1"/>
    <xf numFmtId="0" fontId="25" fillId="24" borderId="11" xfId="0" applyFont="1" applyFill="1" applyBorder="1"/>
    <xf numFmtId="165" fontId="25" fillId="24" borderId="11" xfId="0" applyNumberFormat="1" applyFont="1" applyFill="1" applyBorder="1"/>
    <xf numFmtId="166" fontId="25" fillId="24" borderId="11" xfId="52" applyNumberFormat="1" applyFont="1" applyFill="1" applyBorder="1" applyProtection="1"/>
    <xf numFmtId="0" fontId="29" fillId="24" borderId="29" xfId="0" applyFont="1" applyFill="1" applyBorder="1"/>
    <xf numFmtId="0" fontId="29" fillId="24" borderId="0" xfId="0" applyFont="1" applyFill="1" applyAlignment="1">
      <alignment horizontal="left"/>
    </xf>
    <xf numFmtId="0" fontId="25" fillId="24" borderId="61" xfId="0" applyFont="1" applyFill="1" applyBorder="1"/>
    <xf numFmtId="0" fontId="25" fillId="24" borderId="29" xfId="0" applyFont="1" applyFill="1" applyBorder="1"/>
    <xf numFmtId="0" fontId="25" fillId="24" borderId="31" xfId="0" applyFont="1" applyFill="1" applyBorder="1"/>
    <xf numFmtId="0" fontId="29" fillId="24" borderId="62" xfId="0" applyFont="1" applyFill="1" applyBorder="1"/>
    <xf numFmtId="165" fontId="29" fillId="24" borderId="62" xfId="28" applyFont="1" applyFill="1" applyBorder="1" applyProtection="1"/>
    <xf numFmtId="0" fontId="25" fillId="24" borderId="16" xfId="0" applyFont="1" applyFill="1" applyBorder="1"/>
    <xf numFmtId="0" fontId="29" fillId="24" borderId="15" xfId="0" applyFont="1" applyFill="1" applyBorder="1" applyAlignment="1">
      <alignment horizontal="center" wrapText="1"/>
    </xf>
    <xf numFmtId="2" fontId="44" fillId="0" borderId="11" xfId="52" applyNumberFormat="1" applyFont="1" applyFill="1" applyBorder="1" applyAlignment="1">
      <alignment vertical="center"/>
    </xf>
    <xf numFmtId="165" fontId="29" fillId="24" borderId="17" xfId="0" applyNumberFormat="1" applyFont="1" applyFill="1" applyBorder="1" applyAlignment="1">
      <alignment horizontal="left"/>
    </xf>
    <xf numFmtId="0" fontId="29" fillId="24" borderId="14" xfId="0" applyFont="1" applyFill="1" applyBorder="1" applyAlignment="1">
      <alignment horizontal="left"/>
    </xf>
    <xf numFmtId="165" fontId="29" fillId="24" borderId="10" xfId="0" applyNumberFormat="1" applyFont="1" applyFill="1" applyBorder="1" applyAlignment="1">
      <alignment horizontal="left"/>
    </xf>
    <xf numFmtId="0" fontId="29" fillId="24" borderId="63" xfId="0" applyFont="1" applyFill="1" applyBorder="1" applyAlignment="1" applyProtection="1">
      <alignment horizontal="left" vertical="center"/>
      <protection locked="0"/>
    </xf>
    <xf numFmtId="165" fontId="29" fillId="24" borderId="61" xfId="28" applyFont="1" applyFill="1" applyBorder="1" applyAlignment="1" applyProtection="1">
      <alignment horizontal="center" vertical="center"/>
      <protection locked="0"/>
    </xf>
    <xf numFmtId="165" fontId="29" fillId="24" borderId="63" xfId="28" applyFont="1" applyFill="1" applyBorder="1" applyAlignment="1" applyProtection="1">
      <alignment horizontal="center" vertical="center"/>
      <protection locked="0"/>
    </xf>
    <xf numFmtId="165" fontId="29" fillId="24" borderId="43" xfId="28" applyFont="1" applyFill="1" applyBorder="1" applyAlignment="1" applyProtection="1">
      <alignment horizontal="center" vertical="center"/>
      <protection locked="0"/>
    </xf>
    <xf numFmtId="165" fontId="29" fillId="24" borderId="44" xfId="28" applyFont="1" applyFill="1" applyBorder="1" applyAlignment="1" applyProtection="1">
      <protection locked="0"/>
    </xf>
    <xf numFmtId="165" fontId="29" fillId="24" borderId="44" xfId="28" applyFont="1" applyFill="1" applyBorder="1" applyAlignment="1" applyProtection="1">
      <alignment horizontal="center"/>
      <protection locked="0"/>
    </xf>
    <xf numFmtId="165" fontId="29" fillId="24" borderId="56" xfId="52" applyNumberFormat="1" applyFont="1" applyFill="1" applyBorder="1" applyAlignment="1" applyProtection="1">
      <alignment horizontal="center" vertical="center"/>
      <protection locked="0"/>
    </xf>
    <xf numFmtId="165" fontId="29" fillId="24" borderId="55" xfId="52" applyNumberFormat="1" applyFont="1" applyFill="1" applyBorder="1" applyAlignment="1" applyProtection="1">
      <alignment horizontal="center" vertical="center"/>
      <protection locked="0"/>
    </xf>
    <xf numFmtId="165" fontId="29" fillId="24" borderId="65" xfId="52" applyNumberFormat="1" applyFont="1" applyFill="1" applyBorder="1" applyAlignment="1" applyProtection="1">
      <alignment horizontal="center" vertical="center"/>
      <protection locked="0"/>
    </xf>
    <xf numFmtId="165" fontId="29" fillId="24" borderId="44" xfId="28" applyFont="1" applyFill="1" applyBorder="1" applyAlignment="1" applyProtection="1">
      <alignment horizontal="center" vertical="center"/>
      <protection locked="0"/>
    </xf>
    <xf numFmtId="165" fontId="29" fillId="24" borderId="0" xfId="28" applyFont="1" applyFill="1" applyBorder="1" applyAlignment="1" applyProtection="1">
      <alignment horizontal="center" vertical="center"/>
      <protection locked="0"/>
    </xf>
    <xf numFmtId="165" fontId="25" fillId="24" borderId="44" xfId="28" applyFont="1" applyFill="1" applyBorder="1" applyProtection="1">
      <protection locked="0"/>
    </xf>
    <xf numFmtId="165" fontId="29" fillId="24" borderId="10" xfId="28" applyFont="1" applyFill="1" applyBorder="1" applyAlignment="1" applyProtection="1">
      <alignment horizontal="center"/>
      <protection locked="0"/>
    </xf>
    <xf numFmtId="165" fontId="29" fillId="24" borderId="11" xfId="0" applyNumberFormat="1" applyFont="1" applyFill="1" applyBorder="1" applyAlignment="1" applyProtection="1">
      <alignment horizontal="center"/>
      <protection locked="0"/>
    </xf>
    <xf numFmtId="0" fontId="29" fillId="24" borderId="11" xfId="0" quotePrefix="1" applyFont="1" applyFill="1" applyBorder="1" applyAlignment="1" applyProtection="1">
      <alignment wrapText="1"/>
      <protection locked="0"/>
    </xf>
    <xf numFmtId="165" fontId="29" fillId="24" borderId="28" xfId="28" applyFont="1" applyFill="1" applyBorder="1" applyAlignment="1" applyProtection="1">
      <alignment horizontal="center"/>
      <protection locked="0"/>
    </xf>
    <xf numFmtId="0" fontId="29" fillId="24" borderId="14" xfId="0" applyFont="1" applyFill="1" applyBorder="1" applyAlignment="1" applyProtection="1">
      <alignment horizontal="center"/>
      <protection locked="0"/>
    </xf>
    <xf numFmtId="0" fontId="29" fillId="24" borderId="13" xfId="0" quotePrefix="1" applyFont="1" applyFill="1" applyBorder="1" applyAlignment="1" applyProtection="1">
      <alignment wrapText="1"/>
      <protection locked="0"/>
    </xf>
    <xf numFmtId="0" fontId="48" fillId="24" borderId="14" xfId="0" quotePrefix="1" applyFont="1" applyFill="1" applyBorder="1" applyAlignment="1" applyProtection="1">
      <alignment wrapText="1"/>
      <protection locked="0"/>
    </xf>
    <xf numFmtId="2" fontId="29" fillId="24" borderId="0" xfId="0" applyNumberFormat="1" applyFont="1" applyFill="1" applyAlignment="1" applyProtection="1">
      <alignment horizontal="right"/>
      <protection locked="0"/>
    </xf>
    <xf numFmtId="165" fontId="29" fillId="24" borderId="12" xfId="28" applyFont="1" applyFill="1" applyBorder="1" applyAlignment="1" applyProtection="1">
      <alignment horizontal="center"/>
      <protection locked="0"/>
    </xf>
    <xf numFmtId="0" fontId="29" fillId="24" borderId="11" xfId="0" applyFont="1" applyFill="1" applyBorder="1" applyAlignment="1" applyProtection="1">
      <alignment horizontal="center"/>
      <protection locked="0"/>
    </xf>
    <xf numFmtId="165" fontId="29" fillId="24" borderId="21" xfId="0" applyNumberFormat="1" applyFont="1" applyFill="1" applyBorder="1" applyAlignment="1" applyProtection="1">
      <alignment horizontal="left"/>
      <protection locked="0"/>
    </xf>
    <xf numFmtId="165" fontId="29" fillId="24" borderId="11" xfId="0" applyNumberFormat="1" applyFont="1" applyFill="1" applyBorder="1" applyAlignment="1" applyProtection="1">
      <alignment horizontal="left"/>
      <protection locked="0"/>
    </xf>
    <xf numFmtId="165" fontId="29" fillId="24" borderId="11" xfId="0" applyNumberFormat="1" applyFont="1" applyFill="1" applyBorder="1" applyAlignment="1" applyProtection="1">
      <alignment horizontal="right"/>
      <protection locked="0"/>
    </xf>
    <xf numFmtId="165" fontId="29" fillId="24" borderId="23" xfId="0" applyNumberFormat="1" applyFont="1" applyFill="1" applyBorder="1" applyAlignment="1" applyProtection="1">
      <alignment horizontal="left"/>
      <protection locked="0"/>
    </xf>
    <xf numFmtId="165" fontId="29" fillId="24" borderId="64" xfId="0" applyNumberFormat="1" applyFont="1" applyFill="1" applyBorder="1" applyAlignment="1" applyProtection="1">
      <alignment horizontal="left"/>
      <protection locked="0"/>
    </xf>
    <xf numFmtId="165" fontId="29" fillId="24" borderId="14" xfId="0" applyNumberFormat="1" applyFont="1" applyFill="1" applyBorder="1" applyAlignment="1" applyProtection="1">
      <alignment horizontal="left"/>
      <protection locked="0"/>
    </xf>
    <xf numFmtId="165" fontId="29" fillId="24" borderId="55" xfId="28" applyFont="1" applyFill="1" applyBorder="1" applyAlignment="1" applyProtection="1">
      <alignment horizontal="center"/>
      <protection locked="0"/>
    </xf>
    <xf numFmtId="165" fontId="29" fillId="24" borderId="11" xfId="28" applyFont="1" applyFill="1" applyBorder="1" applyAlignment="1" applyProtection="1">
      <alignment horizontal="center"/>
      <protection locked="0"/>
    </xf>
    <xf numFmtId="49" fontId="29" fillId="0" borderId="11" xfId="28" applyNumberFormat="1" applyFont="1" applyFill="1" applyBorder="1" applyAlignment="1" applyProtection="1">
      <alignment horizontal="center"/>
      <protection locked="0"/>
    </xf>
    <xf numFmtId="168" fontId="41" fillId="0" borderId="11" xfId="0" applyNumberFormat="1" applyFont="1" applyBorder="1" applyAlignment="1">
      <alignment horizontal="center"/>
    </xf>
    <xf numFmtId="178" fontId="44" fillId="0" borderId="17" xfId="29" applyNumberFormat="1" applyFont="1" applyBorder="1" applyAlignment="1">
      <alignment vertical="center"/>
    </xf>
    <xf numFmtId="178" fontId="44" fillId="0" borderId="17" xfId="29" applyNumberFormat="1" applyFont="1" applyFill="1" applyBorder="1" applyAlignment="1">
      <alignment vertical="center"/>
    </xf>
    <xf numFmtId="0" fontId="29" fillId="24" borderId="10" xfId="0" applyFont="1" applyFill="1" applyBorder="1" applyAlignment="1" applyProtection="1">
      <alignment horizontal="left"/>
      <protection locked="0"/>
    </xf>
    <xf numFmtId="0" fontId="29" fillId="24" borderId="25" xfId="0" applyFont="1" applyFill="1" applyBorder="1" applyAlignment="1" applyProtection="1">
      <alignment horizontal="left"/>
      <protection locked="0"/>
    </xf>
    <xf numFmtId="0" fontId="29" fillId="24" borderId="58" xfId="0" applyFont="1" applyFill="1" applyBorder="1" applyAlignment="1" applyProtection="1">
      <alignment horizontal="left"/>
      <protection locked="0"/>
    </xf>
    <xf numFmtId="165" fontId="36" fillId="0" borderId="0" xfId="28" applyFont="1" applyBorder="1" applyAlignment="1" applyProtection="1">
      <alignment horizontal="center"/>
    </xf>
    <xf numFmtId="0" fontId="31" fillId="0" borderId="0" xfId="0" applyFont="1"/>
    <xf numFmtId="0" fontId="0" fillId="0" borderId="66" xfId="0" applyBorder="1"/>
    <xf numFmtId="165" fontId="0" fillId="0" borderId="66" xfId="0" applyNumberFormat="1" applyBorder="1"/>
    <xf numFmtId="0" fontId="55" fillId="0" borderId="0" xfId="41" applyFont="1"/>
    <xf numFmtId="0" fontId="56" fillId="0" borderId="0" xfId="41" applyFont="1"/>
    <xf numFmtId="0" fontId="56" fillId="0" borderId="0" xfId="41" applyFont="1" applyAlignment="1">
      <alignment horizontal="center"/>
    </xf>
    <xf numFmtId="2" fontId="56" fillId="0" borderId="0" xfId="41" applyNumberFormat="1" applyFont="1" applyAlignment="1">
      <alignment horizontal="center"/>
    </xf>
    <xf numFmtId="0" fontId="50" fillId="0" borderId="0" xfId="41"/>
    <xf numFmtId="0" fontId="50" fillId="0" borderId="0" xfId="41" applyAlignment="1">
      <alignment horizontal="center"/>
    </xf>
    <xf numFmtId="2" fontId="50" fillId="0" borderId="0" xfId="41" applyNumberFormat="1" applyAlignment="1">
      <alignment horizontal="center"/>
    </xf>
    <xf numFmtId="2" fontId="50" fillId="0" borderId="0" xfId="41" applyNumberFormat="1"/>
    <xf numFmtId="0" fontId="57" fillId="0" borderId="0" xfId="41" applyFont="1"/>
    <xf numFmtId="16" fontId="50" fillId="0" borderId="10" xfId="41" applyNumberFormat="1" applyBorder="1"/>
    <xf numFmtId="0" fontId="50" fillId="0" borderId="11" xfId="41" applyBorder="1"/>
    <xf numFmtId="2" fontId="50" fillId="0" borderId="11" xfId="41" applyNumberFormat="1" applyBorder="1" applyAlignment="1">
      <alignment horizontal="center"/>
    </xf>
    <xf numFmtId="165" fontId="50" fillId="11" borderId="11" xfId="28" applyFont="1" applyFill="1" applyBorder="1" applyAlignment="1" applyProtection="1">
      <alignment horizontal="center"/>
    </xf>
    <xf numFmtId="0" fontId="58" fillId="0" borderId="0" xfId="41" applyFont="1"/>
    <xf numFmtId="0" fontId="50" fillId="0" borderId="10" xfId="41" applyBorder="1"/>
    <xf numFmtId="0" fontId="50" fillId="0" borderId="11" xfId="41" applyBorder="1" applyAlignment="1">
      <alignment horizontal="left"/>
    </xf>
    <xf numFmtId="0" fontId="50" fillId="0" borderId="11" xfId="41" applyBorder="1" applyAlignment="1">
      <alignment horizontal="right"/>
    </xf>
    <xf numFmtId="165" fontId="58" fillId="0" borderId="23" xfId="28" applyFont="1" applyBorder="1" applyProtection="1"/>
    <xf numFmtId="0" fontId="50" fillId="0" borderId="0" xfId="42" applyAlignment="1">
      <alignment horizontal="center"/>
    </xf>
    <xf numFmtId="39" fontId="50" fillId="0" borderId="0" xfId="42" quotePrefix="1" applyNumberFormat="1" applyAlignment="1">
      <alignment horizontal="left"/>
    </xf>
    <xf numFmtId="0" fontId="50" fillId="0" borderId="0" xfId="41" quotePrefix="1"/>
    <xf numFmtId="39" fontId="50" fillId="0" borderId="0" xfId="42" applyNumberFormat="1"/>
    <xf numFmtId="39" fontId="50" fillId="0" borderId="0" xfId="42" quotePrefix="1" applyNumberFormat="1"/>
    <xf numFmtId="169" fontId="32" fillId="0" borderId="0" xfId="0" applyNumberFormat="1" applyFont="1"/>
    <xf numFmtId="0" fontId="33" fillId="0" borderId="0" xfId="0" applyFont="1" applyAlignment="1">
      <alignment horizontal="center"/>
    </xf>
    <xf numFmtId="0" fontId="33" fillId="0" borderId="0" xfId="0" applyFont="1"/>
    <xf numFmtId="170" fontId="33" fillId="0" borderId="0" xfId="0" applyNumberFormat="1" applyFont="1"/>
    <xf numFmtId="4" fontId="33" fillId="0" borderId="0" xfId="0" applyNumberFormat="1" applyFont="1"/>
    <xf numFmtId="168" fontId="33" fillId="0" borderId="0" xfId="0" applyNumberFormat="1" applyFont="1"/>
    <xf numFmtId="2" fontId="33" fillId="0" borderId="0" xfId="0" applyNumberFormat="1" applyFont="1"/>
    <xf numFmtId="170" fontId="33" fillId="0" borderId="11" xfId="0" applyNumberFormat="1" applyFont="1" applyBorder="1" applyAlignment="1">
      <alignment horizontal="center"/>
    </xf>
    <xf numFmtId="4" fontId="34" fillId="0" borderId="11" xfId="0" applyNumberFormat="1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168" fontId="33" fillId="0" borderId="11" xfId="0" applyNumberFormat="1" applyFont="1" applyBorder="1" applyAlignment="1">
      <alignment horizontal="center"/>
    </xf>
    <xf numFmtId="2" fontId="33" fillId="0" borderId="11" xfId="0" applyNumberFormat="1" applyFont="1" applyBorder="1" applyAlignment="1">
      <alignment horizontal="center"/>
    </xf>
    <xf numFmtId="2" fontId="34" fillId="0" borderId="11" xfId="0" applyNumberFormat="1" applyFont="1" applyBorder="1" applyAlignment="1">
      <alignment horizontal="center"/>
    </xf>
    <xf numFmtId="170" fontId="35" fillId="0" borderId="0" xfId="0" applyNumberFormat="1" applyFont="1" applyAlignment="1">
      <alignment horizontal="center"/>
    </xf>
    <xf numFmtId="168" fontId="35" fillId="0" borderId="0" xfId="0" applyNumberFormat="1" applyFont="1" applyAlignment="1">
      <alignment horizontal="center"/>
    </xf>
    <xf numFmtId="171" fontId="38" fillId="0" borderId="0" xfId="28" applyNumberFormat="1" applyFont="1" applyBorder="1" applyAlignment="1" applyProtection="1">
      <alignment horizontal="right"/>
    </xf>
    <xf numFmtId="0" fontId="33" fillId="0" borderId="11" xfId="0" applyFont="1" applyBorder="1" applyAlignment="1">
      <alignment horizontal="center"/>
    </xf>
    <xf numFmtId="169" fontId="37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3" fontId="33" fillId="0" borderId="17" xfId="28" applyNumberFormat="1" applyFont="1" applyBorder="1" applyProtection="1"/>
    <xf numFmtId="167" fontId="33" fillId="0" borderId="17" xfId="28" applyNumberFormat="1" applyFont="1" applyBorder="1" applyProtection="1"/>
    <xf numFmtId="171" fontId="33" fillId="0" borderId="17" xfId="28" applyNumberFormat="1" applyFont="1" applyBorder="1" applyProtection="1"/>
    <xf numFmtId="173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1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30" fillId="0" borderId="11" xfId="28" applyNumberFormat="1" applyFont="1" applyBorder="1" applyProtection="1"/>
    <xf numFmtId="175" fontId="0" fillId="0" borderId="11" xfId="0" applyNumberFormat="1" applyBorder="1"/>
    <xf numFmtId="171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30" fillId="0" borderId="11" xfId="0" applyNumberFormat="1" applyFont="1" applyBorder="1" applyAlignment="1">
      <alignment horizontal="center"/>
    </xf>
    <xf numFmtId="2" fontId="30" fillId="0" borderId="17" xfId="0" applyNumberFormat="1" applyFont="1" applyBorder="1" applyAlignment="1">
      <alignment horizontal="center"/>
    </xf>
    <xf numFmtId="165" fontId="30" fillId="0" borderId="11" xfId="28" applyFont="1" applyBorder="1" applyProtection="1"/>
    <xf numFmtId="173" fontId="30" fillId="0" borderId="17" xfId="28" applyNumberFormat="1" applyFont="1" applyBorder="1" applyProtection="1"/>
    <xf numFmtId="0" fontId="30" fillId="0" borderId="11" xfId="0" applyFont="1" applyBorder="1"/>
    <xf numFmtId="171" fontId="30" fillId="0" borderId="11" xfId="28" applyNumberFormat="1" applyFont="1" applyBorder="1" applyProtection="1"/>
    <xf numFmtId="38" fontId="30" fillId="0" borderId="11" xfId="28" applyNumberFormat="1" applyFont="1" applyBorder="1" applyProtection="1"/>
    <xf numFmtId="1" fontId="30" fillId="0" borderId="17" xfId="0" applyNumberFormat="1" applyFont="1" applyBorder="1" applyAlignment="1">
      <alignment horizontal="center"/>
    </xf>
    <xf numFmtId="165" fontId="30" fillId="0" borderId="17" xfId="28" applyFont="1" applyBorder="1" applyProtection="1"/>
    <xf numFmtId="177" fontId="0" fillId="0" borderId="0" xfId="0" applyNumberFormat="1"/>
    <xf numFmtId="173" fontId="33" fillId="0" borderId="0" xfId="28" applyNumberFormat="1" applyFont="1" applyBorder="1" applyProtection="1"/>
    <xf numFmtId="173" fontId="0" fillId="0" borderId="0" xfId="0" applyNumberFormat="1"/>
    <xf numFmtId="165" fontId="25" fillId="24" borderId="0" xfId="28" applyFont="1" applyFill="1" applyBorder="1" applyProtection="1">
      <protection locked="0"/>
    </xf>
    <xf numFmtId="0" fontId="25" fillId="24" borderId="0" xfId="0" applyFont="1" applyFill="1" applyProtection="1">
      <protection locked="0"/>
    </xf>
    <xf numFmtId="165" fontId="25" fillId="24" borderId="0" xfId="0" applyNumberFormat="1" applyFont="1" applyFill="1" applyProtection="1">
      <protection locked="0"/>
    </xf>
    <xf numFmtId="0" fontId="29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8" fillId="24" borderId="10" xfId="0" applyNumberFormat="1" applyFont="1" applyFill="1" applyBorder="1" applyAlignment="1">
      <alignment horizontal="left"/>
    </xf>
    <xf numFmtId="172" fontId="49" fillId="0" borderId="11" xfId="46" applyNumberFormat="1" applyFont="1" applyBorder="1" applyAlignment="1">
      <alignment horizontal="center"/>
    </xf>
    <xf numFmtId="0" fontId="55" fillId="0" borderId="0" xfId="0" applyFont="1"/>
    <xf numFmtId="0" fontId="50" fillId="0" borderId="0" xfId="0" applyFont="1"/>
    <xf numFmtId="16" fontId="25" fillId="24" borderId="0" xfId="28" applyNumberFormat="1" applyFont="1" applyFill="1" applyBorder="1" applyProtection="1">
      <protection locked="0"/>
    </xf>
    <xf numFmtId="167" fontId="58" fillId="0" borderId="11" xfId="28" applyNumberFormat="1" applyFont="1" applyBorder="1" applyProtection="1"/>
    <xf numFmtId="164" fontId="44" fillId="0" borderId="11" xfId="29" applyFont="1" applyFill="1" applyBorder="1"/>
    <xf numFmtId="164" fontId="44" fillId="0" borderId="0" xfId="29" applyFont="1" applyFill="1"/>
    <xf numFmtId="164" fontId="45" fillId="25" borderId="11" xfId="29" applyFont="1" applyFill="1" applyBorder="1" applyAlignment="1">
      <alignment vertical="center"/>
    </xf>
    <xf numFmtId="178" fontId="45" fillId="0" borderId="0" xfId="29" applyNumberFormat="1" applyFont="1" applyFill="1" applyBorder="1" applyAlignment="1">
      <alignment vertical="center"/>
    </xf>
    <xf numFmtId="178" fontId="29" fillId="24" borderId="21" xfId="29" applyNumberFormat="1" applyFont="1" applyFill="1" applyBorder="1" applyAlignment="1" applyProtection="1">
      <alignment horizontal="right" vertical="center"/>
    </xf>
    <xf numFmtId="178" fontId="29" fillId="24" borderId="17" xfId="29" applyNumberFormat="1" applyFont="1" applyFill="1" applyBorder="1" applyAlignment="1" applyProtection="1">
      <alignment horizontal="right" vertical="center"/>
    </xf>
    <xf numFmtId="178" fontId="29" fillId="0" borderId="11" xfId="29" applyNumberFormat="1" applyFont="1" applyFill="1" applyBorder="1" applyAlignment="1" applyProtection="1">
      <alignment horizontal="right"/>
    </xf>
    <xf numFmtId="178" fontId="29" fillId="24" borderId="11" xfId="29" applyNumberFormat="1" applyFont="1" applyFill="1" applyBorder="1" applyAlignment="1" applyProtection="1">
      <alignment horizontal="right" vertical="center"/>
    </xf>
    <xf numFmtId="178" fontId="25" fillId="20" borderId="11" xfId="29" applyNumberFormat="1" applyFont="1" applyFill="1" applyBorder="1" applyAlignment="1" applyProtection="1">
      <alignment horizontal="right"/>
    </xf>
    <xf numFmtId="178" fontId="29" fillId="24" borderId="11" xfId="29" applyNumberFormat="1" applyFont="1" applyFill="1" applyBorder="1" applyAlignment="1" applyProtection="1">
      <alignment horizontal="right"/>
    </xf>
    <xf numFmtId="178" fontId="29" fillId="24" borderId="14" xfId="29" applyNumberFormat="1" applyFont="1" applyFill="1" applyBorder="1" applyAlignment="1" applyProtection="1">
      <alignment horizontal="right"/>
    </xf>
    <xf numFmtId="178" fontId="29" fillId="24" borderId="23" xfId="29" applyNumberFormat="1" applyFont="1" applyFill="1" applyBorder="1" applyAlignment="1" applyProtection="1">
      <alignment horizontal="right"/>
    </xf>
    <xf numFmtId="10" fontId="44" fillId="0" borderId="0" xfId="52" applyNumberFormat="1" applyFont="1" applyFill="1" applyBorder="1"/>
    <xf numFmtId="10" fontId="45" fillId="0" borderId="11" xfId="52" applyNumberFormat="1" applyFont="1" applyFill="1" applyBorder="1"/>
    <xf numFmtId="10" fontId="44" fillId="0" borderId="0" xfId="52" applyNumberFormat="1" applyFont="1" applyFill="1" applyBorder="1" applyAlignment="1">
      <alignment vertical="center"/>
    </xf>
    <xf numFmtId="10" fontId="45" fillId="27" borderId="0" xfId="52" applyNumberFormat="1" applyFont="1" applyFill="1" applyBorder="1"/>
    <xf numFmtId="10" fontId="45" fillId="0" borderId="11" xfId="52" applyNumberFormat="1" applyFont="1" applyFill="1" applyBorder="1" applyAlignment="1">
      <alignment vertical="center"/>
    </xf>
    <xf numFmtId="0" fontId="44" fillId="28" borderId="0" xfId="0" applyFont="1" applyFill="1"/>
    <xf numFmtId="0" fontId="54" fillId="28" borderId="0" xfId="0" applyFont="1" applyFill="1"/>
    <xf numFmtId="178" fontId="44" fillId="28" borderId="0" xfId="29" applyNumberFormat="1" applyFont="1" applyFill="1" applyBorder="1" applyAlignment="1">
      <alignment vertical="center"/>
    </xf>
    <xf numFmtId="0" fontId="44" fillId="28" borderId="0" xfId="0" applyFont="1" applyFill="1" applyAlignment="1">
      <alignment horizontal="right"/>
    </xf>
    <xf numFmtId="166" fontId="44" fillId="28" borderId="0" xfId="0" applyNumberFormat="1" applyFont="1" applyFill="1" applyAlignment="1">
      <alignment horizontal="right"/>
    </xf>
    <xf numFmtId="166" fontId="44" fillId="28" borderId="0" xfId="0" applyNumberFormat="1" applyFont="1" applyFill="1"/>
    <xf numFmtId="10" fontId="44" fillId="28" borderId="0" xfId="0" applyNumberFormat="1" applyFont="1" applyFill="1"/>
    <xf numFmtId="10" fontId="44" fillId="28" borderId="0" xfId="0" applyNumberFormat="1" applyFont="1" applyFill="1" applyAlignment="1">
      <alignment horizontal="right"/>
    </xf>
    <xf numFmtId="165" fontId="45" fillId="28" borderId="0" xfId="0" applyNumberFormat="1" applyFont="1" applyFill="1" applyAlignment="1">
      <alignment horizontal="right"/>
    </xf>
    <xf numFmtId="166" fontId="45" fillId="28" borderId="0" xfId="52" applyNumberFormat="1" applyFont="1" applyFill="1" applyBorder="1" applyAlignment="1">
      <alignment vertical="center"/>
    </xf>
    <xf numFmtId="178" fontId="45" fillId="25" borderId="13" xfId="29" applyNumberFormat="1" applyFont="1" applyFill="1" applyBorder="1" applyAlignment="1">
      <alignment vertical="center"/>
    </xf>
    <xf numFmtId="178" fontId="45" fillId="25" borderId="19" xfId="29" applyNumberFormat="1" applyFont="1" applyFill="1" applyBorder="1" applyAlignment="1">
      <alignment vertical="center"/>
    </xf>
    <xf numFmtId="166" fontId="45" fillId="25" borderId="19" xfId="52" applyNumberFormat="1" applyFont="1" applyFill="1" applyBorder="1" applyAlignment="1">
      <alignment vertical="center"/>
    </xf>
    <xf numFmtId="0" fontId="44" fillId="0" borderId="17" xfId="0" applyFont="1" applyBorder="1"/>
    <xf numFmtId="10" fontId="52" fillId="29" borderId="11" xfId="52" applyNumberFormat="1" applyFont="1" applyFill="1" applyBorder="1" applyAlignment="1">
      <alignment vertical="center"/>
    </xf>
    <xf numFmtId="178" fontId="45" fillId="4" borderId="11" xfId="29" applyNumberFormat="1" applyFont="1" applyFill="1" applyBorder="1" applyAlignment="1">
      <alignment horizontal="center"/>
    </xf>
    <xf numFmtId="10" fontId="52" fillId="4" borderId="11" xfId="52" applyNumberFormat="1" applyFont="1" applyFill="1" applyBorder="1" applyAlignment="1">
      <alignment vertical="center"/>
    </xf>
    <xf numFmtId="0" fontId="47" fillId="0" borderId="0" xfId="0" applyFont="1"/>
    <xf numFmtId="0" fontId="0" fillId="0" borderId="68" xfId="0" applyBorder="1"/>
    <xf numFmtId="0" fontId="0" fillId="0" borderId="27" xfId="0" applyBorder="1"/>
    <xf numFmtId="0" fontId="47" fillId="0" borderId="27" xfId="0" applyFont="1" applyBorder="1"/>
    <xf numFmtId="167" fontId="35" fillId="30" borderId="13" xfId="28" applyNumberFormat="1" applyFont="1" applyFill="1" applyBorder="1" applyAlignment="1" applyProtection="1">
      <alignment horizontal="center"/>
    </xf>
    <xf numFmtId="167" fontId="35" fillId="30" borderId="11" xfId="28" applyNumberFormat="1" applyFont="1" applyFill="1" applyBorder="1" applyAlignment="1" applyProtection="1">
      <alignment horizontal="center"/>
    </xf>
    <xf numFmtId="168" fontId="39" fillId="30" borderId="13" xfId="0" applyNumberFormat="1" applyFont="1" applyFill="1" applyBorder="1" applyAlignment="1">
      <alignment horizontal="center" vertical="center" wrapText="1"/>
    </xf>
    <xf numFmtId="167" fontId="35" fillId="31" borderId="13" xfId="28" applyNumberFormat="1" applyFont="1" applyFill="1" applyBorder="1" applyAlignment="1" applyProtection="1">
      <alignment horizontal="center"/>
    </xf>
    <xf numFmtId="167" fontId="35" fillId="31" borderId="11" xfId="28" applyNumberFormat="1" applyFont="1" applyFill="1" applyBorder="1" applyAlignment="1" applyProtection="1">
      <alignment horizontal="center"/>
    </xf>
    <xf numFmtId="168" fontId="39" fillId="31" borderId="13" xfId="0" applyNumberFormat="1" applyFont="1" applyFill="1" applyBorder="1" applyAlignment="1">
      <alignment horizontal="center" vertical="center" wrapText="1"/>
    </xf>
    <xf numFmtId="167" fontId="35" fillId="32" borderId="13" xfId="28" applyNumberFormat="1" applyFont="1" applyFill="1" applyBorder="1" applyAlignment="1" applyProtection="1">
      <alignment horizontal="center"/>
    </xf>
    <xf numFmtId="167" fontId="35" fillId="32" borderId="11" xfId="28" applyNumberFormat="1" applyFont="1" applyFill="1" applyBorder="1" applyAlignment="1" applyProtection="1">
      <alignment horizontal="center"/>
    </xf>
    <xf numFmtId="168" fontId="39" fillId="32" borderId="13" xfId="0" applyNumberFormat="1" applyFont="1" applyFill="1" applyBorder="1" applyAlignment="1">
      <alignment horizontal="center" vertical="center" wrapText="1"/>
    </xf>
    <xf numFmtId="167" fontId="35" fillId="33" borderId="13" xfId="28" applyNumberFormat="1" applyFont="1" applyFill="1" applyBorder="1" applyAlignment="1" applyProtection="1">
      <alignment horizontal="center"/>
    </xf>
    <xf numFmtId="167" fontId="35" fillId="33" borderId="11" xfId="28" applyNumberFormat="1" applyFont="1" applyFill="1" applyBorder="1" applyAlignment="1" applyProtection="1">
      <alignment horizontal="center"/>
    </xf>
    <xf numFmtId="168" fontId="39" fillId="33" borderId="13" xfId="0" applyNumberFormat="1" applyFont="1" applyFill="1" applyBorder="1" applyAlignment="1">
      <alignment horizontal="center" vertical="center" wrapText="1"/>
    </xf>
    <xf numFmtId="167" fontId="35" fillId="34" borderId="11" xfId="28" applyNumberFormat="1" applyFont="1" applyFill="1" applyBorder="1" applyAlignment="1" applyProtection="1">
      <alignment horizontal="center"/>
    </xf>
    <xf numFmtId="167" fontId="35" fillId="35" borderId="13" xfId="28" applyNumberFormat="1" applyFont="1" applyFill="1" applyBorder="1" applyAlignment="1" applyProtection="1">
      <alignment horizontal="center"/>
    </xf>
    <xf numFmtId="167" fontId="35" fillId="35" borderId="11" xfId="28" applyNumberFormat="1" applyFont="1" applyFill="1" applyBorder="1" applyAlignment="1" applyProtection="1">
      <alignment horizontal="center"/>
    </xf>
    <xf numFmtId="168" fontId="39" fillId="35" borderId="13" xfId="0" applyNumberFormat="1" applyFont="1" applyFill="1" applyBorder="1" applyAlignment="1">
      <alignment horizontal="center" vertical="center" wrapText="1"/>
    </xf>
    <xf numFmtId="167" fontId="35" fillId="36" borderId="11" xfId="28" applyNumberFormat="1" applyFont="1" applyFill="1" applyBorder="1" applyAlignment="1" applyProtection="1">
      <alignment horizontal="center"/>
    </xf>
    <xf numFmtId="167" fontId="35" fillId="27" borderId="11" xfId="28" applyNumberFormat="1" applyFont="1" applyFill="1" applyBorder="1" applyAlignment="1" applyProtection="1">
      <alignment horizontal="center"/>
    </xf>
    <xf numFmtId="167" fontId="35" fillId="37" borderId="11" xfId="28" applyNumberFormat="1" applyFont="1" applyFill="1" applyBorder="1" applyAlignment="1" applyProtection="1">
      <alignment horizontal="center"/>
    </xf>
    <xf numFmtId="167" fontId="35" fillId="38" borderId="11" xfId="28" applyNumberFormat="1" applyFont="1" applyFill="1" applyBorder="1" applyAlignment="1" applyProtection="1">
      <alignment horizontal="center"/>
    </xf>
    <xf numFmtId="167" fontId="35" fillId="27" borderId="17" xfId="28" applyNumberFormat="1" applyFont="1" applyFill="1" applyBorder="1" applyAlignment="1" applyProtection="1">
      <alignment horizontal="center"/>
    </xf>
    <xf numFmtId="0" fontId="30" fillId="27" borderId="11" xfId="0" applyFont="1" applyFill="1" applyBorder="1"/>
    <xf numFmtId="0" fontId="30" fillId="0" borderId="11" xfId="28" applyNumberFormat="1" applyFont="1" applyBorder="1" applyProtection="1"/>
    <xf numFmtId="178" fontId="60" fillId="0" borderId="0" xfId="29" applyNumberFormat="1" applyFont="1" applyProtection="1"/>
    <xf numFmtId="9" fontId="0" fillId="0" borderId="0" xfId="52" applyFont="1" applyProtection="1"/>
    <xf numFmtId="172" fontId="50" fillId="0" borderId="69" xfId="0" applyNumberFormat="1" applyFont="1" applyBorder="1"/>
    <xf numFmtId="0" fontId="47" fillId="0" borderId="70" xfId="0" applyFont="1" applyBorder="1"/>
    <xf numFmtId="0" fontId="47" fillId="0" borderId="37" xfId="0" applyFont="1" applyBorder="1"/>
    <xf numFmtId="2" fontId="0" fillId="0" borderId="71" xfId="0" applyNumberFormat="1" applyBorder="1" applyAlignment="1">
      <alignment vertical="center"/>
    </xf>
    <xf numFmtId="2" fontId="0" fillId="0" borderId="41" xfId="0" applyNumberFormat="1" applyBorder="1" applyAlignment="1">
      <alignment vertical="center"/>
    </xf>
    <xf numFmtId="10" fontId="44" fillId="0" borderId="11" xfId="52" applyNumberFormat="1" applyFont="1" applyFill="1" applyBorder="1" applyAlignment="1">
      <alignment vertical="center"/>
    </xf>
    <xf numFmtId="16" fontId="50" fillId="0" borderId="11" xfId="41" applyNumberFormat="1" applyBorder="1"/>
    <xf numFmtId="0" fontId="0" fillId="0" borderId="17" xfId="28" applyNumberFormat="1" applyFont="1" applyBorder="1" applyProtection="1"/>
    <xf numFmtId="2" fontId="41" fillId="0" borderId="11" xfId="47" applyNumberFormat="1" applyFont="1" applyBorder="1" applyAlignment="1">
      <alignment horizontal="center"/>
    </xf>
    <xf numFmtId="2" fontId="44" fillId="0" borderId="0" xfId="0" applyNumberFormat="1" applyFont="1"/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7" fillId="0" borderId="11" xfId="0" quotePrefix="1" applyFont="1" applyBorder="1" applyAlignment="1" applyProtection="1">
      <alignment horizontal="center" vertical="center"/>
      <protection locked="0"/>
    </xf>
    <xf numFmtId="0" fontId="0" fillId="0" borderId="63" xfId="0" applyBorder="1" applyAlignment="1">
      <alignment horizontal="center" vertical="center"/>
    </xf>
    <xf numFmtId="4" fontId="0" fillId="0" borderId="63" xfId="0" applyNumberFormat="1" applyBorder="1" applyAlignment="1">
      <alignment vertical="center" wrapText="1"/>
    </xf>
    <xf numFmtId="4" fontId="0" fillId="0" borderId="63" xfId="0" applyNumberFormat="1" applyBorder="1" applyAlignment="1">
      <alignment vertical="center"/>
    </xf>
    <xf numFmtId="168" fontId="0" fillId="0" borderId="63" xfId="0" applyNumberFormat="1" applyBorder="1" applyAlignment="1">
      <alignment vertical="center"/>
    </xf>
    <xf numFmtId="2" fontId="0" fillId="0" borderId="63" xfId="0" applyNumberFormat="1" applyBorder="1" applyAlignment="1">
      <alignment vertical="center" wrapText="1"/>
    </xf>
    <xf numFmtId="16" fontId="30" fillId="0" borderId="67" xfId="0" applyNumberFormat="1" applyFont="1" applyBorder="1" applyAlignment="1">
      <alignment vertical="center"/>
    </xf>
    <xf numFmtId="0" fontId="30" fillId="0" borderId="67" xfId="0" applyFont="1" applyBorder="1" applyAlignment="1">
      <alignment horizontal="center" vertical="center"/>
    </xf>
    <xf numFmtId="4" fontId="30" fillId="0" borderId="67" xfId="0" applyNumberFormat="1" applyFont="1" applyBorder="1" applyAlignment="1">
      <alignment vertical="center"/>
    </xf>
    <xf numFmtId="170" fontId="30" fillId="0" borderId="67" xfId="0" applyNumberFormat="1" applyFont="1" applyBorder="1" applyAlignment="1">
      <alignment vertical="center"/>
    </xf>
    <xf numFmtId="168" fontId="30" fillId="0" borderId="67" xfId="0" applyNumberFormat="1" applyFont="1" applyBorder="1" applyAlignment="1">
      <alignment vertical="center"/>
    </xf>
    <xf numFmtId="2" fontId="30" fillId="0" borderId="67" xfId="0" applyNumberFormat="1" applyFont="1" applyBorder="1" applyAlignment="1">
      <alignment vertical="center" wrapText="1"/>
    </xf>
    <xf numFmtId="4" fontId="30" fillId="0" borderId="67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2" applyFont="1" applyBorder="1" applyAlignment="1" applyProtection="1">
      <alignment horizontal="center" vertical="center"/>
      <protection locked="0"/>
    </xf>
    <xf numFmtId="9" fontId="0" fillId="0" borderId="63" xfId="52" applyFont="1" applyBorder="1" applyAlignment="1" applyProtection="1">
      <alignment horizontal="center" vertical="center"/>
    </xf>
    <xf numFmtId="9" fontId="30" fillId="0" borderId="67" xfId="52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2" fontId="0" fillId="0" borderId="17" xfId="28" applyNumberFormat="1" applyFont="1" applyBorder="1" applyProtection="1"/>
    <xf numFmtId="10" fontId="47" fillId="0" borderId="11" xfId="52" applyNumberFormat="1" applyFont="1" applyFill="1" applyBorder="1" applyAlignment="1" applyProtection="1">
      <alignment horizontal="center" vertical="center"/>
      <protection locked="0"/>
    </xf>
    <xf numFmtId="10" fontId="47" fillId="27" borderId="11" xfId="52" applyNumberFormat="1" applyFont="1" applyFill="1" applyBorder="1" applyAlignment="1" applyProtection="1">
      <alignment horizontal="center" vertical="center"/>
      <protection locked="0"/>
    </xf>
    <xf numFmtId="2" fontId="41" fillId="0" borderId="11" xfId="46" applyNumberFormat="1" applyFont="1" applyBorder="1" applyAlignment="1">
      <alignment horizontal="center"/>
    </xf>
    <xf numFmtId="165" fontId="45" fillId="33" borderId="11" xfId="29" applyNumberFormat="1" applyFont="1" applyFill="1" applyBorder="1" applyAlignment="1">
      <alignment vertical="center"/>
    </xf>
    <xf numFmtId="0" fontId="47" fillId="0" borderId="11" xfId="0" applyFont="1" applyBorder="1" applyAlignment="1" applyProtection="1">
      <alignment horizontal="center" vertical="center"/>
      <protection locked="0"/>
    </xf>
    <xf numFmtId="0" fontId="40" fillId="27" borderId="11" xfId="0" applyFont="1" applyFill="1" applyBorder="1" applyAlignment="1">
      <alignment horizontal="center" vertical="center" wrapText="1"/>
    </xf>
    <xf numFmtId="10" fontId="47" fillId="27" borderId="63" xfId="52" applyNumberFormat="1" applyFont="1" applyFill="1" applyBorder="1" applyAlignment="1" applyProtection="1">
      <alignment horizontal="center" vertical="center"/>
      <protection locked="0"/>
    </xf>
    <xf numFmtId="0" fontId="40" fillId="27" borderId="11" xfId="0" applyFont="1" applyFill="1" applyBorder="1" applyAlignment="1">
      <alignment vertical="center" wrapText="1"/>
    </xf>
    <xf numFmtId="0" fontId="61" fillId="0" borderId="0" xfId="0" applyFont="1"/>
    <xf numFmtId="178" fontId="45" fillId="0" borderId="17" xfId="29" applyNumberFormat="1" applyFont="1" applyFill="1" applyBorder="1" applyAlignment="1">
      <alignment horizontal="center" vertical="center" wrapText="1"/>
    </xf>
    <xf numFmtId="178" fontId="45" fillId="0" borderId="17" xfId="29" applyNumberFormat="1" applyFont="1" applyFill="1" applyBorder="1" applyAlignment="1">
      <alignment vertical="center" wrapText="1"/>
    </xf>
    <xf numFmtId="178" fontId="44" fillId="0" borderId="19" xfId="29" applyNumberFormat="1" applyFont="1" applyFill="1" applyBorder="1" applyAlignment="1">
      <alignment vertical="center"/>
    </xf>
    <xf numFmtId="0" fontId="62" fillId="41" borderId="0" xfId="0" applyFont="1" applyFill="1"/>
    <xf numFmtId="0" fontId="63" fillId="41" borderId="0" xfId="0" applyFont="1" applyFill="1"/>
    <xf numFmtId="181" fontId="45" fillId="25" borderId="11" xfId="29" applyNumberFormat="1" applyFont="1" applyFill="1" applyBorder="1" applyAlignment="1">
      <alignment vertical="center"/>
    </xf>
    <xf numFmtId="177" fontId="44" fillId="0" borderId="11" xfId="0" applyNumberFormat="1" applyFont="1" applyBorder="1" applyAlignment="1">
      <alignment horizontal="center" vertical="center" wrapText="1"/>
    </xf>
    <xf numFmtId="0" fontId="29" fillId="24" borderId="14" xfId="0" quotePrefix="1" applyFont="1" applyFill="1" applyBorder="1" applyAlignment="1" applyProtection="1">
      <alignment wrapText="1"/>
      <protection locked="0"/>
    </xf>
    <xf numFmtId="3" fontId="62" fillId="41" borderId="0" xfId="0" applyNumberFormat="1" applyFont="1" applyFill="1"/>
    <xf numFmtId="3" fontId="63" fillId="41" borderId="0" xfId="0" applyNumberFormat="1" applyFont="1" applyFill="1"/>
    <xf numFmtId="0" fontId="0" fillId="0" borderId="0" xfId="0" applyAlignment="1">
      <alignment horizontal="right"/>
    </xf>
    <xf numFmtId="2" fontId="61" fillId="27" borderId="11" xfId="0" applyNumberFormat="1" applyFont="1" applyFill="1" applyBorder="1" applyAlignment="1">
      <alignment horizontal="center" vertical="center" wrapText="1"/>
    </xf>
    <xf numFmtId="0" fontId="61" fillId="27" borderId="11" xfId="0" applyFont="1" applyFill="1" applyBorder="1" applyAlignment="1">
      <alignment horizontal="center" vertical="center" wrapText="1"/>
    </xf>
    <xf numFmtId="9" fontId="61" fillId="27" borderId="11" xfId="52" applyFont="1" applyFill="1" applyBorder="1" applyAlignment="1">
      <alignment horizontal="center" vertical="center" wrapText="1"/>
    </xf>
    <xf numFmtId="10" fontId="0" fillId="0" borderId="11" xfId="52" applyNumberFormat="1" applyFont="1" applyFill="1" applyBorder="1" applyAlignment="1">
      <alignment horizontal="center" vertical="center"/>
    </xf>
    <xf numFmtId="0" fontId="61" fillId="0" borderId="61" xfId="0" applyFont="1" applyBorder="1" applyAlignment="1">
      <alignment vertical="center"/>
    </xf>
    <xf numFmtId="10" fontId="0" fillId="0" borderId="11" xfId="52" applyNumberFormat="1" applyFont="1" applyBorder="1" applyAlignment="1">
      <alignment horizontal="center"/>
    </xf>
    <xf numFmtId="10" fontId="61" fillId="0" borderId="11" xfId="52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1" xfId="0" applyNumberFormat="1" applyBorder="1" applyAlignment="1">
      <alignment horizontal="center" vertical="center"/>
    </xf>
    <xf numFmtId="0" fontId="61" fillId="27" borderId="11" xfId="0" applyFont="1" applyFill="1" applyBorder="1" applyAlignment="1">
      <alignment horizontal="center" vertical="center"/>
    </xf>
    <xf numFmtId="14" fontId="61" fillId="0" borderId="0" xfId="0" applyNumberFormat="1" applyFont="1" applyAlignment="1">
      <alignment horizontal="center" vertical="center"/>
    </xf>
    <xf numFmtId="2" fontId="61" fillId="0" borderId="0" xfId="0" applyNumberFormat="1" applyFont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0" fillId="27" borderId="11" xfId="0" applyFill="1" applyBorder="1"/>
    <xf numFmtId="10" fontId="0" fillId="0" borderId="11" xfId="52" applyNumberFormat="1" applyFont="1" applyBorder="1"/>
    <xf numFmtId="10" fontId="0" fillId="0" borderId="11" xfId="0" applyNumberFormat="1" applyBorder="1" applyAlignment="1">
      <alignment horizontal="right"/>
    </xf>
    <xf numFmtId="2" fontId="61" fillId="39" borderId="11" xfId="0" applyNumberFormat="1" applyFont="1" applyFill="1" applyBorder="1" applyAlignment="1">
      <alignment horizontal="center"/>
    </xf>
    <xf numFmtId="10" fontId="61" fillId="39" borderId="11" xfId="52" applyNumberFormat="1" applyFont="1" applyFill="1" applyBorder="1" applyAlignment="1">
      <alignment horizontal="center"/>
    </xf>
    <xf numFmtId="0" fontId="30" fillId="39" borderId="11" xfId="0" applyFont="1" applyFill="1" applyBorder="1"/>
    <xf numFmtId="0" fontId="41" fillId="0" borderId="11" xfId="58" applyFont="1" applyBorder="1" applyAlignment="1">
      <alignment horizontal="left"/>
    </xf>
    <xf numFmtId="0" fontId="47" fillId="0" borderId="11" xfId="0" applyFont="1" applyBorder="1"/>
    <xf numFmtId="0" fontId="41" fillId="50" borderId="11" xfId="58" applyFont="1" applyFill="1" applyBorder="1" applyAlignment="1">
      <alignment horizontal="left"/>
    </xf>
    <xf numFmtId="0" fontId="0" fillId="51" borderId="11" xfId="0" applyFill="1" applyBorder="1"/>
    <xf numFmtId="0" fontId="47" fillId="51" borderId="11" xfId="0" applyFont="1" applyFill="1" applyBorder="1"/>
    <xf numFmtId="10" fontId="0" fillId="50" borderId="17" xfId="52" applyNumberFormat="1" applyFont="1" applyFill="1" applyBorder="1"/>
    <xf numFmtId="10" fontId="0" fillId="0" borderId="17" xfId="52" applyNumberFormat="1" applyFont="1" applyBorder="1"/>
    <xf numFmtId="0" fontId="41" fillId="0" borderId="19" xfId="58" applyFont="1" applyBorder="1" applyAlignment="1">
      <alignment horizontal="left"/>
    </xf>
    <xf numFmtId="0" fontId="33" fillId="0" borderId="11" xfId="58" applyFont="1" applyBorder="1" applyAlignment="1">
      <alignment horizontal="left"/>
    </xf>
    <xf numFmtId="0" fontId="67" fillId="0" borderId="11" xfId="58" applyFont="1" applyBorder="1" applyAlignment="1">
      <alignment horizontal="left"/>
    </xf>
    <xf numFmtId="10" fontId="66" fillId="27" borderId="11" xfId="52" applyNumberFormat="1" applyFont="1" applyFill="1" applyBorder="1"/>
    <xf numFmtId="10" fontId="30" fillId="0" borderId="11" xfId="0" applyNumberFormat="1" applyFont="1" applyBorder="1"/>
    <xf numFmtId="0" fontId="47" fillId="0" borderId="0" xfId="0" quotePrefix="1" applyFont="1"/>
    <xf numFmtId="0" fontId="70" fillId="24" borderId="13" xfId="0" quotePrefix="1" applyFont="1" applyFill="1" applyBorder="1" applyAlignment="1" applyProtection="1">
      <alignment wrapText="1"/>
      <protection locked="0"/>
    </xf>
    <xf numFmtId="16" fontId="47" fillId="0" borderId="11" xfId="0" quotePrefix="1" applyNumberFormat="1" applyFont="1" applyBorder="1" applyAlignment="1" applyProtection="1">
      <alignment horizontal="center" vertical="center"/>
      <protection locked="0"/>
    </xf>
    <xf numFmtId="0" fontId="0" fillId="0" borderId="0" xfId="0" quotePrefix="1"/>
    <xf numFmtId="0" fontId="0" fillId="0" borderId="11" xfId="0" applyBorder="1" applyAlignment="1">
      <alignment horizontal="center" vertical="center"/>
    </xf>
    <xf numFmtId="0" fontId="0" fillId="41" borderId="11" xfId="0" applyFill="1" applyBorder="1"/>
    <xf numFmtId="0" fontId="47" fillId="0" borderId="58" xfId="57" applyBorder="1"/>
    <xf numFmtId="0" fontId="47" fillId="0" borderId="23" xfId="57" applyBorder="1"/>
    <xf numFmtId="0" fontId="47" fillId="0" borderId="24" xfId="57" applyBorder="1"/>
    <xf numFmtId="165" fontId="0" fillId="0" borderId="11" xfId="52" applyNumberFormat="1" applyFont="1" applyFill="1" applyBorder="1"/>
    <xf numFmtId="165" fontId="0" fillId="0" borderId="50" xfId="52" applyNumberFormat="1" applyFont="1" applyFill="1" applyBorder="1"/>
    <xf numFmtId="10" fontId="47" fillId="0" borderId="10" xfId="57" applyNumberFormat="1" applyBorder="1"/>
    <xf numFmtId="10" fontId="47" fillId="0" borderId="11" xfId="57" applyNumberFormat="1" applyBorder="1"/>
    <xf numFmtId="165" fontId="47" fillId="0" borderId="11" xfId="52" applyNumberFormat="1" applyFont="1" applyFill="1" applyBorder="1"/>
    <xf numFmtId="165" fontId="47" fillId="0" borderId="50" xfId="52" applyNumberFormat="1" applyFont="1" applyFill="1" applyBorder="1"/>
    <xf numFmtId="0" fontId="24" fillId="0" borderId="0" xfId="41" applyFont="1"/>
    <xf numFmtId="178" fontId="45" fillId="4" borderId="14" xfId="29" applyNumberFormat="1" applyFont="1" applyFill="1" applyBorder="1" applyAlignment="1">
      <alignment horizontal="center" vertical="center" wrapText="1"/>
    </xf>
    <xf numFmtId="10" fontId="47" fillId="0" borderId="57" xfId="57" applyNumberFormat="1" applyBorder="1"/>
    <xf numFmtId="10" fontId="47" fillId="0" borderId="21" xfId="57" applyNumberFormat="1" applyBorder="1"/>
    <xf numFmtId="165" fontId="0" fillId="0" borderId="21" xfId="52" applyNumberFormat="1" applyFont="1" applyFill="1" applyBorder="1"/>
    <xf numFmtId="165" fontId="47" fillId="0" borderId="21" xfId="52" applyNumberFormat="1" applyFont="1" applyFill="1" applyBorder="1"/>
    <xf numFmtId="165" fontId="47" fillId="0" borderId="48" xfId="52" applyNumberFormat="1" applyFont="1" applyFill="1" applyBorder="1"/>
    <xf numFmtId="0" fontId="47" fillId="0" borderId="11" xfId="0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0" fontId="0" fillId="27" borderId="0" xfId="0" applyNumberFormat="1" applyFill="1"/>
    <xf numFmtId="178" fontId="45" fillId="42" borderId="11" xfId="59" applyNumberFormat="1" applyFont="1" applyFill="1" applyBorder="1" applyAlignment="1">
      <alignment horizontal="center" vertical="center" wrapText="1"/>
    </xf>
    <xf numFmtId="178" fontId="45" fillId="26" borderId="14" xfId="59" applyNumberFormat="1" applyFont="1" applyFill="1" applyBorder="1" applyAlignment="1">
      <alignment horizontal="center" vertical="center" wrapText="1"/>
    </xf>
    <xf numFmtId="178" fontId="45" fillId="26" borderId="11" xfId="59" applyNumberFormat="1" applyFont="1" applyFill="1" applyBorder="1" applyAlignment="1">
      <alignment horizontal="center" vertical="center" wrapText="1"/>
    </xf>
    <xf numFmtId="178" fontId="45" fillId="42" borderId="14" xfId="59" applyNumberFormat="1" applyFont="1" applyFill="1" applyBorder="1" applyAlignment="1">
      <alignment horizontal="center" vertical="center" wrapText="1"/>
    </xf>
    <xf numFmtId="10" fontId="45" fillId="28" borderId="0" xfId="0" applyNumberFormat="1" applyFont="1" applyFill="1"/>
    <xf numFmtId="2" fontId="0" fillId="0" borderId="0" xfId="28" applyNumberFormat="1" applyFont="1" applyAlignment="1"/>
    <xf numFmtId="2" fontId="30" fillId="0" borderId="86" xfId="28" applyNumberFormat="1" applyFont="1" applyFill="1" applyBorder="1" applyAlignment="1" applyProtection="1">
      <alignment horizontal="center" vertical="center"/>
    </xf>
    <xf numFmtId="2" fontId="30" fillId="0" borderId="88" xfId="28" applyNumberFormat="1" applyFont="1" applyBorder="1" applyAlignment="1">
      <alignment horizontal="center" vertical="center"/>
    </xf>
    <xf numFmtId="2" fontId="30" fillId="0" borderId="88" xfId="28" applyNumberFormat="1" applyFont="1" applyFill="1" applyBorder="1" applyAlignment="1" applyProtection="1">
      <alignment horizontal="center" vertical="center"/>
    </xf>
    <xf numFmtId="2" fontId="0" fillId="0" borderId="89" xfId="28" applyNumberFormat="1" applyFont="1" applyBorder="1" applyAlignment="1"/>
    <xf numFmtId="2" fontId="0" fillId="0" borderId="89" xfId="28" applyNumberFormat="1" applyFont="1" applyBorder="1" applyAlignment="1" applyProtection="1">
      <alignment horizontal="center" vertical="center"/>
      <protection hidden="1"/>
    </xf>
    <xf numFmtId="2" fontId="30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0" fontId="61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3" fillId="0" borderId="11" xfId="52" applyNumberFormat="1" applyFont="1" applyFill="1" applyBorder="1" applyAlignment="1">
      <alignment horizontal="center" vertical="center"/>
    </xf>
    <xf numFmtId="0" fontId="47" fillId="0" borderId="11" xfId="0" applyFont="1" applyBorder="1" applyAlignment="1">
      <alignment vertical="top" wrapText="1"/>
    </xf>
    <xf numFmtId="0" fontId="47" fillId="0" borderId="88" xfId="57" applyBorder="1"/>
    <xf numFmtId="0" fontId="47" fillId="0" borderId="91" xfId="57" applyBorder="1"/>
    <xf numFmtId="165" fontId="0" fillId="0" borderId="48" xfId="52" applyNumberFormat="1" applyFont="1" applyFill="1" applyBorder="1"/>
    <xf numFmtId="173" fontId="29" fillId="24" borderId="11" xfId="28" applyNumberFormat="1" applyFont="1" applyFill="1" applyBorder="1" applyAlignment="1" applyProtection="1">
      <alignment horizontal="center"/>
      <protection locked="0"/>
    </xf>
    <xf numFmtId="172" fontId="47" fillId="0" borderId="69" xfId="0" applyNumberFormat="1" applyFont="1" applyBorder="1"/>
    <xf numFmtId="172" fontId="47" fillId="0" borderId="36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7" fillId="0" borderId="36" xfId="0" applyFont="1" applyBorder="1" applyAlignment="1">
      <alignment horizontal="center" vertical="center" wrapText="1"/>
    </xf>
    <xf numFmtId="1" fontId="50" fillId="0" borderId="40" xfId="0" applyNumberFormat="1" applyFont="1" applyBorder="1" applyAlignment="1">
      <alignment horizontal="center" vertical="center"/>
    </xf>
    <xf numFmtId="0" fontId="0" fillId="0" borderId="71" xfId="0" applyBorder="1"/>
    <xf numFmtId="165" fontId="0" fillId="0" borderId="75" xfId="52" applyNumberFormat="1" applyFont="1" applyFill="1" applyBorder="1"/>
    <xf numFmtId="0" fontId="47" fillId="0" borderId="93" xfId="57" applyBorder="1"/>
    <xf numFmtId="173" fontId="25" fillId="24" borderId="0" xfId="0" applyNumberFormat="1" applyFont="1" applyFill="1"/>
    <xf numFmtId="16" fontId="47" fillId="0" borderId="96" xfId="57" applyNumberFormat="1" applyBorder="1" applyAlignment="1">
      <alignment horizontal="center"/>
    </xf>
    <xf numFmtId="16" fontId="47" fillId="0" borderId="97" xfId="57" applyNumberFormat="1" applyBorder="1" applyAlignment="1">
      <alignment horizontal="center"/>
    </xf>
    <xf numFmtId="0" fontId="30" fillId="49" borderId="97" xfId="57" applyFont="1" applyFill="1" applyBorder="1"/>
    <xf numFmtId="170" fontId="0" fillId="0" borderId="11" xfId="0" applyNumberFormat="1" applyBorder="1" applyAlignment="1" applyProtection="1">
      <alignment vertical="center" wrapText="1"/>
      <protection locked="0"/>
    </xf>
    <xf numFmtId="1" fontId="45" fillId="0" borderId="0" xfId="52" applyNumberFormat="1" applyFont="1" applyFill="1" applyBorder="1" applyAlignment="1">
      <alignment vertical="center"/>
    </xf>
    <xf numFmtId="0" fontId="47" fillId="0" borderId="11" xfId="0" applyFont="1" applyBorder="1" applyAlignment="1">
      <alignment wrapText="1"/>
    </xf>
    <xf numFmtId="0" fontId="30" fillId="24" borderId="13" xfId="0" quotePrefix="1" applyFont="1" applyFill="1" applyBorder="1" applyAlignment="1" applyProtection="1">
      <alignment wrapText="1"/>
      <protection locked="0"/>
    </xf>
    <xf numFmtId="0" fontId="30" fillId="24" borderId="100" xfId="0" quotePrefix="1" applyFont="1" applyFill="1" applyBorder="1" applyAlignment="1" applyProtection="1">
      <alignment wrapText="1"/>
      <protection locked="0"/>
    </xf>
    <xf numFmtId="176" fontId="25" fillId="24" borderId="0" xfId="0" applyNumberFormat="1" applyFont="1" applyFill="1"/>
    <xf numFmtId="0" fontId="47" fillId="0" borderId="90" xfId="57" applyBorder="1"/>
    <xf numFmtId="165" fontId="0" fillId="0" borderId="100" xfId="52" applyNumberFormat="1" applyFont="1" applyFill="1" applyBorder="1"/>
    <xf numFmtId="170" fontId="0" fillId="0" borderId="11" xfId="0" applyNumberFormat="1" applyBorder="1" applyAlignment="1">
      <alignment vertical="justify"/>
    </xf>
    <xf numFmtId="0" fontId="47" fillId="0" borderId="0" xfId="57"/>
    <xf numFmtId="0" fontId="47" fillId="0" borderId="0" xfId="57" quotePrefix="1"/>
    <xf numFmtId="1" fontId="47" fillId="27" borderId="40" xfId="0" applyNumberFormat="1" applyFont="1" applyFill="1" applyBorder="1" applyAlignment="1">
      <alignment horizontal="center" vertical="center"/>
    </xf>
    <xf numFmtId="0" fontId="29" fillId="24" borderId="100" xfId="0" quotePrefix="1" applyFont="1" applyFill="1" applyBorder="1" applyAlignment="1" applyProtection="1">
      <alignment wrapText="1"/>
      <protection locked="0"/>
    </xf>
    <xf numFmtId="0" fontId="47" fillId="0" borderId="26" xfId="57" applyBorder="1"/>
    <xf numFmtId="165" fontId="0" fillId="0" borderId="17" xfId="52" applyNumberFormat="1" applyFont="1" applyFill="1" applyBorder="1"/>
    <xf numFmtId="165" fontId="0" fillId="0" borderId="31" xfId="52" applyNumberFormat="1" applyFont="1" applyFill="1" applyBorder="1"/>
    <xf numFmtId="0" fontId="47" fillId="0" borderId="14" xfId="57" applyBorder="1"/>
    <xf numFmtId="0" fontId="47" fillId="0" borderId="51" xfId="57" applyBorder="1"/>
    <xf numFmtId="10" fontId="47" fillId="0" borderId="25" xfId="57" applyNumberFormat="1" applyBorder="1"/>
    <xf numFmtId="10" fontId="47" fillId="0" borderId="17" xfId="57" applyNumberFormat="1" applyBorder="1"/>
    <xf numFmtId="165" fontId="47" fillId="0" borderId="17" xfId="52" applyNumberFormat="1" applyFont="1" applyFill="1" applyBorder="1"/>
    <xf numFmtId="165" fontId="47" fillId="0" borderId="49" xfId="52" applyNumberFormat="1" applyFont="1" applyFill="1" applyBorder="1"/>
    <xf numFmtId="16" fontId="30" fillId="34" borderId="97" xfId="57" applyNumberFormat="1" applyFont="1" applyFill="1" applyBorder="1"/>
    <xf numFmtId="16" fontId="30" fillId="44" borderId="97" xfId="57" applyNumberFormat="1" applyFont="1" applyFill="1" applyBorder="1"/>
    <xf numFmtId="16" fontId="30" fillId="40" borderId="97" xfId="57" applyNumberFormat="1" applyFont="1" applyFill="1" applyBorder="1"/>
    <xf numFmtId="16" fontId="30" fillId="35" borderId="97" xfId="57" applyNumberFormat="1" applyFont="1" applyFill="1" applyBorder="1"/>
    <xf numFmtId="0" fontId="30" fillId="45" borderId="97" xfId="57" applyFont="1" applyFill="1" applyBorder="1"/>
    <xf numFmtId="0" fontId="30" fillId="46" borderId="97" xfId="57" applyFont="1" applyFill="1" applyBorder="1"/>
    <xf numFmtId="0" fontId="30" fillId="47" borderId="97" xfId="57" applyFont="1" applyFill="1" applyBorder="1"/>
    <xf numFmtId="0" fontId="30" fillId="48" borderId="97" xfId="57" applyFont="1" applyFill="1" applyBorder="1"/>
    <xf numFmtId="0" fontId="30" fillId="40" borderId="97" xfId="57" applyFont="1" applyFill="1" applyBorder="1"/>
    <xf numFmtId="0" fontId="30" fillId="44" borderId="98" xfId="57" applyFont="1" applyFill="1" applyBorder="1"/>
    <xf numFmtId="2" fontId="29" fillId="24" borderId="10" xfId="0" applyNumberFormat="1" applyFont="1" applyFill="1" applyBorder="1" applyAlignment="1" applyProtection="1">
      <alignment horizontal="right"/>
      <protection locked="0"/>
    </xf>
    <xf numFmtId="0" fontId="0" fillId="27" borderId="11" xfId="0" quotePrefix="1" applyFill="1" applyBorder="1" applyAlignment="1" applyProtection="1">
      <alignment horizontal="center" vertical="center"/>
      <protection locked="0"/>
    </xf>
    <xf numFmtId="0" fontId="25" fillId="24" borderId="15" xfId="0" applyFont="1" applyFill="1" applyBorder="1"/>
    <xf numFmtId="0" fontId="25" fillId="24" borderId="15" xfId="0" applyFont="1" applyFill="1" applyBorder="1" applyAlignment="1">
      <alignment horizontal="center" wrapText="1"/>
    </xf>
    <xf numFmtId="0" fontId="25" fillId="24" borderId="57" xfId="0" applyFont="1" applyFill="1" applyBorder="1"/>
    <xf numFmtId="9" fontId="25" fillId="0" borderId="21" xfId="52" applyFont="1" applyFill="1" applyBorder="1" applyAlignment="1">
      <alignment vertical="center"/>
    </xf>
    <xf numFmtId="0" fontId="25" fillId="24" borderId="21" xfId="0" applyFont="1" applyFill="1" applyBorder="1"/>
    <xf numFmtId="2" fontId="25" fillId="24" borderId="21" xfId="0" applyNumberFormat="1" applyFont="1" applyFill="1" applyBorder="1"/>
    <xf numFmtId="165" fontId="25" fillId="0" borderId="11" xfId="29" applyNumberFormat="1" applyFont="1" applyFill="1" applyBorder="1" applyAlignment="1">
      <alignment vertical="center"/>
    </xf>
    <xf numFmtId="165" fontId="25" fillId="24" borderId="21" xfId="0" applyNumberFormat="1" applyFont="1" applyFill="1" applyBorder="1"/>
    <xf numFmtId="10" fontId="44" fillId="0" borderId="100" xfId="52" applyNumberFormat="1" applyFont="1" applyFill="1" applyBorder="1" applyAlignment="1">
      <alignment vertical="center"/>
    </xf>
    <xf numFmtId="9" fontId="44" fillId="27" borderId="11" xfId="0" applyNumberFormat="1" applyFont="1" applyFill="1" applyBorder="1" applyAlignment="1">
      <alignment horizontal="center" vertical="center" wrapText="1"/>
    </xf>
    <xf numFmtId="172" fontId="47" fillId="0" borderId="0" xfId="0" applyNumberFormat="1" applyFont="1"/>
    <xf numFmtId="17" fontId="47" fillId="0" borderId="11" xfId="0" quotePrefix="1" applyNumberFormat="1" applyFont="1" applyBorder="1" applyAlignment="1" applyProtection="1">
      <alignment horizontal="center" vertical="center"/>
      <protection locked="0"/>
    </xf>
    <xf numFmtId="182" fontId="25" fillId="24" borderId="0" xfId="0" applyNumberFormat="1" applyFont="1" applyFill="1"/>
    <xf numFmtId="0" fontId="30" fillId="0" borderId="17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172" fontId="47" fillId="0" borderId="94" xfId="0" applyNumberFormat="1" applyFont="1" applyBorder="1"/>
    <xf numFmtId="0" fontId="47" fillId="0" borderId="56" xfId="0" applyFont="1" applyBorder="1"/>
    <xf numFmtId="0" fontId="0" fillId="0" borderId="46" xfId="0" applyBorder="1"/>
    <xf numFmtId="0" fontId="47" fillId="0" borderId="46" xfId="0" applyFont="1" applyBorder="1"/>
    <xf numFmtId="0" fontId="0" fillId="0" borderId="65" xfId="0" applyBorder="1"/>
    <xf numFmtId="0" fontId="0" fillId="0" borderId="70" xfId="0" applyBorder="1"/>
    <xf numFmtId="0" fontId="0" fillId="0" borderId="37" xfId="0" applyBorder="1"/>
    <xf numFmtId="0" fontId="0" fillId="0" borderId="41" xfId="0" applyBorder="1"/>
    <xf numFmtId="2" fontId="0" fillId="0" borderId="94" xfId="0" applyNumberFormat="1" applyBorder="1" applyAlignment="1">
      <alignment vertical="center"/>
    </xf>
    <xf numFmtId="0" fontId="0" fillId="0" borderId="69" xfId="0" applyBorder="1"/>
    <xf numFmtId="178" fontId="44" fillId="0" borderId="11" xfId="0" applyNumberFormat="1" applyFont="1" applyBorder="1"/>
    <xf numFmtId="178" fontId="44" fillId="0" borderId="0" xfId="0" applyNumberFormat="1" applyFont="1"/>
    <xf numFmtId="178" fontId="45" fillId="25" borderId="11" xfId="52" applyNumberFormat="1" applyFont="1" applyFill="1" applyBorder="1" applyAlignment="1">
      <alignment vertical="center"/>
    </xf>
    <xf numFmtId="178" fontId="44" fillId="28" borderId="0" xfId="0" applyNumberFormat="1" applyFont="1" applyFill="1"/>
    <xf numFmtId="165" fontId="0" fillId="0" borderId="69" xfId="0" applyNumberFormat="1" applyBorder="1"/>
    <xf numFmtId="2" fontId="30" fillId="49" borderId="100" xfId="57" applyNumberFormat="1" applyFont="1" applyFill="1" applyBorder="1" applyAlignment="1">
      <alignment horizontal="center"/>
    </xf>
    <xf numFmtId="2" fontId="30" fillId="49" borderId="102" xfId="57" applyNumberFormat="1" applyFont="1" applyFill="1" applyBorder="1" applyAlignment="1">
      <alignment horizontal="center"/>
    </xf>
    <xf numFmtId="4" fontId="30" fillId="49" borderId="100" xfId="57" applyNumberFormat="1" applyFont="1" applyFill="1" applyBorder="1" applyAlignment="1">
      <alignment horizontal="center"/>
    </xf>
    <xf numFmtId="4" fontId="30" fillId="49" borderId="102" xfId="57" applyNumberFormat="1" applyFont="1" applyFill="1" applyBorder="1" applyAlignment="1">
      <alignment horizontal="center"/>
    </xf>
    <xf numFmtId="10" fontId="30" fillId="49" borderId="28" xfId="57" applyNumberFormat="1" applyFont="1" applyFill="1" applyBorder="1" applyAlignment="1">
      <alignment horizontal="center"/>
    </xf>
    <xf numFmtId="10" fontId="30" fillId="49" borderId="102" xfId="57" applyNumberFormat="1" applyFont="1" applyFill="1" applyBorder="1" applyAlignment="1">
      <alignment horizontal="center"/>
    </xf>
    <xf numFmtId="10" fontId="30" fillId="49" borderId="100" xfId="57" applyNumberFormat="1" applyFont="1" applyFill="1" applyBorder="1" applyAlignment="1">
      <alignment horizontal="center"/>
    </xf>
    <xf numFmtId="10" fontId="30" fillId="34" borderId="100" xfId="57" applyNumberFormat="1" applyFont="1" applyFill="1" applyBorder="1" applyAlignment="1">
      <alignment horizontal="center"/>
    </xf>
    <xf numFmtId="10" fontId="30" fillId="34" borderId="102" xfId="57" applyNumberFormat="1" applyFont="1" applyFill="1" applyBorder="1" applyAlignment="1">
      <alignment horizontal="center"/>
    </xf>
    <xf numFmtId="0" fontId="47" fillId="0" borderId="94" xfId="57" applyBorder="1" applyAlignment="1">
      <alignment horizontal="center" vertical="center"/>
    </xf>
    <xf numFmtId="0" fontId="47" fillId="0" borderId="69" xfId="57" applyBorder="1" applyAlignment="1">
      <alignment horizontal="center" vertical="center"/>
    </xf>
    <xf numFmtId="0" fontId="47" fillId="0" borderId="95" xfId="57" applyBorder="1" applyAlignment="1">
      <alignment horizontal="center" vertical="center"/>
    </xf>
    <xf numFmtId="0" fontId="30" fillId="42" borderId="36" xfId="57" applyFont="1" applyFill="1" applyBorder="1" applyAlignment="1">
      <alignment horizontal="center" vertical="center"/>
    </xf>
    <xf numFmtId="0" fontId="30" fillId="42" borderId="54" xfId="57" applyFont="1" applyFill="1" applyBorder="1" applyAlignment="1">
      <alignment horizontal="center" vertical="center"/>
    </xf>
    <xf numFmtId="0" fontId="30" fillId="42" borderId="35" xfId="57" applyFont="1" applyFill="1" applyBorder="1" applyAlignment="1">
      <alignment horizontal="center" vertical="center"/>
    </xf>
    <xf numFmtId="0" fontId="30" fillId="43" borderId="36" xfId="57" applyFont="1" applyFill="1" applyBorder="1" applyAlignment="1">
      <alignment horizontal="center" vertical="center"/>
    </xf>
    <xf numFmtId="0" fontId="30" fillId="43" borderId="54" xfId="57" applyFont="1" applyFill="1" applyBorder="1" applyAlignment="1">
      <alignment horizontal="center" vertical="center"/>
    </xf>
    <xf numFmtId="0" fontId="30" fillId="43" borderId="35" xfId="57" applyFont="1" applyFill="1" applyBorder="1" applyAlignment="1">
      <alignment horizontal="center" vertical="center"/>
    </xf>
    <xf numFmtId="0" fontId="30" fillId="32" borderId="36" xfId="57" applyFont="1" applyFill="1" applyBorder="1" applyAlignment="1">
      <alignment horizontal="center" vertical="center" wrapText="1"/>
    </xf>
    <xf numFmtId="0" fontId="30" fillId="32" borderId="54" xfId="57" applyFont="1" applyFill="1" applyBorder="1" applyAlignment="1">
      <alignment horizontal="center" vertical="center" wrapText="1"/>
    </xf>
    <xf numFmtId="0" fontId="30" fillId="32" borderId="35" xfId="57" applyFont="1" applyFill="1" applyBorder="1" applyAlignment="1">
      <alignment horizontal="center" vertical="center" wrapText="1"/>
    </xf>
    <xf numFmtId="0" fontId="47" fillId="0" borderId="75" xfId="57" applyBorder="1" applyAlignment="1">
      <alignment horizontal="center"/>
    </xf>
    <xf numFmtId="0" fontId="47" fillId="0" borderId="77" xfId="57" applyBorder="1" applyAlignment="1">
      <alignment horizontal="center"/>
    </xf>
    <xf numFmtId="0" fontId="47" fillId="0" borderId="76" xfId="57" applyBorder="1" applyAlignment="1">
      <alignment horizontal="center"/>
    </xf>
    <xf numFmtId="0" fontId="47" fillId="0" borderId="78" xfId="57" applyBorder="1" applyAlignment="1">
      <alignment horizontal="center"/>
    </xf>
    <xf numFmtId="2" fontId="30" fillId="49" borderId="101" xfId="57" applyNumberFormat="1" applyFont="1" applyFill="1" applyBorder="1" applyAlignment="1">
      <alignment horizontal="center"/>
    </xf>
    <xf numFmtId="0" fontId="47" fillId="0" borderId="21" xfId="57" applyBorder="1" applyAlignment="1">
      <alignment horizontal="center"/>
    </xf>
    <xf numFmtId="10" fontId="30" fillId="40" borderId="100" xfId="57" applyNumberFormat="1" applyFont="1" applyFill="1" applyBorder="1" applyAlignment="1">
      <alignment horizontal="center"/>
    </xf>
    <xf numFmtId="10" fontId="30" fillId="40" borderId="102" xfId="57" applyNumberFormat="1" applyFont="1" applyFill="1" applyBorder="1" applyAlignment="1">
      <alignment horizontal="center"/>
    </xf>
    <xf numFmtId="4" fontId="30" fillId="40" borderId="100" xfId="57" applyNumberFormat="1" applyFont="1" applyFill="1" applyBorder="1" applyAlignment="1">
      <alignment horizontal="center"/>
    </xf>
    <xf numFmtId="4" fontId="30" fillId="40" borderId="102" xfId="57" applyNumberFormat="1" applyFont="1" applyFill="1" applyBorder="1" applyAlignment="1">
      <alignment horizontal="center"/>
    </xf>
    <xf numFmtId="175" fontId="30" fillId="49" borderId="100" xfId="57" applyNumberFormat="1" applyFont="1" applyFill="1" applyBorder="1" applyAlignment="1">
      <alignment horizontal="center"/>
    </xf>
    <xf numFmtId="175" fontId="30" fillId="49" borderId="102" xfId="57" applyNumberFormat="1" applyFont="1" applyFill="1" applyBorder="1" applyAlignment="1">
      <alignment horizontal="center"/>
    </xf>
    <xf numFmtId="4" fontId="30" fillId="49" borderId="101" xfId="57" applyNumberFormat="1" applyFont="1" applyFill="1" applyBorder="1" applyAlignment="1">
      <alignment horizontal="center"/>
    </xf>
    <xf numFmtId="10" fontId="30" fillId="34" borderId="28" xfId="57" applyNumberFormat="1" applyFont="1" applyFill="1" applyBorder="1" applyAlignment="1">
      <alignment horizontal="center"/>
    </xf>
    <xf numFmtId="2" fontId="30" fillId="34" borderId="100" xfId="57" applyNumberFormat="1" applyFont="1" applyFill="1" applyBorder="1" applyAlignment="1">
      <alignment horizontal="center"/>
    </xf>
    <xf numFmtId="2" fontId="30" fillId="34" borderId="102" xfId="57" applyNumberFormat="1" applyFont="1" applyFill="1" applyBorder="1" applyAlignment="1">
      <alignment horizontal="center"/>
    </xf>
    <xf numFmtId="4" fontId="30" fillId="34" borderId="100" xfId="57" applyNumberFormat="1" applyFont="1" applyFill="1" applyBorder="1" applyAlignment="1">
      <alignment horizontal="center"/>
    </xf>
    <xf numFmtId="4" fontId="30" fillId="34" borderId="102" xfId="57" applyNumberFormat="1" applyFont="1" applyFill="1" applyBorder="1" applyAlignment="1">
      <alignment horizontal="center"/>
    </xf>
    <xf numFmtId="175" fontId="30" fillId="34" borderId="100" xfId="57" applyNumberFormat="1" applyFont="1" applyFill="1" applyBorder="1" applyAlignment="1">
      <alignment horizontal="center"/>
    </xf>
    <xf numFmtId="175" fontId="30" fillId="34" borderId="102" xfId="57" applyNumberFormat="1" applyFont="1" applyFill="1" applyBorder="1" applyAlignment="1">
      <alignment horizontal="center"/>
    </xf>
    <xf numFmtId="4" fontId="30" fillId="34" borderId="11" xfId="57" applyNumberFormat="1" applyFont="1" applyFill="1" applyBorder="1" applyAlignment="1">
      <alignment horizontal="center"/>
    </xf>
    <xf numFmtId="0" fontId="47" fillId="0" borderId="29" xfId="57" applyBorder="1" applyAlignment="1">
      <alignment horizontal="center"/>
    </xf>
    <xf numFmtId="0" fontId="47" fillId="0" borderId="0" xfId="57" applyAlignment="1">
      <alignment horizontal="center"/>
    </xf>
    <xf numFmtId="2" fontId="30" fillId="49" borderId="11" xfId="57" applyNumberFormat="1" applyFont="1" applyFill="1" applyBorder="1" applyAlignment="1">
      <alignment horizontal="center"/>
    </xf>
    <xf numFmtId="2" fontId="30" fillId="34" borderId="101" xfId="57" applyNumberFormat="1" applyFont="1" applyFill="1" applyBorder="1" applyAlignment="1">
      <alignment horizontal="center"/>
    </xf>
    <xf numFmtId="4" fontId="30" fillId="49" borderId="11" xfId="57" applyNumberFormat="1" applyFont="1" applyFill="1" applyBorder="1" applyAlignment="1">
      <alignment horizontal="center"/>
    </xf>
    <xf numFmtId="2" fontId="30" fillId="34" borderId="11" xfId="57" applyNumberFormat="1" applyFont="1" applyFill="1" applyBorder="1" applyAlignment="1">
      <alignment horizontal="center"/>
    </xf>
    <xf numFmtId="4" fontId="30" fillId="44" borderId="100" xfId="57" applyNumberFormat="1" applyFont="1" applyFill="1" applyBorder="1" applyAlignment="1">
      <alignment horizontal="center"/>
    </xf>
    <xf numFmtId="4" fontId="30" fillId="44" borderId="102" xfId="57" applyNumberFormat="1" applyFont="1" applyFill="1" applyBorder="1" applyAlignment="1">
      <alignment horizontal="center"/>
    </xf>
    <xf numFmtId="2" fontId="30" fillId="44" borderId="100" xfId="57" applyNumberFormat="1" applyFont="1" applyFill="1" applyBorder="1" applyAlignment="1">
      <alignment horizontal="center"/>
    </xf>
    <xf numFmtId="2" fontId="30" fillId="44" borderId="102" xfId="57" applyNumberFormat="1" applyFont="1" applyFill="1" applyBorder="1" applyAlignment="1">
      <alignment horizontal="center"/>
    </xf>
    <xf numFmtId="4" fontId="30" fillId="44" borderId="101" xfId="57" applyNumberFormat="1" applyFont="1" applyFill="1" applyBorder="1" applyAlignment="1">
      <alignment horizontal="center"/>
    </xf>
    <xf numFmtId="10" fontId="30" fillId="44" borderId="28" xfId="57" applyNumberFormat="1" applyFont="1" applyFill="1" applyBorder="1" applyAlignment="1">
      <alignment horizontal="center"/>
    </xf>
    <xf numFmtId="10" fontId="30" fillId="44" borderId="102" xfId="57" applyNumberFormat="1" applyFont="1" applyFill="1" applyBorder="1" applyAlignment="1">
      <alignment horizontal="center"/>
    </xf>
    <xf numFmtId="2" fontId="30" fillId="44" borderId="11" xfId="57" applyNumberFormat="1" applyFont="1" applyFill="1" applyBorder="1" applyAlignment="1">
      <alignment horizontal="center"/>
    </xf>
    <xf numFmtId="10" fontId="30" fillId="44" borderId="100" xfId="57" applyNumberFormat="1" applyFont="1" applyFill="1" applyBorder="1" applyAlignment="1">
      <alignment horizontal="center"/>
    </xf>
    <xf numFmtId="4" fontId="30" fillId="44" borderId="11" xfId="57" applyNumberFormat="1" applyFont="1" applyFill="1" applyBorder="1" applyAlignment="1">
      <alignment horizontal="center"/>
    </xf>
    <xf numFmtId="4" fontId="30" fillId="34" borderId="101" xfId="57" applyNumberFormat="1" applyFont="1" applyFill="1" applyBorder="1" applyAlignment="1">
      <alignment horizontal="center"/>
    </xf>
    <xf numFmtId="2" fontId="30" fillId="44" borderId="101" xfId="57" applyNumberFormat="1" applyFont="1" applyFill="1" applyBorder="1" applyAlignment="1">
      <alignment horizontal="center"/>
    </xf>
    <xf numFmtId="175" fontId="30" fillId="44" borderId="100" xfId="57" applyNumberFormat="1" applyFont="1" applyFill="1" applyBorder="1" applyAlignment="1">
      <alignment horizontal="center"/>
    </xf>
    <xf numFmtId="175" fontId="30" fillId="44" borderId="102" xfId="57" applyNumberFormat="1" applyFont="1" applyFill="1" applyBorder="1" applyAlignment="1">
      <alignment horizontal="center"/>
    </xf>
    <xf numFmtId="10" fontId="30" fillId="40" borderId="28" xfId="57" applyNumberFormat="1" applyFont="1" applyFill="1" applyBorder="1" applyAlignment="1">
      <alignment horizontal="center"/>
    </xf>
    <xf numFmtId="2" fontId="30" fillId="40" borderId="100" xfId="57" applyNumberFormat="1" applyFont="1" applyFill="1" applyBorder="1" applyAlignment="1">
      <alignment horizontal="center"/>
    </xf>
    <xf numFmtId="2" fontId="30" fillId="40" borderId="102" xfId="57" applyNumberFormat="1" applyFont="1" applyFill="1" applyBorder="1" applyAlignment="1">
      <alignment horizontal="center"/>
    </xf>
    <xf numFmtId="2" fontId="30" fillId="40" borderId="101" xfId="57" applyNumberFormat="1" applyFont="1" applyFill="1" applyBorder="1" applyAlignment="1">
      <alignment horizontal="center"/>
    </xf>
    <xf numFmtId="175" fontId="30" fillId="53" borderId="100" xfId="57" applyNumberFormat="1" applyFont="1" applyFill="1" applyBorder="1" applyAlignment="1">
      <alignment horizontal="center"/>
    </xf>
    <xf numFmtId="175" fontId="30" fillId="53" borderId="102" xfId="57" applyNumberFormat="1" applyFont="1" applyFill="1" applyBorder="1" applyAlignment="1">
      <alignment horizontal="center"/>
    </xf>
    <xf numFmtId="4" fontId="30" fillId="40" borderId="101" xfId="57" applyNumberFormat="1" applyFont="1" applyFill="1" applyBorder="1" applyAlignment="1">
      <alignment horizontal="center"/>
    </xf>
    <xf numFmtId="2" fontId="30" fillId="53" borderId="100" xfId="57" applyNumberFormat="1" applyFont="1" applyFill="1" applyBorder="1" applyAlignment="1">
      <alignment horizontal="center"/>
    </xf>
    <xf numFmtId="2" fontId="30" fillId="53" borderId="102" xfId="57" applyNumberFormat="1" applyFont="1" applyFill="1" applyBorder="1" applyAlignment="1">
      <alignment horizontal="center"/>
    </xf>
    <xf numFmtId="4" fontId="30" fillId="53" borderId="100" xfId="57" applyNumberFormat="1" applyFont="1" applyFill="1" applyBorder="1" applyAlignment="1">
      <alignment horizontal="center"/>
    </xf>
    <xf numFmtId="4" fontId="30" fillId="53" borderId="102" xfId="57" applyNumberFormat="1" applyFont="1" applyFill="1" applyBorder="1" applyAlignment="1">
      <alignment horizontal="center"/>
    </xf>
    <xf numFmtId="4" fontId="30" fillId="40" borderId="11" xfId="57" applyNumberFormat="1" applyFont="1" applyFill="1" applyBorder="1" applyAlignment="1">
      <alignment horizontal="center"/>
    </xf>
    <xf numFmtId="2" fontId="30" fillId="40" borderId="11" xfId="57" applyNumberFormat="1" applyFont="1" applyFill="1" applyBorder="1" applyAlignment="1">
      <alignment horizontal="center"/>
    </xf>
    <xf numFmtId="2" fontId="30" fillId="53" borderId="101" xfId="57" applyNumberFormat="1" applyFont="1" applyFill="1" applyBorder="1" applyAlignment="1">
      <alignment horizontal="center"/>
    </xf>
    <xf numFmtId="10" fontId="30" fillId="35" borderId="28" xfId="57" applyNumberFormat="1" applyFont="1" applyFill="1" applyBorder="1" applyAlignment="1">
      <alignment horizontal="center"/>
    </xf>
    <xf numFmtId="10" fontId="30" fillId="35" borderId="102" xfId="57" applyNumberFormat="1" applyFont="1" applyFill="1" applyBorder="1" applyAlignment="1">
      <alignment horizontal="center"/>
    </xf>
    <xf numFmtId="2" fontId="30" fillId="35" borderId="100" xfId="57" applyNumberFormat="1" applyFont="1" applyFill="1" applyBorder="1" applyAlignment="1">
      <alignment horizontal="center"/>
    </xf>
    <xf numFmtId="2" fontId="30" fillId="35" borderId="102" xfId="57" applyNumberFormat="1" applyFont="1" applyFill="1" applyBorder="1" applyAlignment="1">
      <alignment horizontal="center"/>
    </xf>
    <xf numFmtId="2" fontId="30" fillId="35" borderId="101" xfId="57" applyNumberFormat="1" applyFont="1" applyFill="1" applyBorder="1" applyAlignment="1">
      <alignment horizontal="center"/>
    </xf>
    <xf numFmtId="4" fontId="30" fillId="35" borderId="100" xfId="57" applyNumberFormat="1" applyFont="1" applyFill="1" applyBorder="1" applyAlignment="1">
      <alignment horizontal="center"/>
    </xf>
    <xf numFmtId="4" fontId="30" fillId="35" borderId="102" xfId="57" applyNumberFormat="1" applyFont="1" applyFill="1" applyBorder="1" applyAlignment="1">
      <alignment horizontal="center"/>
    </xf>
    <xf numFmtId="10" fontId="30" fillId="35" borderId="100" xfId="57" applyNumberFormat="1" applyFont="1" applyFill="1" applyBorder="1" applyAlignment="1">
      <alignment horizontal="center"/>
    </xf>
    <xf numFmtId="175" fontId="30" fillId="35" borderId="100" xfId="57" applyNumberFormat="1" applyFont="1" applyFill="1" applyBorder="1" applyAlignment="1">
      <alignment horizontal="center"/>
    </xf>
    <xf numFmtId="175" fontId="30" fillId="35" borderId="102" xfId="57" applyNumberFormat="1" applyFont="1" applyFill="1" applyBorder="1" applyAlignment="1">
      <alignment horizontal="center"/>
    </xf>
    <xf numFmtId="10" fontId="30" fillId="35" borderId="101" xfId="57" applyNumberFormat="1" applyFont="1" applyFill="1" applyBorder="1" applyAlignment="1">
      <alignment horizontal="center"/>
    </xf>
    <xf numFmtId="4" fontId="30" fillId="45" borderId="100" xfId="57" applyNumberFormat="1" applyFont="1" applyFill="1" applyBorder="1" applyAlignment="1">
      <alignment horizontal="center"/>
    </xf>
    <xf numFmtId="4" fontId="30" fillId="45" borderId="102" xfId="57" applyNumberFormat="1" applyFont="1" applyFill="1" applyBorder="1" applyAlignment="1">
      <alignment horizontal="center"/>
    </xf>
    <xf numFmtId="2" fontId="30" fillId="45" borderId="100" xfId="57" applyNumberFormat="1" applyFont="1" applyFill="1" applyBorder="1" applyAlignment="1">
      <alignment horizontal="center"/>
    </xf>
    <xf numFmtId="2" fontId="30" fillId="45" borderId="102" xfId="57" applyNumberFormat="1" applyFont="1" applyFill="1" applyBorder="1" applyAlignment="1">
      <alignment horizontal="center"/>
    </xf>
    <xf numFmtId="2" fontId="30" fillId="45" borderId="101" xfId="57" applyNumberFormat="1" applyFont="1" applyFill="1" applyBorder="1" applyAlignment="1">
      <alignment horizontal="center"/>
    </xf>
    <xf numFmtId="10" fontId="30" fillId="45" borderId="28" xfId="57" applyNumberFormat="1" applyFont="1" applyFill="1" applyBorder="1" applyAlignment="1">
      <alignment horizontal="center"/>
    </xf>
    <xf numFmtId="10" fontId="30" fillId="45" borderId="102" xfId="57" applyNumberFormat="1" applyFont="1" applyFill="1" applyBorder="1" applyAlignment="1">
      <alignment horizontal="center"/>
    </xf>
    <xf numFmtId="10" fontId="30" fillId="45" borderId="100" xfId="57" applyNumberFormat="1" applyFont="1" applyFill="1" applyBorder="1" applyAlignment="1">
      <alignment horizontal="center"/>
    </xf>
    <xf numFmtId="2" fontId="30" fillId="35" borderId="11" xfId="57" applyNumberFormat="1" applyFont="1" applyFill="1" applyBorder="1" applyAlignment="1">
      <alignment horizontal="center"/>
    </xf>
    <xf numFmtId="2" fontId="30" fillId="52" borderId="100" xfId="57" applyNumberFormat="1" applyFont="1" applyFill="1" applyBorder="1" applyAlignment="1">
      <alignment horizontal="center"/>
    </xf>
    <xf numFmtId="2" fontId="30" fillId="52" borderId="102" xfId="57" applyNumberFormat="1" applyFont="1" applyFill="1" applyBorder="1" applyAlignment="1">
      <alignment horizontal="center"/>
    </xf>
    <xf numFmtId="175" fontId="30" fillId="52" borderId="100" xfId="57" applyNumberFormat="1" applyFont="1" applyFill="1" applyBorder="1" applyAlignment="1">
      <alignment horizontal="center"/>
    </xf>
    <xf numFmtId="175" fontId="30" fillId="52" borderId="102" xfId="57" applyNumberFormat="1" applyFont="1" applyFill="1" applyBorder="1" applyAlignment="1">
      <alignment horizontal="center"/>
    </xf>
    <xf numFmtId="2" fontId="30" fillId="46" borderId="100" xfId="57" applyNumberFormat="1" applyFont="1" applyFill="1" applyBorder="1" applyAlignment="1">
      <alignment horizontal="center"/>
    </xf>
    <xf numFmtId="2" fontId="30" fillId="46" borderId="102" xfId="57" applyNumberFormat="1" applyFont="1" applyFill="1" applyBorder="1" applyAlignment="1">
      <alignment horizontal="center"/>
    </xf>
    <xf numFmtId="4" fontId="30" fillId="46" borderId="100" xfId="57" applyNumberFormat="1" applyFont="1" applyFill="1" applyBorder="1" applyAlignment="1">
      <alignment horizontal="center"/>
    </xf>
    <xf numFmtId="4" fontId="30" fillId="46" borderId="102" xfId="57" applyNumberFormat="1" applyFont="1" applyFill="1" applyBorder="1" applyAlignment="1">
      <alignment horizontal="center"/>
    </xf>
    <xf numFmtId="2" fontId="30" fillId="45" borderId="11" xfId="57" applyNumberFormat="1" applyFont="1" applyFill="1" applyBorder="1" applyAlignment="1">
      <alignment horizontal="center"/>
    </xf>
    <xf numFmtId="10" fontId="30" fillId="46" borderId="28" xfId="57" applyNumberFormat="1" applyFont="1" applyFill="1" applyBorder="1" applyAlignment="1">
      <alignment horizontal="center"/>
    </xf>
    <xf numFmtId="10" fontId="30" fillId="46" borderId="102" xfId="57" applyNumberFormat="1" applyFont="1" applyFill="1" applyBorder="1" applyAlignment="1">
      <alignment horizontal="center"/>
    </xf>
    <xf numFmtId="10" fontId="30" fillId="46" borderId="100" xfId="57" applyNumberFormat="1" applyFont="1" applyFill="1" applyBorder="1" applyAlignment="1">
      <alignment horizontal="center"/>
    </xf>
    <xf numFmtId="2" fontId="30" fillId="46" borderId="101" xfId="57" applyNumberFormat="1" applyFont="1" applyFill="1" applyBorder="1" applyAlignment="1">
      <alignment horizontal="center"/>
    </xf>
    <xf numFmtId="10" fontId="30" fillId="52" borderId="100" xfId="57" applyNumberFormat="1" applyFont="1" applyFill="1" applyBorder="1" applyAlignment="1">
      <alignment horizontal="center"/>
    </xf>
    <xf numFmtId="10" fontId="30" fillId="52" borderId="102" xfId="57" applyNumberFormat="1" applyFont="1" applyFill="1" applyBorder="1" applyAlignment="1">
      <alignment horizontal="center"/>
    </xf>
    <xf numFmtId="2" fontId="30" fillId="47" borderId="100" xfId="57" applyNumberFormat="1" applyFont="1" applyFill="1" applyBorder="1" applyAlignment="1">
      <alignment horizontal="center"/>
    </xf>
    <xf numFmtId="2" fontId="30" fillId="47" borderId="101" xfId="57" applyNumberFormat="1" applyFont="1" applyFill="1" applyBorder="1" applyAlignment="1">
      <alignment horizontal="center"/>
    </xf>
    <xf numFmtId="10" fontId="30" fillId="47" borderId="100" xfId="57" applyNumberFormat="1" applyFont="1" applyFill="1" applyBorder="1" applyAlignment="1">
      <alignment horizontal="center"/>
    </xf>
    <xf numFmtId="10" fontId="30" fillId="47" borderId="102" xfId="57" applyNumberFormat="1" applyFont="1" applyFill="1" applyBorder="1" applyAlignment="1">
      <alignment horizontal="center"/>
    </xf>
    <xf numFmtId="2" fontId="30" fillId="47" borderId="102" xfId="57" applyNumberFormat="1" applyFont="1" applyFill="1" applyBorder="1" applyAlignment="1">
      <alignment horizontal="center"/>
    </xf>
    <xf numFmtId="10" fontId="30" fillId="47" borderId="28" xfId="57" applyNumberFormat="1" applyFont="1" applyFill="1" applyBorder="1" applyAlignment="1">
      <alignment horizontal="center"/>
    </xf>
    <xf numFmtId="4" fontId="30" fillId="47" borderId="100" xfId="57" applyNumberFormat="1" applyFont="1" applyFill="1" applyBorder="1" applyAlignment="1">
      <alignment horizontal="center"/>
    </xf>
    <xf numFmtId="4" fontId="30" fillId="47" borderId="102" xfId="57" applyNumberFormat="1" applyFont="1" applyFill="1" applyBorder="1" applyAlignment="1">
      <alignment horizontal="center"/>
    </xf>
    <xf numFmtId="175" fontId="30" fillId="46" borderId="100" xfId="57" applyNumberFormat="1" applyFont="1" applyFill="1" applyBorder="1" applyAlignment="1">
      <alignment horizontal="center"/>
    </xf>
    <xf numFmtId="175" fontId="30" fillId="46" borderId="102" xfId="57" applyNumberFormat="1" applyFont="1" applyFill="1" applyBorder="1" applyAlignment="1">
      <alignment horizontal="center"/>
    </xf>
    <xf numFmtId="4" fontId="30" fillId="48" borderId="100" xfId="57" applyNumberFormat="1" applyFont="1" applyFill="1" applyBorder="1" applyAlignment="1">
      <alignment horizontal="center"/>
    </xf>
    <xf numFmtId="4" fontId="30" fillId="48" borderId="102" xfId="57" applyNumberFormat="1" applyFont="1" applyFill="1" applyBorder="1" applyAlignment="1">
      <alignment horizontal="center"/>
    </xf>
    <xf numFmtId="10" fontId="30" fillId="48" borderId="28" xfId="57" applyNumberFormat="1" applyFont="1" applyFill="1" applyBorder="1" applyAlignment="1">
      <alignment horizontal="center"/>
    </xf>
    <xf numFmtId="10" fontId="30" fillId="48" borderId="102" xfId="57" applyNumberFormat="1" applyFont="1" applyFill="1" applyBorder="1" applyAlignment="1">
      <alignment horizontal="center"/>
    </xf>
    <xf numFmtId="10" fontId="30" fillId="48" borderId="100" xfId="57" applyNumberFormat="1" applyFont="1" applyFill="1" applyBorder="1" applyAlignment="1">
      <alignment horizontal="center"/>
    </xf>
    <xf numFmtId="2" fontId="30" fillId="48" borderId="100" xfId="57" applyNumberFormat="1" applyFont="1" applyFill="1" applyBorder="1" applyAlignment="1">
      <alignment horizontal="center"/>
    </xf>
    <xf numFmtId="2" fontId="30" fillId="48" borderId="102" xfId="57" applyNumberFormat="1" applyFont="1" applyFill="1" applyBorder="1" applyAlignment="1">
      <alignment horizontal="center"/>
    </xf>
    <xf numFmtId="175" fontId="30" fillId="47" borderId="100" xfId="57" applyNumberFormat="1" applyFont="1" applyFill="1" applyBorder="1" applyAlignment="1">
      <alignment horizontal="center"/>
    </xf>
    <xf numFmtId="175" fontId="30" fillId="47" borderId="102" xfId="57" applyNumberFormat="1" applyFont="1" applyFill="1" applyBorder="1" applyAlignment="1">
      <alignment horizontal="center"/>
    </xf>
    <xf numFmtId="2" fontId="30" fillId="46" borderId="11" xfId="57" applyNumberFormat="1" applyFont="1" applyFill="1" applyBorder="1" applyAlignment="1">
      <alignment horizontal="center"/>
    </xf>
    <xf numFmtId="2" fontId="30" fillId="48" borderId="101" xfId="57" applyNumberFormat="1" applyFont="1" applyFill="1" applyBorder="1" applyAlignment="1">
      <alignment horizontal="center"/>
    </xf>
    <xf numFmtId="4" fontId="30" fillId="48" borderId="101" xfId="57" applyNumberFormat="1" applyFont="1" applyFill="1" applyBorder="1" applyAlignment="1">
      <alignment horizontal="center"/>
    </xf>
    <xf numFmtId="4" fontId="30" fillId="48" borderId="11" xfId="57" applyNumberFormat="1" applyFont="1" applyFill="1" applyBorder="1" applyAlignment="1">
      <alignment horizontal="center"/>
    </xf>
    <xf numFmtId="2" fontId="30" fillId="48" borderId="11" xfId="57" applyNumberFormat="1" applyFont="1" applyFill="1" applyBorder="1" applyAlignment="1">
      <alignment horizontal="center"/>
    </xf>
    <xf numFmtId="2" fontId="30" fillId="48" borderId="50" xfId="57" applyNumberFormat="1" applyFont="1" applyFill="1" applyBorder="1" applyAlignment="1">
      <alignment horizontal="center"/>
    </xf>
    <xf numFmtId="10" fontId="30" fillId="48" borderId="10" xfId="57" applyNumberFormat="1" applyFont="1" applyFill="1" applyBorder="1" applyAlignment="1">
      <alignment horizontal="center"/>
    </xf>
    <xf numFmtId="10" fontId="30" fillId="48" borderId="11" xfId="57" applyNumberFormat="1" applyFont="1" applyFill="1" applyBorder="1" applyAlignment="1">
      <alignment horizontal="center"/>
    </xf>
    <xf numFmtId="175" fontId="30" fillId="48" borderId="100" xfId="57" applyNumberFormat="1" applyFont="1" applyFill="1" applyBorder="1" applyAlignment="1">
      <alignment horizontal="center"/>
    </xf>
    <xf numFmtId="175" fontId="30" fillId="48" borderId="102" xfId="57" applyNumberFormat="1" applyFont="1" applyFill="1" applyBorder="1" applyAlignment="1">
      <alignment horizontal="center"/>
    </xf>
    <xf numFmtId="4" fontId="30" fillId="49" borderId="50" xfId="57" applyNumberFormat="1" applyFont="1" applyFill="1" applyBorder="1" applyAlignment="1">
      <alignment horizontal="center"/>
    </xf>
    <xf numFmtId="10" fontId="30" fillId="49" borderId="10" xfId="57" applyNumberFormat="1" applyFont="1" applyFill="1" applyBorder="1" applyAlignment="1">
      <alignment horizontal="center"/>
    </xf>
    <xf numFmtId="10" fontId="30" fillId="49" borderId="11" xfId="57" applyNumberFormat="1" applyFont="1" applyFill="1" applyBorder="1" applyAlignment="1">
      <alignment horizontal="center"/>
    </xf>
    <xf numFmtId="2" fontId="30" fillId="40" borderId="50" xfId="57" applyNumberFormat="1" applyFont="1" applyFill="1" applyBorder="1" applyAlignment="1">
      <alignment horizontal="center"/>
    </xf>
    <xf numFmtId="10" fontId="30" fillId="40" borderId="10" xfId="57" applyNumberFormat="1" applyFont="1" applyFill="1" applyBorder="1" applyAlignment="1">
      <alignment horizontal="center"/>
    </xf>
    <xf numFmtId="10" fontId="30" fillId="40" borderId="11" xfId="57" applyNumberFormat="1" applyFont="1" applyFill="1" applyBorder="1" applyAlignment="1">
      <alignment horizontal="center"/>
    </xf>
    <xf numFmtId="10" fontId="30" fillId="44" borderId="26" xfId="57" applyNumberFormat="1" applyFont="1" applyFill="1" applyBorder="1" applyAlignment="1">
      <alignment horizontal="center"/>
    </xf>
    <xf numFmtId="10" fontId="30" fillId="44" borderId="22" xfId="57" applyNumberFormat="1" applyFont="1" applyFill="1" applyBorder="1" applyAlignment="1">
      <alignment horizontal="center"/>
    </xf>
    <xf numFmtId="2" fontId="30" fillId="44" borderId="26" xfId="57" applyNumberFormat="1" applyFont="1" applyFill="1" applyBorder="1" applyAlignment="1">
      <alignment horizontal="center"/>
    </xf>
    <xf numFmtId="2" fontId="30" fillId="44" borderId="22" xfId="57" applyNumberFormat="1" applyFont="1" applyFill="1" applyBorder="1" applyAlignment="1">
      <alignment horizontal="center"/>
    </xf>
    <xf numFmtId="4" fontId="30" fillId="44" borderId="26" xfId="57" applyNumberFormat="1" applyFont="1" applyFill="1" applyBorder="1" applyAlignment="1">
      <alignment horizontal="center"/>
    </xf>
    <xf numFmtId="4" fontId="30" fillId="44" borderId="22" xfId="57" applyNumberFormat="1" applyFont="1" applyFill="1" applyBorder="1" applyAlignment="1">
      <alignment horizontal="center"/>
    </xf>
    <xf numFmtId="4" fontId="30" fillId="44" borderId="99" xfId="57" applyNumberFormat="1" applyFont="1" applyFill="1" applyBorder="1" applyAlignment="1">
      <alignment horizontal="center"/>
    </xf>
    <xf numFmtId="10" fontId="30" fillId="44" borderId="79" xfId="57" applyNumberFormat="1" applyFont="1" applyFill="1" applyBorder="1" applyAlignment="1">
      <alignment horizontal="center"/>
    </xf>
    <xf numFmtId="2" fontId="30" fillId="44" borderId="99" xfId="57" applyNumberFormat="1" applyFont="1" applyFill="1" applyBorder="1" applyAlignment="1">
      <alignment horizontal="center"/>
    </xf>
    <xf numFmtId="10" fontId="30" fillId="44" borderId="58" xfId="57" applyNumberFormat="1" applyFont="1" applyFill="1" applyBorder="1" applyAlignment="1">
      <alignment horizontal="center"/>
    </xf>
    <xf numFmtId="10" fontId="30" fillId="44" borderId="23" xfId="57" applyNumberFormat="1" applyFont="1" applyFill="1" applyBorder="1" applyAlignment="1">
      <alignment horizontal="center"/>
    </xf>
    <xf numFmtId="175" fontId="30" fillId="44" borderId="26" xfId="57" applyNumberFormat="1" applyFont="1" applyFill="1" applyBorder="1" applyAlignment="1">
      <alignment horizontal="center"/>
    </xf>
    <xf numFmtId="175" fontId="30" fillId="44" borderId="22" xfId="57" applyNumberFormat="1" applyFont="1" applyFill="1" applyBorder="1" applyAlignment="1">
      <alignment horizontal="center"/>
    </xf>
    <xf numFmtId="0" fontId="30" fillId="27" borderId="36" xfId="57" applyFont="1" applyFill="1" applyBorder="1" applyAlignment="1">
      <alignment horizontal="center" vertical="center" wrapText="1"/>
    </xf>
    <xf numFmtId="0" fontId="30" fillId="27" borderId="54" xfId="57" applyFont="1" applyFill="1" applyBorder="1" applyAlignment="1">
      <alignment horizontal="center" vertical="center" wrapText="1"/>
    </xf>
    <xf numFmtId="0" fontId="30" fillId="27" borderId="35" xfId="57" applyFont="1" applyFill="1" applyBorder="1" applyAlignment="1">
      <alignment horizontal="center" vertical="center" wrapText="1"/>
    </xf>
    <xf numFmtId="0" fontId="47" fillId="0" borderId="48" xfId="57" applyBorder="1" applyAlignment="1">
      <alignment horizontal="center"/>
    </xf>
    <xf numFmtId="2" fontId="30" fillId="47" borderId="28" xfId="57" applyNumberFormat="1" applyFont="1" applyFill="1" applyBorder="1" applyAlignment="1">
      <alignment horizontal="center"/>
    </xf>
    <xf numFmtId="2" fontId="30" fillId="48" borderId="28" xfId="57" applyNumberFormat="1" applyFont="1" applyFill="1" applyBorder="1" applyAlignment="1">
      <alignment horizontal="center"/>
    </xf>
    <xf numFmtId="2" fontId="30" fillId="49" borderId="28" xfId="57" applyNumberFormat="1" applyFont="1" applyFill="1" applyBorder="1" applyAlignment="1">
      <alignment horizontal="center"/>
    </xf>
    <xf numFmtId="2" fontId="30" fillId="40" borderId="28" xfId="57" applyNumberFormat="1" applyFont="1" applyFill="1" applyBorder="1" applyAlignment="1">
      <alignment horizontal="center"/>
    </xf>
    <xf numFmtId="2" fontId="30" fillId="44" borderId="79" xfId="57" applyNumberFormat="1" applyFont="1" applyFill="1" applyBorder="1" applyAlignment="1">
      <alignment horizontal="center"/>
    </xf>
    <xf numFmtId="0" fontId="30" fillId="35" borderId="36" xfId="57" applyFont="1" applyFill="1" applyBorder="1" applyAlignment="1">
      <alignment horizontal="center" vertical="center" wrapText="1"/>
    </xf>
    <xf numFmtId="0" fontId="30" fillId="35" borderId="54" xfId="57" applyFont="1" applyFill="1" applyBorder="1" applyAlignment="1">
      <alignment horizontal="center" vertical="center" wrapText="1"/>
    </xf>
    <xf numFmtId="0" fontId="30" fillId="35" borderId="35" xfId="57" applyFont="1" applyFill="1" applyBorder="1" applyAlignment="1">
      <alignment horizontal="center" vertical="center" wrapText="1"/>
    </xf>
    <xf numFmtId="175" fontId="30" fillId="40" borderId="100" xfId="57" applyNumberFormat="1" applyFont="1" applyFill="1" applyBorder="1" applyAlignment="1">
      <alignment horizontal="center"/>
    </xf>
    <xf numFmtId="175" fontId="30" fillId="40" borderId="102" xfId="57" applyNumberFormat="1" applyFont="1" applyFill="1" applyBorder="1" applyAlignment="1">
      <alignment horizontal="center"/>
    </xf>
    <xf numFmtId="2" fontId="30" fillId="44" borderId="24" xfId="57" applyNumberFormat="1" applyFont="1" applyFill="1" applyBorder="1" applyAlignment="1">
      <alignment horizontal="center"/>
    </xf>
    <xf numFmtId="0" fontId="30" fillId="33" borderId="56" xfId="57" applyFont="1" applyFill="1" applyBorder="1" applyAlignment="1">
      <alignment horizontal="center" vertical="center" wrapText="1"/>
    </xf>
    <xf numFmtId="0" fontId="30" fillId="33" borderId="46" xfId="57" applyFont="1" applyFill="1" applyBorder="1" applyAlignment="1">
      <alignment horizontal="center" vertical="center" wrapText="1"/>
    </xf>
    <xf numFmtId="0" fontId="30" fillId="33" borderId="65" xfId="57" applyFont="1" applyFill="1" applyBorder="1" applyAlignment="1">
      <alignment horizontal="center" vertical="center" wrapText="1"/>
    </xf>
    <xf numFmtId="2" fontId="30" fillId="49" borderId="50" xfId="57" applyNumberFormat="1" applyFont="1" applyFill="1" applyBorder="1" applyAlignment="1">
      <alignment horizontal="center"/>
    </xf>
    <xf numFmtId="2" fontId="30" fillId="34" borderId="50" xfId="57" applyNumberFormat="1" applyFont="1" applyFill="1" applyBorder="1" applyAlignment="1">
      <alignment horizontal="center"/>
    </xf>
    <xf numFmtId="2" fontId="30" fillId="44" borderId="50" xfId="57" applyNumberFormat="1" applyFont="1" applyFill="1" applyBorder="1" applyAlignment="1">
      <alignment horizontal="center"/>
    </xf>
    <xf numFmtId="2" fontId="30" fillId="35" borderId="50" xfId="57" applyNumberFormat="1" applyFont="1" applyFill="1" applyBorder="1" applyAlignment="1">
      <alignment horizontal="center"/>
    </xf>
    <xf numFmtId="2" fontId="30" fillId="45" borderId="50" xfId="57" applyNumberFormat="1" applyFont="1" applyFill="1" applyBorder="1" applyAlignment="1">
      <alignment horizontal="center"/>
    </xf>
    <xf numFmtId="2" fontId="30" fillId="46" borderId="50" xfId="57" applyNumberFormat="1" applyFont="1" applyFill="1" applyBorder="1" applyAlignment="1">
      <alignment horizontal="center"/>
    </xf>
    <xf numFmtId="4" fontId="30" fillId="44" borderId="23" xfId="57" applyNumberFormat="1" applyFont="1" applyFill="1" applyBorder="1" applyAlignment="1">
      <alignment horizontal="center"/>
    </xf>
    <xf numFmtId="2" fontId="30" fillId="44" borderId="23" xfId="57" applyNumberFormat="1" applyFont="1" applyFill="1" applyBorder="1" applyAlignment="1">
      <alignment horizontal="center"/>
    </xf>
    <xf numFmtId="170" fontId="40" fillId="0" borderId="11" xfId="0" applyNumberFormat="1" applyFont="1" applyBorder="1" applyAlignment="1">
      <alignment horizontal="center" vertical="center" wrapText="1"/>
    </xf>
    <xf numFmtId="0" fontId="40" fillId="27" borderId="90" xfId="0" applyFont="1" applyFill="1" applyBorder="1" applyAlignment="1">
      <alignment horizontal="center" vertical="center" wrapText="1"/>
    </xf>
    <xf numFmtId="0" fontId="40" fillId="27" borderId="92" xfId="0" applyFont="1" applyFill="1" applyBorder="1" applyAlignment="1">
      <alignment horizontal="center" vertical="center" wrapText="1"/>
    </xf>
    <xf numFmtId="0" fontId="40" fillId="27" borderId="29" xfId="0" applyFont="1" applyFill="1" applyBorder="1" applyAlignment="1">
      <alignment horizontal="center" vertical="center" wrapText="1"/>
    </xf>
    <xf numFmtId="0" fontId="40" fillId="27" borderId="61" xfId="0" applyFont="1" applyFill="1" applyBorder="1" applyAlignment="1">
      <alignment horizontal="center" vertical="center" wrapText="1"/>
    </xf>
    <xf numFmtId="169" fontId="37" fillId="0" borderId="0" xfId="0" applyNumberFormat="1" applyFont="1" applyAlignment="1">
      <alignment horizontal="center" vertical="center"/>
    </xf>
    <xf numFmtId="168" fontId="40" fillId="0" borderId="11" xfId="0" applyNumberFormat="1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40" fillId="0" borderId="72" xfId="0" applyFont="1" applyBorder="1" applyAlignment="1">
      <alignment horizontal="center" vertical="center" wrapText="1"/>
    </xf>
    <xf numFmtId="0" fontId="40" fillId="0" borderId="73" xfId="0" applyFont="1" applyBorder="1" applyAlignment="1">
      <alignment horizontal="center" vertical="center" wrapText="1"/>
    </xf>
    <xf numFmtId="0" fontId="40" fillId="0" borderId="74" xfId="0" applyFont="1" applyBorder="1" applyAlignment="1">
      <alignment horizontal="center" vertical="center" wrapText="1"/>
    </xf>
    <xf numFmtId="0" fontId="40" fillId="27" borderId="59" xfId="0" applyFont="1" applyFill="1" applyBorder="1" applyAlignment="1">
      <alignment horizontal="center" vertical="center" wrapText="1"/>
    </xf>
    <xf numFmtId="0" fontId="40" fillId="27" borderId="32" xfId="0" applyFont="1" applyFill="1" applyBorder="1" applyAlignment="1">
      <alignment horizontal="center" vertical="center" wrapText="1"/>
    </xf>
    <xf numFmtId="0" fontId="47" fillId="0" borderId="59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center"/>
    </xf>
    <xf numFmtId="0" fontId="47" fillId="0" borderId="61" xfId="0" applyFont="1" applyBorder="1" applyAlignment="1">
      <alignment horizontal="center" vertical="center"/>
    </xf>
    <xf numFmtId="2" fontId="40" fillId="0" borderId="11" xfId="0" applyNumberFormat="1" applyFont="1" applyBorder="1" applyAlignment="1">
      <alignment horizontal="center" vertical="center" wrapText="1"/>
    </xf>
    <xf numFmtId="4" fontId="40" fillId="0" borderId="11" xfId="0" applyNumberFormat="1" applyFont="1" applyBorder="1" applyAlignment="1">
      <alignment horizontal="center" vertical="center" wrapText="1"/>
    </xf>
    <xf numFmtId="169" fontId="37" fillId="0" borderId="0" xfId="0" applyNumberFormat="1" applyFont="1" applyAlignment="1">
      <alignment horizontal="center" vertical="justify" wrapText="1"/>
    </xf>
    <xf numFmtId="0" fontId="42" fillId="4" borderId="14" xfId="0" applyFont="1" applyFill="1" applyBorder="1" applyAlignment="1">
      <alignment horizontal="center" vertical="center"/>
    </xf>
    <xf numFmtId="0" fontId="42" fillId="4" borderId="63" xfId="0" applyFont="1" applyFill="1" applyBorder="1" applyAlignment="1">
      <alignment horizontal="center" vertical="center"/>
    </xf>
    <xf numFmtId="0" fontId="42" fillId="4" borderId="17" xfId="0" applyFont="1" applyFill="1" applyBorder="1" applyAlignment="1">
      <alignment horizontal="center" vertical="center"/>
    </xf>
    <xf numFmtId="0" fontId="35" fillId="4" borderId="14" xfId="0" applyFont="1" applyFill="1" applyBorder="1" applyAlignment="1">
      <alignment horizontal="center" vertical="center" wrapText="1"/>
    </xf>
    <xf numFmtId="0" fontId="35" fillId="4" borderId="63" xfId="0" applyFont="1" applyFill="1" applyBorder="1" applyAlignment="1">
      <alignment horizontal="center" vertical="center" wrapText="1"/>
    </xf>
    <xf numFmtId="0" fontId="35" fillId="4" borderId="17" xfId="0" applyFont="1" applyFill="1" applyBorder="1" applyAlignment="1">
      <alignment horizontal="center" vertical="center" wrapText="1"/>
    </xf>
    <xf numFmtId="167" fontId="35" fillId="30" borderId="13" xfId="28" applyNumberFormat="1" applyFont="1" applyFill="1" applyBorder="1" applyAlignment="1" applyProtection="1">
      <alignment horizontal="center"/>
    </xf>
    <xf numFmtId="167" fontId="59" fillId="30" borderId="20" xfId="28" applyNumberFormat="1" applyFont="1" applyFill="1" applyBorder="1" applyAlignment="1" applyProtection="1">
      <alignment horizontal="center"/>
    </xf>
    <xf numFmtId="167" fontId="59" fillId="30" borderId="19" xfId="28" applyNumberFormat="1" applyFont="1" applyFill="1" applyBorder="1" applyAlignment="1" applyProtection="1">
      <alignment horizontal="center"/>
    </xf>
    <xf numFmtId="167" fontId="35" fillId="34" borderId="13" xfId="28" applyNumberFormat="1" applyFont="1" applyFill="1" applyBorder="1" applyAlignment="1" applyProtection="1">
      <alignment horizontal="center"/>
    </xf>
    <xf numFmtId="167" fontId="59" fillId="34" borderId="20" xfId="28" applyNumberFormat="1" applyFont="1" applyFill="1" applyBorder="1" applyAlignment="1" applyProtection="1">
      <alignment horizontal="center"/>
    </xf>
    <xf numFmtId="167" fontId="59" fillId="34" borderId="19" xfId="28" applyNumberFormat="1" applyFont="1" applyFill="1" applyBorder="1" applyAlignment="1" applyProtection="1">
      <alignment horizontal="center"/>
    </xf>
    <xf numFmtId="167" fontId="35" fillId="36" borderId="13" xfId="28" applyNumberFormat="1" applyFont="1" applyFill="1" applyBorder="1" applyAlignment="1" applyProtection="1">
      <alignment horizontal="center"/>
    </xf>
    <xf numFmtId="167" fontId="59" fillId="36" borderId="20" xfId="28" applyNumberFormat="1" applyFont="1" applyFill="1" applyBorder="1" applyAlignment="1" applyProtection="1">
      <alignment horizontal="center"/>
    </xf>
    <xf numFmtId="167" fontId="59" fillId="36" borderId="19" xfId="28" applyNumberFormat="1" applyFont="1" applyFill="1" applyBorder="1" applyAlignment="1" applyProtection="1">
      <alignment horizontal="center"/>
    </xf>
    <xf numFmtId="167" fontId="35" fillId="38" borderId="13" xfId="28" applyNumberFormat="1" applyFont="1" applyFill="1" applyBorder="1" applyAlignment="1" applyProtection="1">
      <alignment horizontal="center"/>
    </xf>
    <xf numFmtId="167" fontId="59" fillId="38" borderId="20" xfId="28" applyNumberFormat="1" applyFont="1" applyFill="1" applyBorder="1" applyAlignment="1" applyProtection="1">
      <alignment horizontal="center"/>
    </xf>
    <xf numFmtId="167" fontId="59" fillId="38" borderId="19" xfId="28" applyNumberFormat="1" applyFont="1" applyFill="1" applyBorder="1" applyAlignment="1" applyProtection="1">
      <alignment horizontal="center"/>
    </xf>
    <xf numFmtId="167" fontId="35" fillId="31" borderId="13" xfId="28" applyNumberFormat="1" applyFont="1" applyFill="1" applyBorder="1" applyAlignment="1" applyProtection="1">
      <alignment horizontal="center"/>
    </xf>
    <xf numFmtId="167" fontId="59" fillId="31" borderId="20" xfId="28" applyNumberFormat="1" applyFont="1" applyFill="1" applyBorder="1" applyAlignment="1" applyProtection="1">
      <alignment horizontal="center"/>
    </xf>
    <xf numFmtId="167" fontId="59" fillId="31" borderId="19" xfId="28" applyNumberFormat="1" applyFont="1" applyFill="1" applyBorder="1" applyAlignment="1" applyProtection="1">
      <alignment horizontal="center"/>
    </xf>
    <xf numFmtId="167" fontId="35" fillId="27" borderId="90" xfId="28" applyNumberFormat="1" applyFont="1" applyFill="1" applyBorder="1" applyAlignment="1" applyProtection="1">
      <alignment horizontal="center" vertical="center"/>
    </xf>
    <xf numFmtId="167" fontId="35" fillId="27" borderId="103" xfId="28" applyNumberFormat="1" applyFont="1" applyFill="1" applyBorder="1" applyAlignment="1" applyProtection="1">
      <alignment horizontal="center" vertical="center"/>
    </xf>
    <xf numFmtId="167" fontId="35" fillId="27" borderId="92" xfId="28" applyNumberFormat="1" applyFont="1" applyFill="1" applyBorder="1" applyAlignment="1" applyProtection="1">
      <alignment horizontal="center" vertical="center"/>
    </xf>
    <xf numFmtId="167" fontId="35" fillId="27" borderId="31" xfId="28" applyNumberFormat="1" applyFont="1" applyFill="1" applyBorder="1" applyAlignment="1" applyProtection="1">
      <alignment horizontal="center" vertical="center"/>
    </xf>
    <xf numFmtId="167" fontId="35" fillId="27" borderId="62" xfId="28" applyNumberFormat="1" applyFont="1" applyFill="1" applyBorder="1" applyAlignment="1" applyProtection="1">
      <alignment horizontal="center" vertical="center"/>
    </xf>
    <xf numFmtId="167" fontId="35" fillId="27" borderId="16" xfId="28" applyNumberFormat="1" applyFont="1" applyFill="1" applyBorder="1" applyAlignment="1" applyProtection="1">
      <alignment horizontal="center" vertical="center"/>
    </xf>
    <xf numFmtId="167" fontId="35" fillId="33" borderId="13" xfId="28" applyNumberFormat="1" applyFont="1" applyFill="1" applyBorder="1" applyAlignment="1" applyProtection="1">
      <alignment horizontal="center"/>
    </xf>
    <xf numFmtId="167" fontId="59" fillId="33" borderId="20" xfId="28" applyNumberFormat="1" applyFont="1" applyFill="1" applyBorder="1" applyAlignment="1" applyProtection="1">
      <alignment horizontal="center"/>
    </xf>
    <xf numFmtId="167" fontId="59" fillId="33" borderId="19" xfId="28" applyNumberFormat="1" applyFont="1" applyFill="1" applyBorder="1" applyAlignment="1" applyProtection="1">
      <alignment horizontal="center"/>
    </xf>
    <xf numFmtId="167" fontId="35" fillId="35" borderId="13" xfId="28" applyNumberFormat="1" applyFont="1" applyFill="1" applyBorder="1" applyAlignment="1" applyProtection="1">
      <alignment horizontal="center"/>
    </xf>
    <xf numFmtId="167" fontId="59" fillId="35" borderId="20" xfId="28" applyNumberFormat="1" applyFont="1" applyFill="1" applyBorder="1" applyAlignment="1" applyProtection="1">
      <alignment horizontal="center"/>
    </xf>
    <xf numFmtId="167" fontId="59" fillId="35" borderId="19" xfId="28" applyNumberFormat="1" applyFont="1" applyFill="1" applyBorder="1" applyAlignment="1" applyProtection="1">
      <alignment horizontal="center"/>
    </xf>
    <xf numFmtId="167" fontId="35" fillId="32" borderId="11" xfId="28" applyNumberFormat="1" applyFont="1" applyFill="1" applyBorder="1" applyAlignment="1" applyProtection="1">
      <alignment horizontal="center"/>
    </xf>
    <xf numFmtId="167" fontId="59" fillId="32" borderId="11" xfId="28" applyNumberFormat="1" applyFont="1" applyFill="1" applyBorder="1" applyAlignment="1" applyProtection="1">
      <alignment horizontal="center"/>
    </xf>
    <xf numFmtId="167" fontId="35" fillId="27" borderId="13" xfId="28" applyNumberFormat="1" applyFont="1" applyFill="1" applyBorder="1" applyAlignment="1" applyProtection="1">
      <alignment horizontal="center"/>
    </xf>
    <xf numFmtId="167" fontId="59" fillId="27" borderId="20" xfId="28" applyNumberFormat="1" applyFont="1" applyFill="1" applyBorder="1" applyAlignment="1" applyProtection="1">
      <alignment horizontal="center"/>
    </xf>
    <xf numFmtId="167" fontId="59" fillId="27" borderId="19" xfId="28" applyNumberFormat="1" applyFont="1" applyFill="1" applyBorder="1" applyAlignment="1" applyProtection="1">
      <alignment horizontal="center"/>
    </xf>
    <xf numFmtId="167" fontId="35" fillId="37" borderId="13" xfId="28" applyNumberFormat="1" applyFont="1" applyFill="1" applyBorder="1" applyAlignment="1" applyProtection="1">
      <alignment horizontal="center"/>
    </xf>
    <xf numFmtId="167" fontId="59" fillId="37" borderId="20" xfId="28" applyNumberFormat="1" applyFont="1" applyFill="1" applyBorder="1" applyAlignment="1" applyProtection="1">
      <alignment horizontal="center"/>
    </xf>
    <xf numFmtId="167" fontId="59" fillId="37" borderId="19" xfId="28" applyNumberFormat="1" applyFont="1" applyFill="1" applyBorder="1" applyAlignment="1" applyProtection="1">
      <alignment horizontal="center"/>
    </xf>
    <xf numFmtId="167" fontId="59" fillId="0" borderId="13" xfId="28" applyNumberFormat="1" applyFont="1" applyFill="1" applyBorder="1" applyAlignment="1" applyProtection="1">
      <alignment horizontal="center"/>
    </xf>
    <xf numFmtId="167" fontId="59" fillId="0" borderId="20" xfId="28" applyNumberFormat="1" applyFont="1" applyFill="1" applyBorder="1" applyAlignment="1" applyProtection="1">
      <alignment horizontal="center"/>
    </xf>
    <xf numFmtId="167" fontId="59" fillId="0" borderId="19" xfId="28" applyNumberFormat="1" applyFont="1" applyFill="1" applyBorder="1" applyAlignment="1" applyProtection="1">
      <alignment horizontal="center"/>
    </xf>
    <xf numFmtId="0" fontId="45" fillId="0" borderId="11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178" fontId="45" fillId="0" borderId="11" xfId="29" applyNumberFormat="1" applyFont="1" applyFill="1" applyBorder="1" applyAlignment="1">
      <alignment horizontal="center" vertical="center" wrapText="1"/>
    </xf>
    <xf numFmtId="178" fontId="45" fillId="0" borderId="14" xfId="29" applyNumberFormat="1" applyFont="1" applyFill="1" applyBorder="1" applyAlignment="1">
      <alignment horizontal="center" vertical="center" wrapText="1"/>
    </xf>
    <xf numFmtId="178" fontId="45" fillId="25" borderId="11" xfId="29" applyNumberFormat="1" applyFont="1" applyFill="1" applyBorder="1" applyAlignment="1">
      <alignment horizontal="center" vertical="center" wrapText="1"/>
    </xf>
    <xf numFmtId="178" fontId="45" fillId="25" borderId="14" xfId="29" applyNumberFormat="1" applyFont="1" applyFill="1" applyBorder="1" applyAlignment="1">
      <alignment horizontal="center" vertical="center" wrapText="1"/>
    </xf>
    <xf numFmtId="178" fontId="46" fillId="25" borderId="11" xfId="29" applyNumberFormat="1" applyFont="1" applyFill="1" applyBorder="1" applyAlignment="1">
      <alignment horizontal="center"/>
    </xf>
    <xf numFmtId="178" fontId="45" fillId="4" borderId="11" xfId="29" applyNumberFormat="1" applyFont="1" applyFill="1" applyBorder="1" applyAlignment="1">
      <alignment horizontal="center" vertical="center" wrapText="1"/>
    </xf>
    <xf numFmtId="178" fontId="45" fillId="4" borderId="14" xfId="29" applyNumberFormat="1" applyFont="1" applyFill="1" applyBorder="1" applyAlignment="1">
      <alignment horizontal="center" vertical="center" wrapText="1"/>
    </xf>
    <xf numFmtId="178" fontId="45" fillId="4" borderId="59" xfId="29" applyNumberFormat="1" applyFont="1" applyFill="1" applyBorder="1" applyAlignment="1">
      <alignment horizontal="center" vertical="center" wrapText="1"/>
    </xf>
    <xf numFmtId="178" fontId="45" fillId="4" borderId="32" xfId="29" applyNumberFormat="1" applyFont="1" applyFill="1" applyBorder="1" applyAlignment="1">
      <alignment horizontal="center" vertical="center" wrapText="1"/>
    </xf>
    <xf numFmtId="178" fontId="45" fillId="4" borderId="31" xfId="29" applyNumberFormat="1" applyFont="1" applyFill="1" applyBorder="1" applyAlignment="1">
      <alignment horizontal="center" vertical="center" wrapText="1"/>
    </xf>
    <xf numFmtId="178" fontId="45" fillId="4" borderId="16" xfId="29" applyNumberFormat="1" applyFont="1" applyFill="1" applyBorder="1" applyAlignment="1">
      <alignment horizontal="center" vertical="center" wrapText="1"/>
    </xf>
    <xf numFmtId="178" fontId="45" fillId="42" borderId="59" xfId="59" applyNumberFormat="1" applyFont="1" applyFill="1" applyBorder="1" applyAlignment="1">
      <alignment horizontal="center" vertical="center" wrapText="1"/>
    </xf>
    <xf numFmtId="178" fontId="45" fillId="42" borderId="32" xfId="59" applyNumberFormat="1" applyFont="1" applyFill="1" applyBorder="1" applyAlignment="1">
      <alignment horizontal="center" vertical="center" wrapText="1"/>
    </xf>
    <xf numFmtId="178" fontId="45" fillId="26" borderId="13" xfId="59" applyNumberFormat="1" applyFont="1" applyFill="1" applyBorder="1" applyAlignment="1">
      <alignment horizontal="center" vertical="center" wrapText="1"/>
    </xf>
    <xf numFmtId="178" fontId="45" fillId="26" borderId="19" xfId="59" applyNumberFormat="1" applyFont="1" applyFill="1" applyBorder="1" applyAlignment="1">
      <alignment horizontal="center" vertical="center" wrapText="1"/>
    </xf>
    <xf numFmtId="178" fontId="45" fillId="26" borderId="14" xfId="29" applyNumberFormat="1" applyFont="1" applyFill="1" applyBorder="1" applyAlignment="1">
      <alignment horizontal="center" vertical="center" wrapText="1"/>
    </xf>
    <xf numFmtId="178" fontId="45" fillId="26" borderId="63" xfId="29" applyNumberFormat="1" applyFont="1" applyFill="1" applyBorder="1" applyAlignment="1">
      <alignment horizontal="center" vertical="center" wrapText="1"/>
    </xf>
    <xf numFmtId="178" fontId="45" fillId="26" borderId="17" xfId="29" applyNumberFormat="1" applyFont="1" applyFill="1" applyBorder="1" applyAlignment="1">
      <alignment horizontal="center" vertical="center" wrapText="1"/>
    </xf>
    <xf numFmtId="178" fontId="45" fillId="0" borderId="13" xfId="29" applyNumberFormat="1" applyFont="1" applyFill="1" applyBorder="1" applyAlignment="1">
      <alignment horizontal="right"/>
    </xf>
    <xf numFmtId="178" fontId="45" fillId="0" borderId="19" xfId="29" applyNumberFormat="1" applyFont="1" applyFill="1" applyBorder="1" applyAlignment="1">
      <alignment horizontal="right"/>
    </xf>
    <xf numFmtId="0" fontId="45" fillId="0" borderId="63" xfId="0" applyFont="1" applyBorder="1" applyAlignment="1">
      <alignment horizontal="center" vertical="center" wrapText="1"/>
    </xf>
    <xf numFmtId="0" fontId="52" fillId="0" borderId="14" xfId="0" applyFont="1" applyBorder="1" applyAlignment="1">
      <alignment horizontal="center" vertical="center" wrapText="1"/>
    </xf>
    <xf numFmtId="0" fontId="52" fillId="0" borderId="63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 wrapText="1"/>
    </xf>
    <xf numFmtId="0" fontId="54" fillId="22" borderId="11" xfId="0" applyFont="1" applyFill="1" applyBorder="1" applyAlignment="1">
      <alignment horizontal="center"/>
    </xf>
    <xf numFmtId="178" fontId="45" fillId="0" borderId="63" xfId="29" applyNumberFormat="1" applyFont="1" applyFill="1" applyBorder="1" applyAlignment="1">
      <alignment horizontal="center" vertical="center" wrapText="1"/>
    </xf>
    <xf numFmtId="178" fontId="45" fillId="0" borderId="17" xfId="29" applyNumberFormat="1" applyFont="1" applyFill="1" applyBorder="1" applyAlignment="1">
      <alignment horizontal="center" vertical="center" wrapText="1"/>
    </xf>
    <xf numFmtId="178" fontId="45" fillId="25" borderId="63" xfId="29" applyNumberFormat="1" applyFont="1" applyFill="1" applyBorder="1" applyAlignment="1">
      <alignment horizontal="center" vertical="center" wrapText="1"/>
    </xf>
    <xf numFmtId="166" fontId="45" fillId="25" borderId="14" xfId="52" applyNumberFormat="1" applyFont="1" applyFill="1" applyBorder="1" applyAlignment="1">
      <alignment horizontal="center" vertical="center" wrapText="1"/>
    </xf>
    <xf numFmtId="166" fontId="45" fillId="25" borderId="63" xfId="52" applyNumberFormat="1" applyFont="1" applyFill="1" applyBorder="1" applyAlignment="1">
      <alignment horizontal="center" vertical="center" wrapText="1"/>
    </xf>
    <xf numFmtId="178" fontId="45" fillId="42" borderId="88" xfId="59" applyNumberFormat="1" applyFont="1" applyFill="1" applyBorder="1" applyAlignment="1">
      <alignment horizontal="center" vertical="center" wrapText="1"/>
    </xf>
    <xf numFmtId="178" fontId="45" fillId="42" borderId="63" xfId="59" applyNumberFormat="1" applyFont="1" applyFill="1" applyBorder="1" applyAlignment="1">
      <alignment horizontal="center" vertical="center" wrapText="1"/>
    </xf>
    <xf numFmtId="178" fontId="45" fillId="42" borderId="17" xfId="59" applyNumberFormat="1" applyFont="1" applyFill="1" applyBorder="1" applyAlignment="1">
      <alignment horizontal="center" vertical="center" wrapText="1"/>
    </xf>
    <xf numFmtId="178" fontId="45" fillId="26" borderId="88" xfId="59" applyNumberFormat="1" applyFont="1" applyFill="1" applyBorder="1" applyAlignment="1">
      <alignment horizontal="center" vertical="center" wrapText="1"/>
    </xf>
    <xf numFmtId="178" fontId="45" fillId="26" borderId="63" xfId="59" applyNumberFormat="1" applyFont="1" applyFill="1" applyBorder="1" applyAlignment="1">
      <alignment horizontal="center" vertical="center" wrapText="1"/>
    </xf>
    <xf numFmtId="178" fontId="45" fillId="26" borderId="17" xfId="59" applyNumberFormat="1" applyFont="1" applyFill="1" applyBorder="1" applyAlignment="1">
      <alignment horizontal="center" vertical="center" wrapText="1"/>
    </xf>
    <xf numFmtId="0" fontId="45" fillId="0" borderId="88" xfId="0" applyFont="1" applyBorder="1" applyAlignment="1">
      <alignment horizontal="center" vertical="center" wrapText="1"/>
    </xf>
    <xf numFmtId="166" fontId="45" fillId="25" borderId="17" xfId="52" applyNumberFormat="1" applyFont="1" applyFill="1" applyBorder="1" applyAlignment="1">
      <alignment horizontal="center" vertical="center" wrapText="1"/>
    </xf>
    <xf numFmtId="177" fontId="45" fillId="0" borderId="59" xfId="0" applyNumberFormat="1" applyFont="1" applyBorder="1" applyAlignment="1">
      <alignment horizontal="center" vertical="center"/>
    </xf>
    <xf numFmtId="177" fontId="45" fillId="0" borderId="60" xfId="0" applyNumberFormat="1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177" fontId="45" fillId="0" borderId="31" xfId="0" applyNumberFormat="1" applyFont="1" applyBorder="1" applyAlignment="1">
      <alignment horizontal="center" vertical="center"/>
    </xf>
    <xf numFmtId="177" fontId="45" fillId="0" borderId="62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164" fontId="45" fillId="0" borderId="14" xfId="29" applyFont="1" applyFill="1" applyBorder="1" applyAlignment="1">
      <alignment horizontal="center" vertical="center" wrapText="1"/>
    </xf>
    <xf numFmtId="164" fontId="45" fillId="0" borderId="63" xfId="29" applyFont="1" applyFill="1" applyBorder="1" applyAlignment="1">
      <alignment horizontal="center" vertical="center" wrapText="1"/>
    </xf>
    <xf numFmtId="178" fontId="45" fillId="22" borderId="14" xfId="29" applyNumberFormat="1" applyFont="1" applyFill="1" applyBorder="1" applyAlignment="1">
      <alignment horizontal="center" vertical="center" wrapText="1"/>
    </xf>
    <xf numFmtId="178" fontId="45" fillId="22" borderId="63" xfId="29" applyNumberFormat="1" applyFont="1" applyFill="1" applyBorder="1" applyAlignment="1">
      <alignment horizontal="center" vertical="center" wrapText="1"/>
    </xf>
    <xf numFmtId="178" fontId="45" fillId="22" borderId="17" xfId="29" applyNumberFormat="1" applyFont="1" applyFill="1" applyBorder="1" applyAlignment="1">
      <alignment horizontal="center" vertical="center" wrapText="1"/>
    </xf>
    <xf numFmtId="178" fontId="45" fillId="0" borderId="13" xfId="29" applyNumberFormat="1" applyFont="1" applyFill="1" applyBorder="1" applyAlignment="1">
      <alignment horizontal="center" vertical="center" wrapText="1"/>
    </xf>
    <xf numFmtId="178" fontId="45" fillId="0" borderId="20" xfId="29" applyNumberFormat="1" applyFont="1" applyFill="1" applyBorder="1" applyAlignment="1">
      <alignment horizontal="center" vertical="center" wrapText="1"/>
    </xf>
    <xf numFmtId="178" fontId="45" fillId="0" borderId="19" xfId="29" applyNumberFormat="1" applyFont="1" applyFill="1" applyBorder="1" applyAlignment="1">
      <alignment horizontal="center" vertical="center" wrapText="1"/>
    </xf>
    <xf numFmtId="164" fontId="45" fillId="0" borderId="59" xfId="29" applyFont="1" applyFill="1" applyBorder="1" applyAlignment="1">
      <alignment horizontal="center" vertical="center"/>
    </xf>
    <xf numFmtId="164" fontId="45" fillId="0" borderId="60" xfId="29" applyFont="1" applyFill="1" applyBorder="1" applyAlignment="1">
      <alignment horizontal="center" vertical="center"/>
    </xf>
    <xf numFmtId="164" fontId="45" fillId="0" borderId="32" xfId="29" applyFont="1" applyFill="1" applyBorder="1" applyAlignment="1">
      <alignment horizontal="center" vertical="center"/>
    </xf>
    <xf numFmtId="164" fontId="45" fillId="0" borderId="31" xfId="29" applyFont="1" applyFill="1" applyBorder="1" applyAlignment="1">
      <alignment horizontal="center" vertical="center"/>
    </xf>
    <xf numFmtId="164" fontId="45" fillId="0" borderId="62" xfId="29" applyFont="1" applyFill="1" applyBorder="1" applyAlignment="1">
      <alignment horizontal="center" vertical="center"/>
    </xf>
    <xf numFmtId="164" fontId="45" fillId="0" borderId="16" xfId="29" applyFont="1" applyFill="1" applyBorder="1" applyAlignment="1">
      <alignment horizontal="center" vertical="center"/>
    </xf>
    <xf numFmtId="0" fontId="30" fillId="0" borderId="82" xfId="0" applyFont="1" applyBorder="1" applyAlignment="1">
      <alignment horizontal="center" vertical="center" wrapText="1"/>
    </xf>
    <xf numFmtId="0" fontId="30" fillId="0" borderId="83" xfId="0" applyFont="1" applyBorder="1" applyAlignment="1">
      <alignment horizontal="center" vertical="center" wrapText="1"/>
    </xf>
    <xf numFmtId="0" fontId="30" fillId="0" borderId="84" xfId="0" applyFont="1" applyBorder="1" applyAlignment="1">
      <alignment horizontal="center" vertical="center" wrapText="1"/>
    </xf>
    <xf numFmtId="0" fontId="30" fillId="0" borderId="100" xfId="0" applyFont="1" applyBorder="1" applyAlignment="1">
      <alignment horizontal="center" vertical="center" wrapText="1"/>
    </xf>
    <xf numFmtId="0" fontId="30" fillId="0" borderId="10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30" fillId="0" borderId="85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85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82" xfId="0" quotePrefix="1" applyFont="1" applyBorder="1" applyAlignment="1">
      <alignment horizontal="center" vertical="center" wrapText="1"/>
    </xf>
    <xf numFmtId="0" fontId="30" fillId="0" borderId="83" xfId="0" quotePrefix="1" applyFont="1" applyBorder="1" applyAlignment="1">
      <alignment horizontal="center" vertical="center" wrapText="1"/>
    </xf>
    <xf numFmtId="0" fontId="30" fillId="0" borderId="84" xfId="0" quotePrefix="1" applyFont="1" applyBorder="1" applyAlignment="1">
      <alignment horizontal="center" vertical="center" wrapText="1"/>
    </xf>
    <xf numFmtId="2" fontId="30" fillId="0" borderId="13" xfId="28" applyNumberFormat="1" applyFont="1" applyBorder="1" applyAlignment="1">
      <alignment horizontal="center" vertical="center"/>
    </xf>
    <xf numFmtId="2" fontId="30" fillId="0" borderId="87" xfId="28" applyNumberFormat="1" applyFont="1" applyBorder="1" applyAlignment="1">
      <alignment horizontal="center" vertical="center"/>
    </xf>
    <xf numFmtId="2" fontId="30" fillId="0" borderId="11" xfId="28" applyNumberFormat="1" applyFont="1" applyBorder="1" applyAlignment="1">
      <alignment horizontal="center" vertical="center"/>
    </xf>
    <xf numFmtId="2" fontId="30" fillId="0" borderId="31" xfId="28" applyNumberFormat="1" applyFont="1" applyBorder="1" applyAlignment="1">
      <alignment horizontal="center" vertical="center"/>
    </xf>
    <xf numFmtId="2" fontId="30" fillId="0" borderId="62" xfId="28" applyNumberFormat="1" applyFont="1" applyBorder="1" applyAlignment="1">
      <alignment horizontal="center" vertical="center"/>
    </xf>
    <xf numFmtId="2" fontId="30" fillId="0" borderId="16" xfId="28" applyNumberFormat="1" applyFont="1" applyBorder="1" applyAlignment="1">
      <alignment horizontal="center" vertical="center"/>
    </xf>
    <xf numFmtId="2" fontId="30" fillId="0" borderId="31" xfId="28" quotePrefix="1" applyNumberFormat="1" applyFont="1" applyBorder="1" applyAlignment="1">
      <alignment horizontal="center" vertical="center"/>
    </xf>
    <xf numFmtId="2" fontId="0" fillId="0" borderId="11" xfId="28" applyNumberFormat="1" applyFont="1" applyBorder="1" applyAlignment="1">
      <alignment horizontal="center" vertical="center"/>
    </xf>
    <xf numFmtId="2" fontId="30" fillId="0" borderId="86" xfId="28" applyNumberFormat="1" applyFont="1" applyBorder="1" applyAlignment="1">
      <alignment horizontal="center" vertical="center"/>
    </xf>
    <xf numFmtId="0" fontId="58" fillId="0" borderId="79" xfId="41" applyFont="1" applyBorder="1" applyAlignment="1">
      <alignment horizontal="center"/>
    </xf>
    <xf numFmtId="0" fontId="58" fillId="0" borderId="80" xfId="41" applyFont="1" applyBorder="1" applyAlignment="1">
      <alignment horizontal="center"/>
    </xf>
    <xf numFmtId="0" fontId="58" fillId="0" borderId="22" xfId="41" applyFont="1" applyBorder="1" applyAlignment="1">
      <alignment horizontal="center"/>
    </xf>
    <xf numFmtId="0" fontId="58" fillId="0" borderId="55" xfId="41" applyFont="1" applyBorder="1" applyAlignment="1">
      <alignment horizontal="center" vertical="center"/>
    </xf>
    <xf numFmtId="0" fontId="58" fillId="0" borderId="63" xfId="41" applyFont="1" applyBorder="1" applyAlignment="1">
      <alignment horizontal="center" vertical="center"/>
    </xf>
    <xf numFmtId="0" fontId="58" fillId="0" borderId="30" xfId="41" applyFont="1" applyBorder="1" applyAlignment="1">
      <alignment horizontal="center" vertical="center"/>
    </xf>
    <xf numFmtId="0" fontId="58" fillId="11" borderId="55" xfId="41" applyFont="1" applyFill="1" applyBorder="1" applyAlignment="1">
      <alignment horizontal="center" vertical="center" wrapText="1"/>
    </xf>
    <xf numFmtId="0" fontId="58" fillId="11" borderId="63" xfId="41" applyFont="1" applyFill="1" applyBorder="1" applyAlignment="1">
      <alignment horizontal="center" vertical="center" wrapText="1"/>
    </xf>
    <xf numFmtId="0" fontId="58" fillId="11" borderId="30" xfId="41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30" fillId="0" borderId="63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58" fillId="0" borderId="45" xfId="41" applyFont="1" applyBorder="1" applyAlignment="1">
      <alignment horizontal="center" vertical="center"/>
    </xf>
    <xf numFmtId="0" fontId="58" fillId="0" borderId="81" xfId="41" applyFont="1" applyBorder="1" applyAlignment="1">
      <alignment horizontal="center" vertical="center"/>
    </xf>
    <xf numFmtId="0" fontId="58" fillId="0" borderId="47" xfId="4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86" xfId="28" applyNumberFormat="1" applyFont="1" applyBorder="1" applyAlignment="1">
      <alignment horizontal="center"/>
    </xf>
    <xf numFmtId="2" fontId="0" fillId="0" borderId="87" xfId="28" applyNumberFormat="1" applyFont="1" applyBorder="1" applyAlignment="1">
      <alignment horizontal="center"/>
    </xf>
    <xf numFmtId="10" fontId="66" fillId="27" borderId="11" xfId="0" applyNumberFormat="1" applyFont="1" applyFill="1" applyBorder="1" applyAlignment="1">
      <alignment horizontal="center" vertical="center"/>
    </xf>
    <xf numFmtId="0" fontId="66" fillId="27" borderId="11" xfId="0" applyFont="1" applyFill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10" fontId="64" fillId="0" borderId="11" xfId="0" applyNumberFormat="1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1" fillId="0" borderId="88" xfId="0" applyFont="1" applyBorder="1" applyAlignment="1">
      <alignment horizontal="center" vertical="center"/>
    </xf>
    <xf numFmtId="0" fontId="61" fillId="0" borderId="63" xfId="0" applyFont="1" applyBorder="1" applyAlignment="1">
      <alignment horizontal="center" vertical="center"/>
    </xf>
    <xf numFmtId="10" fontId="65" fillId="0" borderId="11" xfId="0" applyNumberFormat="1" applyFont="1" applyBorder="1" applyAlignment="1">
      <alignment horizontal="center" vertical="center"/>
    </xf>
    <xf numFmtId="0" fontId="61" fillId="0" borderId="11" xfId="0" applyFont="1" applyBorder="1" applyAlignment="1">
      <alignment horizontal="left" vertical="center"/>
    </xf>
    <xf numFmtId="10" fontId="3" fillId="0" borderId="11" xfId="52" applyNumberFormat="1" applyFont="1" applyFill="1" applyBorder="1" applyAlignment="1">
      <alignment horizontal="center" vertical="center"/>
    </xf>
    <xf numFmtId="0" fontId="61" fillId="0" borderId="88" xfId="0" applyFont="1" applyBorder="1" applyAlignment="1">
      <alignment horizontal="left" vertical="center"/>
    </xf>
    <xf numFmtId="0" fontId="61" fillId="0" borderId="63" xfId="0" applyFont="1" applyBorder="1" applyAlignment="1">
      <alignment horizontal="left" vertical="center"/>
    </xf>
    <xf numFmtId="0" fontId="61" fillId="0" borderId="17" xfId="0" applyFont="1" applyBorder="1" applyAlignment="1">
      <alignment horizontal="left" vertical="center"/>
    </xf>
    <xf numFmtId="10" fontId="3" fillId="0" borderId="88" xfId="52" applyNumberFormat="1" applyFont="1" applyFill="1" applyBorder="1" applyAlignment="1">
      <alignment horizontal="center" vertical="center"/>
    </xf>
    <xf numFmtId="10" fontId="3" fillId="0" borderId="17" xfId="52" applyNumberFormat="1" applyFont="1" applyFill="1" applyBorder="1" applyAlignment="1">
      <alignment horizontal="center" vertical="center"/>
    </xf>
    <xf numFmtId="10" fontId="61" fillId="0" borderId="11" xfId="0" applyNumberFormat="1" applyFont="1" applyBorder="1" applyAlignment="1">
      <alignment horizontal="center" vertical="center"/>
    </xf>
    <xf numFmtId="10" fontId="3" fillId="0" borderId="63" xfId="52" applyNumberFormat="1" applyFont="1" applyFill="1" applyBorder="1" applyAlignment="1">
      <alignment horizontal="center" vertical="center"/>
    </xf>
    <xf numFmtId="0" fontId="61" fillId="27" borderId="11" xfId="0" applyFont="1" applyFill="1" applyBorder="1" applyAlignment="1">
      <alignment horizontal="center"/>
    </xf>
    <xf numFmtId="10" fontId="61" fillId="0" borderId="88" xfId="52" applyNumberFormat="1" applyFont="1" applyFill="1" applyBorder="1" applyAlignment="1">
      <alignment horizontal="center" vertical="center"/>
    </xf>
    <xf numFmtId="10" fontId="61" fillId="0" borderId="17" xfId="52" applyNumberFormat="1" applyFont="1" applyFill="1" applyBorder="1" applyAlignment="1">
      <alignment horizontal="center" vertical="center"/>
    </xf>
    <xf numFmtId="0" fontId="61" fillId="27" borderId="11" xfId="0" applyFont="1" applyFill="1" applyBorder="1" applyAlignment="1">
      <alignment horizontal="center" vertical="center"/>
    </xf>
    <xf numFmtId="0" fontId="61" fillId="27" borderId="11" xfId="0" applyFont="1" applyFill="1" applyBorder="1" applyAlignment="1">
      <alignment horizontal="center" vertical="top" wrapText="1"/>
    </xf>
    <xf numFmtId="0" fontId="61" fillId="27" borderId="88" xfId="0" applyFont="1" applyFill="1" applyBorder="1" applyAlignment="1">
      <alignment horizontal="center" vertical="center" wrapText="1"/>
    </xf>
    <xf numFmtId="0" fontId="61" fillId="27" borderId="17" xfId="0" applyFont="1" applyFill="1" applyBorder="1" applyAlignment="1">
      <alignment horizontal="center" vertical="center" wrapText="1"/>
    </xf>
    <xf numFmtId="0" fontId="25" fillId="24" borderId="79" xfId="0" applyFont="1" applyFill="1" applyBorder="1" applyAlignment="1">
      <alignment horizontal="center"/>
    </xf>
    <xf numFmtId="0" fontId="25" fillId="24" borderId="22" xfId="0" applyFont="1" applyFill="1" applyBorder="1" applyAlignment="1">
      <alignment horizontal="center"/>
    </xf>
    <xf numFmtId="0" fontId="29" fillId="24" borderId="28" xfId="0" applyFont="1" applyFill="1" applyBorder="1" applyAlignment="1">
      <alignment horizontal="center"/>
    </xf>
    <xf numFmtId="0" fontId="29" fillId="24" borderId="19" xfId="0" applyFont="1" applyFill="1" applyBorder="1" applyAlignment="1">
      <alignment horizontal="center"/>
    </xf>
    <xf numFmtId="0" fontId="29" fillId="24" borderId="79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24" borderId="78" xfId="0" applyFont="1" applyFill="1" applyBorder="1" applyAlignment="1">
      <alignment horizontal="center"/>
    </xf>
    <xf numFmtId="0" fontId="29" fillId="24" borderId="77" xfId="0" applyFont="1" applyFill="1" applyBorder="1" applyAlignment="1">
      <alignment horizontal="center"/>
    </xf>
    <xf numFmtId="0" fontId="29" fillId="24" borderId="45" xfId="0" applyFont="1" applyFill="1" applyBorder="1" applyAlignment="1" applyProtection="1">
      <alignment horizontal="center" vertical="center" textRotation="180" wrapText="1"/>
      <protection locked="0"/>
    </xf>
    <xf numFmtId="0" fontId="47" fillId="0" borderId="81" xfId="0" applyFont="1" applyBorder="1" applyAlignment="1" applyProtection="1">
      <alignment horizontal="center" vertical="center" textRotation="180" wrapText="1"/>
      <protection locked="0"/>
    </xf>
    <xf numFmtId="0" fontId="47" fillId="0" borderId="47" xfId="0" applyFont="1" applyBorder="1" applyAlignment="1" applyProtection="1">
      <alignment horizontal="center" vertical="center" textRotation="180" wrapText="1"/>
      <protection locked="0"/>
    </xf>
    <xf numFmtId="0" fontId="29" fillId="24" borderId="43" xfId="0" applyFont="1" applyFill="1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 wrapText="1"/>
      <protection locked="0"/>
    </xf>
    <xf numFmtId="0" fontId="0" fillId="0" borderId="81" xfId="0" applyBorder="1" applyAlignment="1" applyProtection="1">
      <alignment horizontal="center" vertical="center" textRotation="180" wrapText="1"/>
      <protection locked="0"/>
    </xf>
    <xf numFmtId="0" fontId="0" fillId="0" borderId="47" xfId="0" applyBorder="1" applyAlignment="1" applyProtection="1">
      <alignment horizontal="center" vertical="center" textRotation="180" wrapText="1"/>
      <protection locked="0"/>
    </xf>
    <xf numFmtId="0" fontId="29" fillId="24" borderId="70" xfId="0" applyFont="1" applyFill="1" applyBorder="1" applyAlignment="1">
      <alignment horizontal="center"/>
    </xf>
    <xf numFmtId="0" fontId="29" fillId="24" borderId="71" xfId="0" applyFont="1" applyFill="1" applyBorder="1" applyAlignment="1">
      <alignment horizontal="center"/>
    </xf>
    <xf numFmtId="0" fontId="29" fillId="24" borderId="36" xfId="0" applyFont="1" applyFill="1" applyBorder="1" applyAlignment="1">
      <alignment horizontal="center"/>
    </xf>
    <xf numFmtId="0" fontId="29" fillId="24" borderId="34" xfId="0" applyFont="1" applyFill="1" applyBorder="1" applyAlignment="1">
      <alignment horizontal="center"/>
    </xf>
    <xf numFmtId="0" fontId="48" fillId="24" borderId="28" xfId="0" applyFont="1" applyFill="1" applyBorder="1" applyAlignment="1">
      <alignment horizontal="center"/>
    </xf>
    <xf numFmtId="10" fontId="47" fillId="0" borderId="105" xfId="57" applyNumberFormat="1" applyBorder="1"/>
    <xf numFmtId="10" fontId="47" fillId="0" borderId="28" xfId="57" applyNumberFormat="1" applyBorder="1"/>
    <xf numFmtId="165" fontId="0" fillId="27" borderId="11" xfId="52" applyNumberFormat="1" applyFont="1" applyFill="1" applyBorder="1"/>
    <xf numFmtId="0" fontId="47" fillId="0" borderId="11" xfId="57" applyBorder="1"/>
    <xf numFmtId="10" fontId="47" fillId="0" borderId="77" xfId="57" applyNumberFormat="1" applyBorder="1"/>
    <xf numFmtId="10" fontId="47" fillId="0" borderId="16" xfId="57" applyNumberFormat="1" applyBorder="1"/>
    <xf numFmtId="10" fontId="47" fillId="0" borderId="102" xfId="57" applyNumberFormat="1" applyBorder="1"/>
    <xf numFmtId="165" fontId="0" fillId="0" borderId="77" xfId="52" applyNumberFormat="1" applyFont="1" applyFill="1" applyBorder="1"/>
    <xf numFmtId="165" fontId="47" fillId="0" borderId="75" xfId="52" applyNumberFormat="1" applyFont="1" applyFill="1" applyBorder="1"/>
    <xf numFmtId="165" fontId="47" fillId="0" borderId="16" xfId="52" applyNumberFormat="1" applyFont="1" applyFill="1" applyBorder="1"/>
    <xf numFmtId="165" fontId="0" fillId="0" borderId="102" xfId="52" applyNumberFormat="1" applyFont="1" applyFill="1" applyBorder="1"/>
    <xf numFmtId="165" fontId="47" fillId="0" borderId="100" xfId="52" applyNumberFormat="1" applyFont="1" applyFill="1" applyBorder="1"/>
    <xf numFmtId="10" fontId="47" fillId="54" borderId="10" xfId="57" applyNumberFormat="1" applyFill="1" applyBorder="1"/>
    <xf numFmtId="165" fontId="47" fillId="0" borderId="102" xfId="52" applyNumberFormat="1" applyFont="1" applyFill="1" applyBorder="1"/>
    <xf numFmtId="165" fontId="47" fillId="27" borderId="11" xfId="52" applyNumberFormat="1" applyFont="1" applyFill="1" applyBorder="1"/>
    <xf numFmtId="165" fontId="47" fillId="0" borderId="31" xfId="52" applyNumberFormat="1" applyFont="1" applyFill="1" applyBorder="1"/>
    <xf numFmtId="10" fontId="47" fillId="0" borderId="58" xfId="57" applyNumberFormat="1" applyBorder="1"/>
    <xf numFmtId="10" fontId="47" fillId="0" borderId="23" xfId="57" applyNumberFormat="1" applyBorder="1"/>
    <xf numFmtId="165" fontId="0" fillId="0" borderId="23" xfId="52" applyNumberFormat="1" applyFont="1" applyFill="1" applyBorder="1"/>
    <xf numFmtId="165" fontId="47" fillId="0" borderId="23" xfId="52" applyNumberFormat="1" applyFont="1" applyFill="1" applyBorder="1"/>
    <xf numFmtId="165" fontId="47" fillId="0" borderId="24" xfId="52" applyNumberFormat="1" applyFont="1" applyFill="1" applyBorder="1"/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9"/>
    <cellStyle name="Comma [0] 2 2" xfId="65"/>
    <cellStyle name="Comma 2" xfId="60"/>
    <cellStyle name="Comma 2 2" xfId="66"/>
    <cellStyle name="Comma 2 4 5 2" xfId="70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63"/>
    <cellStyle name="Normal 3" xfId="42"/>
    <cellStyle name="Normal 3 2" xfId="64"/>
    <cellStyle name="Normal 4" xfId="57"/>
    <cellStyle name="Normal 5" xfId="61"/>
    <cellStyle name="Normal 5 2" xfId="67"/>
    <cellStyle name="Normal 6" xfId="69"/>
    <cellStyle name="Normal_April_3" xfId="43"/>
    <cellStyle name="Normal_DES 11_1" xfId="58"/>
    <cellStyle name="Normal_Juli_37" xfId="44"/>
    <cellStyle name="Normal_Juli_9" xfId="45"/>
    <cellStyle name="Normal_Juni" xfId="46"/>
    <cellStyle name="Normal_Juni_4" xfId="47"/>
    <cellStyle name="Normal_Mar_18" xfId="48"/>
    <cellStyle name="Normal_Mar_6" xfId="49"/>
    <cellStyle name="Note" xfId="50" builtinId="10" customBuiltin="1"/>
    <cellStyle name="Output" xfId="51" builtinId="21" customBuiltin="1"/>
    <cellStyle name="Percent" xfId="52" builtinId="5"/>
    <cellStyle name="Percent 2" xfId="62"/>
    <cellStyle name="Percent 2 2" xfId="68"/>
    <cellStyle name="Percent_Okt_6" xfId="53"/>
    <cellStyle name="Title" xfId="54" builtinId="15" customBuiltin="1"/>
    <cellStyle name="Total" xfId="55" builtinId="25" customBuiltin="1"/>
    <cellStyle name="Warning Text" xfId="56" builtinId="11" customBuiltin="1"/>
  </cellStyles>
  <dxfs count="4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EAA0C1"/>
      <color rgb="FFFABF8F"/>
      <color rgb="FF9BBB59"/>
      <color rgb="FF8C91FE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4.xml"/><Relationship Id="rId50" Type="http://schemas.openxmlformats.org/officeDocument/2006/relationships/externalLink" Target="externalLinks/externalLink7.xml"/><Relationship Id="rId55" Type="http://schemas.openxmlformats.org/officeDocument/2006/relationships/externalLink" Target="externalLinks/externalLink1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3" Type="http://schemas.openxmlformats.org/officeDocument/2006/relationships/externalLink" Target="externalLinks/externalLink10.xml"/><Relationship Id="rId58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6.xml"/><Relationship Id="rId57" Type="http://schemas.openxmlformats.org/officeDocument/2006/relationships/externalLink" Target="externalLinks/externalLink14.xml"/><Relationship Id="rId61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52" Type="http://schemas.openxmlformats.org/officeDocument/2006/relationships/externalLink" Target="externalLinks/externalLink9.xml"/><Relationship Id="rId60" Type="http://schemas.openxmlformats.org/officeDocument/2006/relationships/externalLink" Target="externalLinks/externalLink1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5.xml"/><Relationship Id="rId56" Type="http://schemas.openxmlformats.org/officeDocument/2006/relationships/externalLink" Target="externalLinks/externalLink1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59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41.514000000000003</c:v>
                </c:pt>
                <c:pt idx="1">
                  <c:v>44.883000000000003</c:v>
                </c:pt>
                <c:pt idx="2">
                  <c:v>23.981000000000002</c:v>
                </c:pt>
                <c:pt idx="3">
                  <c:v>70.632000000000005</c:v>
                </c:pt>
                <c:pt idx="4">
                  <c:v>76.335999999999999</c:v>
                </c:pt>
                <c:pt idx="5">
                  <c:v>72.11</c:v>
                </c:pt>
                <c:pt idx="6">
                  <c:v>74.795000000000002</c:v>
                </c:pt>
                <c:pt idx="7">
                  <c:v>90.966999999999999</c:v>
                </c:pt>
                <c:pt idx="8">
                  <c:v>54.371000000000002</c:v>
                </c:pt>
                <c:pt idx="9">
                  <c:v>58.976999999999997</c:v>
                </c:pt>
                <c:pt idx="10">
                  <c:v>47.878999999999998</c:v>
                </c:pt>
                <c:pt idx="11">
                  <c:v>54.314999999999998</c:v>
                </c:pt>
                <c:pt idx="12">
                  <c:v>50.185000000000002</c:v>
                </c:pt>
                <c:pt idx="13">
                  <c:v>47.676000000000002</c:v>
                </c:pt>
                <c:pt idx="14">
                  <c:v>64.352999999999994</c:v>
                </c:pt>
                <c:pt idx="15">
                  <c:v>58.548000000000002</c:v>
                </c:pt>
                <c:pt idx="16">
                  <c:v>56.588000000000001</c:v>
                </c:pt>
                <c:pt idx="17">
                  <c:v>59.009</c:v>
                </c:pt>
                <c:pt idx="18">
                  <c:v>59.405000000000001</c:v>
                </c:pt>
                <c:pt idx="19">
                  <c:v>68.040999999999997</c:v>
                </c:pt>
                <c:pt idx="20">
                  <c:v>66.168999999999997</c:v>
                </c:pt>
                <c:pt idx="21">
                  <c:v>74.593000000000004</c:v>
                </c:pt>
                <c:pt idx="22">
                  <c:v>80.234999999999999</c:v>
                </c:pt>
                <c:pt idx="23">
                  <c:v>76.366</c:v>
                </c:pt>
                <c:pt idx="24">
                  <c:v>77.453999999999994</c:v>
                </c:pt>
                <c:pt idx="25">
                  <c:v>67.463999999999999</c:v>
                </c:pt>
                <c:pt idx="26">
                  <c:v>57.66</c:v>
                </c:pt>
                <c:pt idx="27">
                  <c:v>67.025000000000006</c:v>
                </c:pt>
                <c:pt idx="28">
                  <c:v>65.84</c:v>
                </c:pt>
                <c:pt idx="29">
                  <c:v>81.028000000000006</c:v>
                </c:pt>
                <c:pt idx="30">
                  <c:v>70.677000000000007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781504"/>
        <c:axId val="277787392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FC6D-4B8B-91BF-BF47FD5D2F2B}"/>
              </c:ext>
            </c:extLst>
          </c:dPt>
          <c:cat>
            <c:numRef>
              <c:f>Report1!$A$9</c:f>
              <c:numCache>
                <c:formatCode>d\-mmm</c:formatCode>
                <c:ptCount val="1"/>
                <c:pt idx="0">
                  <c:v>45992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0.57448452274845652</c:v>
                </c:pt>
                <c:pt idx="1">
                  <c:v>0.55551257975101975</c:v>
                </c:pt>
                <c:pt idx="2">
                  <c:v>0.29165501554682627</c:v>
                </c:pt>
                <c:pt idx="3">
                  <c:v>0.90880857450148078</c:v>
                </c:pt>
                <c:pt idx="4">
                  <c:v>0.96078194782398096</c:v>
                </c:pt>
                <c:pt idx="5">
                  <c:v>1.0548482469653839</c:v>
                </c:pt>
                <c:pt idx="6">
                  <c:v>1.059755142791432</c:v>
                </c:pt>
                <c:pt idx="7">
                  <c:v>1.0979342164706634</c:v>
                </c:pt>
                <c:pt idx="8">
                  <c:v>0.82735467819314412</c:v>
                </c:pt>
                <c:pt idx="9">
                  <c:v>0.94746434440753069</c:v>
                </c:pt>
                <c:pt idx="10">
                  <c:v>0.89446437914319621</c:v>
                </c:pt>
                <c:pt idx="11">
                  <c:v>1.031466072468493</c:v>
                </c:pt>
                <c:pt idx="12">
                  <c:v>0.88974941535176078</c:v>
                </c:pt>
                <c:pt idx="13">
                  <c:v>0.80756556321839434</c:v>
                </c:pt>
                <c:pt idx="14">
                  <c:v>1.1224372084168608</c:v>
                </c:pt>
                <c:pt idx="15">
                  <c:v>1.0111705652838401</c:v>
                </c:pt>
                <c:pt idx="16">
                  <c:v>0.86017552809803766</c:v>
                </c:pt>
                <c:pt idx="17">
                  <c:v>0.9023961760704744</c:v>
                </c:pt>
                <c:pt idx="18">
                  <c:v>0.78447446008401678</c:v>
                </c:pt>
                <c:pt idx="19">
                  <c:v>0.82633525617302994</c:v>
                </c:pt>
                <c:pt idx="20">
                  <c:v>0.82681471258816286</c:v>
                </c:pt>
                <c:pt idx="21">
                  <c:v>0.92336353733412557</c:v>
                </c:pt>
                <c:pt idx="22">
                  <c:v>0.99405536486462198</c:v>
                </c:pt>
                <c:pt idx="23">
                  <c:v>0.96728505708302903</c:v>
                </c:pt>
                <c:pt idx="24">
                  <c:v>0.98312552354156779</c:v>
                </c:pt>
                <c:pt idx="25">
                  <c:v>0.91172477344274316</c:v>
                </c:pt>
                <c:pt idx="26">
                  <c:v>0.84346900457667495</c:v>
                </c:pt>
                <c:pt idx="27">
                  <c:v>0.98046323329434015</c:v>
                </c:pt>
                <c:pt idx="28">
                  <c:v>0.9089063643531452</c:v>
                </c:pt>
                <c:pt idx="29">
                  <c:v>1.0057022728067084</c:v>
                </c:pt>
                <c:pt idx="30">
                  <c:v>0.97402681164769866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C6D-4B8B-91BF-BF47FD5D2F2B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</c:f>
              <c:numCache>
                <c:formatCode>d\-mmm</c:formatCode>
                <c:ptCount val="1"/>
                <c:pt idx="0">
                  <c:v>45992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0.57448452274845652</c:v>
                </c:pt>
                <c:pt idx="1">
                  <c:v>0.56446973408948886</c:v>
                </c:pt>
                <c:pt idx="2">
                  <c:v>0.46912956464987021</c:v>
                </c:pt>
                <c:pt idx="3">
                  <c:v>0.57830322354273</c:v>
                </c:pt>
                <c:pt idx="4">
                  <c:v>0.65573572100317512</c:v>
                </c:pt>
                <c:pt idx="5">
                  <c:v>0.71494296473464114</c:v>
                </c:pt>
                <c:pt idx="6">
                  <c:v>0.76073970990235729</c:v>
                </c:pt>
                <c:pt idx="7">
                  <c:v>0.80622243755311951</c:v>
                </c:pt>
                <c:pt idx="8">
                  <c:v>0.80826481866394417</c:v>
                </c:pt>
                <c:pt idx="9">
                  <c:v>0.81993913584404143</c:v>
                </c:pt>
                <c:pt idx="10">
                  <c:v>0.82495234634853098</c:v>
                </c:pt>
                <c:pt idx="11">
                  <c:v>0.83777021138643337</c:v>
                </c:pt>
                <c:pt idx="12">
                  <c:v>0.84101050222435614</c:v>
                </c:pt>
                <c:pt idx="13">
                  <c:v>0.83896193759277349</c:v>
                </c:pt>
                <c:pt idx="14">
                  <c:v>0.85487759370032201</c:v>
                </c:pt>
                <c:pt idx="15">
                  <c:v>0.86326403331834189</c:v>
                </c:pt>
                <c:pt idx="16">
                  <c:v>0.86308655934979239</c:v>
                </c:pt>
                <c:pt idx="17">
                  <c:v>0.86521051560164397</c:v>
                </c:pt>
                <c:pt idx="18">
                  <c:v>0.86045629100169141</c:v>
                </c:pt>
                <c:pt idx="19">
                  <c:v>0.85840299874247694</c:v>
                </c:pt>
                <c:pt idx="20">
                  <c:v>0.85665757445578172</c:v>
                </c:pt>
                <c:pt idx="21">
                  <c:v>0.86018166010122443</c:v>
                </c:pt>
                <c:pt idx="22">
                  <c:v>0.86689386739944474</c:v>
                </c:pt>
                <c:pt idx="23">
                  <c:v>0.87158702735168514</c:v>
                </c:pt>
                <c:pt idx="24">
                  <c:v>0.87655846557348249</c:v>
                </c:pt>
                <c:pt idx="25">
                  <c:v>0.87797148085260224</c:v>
                </c:pt>
                <c:pt idx="26">
                  <c:v>0.87673656266640099</c:v>
                </c:pt>
                <c:pt idx="27">
                  <c:v>0.88032087411049098</c:v>
                </c:pt>
                <c:pt idx="28">
                  <c:v>0.88133061017275727</c:v>
                </c:pt>
                <c:pt idx="29">
                  <c:v>0.88603217968436698</c:v>
                </c:pt>
                <c:pt idx="30">
                  <c:v>0.88892938553232526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794816"/>
        <c:axId val="277788928"/>
      </c:lineChart>
      <c:dateAx>
        <c:axId val="277781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277787392"/>
        <c:crosses val="autoZero"/>
        <c:auto val="1"/>
        <c:lblOffset val="100"/>
        <c:baseTimeUnit val="days"/>
      </c:dateAx>
      <c:valAx>
        <c:axId val="277787392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277781504"/>
        <c:crosses val="autoZero"/>
        <c:crossBetween val="between"/>
      </c:valAx>
      <c:valAx>
        <c:axId val="27778892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77794816"/>
        <c:crosses val="max"/>
        <c:crossBetween val="between"/>
      </c:valAx>
      <c:dateAx>
        <c:axId val="277794816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277788928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504824</xdr:colOff>
      <xdr:row>25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2%20DESEMBE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DES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5%20DESEMBER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6%20DESEMBE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7%20DESEMBE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1.%20JANUARI\DAILY%20REPORT%20PM%2014%20JANUARI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11.%20NOVEMBER\DAILY%20REPORT%20PM%2011%20NOVEMBER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10.%20OKTOBER\DAILY%20REPORT%20PM%2011%20OKTOBER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9.%20SEPTEMBER\DAILY%20REPORT%20PM%2011%20SEPTEMBER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8.%20AGUSTUS\DAILY%20REPORT%20PM%2011%20AGUSTUS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7.%20JULI\DAILY%20REPORT%20PM%2011%20JULI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6.%20JUNI\DAILY%20REPORT%20PM%2011%20JUNI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5.%20MEI\DAILY%20REPORT%20PM%2011%20MEI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4.%20APRIL\DAILY%20REPORT%20PM%2011%20APRIL%20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3.%20MARET\DAILY%20REPORT%20PM%2011%20MARET%20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.%20FEBRUARI\DAILY%20REPORT%20PM%2011%20FEBRUARI%202025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1.%20JANUARI\DAILY%20REPORT%20PM%2011%20JANUARI%20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0.90824861007949564</v>
          </cell>
          <cell r="K9">
            <v>0.90824861007949564</v>
          </cell>
          <cell r="R9">
            <v>60.009</v>
          </cell>
          <cell r="S9">
            <v>60.009</v>
          </cell>
          <cell r="AL9">
            <v>1.6696328884000733</v>
          </cell>
          <cell r="AM9">
            <v>1.6696328884000733</v>
          </cell>
          <cell r="AR9">
            <v>0.31995200719892014</v>
          </cell>
          <cell r="AS9">
            <v>0.31995200719892014</v>
          </cell>
          <cell r="AX9">
            <v>552.30198803514236</v>
          </cell>
          <cell r="AY9">
            <v>552.30198803514236</v>
          </cell>
          <cell r="BD9">
            <v>494.04256028262427</v>
          </cell>
          <cell r="BE9">
            <v>494.04256028262427</v>
          </cell>
          <cell r="BJ9">
            <v>0.90824861007949564</v>
          </cell>
          <cell r="BK9">
            <v>0.90824861007949564</v>
          </cell>
        </row>
        <row r="10">
          <cell r="J10">
            <v>0.65938127879840291</v>
          </cell>
          <cell r="K10">
            <v>0.78260306081212916</v>
          </cell>
          <cell r="R10">
            <v>44.423000000000002</v>
          </cell>
          <cell r="S10">
            <v>104.432</v>
          </cell>
          <cell r="AL10">
            <v>2.7579181955293426</v>
          </cell>
          <cell r="AM10">
            <v>2.1325647311168989</v>
          </cell>
          <cell r="AR10">
            <v>0.37818247304324337</v>
          </cell>
          <cell r="AS10">
            <v>0.34472192431438636</v>
          </cell>
          <cell r="AX10">
            <v>693.06102694546837</v>
          </cell>
          <cell r="AY10">
            <v>612.17768500076033</v>
          </cell>
          <cell r="BD10">
            <v>406.50113679850529</v>
          </cell>
          <cell r="BE10">
            <v>456.80442776160561</v>
          </cell>
          <cell r="BJ10">
            <v>0.65938127879840291</v>
          </cell>
          <cell r="BK10">
            <v>0.78260306081212916</v>
          </cell>
        </row>
        <row r="11">
          <cell r="J11">
            <v>0.73430614636134384</v>
          </cell>
          <cell r="K11">
            <v>0.76632514833747079</v>
          </cell>
          <cell r="R11">
            <v>49.814999999999998</v>
          </cell>
          <cell r="S11">
            <v>154.24700000000001</v>
          </cell>
          <cell r="AL11">
            <v>2.1755495332731107</v>
          </cell>
          <cell r="AM11">
            <v>2.1464469325173257</v>
          </cell>
          <cell r="AR11">
            <v>0.19672789320485801</v>
          </cell>
          <cell r="AS11">
            <v>0.29692635837325843</v>
          </cell>
          <cell r="AX11">
            <v>193.14383217907621</v>
          </cell>
          <cell r="AY11">
            <v>476.84817208762621</v>
          </cell>
          <cell r="BD11">
            <v>10.217805881762521</v>
          </cell>
          <cell r="BE11">
            <v>312.57658171633807</v>
          </cell>
          <cell r="BJ11">
            <v>0.89610241589858908</v>
          </cell>
          <cell r="BK11">
            <v>0.81598097448270723</v>
          </cell>
        </row>
        <row r="12">
          <cell r="J12">
            <v>0</v>
          </cell>
          <cell r="K12">
            <v>0.57315120911546868</v>
          </cell>
          <cell r="R12">
            <v>0</v>
          </cell>
          <cell r="S12">
            <v>154.24700000000001</v>
          </cell>
          <cell r="AL12">
            <v>0</v>
          </cell>
          <cell r="AM12">
            <v>2.1865384740059772</v>
          </cell>
          <cell r="AR12">
            <v>0</v>
          </cell>
          <cell r="AS12">
            <v>0.29692635837325843</v>
          </cell>
          <cell r="AX12">
            <v>0</v>
          </cell>
          <cell r="AY12">
            <v>629.63675144411002</v>
          </cell>
          <cell r="BD12">
            <v>0</v>
          </cell>
          <cell r="BE12">
            <v>319.51350755606268</v>
          </cell>
          <cell r="BJ12">
            <v>0</v>
          </cell>
          <cell r="BK12">
            <v>0.76632514833747079</v>
          </cell>
        </row>
        <row r="13">
          <cell r="J13">
            <v>0.60005297785912048</v>
          </cell>
          <cell r="K13">
            <v>0.57775515337177208</v>
          </cell>
          <cell r="R13">
            <v>33.343000000000004</v>
          </cell>
          <cell r="S13">
            <v>187.59000000000003</v>
          </cell>
          <cell r="AL13">
            <v>3.2806286177008661</v>
          </cell>
          <cell r="AM13">
            <v>2.3810064502372192</v>
          </cell>
          <cell r="AR13">
            <v>0.22493476891701406</v>
          </cell>
          <cell r="AS13">
            <v>0.28413028413028407</v>
          </cell>
          <cell r="AX13">
            <v>951.84086614885518</v>
          </cell>
          <cell r="AY13">
            <v>686.90660482968656</v>
          </cell>
          <cell r="BD13">
            <v>641.25903487988603</v>
          </cell>
          <cell r="BE13">
            <v>376.70184977877301</v>
          </cell>
          <cell r="BJ13">
            <v>0.60005297785912048</v>
          </cell>
          <cell r="BK13">
            <v>0.73035367876216328</v>
          </cell>
        </row>
        <row r="14">
          <cell r="J14">
            <v>0.73952524011373999</v>
          </cell>
          <cell r="K14">
            <v>0.60007309443387991</v>
          </cell>
          <cell r="R14">
            <v>38.427999999999997</v>
          </cell>
          <cell r="S14">
            <v>226.01800000000003</v>
          </cell>
          <cell r="AL14">
            <v>3.2365722910377852</v>
          </cell>
          <cell r="AM14">
            <v>2.5264713429903809</v>
          </cell>
          <cell r="AR14">
            <v>0.23160195690642243</v>
          </cell>
          <cell r="AS14">
            <v>0.27519932040810902</v>
          </cell>
          <cell r="AX14">
            <v>949.07281149159598</v>
          </cell>
          <cell r="AY14">
            <v>731.48059004150093</v>
          </cell>
          <cell r="BD14">
            <v>509.13396481732065</v>
          </cell>
          <cell r="BE14">
            <v>399.21820385986973</v>
          </cell>
          <cell r="BJ14">
            <v>0.73952524011373999</v>
          </cell>
          <cell r="BK14">
            <v>0.73189695962883916</v>
          </cell>
        </row>
        <row r="15">
          <cell r="J15">
            <v>0.93770624821828241</v>
          </cell>
          <cell r="K15">
            <v>0.64079475345687797</v>
          </cell>
          <cell r="R15">
            <v>48.44</v>
          </cell>
          <cell r="S15">
            <v>274.45800000000003</v>
          </cell>
          <cell r="AL15">
            <v>2.5624896779521058</v>
          </cell>
          <cell r="AM15">
            <v>2.5328283380335055</v>
          </cell>
          <cell r="AR15">
            <v>0.18166804293971928</v>
          </cell>
          <cell r="AS15">
            <v>0.2586916759577057</v>
          </cell>
          <cell r="AX15">
            <v>736.84289843107445</v>
          </cell>
          <cell r="AY15">
            <v>732.42700158130276</v>
          </cell>
          <cell r="BD15">
            <v>480.98678777869441</v>
          </cell>
          <cell r="BE15">
            <v>413.64981162873738</v>
          </cell>
          <cell r="BJ15">
            <v>0.93770624821828241</v>
          </cell>
          <cell r="BK15">
            <v>0.76139099084206474</v>
          </cell>
        </row>
        <row r="16">
          <cell r="J16">
            <v>0.88884951274430912</v>
          </cell>
          <cell r="K16">
            <v>0.667532310503268</v>
          </cell>
          <cell r="R16">
            <v>45.993000000000002</v>
          </cell>
          <cell r="S16">
            <v>320.45100000000002</v>
          </cell>
          <cell r="AL16">
            <v>2.5711303894070836</v>
          </cell>
          <cell r="AM16">
            <v>2.5383256722556644</v>
          </cell>
          <cell r="AR16">
            <v>0.17176526862783467</v>
          </cell>
          <cell r="AS16">
            <v>0.24621549004371962</v>
          </cell>
          <cell r="AX16">
            <v>746.71515230578643</v>
          </cell>
          <cell r="AY16">
            <v>734.47772046272678</v>
          </cell>
          <cell r="BD16">
            <v>465.36646881047255</v>
          </cell>
          <cell r="BE16">
            <v>421.07248846157466</v>
          </cell>
          <cell r="BJ16">
            <v>0.88884951274430912</v>
          </cell>
          <cell r="BK16">
            <v>0.77739062473179688</v>
          </cell>
        </row>
        <row r="17">
          <cell r="J17">
            <v>0.90604789250483486</v>
          </cell>
          <cell r="K17">
            <v>0.69265777118224325</v>
          </cell>
          <cell r="R17">
            <v>51.213000000000001</v>
          </cell>
          <cell r="S17">
            <v>371.66400000000004</v>
          </cell>
          <cell r="AL17">
            <v>2.6473942163122643</v>
          </cell>
          <cell r="AM17">
            <v>2.5533546429032672</v>
          </cell>
          <cell r="AR17">
            <v>0.18354714623240193</v>
          </cell>
          <cell r="AS17">
            <v>0.23758017994747946</v>
          </cell>
          <cell r="AX17">
            <v>675.54292855328629</v>
          </cell>
          <cell r="AY17">
            <v>726.35687072194423</v>
          </cell>
          <cell r="BD17">
            <v>565.39159978911573</v>
          </cell>
          <cell r="BE17">
            <v>440.95876921090024</v>
          </cell>
          <cell r="BJ17">
            <v>0.90604789250483486</v>
          </cell>
          <cell r="BK17">
            <v>0.79290499105628998</v>
          </cell>
        </row>
        <row r="18">
          <cell r="J18">
            <v>0.83809515723217043</v>
          </cell>
          <cell r="K18">
            <v>0.70898163338493203</v>
          </cell>
          <cell r="R18">
            <v>56.856000000000002</v>
          </cell>
          <cell r="S18">
            <v>428.52000000000004</v>
          </cell>
          <cell r="AL18">
            <v>2.2436858027297033</v>
          </cell>
          <cell r="AM18">
            <v>2.5122678054699894</v>
          </cell>
          <cell r="AR18">
            <v>0.19698888419867736</v>
          </cell>
          <cell r="AS18">
            <v>0.23219453001026791</v>
          </cell>
          <cell r="AX18">
            <v>396.42254115661723</v>
          </cell>
          <cell r="AY18">
            <v>682.58120974517249</v>
          </cell>
          <cell r="BD18">
            <v>595.31236808780147</v>
          </cell>
          <cell r="BE18">
            <v>461.43839260711303</v>
          </cell>
          <cell r="BJ18">
            <v>0.83809515723217043</v>
          </cell>
          <cell r="BK18">
            <v>0.79861839754997743</v>
          </cell>
        </row>
        <row r="19">
          <cell r="J19">
            <v>0.69310599220938263</v>
          </cell>
          <cell r="K19">
            <v>0.7073795699628922</v>
          </cell>
          <cell r="R19">
            <v>47.02</v>
          </cell>
          <cell r="S19">
            <v>475.54</v>
          </cell>
          <cell r="AL19">
            <v>2.0714164185452995</v>
          </cell>
          <cell r="AM19">
            <v>2.4686777137569917</v>
          </cell>
          <cell r="AR19">
            <v>0.22756273925988937</v>
          </cell>
          <cell r="AS19">
            <v>0.23173655213020988</v>
          </cell>
          <cell r="AX19">
            <v>745.69247128881148</v>
          </cell>
          <cell r="AY19">
            <v>688.82146612272629</v>
          </cell>
          <cell r="BD19">
            <v>626.65418970650637</v>
          </cell>
          <cell r="BE19">
            <v>477.77444589309005</v>
          </cell>
          <cell r="BJ19">
            <v>0.69310599220938263</v>
          </cell>
          <cell r="BK19">
            <v>0.78677570694453114</v>
          </cell>
        </row>
        <row r="20">
          <cell r="J20">
            <v>0.88654408163706211</v>
          </cell>
          <cell r="K20">
            <v>0.72360625201752005</v>
          </cell>
          <cell r="R20">
            <v>59.353000000000002</v>
          </cell>
          <cell r="S20">
            <v>534.89300000000003</v>
          </cell>
          <cell r="AL20">
            <v>2.1571445419776589</v>
          </cell>
          <cell r="AM20">
            <v>2.434109251756893</v>
          </cell>
          <cell r="AR20">
            <v>0.21565885464930165</v>
          </cell>
          <cell r="AS20">
            <v>0.2299525325625873</v>
          </cell>
          <cell r="AX20">
            <v>711.37128704529675</v>
          </cell>
          <cell r="AY20">
            <v>691.32364790715292</v>
          </cell>
          <cell r="BD20">
            <v>480.07345879736539</v>
          </cell>
          <cell r="BE20">
            <v>478.02954983520078</v>
          </cell>
          <cell r="BJ20">
            <v>0.88654408163706211</v>
          </cell>
          <cell r="BK20">
            <v>0.79672464146734856</v>
          </cell>
        </row>
        <row r="21">
          <cell r="J21">
            <v>0.83773580124916069</v>
          </cell>
          <cell r="K21">
            <v>0.73324632455994976</v>
          </cell>
          <cell r="R21">
            <v>57.131999999999998</v>
          </cell>
          <cell r="S21">
            <v>592.02499999999998</v>
          </cell>
          <cell r="AL21">
            <v>2.3341209829867671</v>
          </cell>
          <cell r="AM21">
            <v>2.4244601157045733</v>
          </cell>
          <cell r="AR21">
            <v>0.18028425400826159</v>
          </cell>
          <cell r="AS21">
            <v>0.22515941049786753</v>
          </cell>
          <cell r="AX21">
            <v>713.83690401177284</v>
          </cell>
          <cell r="AY21">
            <v>693.49623748997328</v>
          </cell>
          <cell r="BD21">
            <v>427.62724917734334</v>
          </cell>
          <cell r="BE21">
            <v>473.1655926692286</v>
          </cell>
          <cell r="BJ21">
            <v>0.83773580124916069</v>
          </cell>
          <cell r="BK21">
            <v>0.80050644697847173</v>
          </cell>
        </row>
        <row r="22">
          <cell r="J22">
            <v>0.97024599524167254</v>
          </cell>
          <cell r="K22">
            <v>0.75180329436010729</v>
          </cell>
          <cell r="R22">
            <v>66.549000000000007</v>
          </cell>
          <cell r="S22">
            <v>658.57399999999996</v>
          </cell>
          <cell r="AL22">
            <v>1.9913296969150551</v>
          </cell>
          <cell r="AM22">
            <v>2.3806922228937069</v>
          </cell>
          <cell r="AR22">
            <v>0.16979969646425941</v>
          </cell>
          <cell r="AS22">
            <v>0.21956530321573586</v>
          </cell>
          <cell r="AX22">
            <v>569.59578656328586</v>
          </cell>
          <cell r="AY22">
            <v>680.97607861835036</v>
          </cell>
          <cell r="BD22">
            <v>531.77207771717406</v>
          </cell>
          <cell r="BE22">
            <v>479.08778664204823</v>
          </cell>
          <cell r="BJ22">
            <v>0.97024599524167254</v>
          </cell>
          <cell r="BK22">
            <v>0.8149126386756832</v>
          </cell>
        </row>
        <row r="23">
          <cell r="J23">
            <v>0.96773971894017297</v>
          </cell>
          <cell r="K23">
            <v>0.76762818527660659</v>
          </cell>
          <cell r="R23">
            <v>67.039000000000001</v>
          </cell>
          <cell r="S23">
            <v>725.61299999999994</v>
          </cell>
          <cell r="AL23">
            <v>1.9975834961738688</v>
          </cell>
          <cell r="AM23">
            <v>2.3452970109410938</v>
          </cell>
          <cell r="AR23">
            <v>0.20435865690120675</v>
          </cell>
          <cell r="AS23">
            <v>0.21816036923263507</v>
          </cell>
          <cell r="AX23">
            <v>615.53349542801379</v>
          </cell>
          <cell r="AY23">
            <v>674.92987308661804</v>
          </cell>
          <cell r="BD23">
            <v>455.40058771759448</v>
          </cell>
          <cell r="BE23">
            <v>476.89933890379587</v>
          </cell>
          <cell r="BJ23">
            <v>0.96773971894017297</v>
          </cell>
          <cell r="BK23">
            <v>0.82697850314876253</v>
          </cell>
        </row>
        <row r="24">
          <cell r="J24">
            <v>0.98089677729809377</v>
          </cell>
          <cell r="K24">
            <v>0.78116105943058656</v>
          </cell>
          <cell r="R24">
            <v>62.822000000000003</v>
          </cell>
          <cell r="S24">
            <v>788.43499999999995</v>
          </cell>
          <cell r="AL24">
            <v>1.9810416732991625</v>
          </cell>
          <cell r="AM24">
            <v>2.3162733770063477</v>
          </cell>
          <cell r="AR24">
            <v>0.18783228805195631</v>
          </cell>
          <cell r="AS24">
            <v>0.21574384698802063</v>
          </cell>
          <cell r="AX24">
            <v>571.80143898634117</v>
          </cell>
          <cell r="AY24">
            <v>666.71266496286967</v>
          </cell>
          <cell r="BD24">
            <v>490.78348349304457</v>
          </cell>
          <cell r="BE24">
            <v>478.00561872570358</v>
          </cell>
          <cell r="BJ24">
            <v>0.98089677729809377</v>
          </cell>
          <cell r="BK24">
            <v>0.8374490932279619</v>
          </cell>
        </row>
        <row r="25">
          <cell r="J25">
            <v>0.9745832458766398</v>
          </cell>
          <cell r="K25">
            <v>0.79148001649358601</v>
          </cell>
          <cell r="R25">
            <v>55.435000000000002</v>
          </cell>
          <cell r="S25">
            <v>843.86999999999989</v>
          </cell>
          <cell r="AL25">
            <v>2.0978804004690179</v>
          </cell>
          <cell r="AM25">
            <v>2.3019268370720609</v>
          </cell>
          <cell r="AR25">
            <v>0.19843059438982591</v>
          </cell>
          <cell r="AS25">
            <v>0.21460651522153892</v>
          </cell>
          <cell r="AX25">
            <v>656.45133940653977</v>
          </cell>
          <cell r="AY25">
            <v>666.03858414210913</v>
          </cell>
          <cell r="BD25">
            <v>542.48218634436728</v>
          </cell>
          <cell r="BE25">
            <v>482.24117458850316</v>
          </cell>
          <cell r="BJ25">
            <v>0.9745832458766398</v>
          </cell>
          <cell r="BK25">
            <v>0.84526225227468477</v>
          </cell>
        </row>
        <row r="26">
          <cell r="J26">
            <v>0.83650676823668035</v>
          </cell>
          <cell r="K26">
            <v>0.79367898803254511</v>
          </cell>
          <cell r="R26">
            <v>45.792999999999999</v>
          </cell>
          <cell r="S26">
            <v>889.6629999999999</v>
          </cell>
          <cell r="AL26">
            <v>2.4301967549625489</v>
          </cell>
          <cell r="AM26">
            <v>2.308529184646321</v>
          </cell>
          <cell r="AR26">
            <v>0.24021138601969733</v>
          </cell>
          <cell r="AS26">
            <v>0.21592445678869421</v>
          </cell>
          <cell r="AX26">
            <v>856.70517327972709</v>
          </cell>
          <cell r="AY26">
            <v>675.85263183924724</v>
          </cell>
          <cell r="BD26">
            <v>631.72974035332766</v>
          </cell>
          <cell r="BE26">
            <v>489.93569475183307</v>
          </cell>
          <cell r="BJ26">
            <v>0.84073810964757945</v>
          </cell>
          <cell r="BK26">
            <v>0.8450281959823297</v>
          </cell>
        </row>
        <row r="27">
          <cell r="J27">
            <v>0.97205498475353191</v>
          </cell>
          <cell r="K27">
            <v>0.80414142587918669</v>
          </cell>
          <cell r="R27">
            <v>67.891999999999996</v>
          </cell>
          <cell r="S27">
            <v>957.55499999999984</v>
          </cell>
          <cell r="AL27">
            <v>1.9491250810110179</v>
          </cell>
          <cell r="AM27">
            <v>2.2830469268083817</v>
          </cell>
          <cell r="AR27">
            <v>0.17527838331467627</v>
          </cell>
          <cell r="AS27">
            <v>0.21304259285367427</v>
          </cell>
          <cell r="AX27">
            <v>573.64770517881777</v>
          </cell>
          <cell r="AY27">
            <v>668.60615839299112</v>
          </cell>
          <cell r="BD27">
            <v>519.47946738938276</v>
          </cell>
          <cell r="BE27">
            <v>492.03038989927484</v>
          </cell>
          <cell r="BJ27">
            <v>0.94601799680450205</v>
          </cell>
          <cell r="BK27">
            <v>0.85147291263609015</v>
          </cell>
        </row>
        <row r="28">
          <cell r="J28">
            <v>0.96876695342168484</v>
          </cell>
          <cell r="K28">
            <v>0.81322984627694539</v>
          </cell>
          <cell r="R28">
            <v>67.406999999999996</v>
          </cell>
          <cell r="S28">
            <v>1024.9619999999998</v>
          </cell>
          <cell r="AL28">
            <v>1.8931119913362113</v>
          </cell>
          <cell r="AM28">
            <v>2.2574027134664507</v>
          </cell>
          <cell r="AR28">
            <v>0.18544068123488661</v>
          </cell>
          <cell r="AS28">
            <v>0.21122734306247459</v>
          </cell>
          <cell r="AX28">
            <v>509.68415743171613</v>
          </cell>
          <cell r="AY28">
            <v>658.1545949996198</v>
          </cell>
          <cell r="BD28">
            <v>451.82844511697675</v>
          </cell>
          <cell r="BE28">
            <v>489.38649432857039</v>
          </cell>
          <cell r="BJ28">
            <v>0.96876695342168484</v>
          </cell>
          <cell r="BK28">
            <v>0.85830725372268457</v>
          </cell>
        </row>
        <row r="29">
          <cell r="J29">
            <v>0.94964560424087108</v>
          </cell>
          <cell r="K29">
            <v>0.82051927389665946</v>
          </cell>
          <cell r="R29">
            <v>67.566999999999993</v>
          </cell>
          <cell r="S29">
            <v>1092.5289999999998</v>
          </cell>
          <cell r="AL29">
            <v>1.8387526455222225</v>
          </cell>
          <cell r="AM29">
            <v>2.2315114747526152</v>
          </cell>
          <cell r="AR29">
            <v>0.17760149185253157</v>
          </cell>
          <cell r="AS29">
            <v>0.20914776632931489</v>
          </cell>
          <cell r="AX29">
            <v>521.62697766662143</v>
          </cell>
          <cell r="AY29">
            <v>649.71110149021308</v>
          </cell>
          <cell r="BD29">
            <v>520.07755265144442</v>
          </cell>
          <cell r="BE29">
            <v>491.28457002056729</v>
          </cell>
          <cell r="BJ29">
            <v>0.94964560424087108</v>
          </cell>
          <cell r="BK29">
            <v>0.863443278117211</v>
          </cell>
        </row>
        <row r="30">
          <cell r="J30">
            <v>0.96153220552770924</v>
          </cell>
          <cell r="K30">
            <v>0.82810172921338687</v>
          </cell>
          <cell r="R30">
            <v>72.754999999999995</v>
          </cell>
          <cell r="S30">
            <v>1165.2839999999997</v>
          </cell>
          <cell r="AL30">
            <v>1.7328568483265756</v>
          </cell>
          <cell r="AM30">
            <v>2.2003777619876361</v>
          </cell>
          <cell r="AR30">
            <v>0.18005635351522234</v>
          </cell>
          <cell r="AS30">
            <v>0.20733143165099674</v>
          </cell>
          <cell r="AX30">
            <v>431.60841179299916</v>
          </cell>
          <cell r="AY30">
            <v>636.09376769954861</v>
          </cell>
          <cell r="BD30">
            <v>495.31821867912339</v>
          </cell>
          <cell r="BE30">
            <v>491.53641258268385</v>
          </cell>
          <cell r="BJ30">
            <v>0.96153220552770924</v>
          </cell>
          <cell r="BK30">
            <v>0.86897800245039447</v>
          </cell>
        </row>
        <row r="31">
          <cell r="J31">
            <v>0.96970947490796799</v>
          </cell>
          <cell r="K31">
            <v>0.83554951687588874</v>
          </cell>
          <cell r="R31">
            <v>75.751999999999995</v>
          </cell>
          <cell r="S31">
            <v>1241.0359999999996</v>
          </cell>
          <cell r="AL31">
            <v>1.5401177526665963</v>
          </cell>
          <cell r="AM31">
            <v>2.1600759365562325</v>
          </cell>
          <cell r="AR31">
            <v>0.17908029098000314</v>
          </cell>
          <cell r="AS31">
            <v>0.20560700108805652</v>
          </cell>
          <cell r="AX31">
            <v>441.79427605872087</v>
          </cell>
          <cell r="AY31">
            <v>624.23385784135269</v>
          </cell>
          <cell r="BD31">
            <v>481.9485690146837</v>
          </cell>
          <cell r="BE31">
            <v>490.95117708108421</v>
          </cell>
          <cell r="BJ31">
            <v>0.96970947490796799</v>
          </cell>
          <cell r="BK31">
            <v>0.87452304040478135</v>
          </cell>
        </row>
        <row r="32">
          <cell r="J32">
            <v>0.98974383239487862</v>
          </cell>
          <cell r="K32">
            <v>0.84304872492235639</v>
          </cell>
          <cell r="R32">
            <v>75.150999999999996</v>
          </cell>
          <cell r="S32">
            <v>1316.1869999999997</v>
          </cell>
          <cell r="AL32">
            <v>1.5275112772950461</v>
          </cell>
          <cell r="AM32">
            <v>2.1239580697879559</v>
          </cell>
          <cell r="AR32">
            <v>7.9676901119081586E-2</v>
          </cell>
          <cell r="AS32">
            <v>0.19841670598350947</v>
          </cell>
          <cell r="AX32">
            <v>418.83900413833385</v>
          </cell>
          <cell r="AY32">
            <v>612.50632318963847</v>
          </cell>
          <cell r="BD32">
            <v>482.31073438810364</v>
          </cell>
          <cell r="BE32">
            <v>490.45782932060621</v>
          </cell>
          <cell r="BJ32">
            <v>0.98974383239487862</v>
          </cell>
          <cell r="BK32">
            <v>0.88037488607665659</v>
          </cell>
        </row>
        <row r="33">
          <cell r="J33">
            <v>0.9541471716249299</v>
          </cell>
          <cell r="K33">
            <v>0.84823865558831446</v>
          </cell>
          <cell r="R33">
            <v>72.998000000000005</v>
          </cell>
          <cell r="S33">
            <v>1389.1849999999997</v>
          </cell>
          <cell r="AL33">
            <v>1.5763308583796816</v>
          </cell>
          <cell r="AM33">
            <v>2.0951817072600121</v>
          </cell>
          <cell r="AR33">
            <v>8.8197797413995943E-2</v>
          </cell>
          <cell r="AS33">
            <v>0.19262499365739211</v>
          </cell>
          <cell r="AX33">
            <v>412.38376393874887</v>
          </cell>
          <cell r="AY33">
            <v>601.99041164423852</v>
          </cell>
          <cell r="BD33">
            <v>553.69106002904186</v>
          </cell>
          <cell r="BE33">
            <v>493.78056846280424</v>
          </cell>
          <cell r="BJ33">
            <v>0.9541471716249299</v>
          </cell>
          <cell r="BK33">
            <v>0.88396629164672369</v>
          </cell>
        </row>
        <row r="34">
          <cell r="J34">
            <v>0.9786274103675231</v>
          </cell>
          <cell r="K34">
            <v>0.85433860930445271</v>
          </cell>
          <cell r="R34">
            <v>78.66</v>
          </cell>
          <cell r="S34">
            <v>1467.8449999999998</v>
          </cell>
          <cell r="AL34">
            <v>1.5057971014492755</v>
          </cell>
          <cell r="AM34">
            <v>2.0635973144303383</v>
          </cell>
          <cell r="AR34">
            <v>8.7719298245614044E-2</v>
          </cell>
          <cell r="AS34">
            <v>0.18700322705322717</v>
          </cell>
          <cell r="AX34">
            <v>434.63056191201179</v>
          </cell>
          <cell r="AY34">
            <v>593.02180407331866</v>
          </cell>
          <cell r="BD34">
            <v>477.85914060513039</v>
          </cell>
          <cell r="BE34">
            <v>492.92735881513397</v>
          </cell>
          <cell r="BJ34">
            <v>0.9786274103675231</v>
          </cell>
          <cell r="BK34">
            <v>0.88857225789551197</v>
          </cell>
        </row>
        <row r="35">
          <cell r="J35">
            <v>0.93182345350540607</v>
          </cell>
          <cell r="K35">
            <v>0.85783365939917677</v>
          </cell>
          <cell r="R35">
            <v>75.625</v>
          </cell>
          <cell r="S35">
            <v>1543.4699999999998</v>
          </cell>
          <cell r="AL35">
            <v>1.612628099173554</v>
          </cell>
          <cell r="AM35">
            <v>2.041501292542129</v>
          </cell>
          <cell r="AR35">
            <v>8.4628099173553725E-2</v>
          </cell>
          <cell r="AS35">
            <v>0.18198717941647338</v>
          </cell>
          <cell r="AX35">
            <v>422.10234710744282</v>
          </cell>
          <cell r="AY35">
            <v>584.64730768981622</v>
          </cell>
          <cell r="BD35">
            <v>532.31999999999857</v>
          </cell>
          <cell r="BE35">
            <v>494.85746985688098</v>
          </cell>
          <cell r="BJ35">
            <v>0.93182345350540607</v>
          </cell>
          <cell r="BK35">
            <v>0.89059766919885741</v>
          </cell>
        </row>
        <row r="36">
          <cell r="J36">
            <v>0.95027087455278569</v>
          </cell>
          <cell r="K36">
            <v>0.86148806789491394</v>
          </cell>
          <cell r="R36">
            <v>70.376999999999995</v>
          </cell>
          <cell r="S36">
            <v>1613.8469999999998</v>
          </cell>
          <cell r="AL36">
            <v>1.5481620415760833</v>
          </cell>
          <cell r="AM36">
            <v>2.019987644429738</v>
          </cell>
          <cell r="AR36">
            <v>9.9464313625190051E-2</v>
          </cell>
          <cell r="AS36">
            <v>0.17838850387548769</v>
          </cell>
          <cell r="AX36">
            <v>480.98228114297876</v>
          </cell>
          <cell r="AY36">
            <v>580.12666008611723</v>
          </cell>
          <cell r="BD36">
            <v>597.79189223752121</v>
          </cell>
          <cell r="BE36">
            <v>499.34625711111408</v>
          </cell>
          <cell r="BJ36">
            <v>0.95027087455278569</v>
          </cell>
          <cell r="BK36">
            <v>0.89304319813508282</v>
          </cell>
        </row>
        <row r="37">
          <cell r="J37">
            <v>0.92274352011113803</v>
          </cell>
          <cell r="K37">
            <v>0.86321312845085363</v>
          </cell>
          <cell r="R37">
            <v>50.091000000000001</v>
          </cell>
          <cell r="S37">
            <v>1663.9379999999996</v>
          </cell>
          <cell r="AL37">
            <v>1.9789383322353316</v>
          </cell>
          <cell r="AM37">
            <v>2.0187519006116812</v>
          </cell>
          <cell r="AR37">
            <v>0.22159669401688925</v>
          </cell>
          <cell r="AS37">
            <v>0.17968923830932657</v>
          </cell>
          <cell r="AX37">
            <v>680.89876424909266</v>
          </cell>
          <cell r="AY37">
            <v>583.1602920301126</v>
          </cell>
          <cell r="BD37">
            <v>553.14327923179826</v>
          </cell>
          <cell r="BE37">
            <v>500.96575653660193</v>
          </cell>
          <cell r="BJ37">
            <v>0.96221890045814207</v>
          </cell>
          <cell r="BK37">
            <v>0.89498013583364144</v>
          </cell>
        </row>
        <row r="38">
          <cell r="J38">
            <v>0.97153986567971995</v>
          </cell>
          <cell r="K38">
            <v>0.86617044943061416</v>
          </cell>
          <cell r="R38">
            <v>52.561</v>
          </cell>
          <cell r="S38">
            <v>1716.4989999999996</v>
          </cell>
          <cell r="AL38">
            <v>2.0031392096801812</v>
          </cell>
          <cell r="AM38">
            <v>2.0182738236375317</v>
          </cell>
          <cell r="AR38">
            <v>0.24733167177184603</v>
          </cell>
          <cell r="AS38">
            <v>0.18176052057935616</v>
          </cell>
          <cell r="AX38">
            <v>668.93514202544191</v>
          </cell>
          <cell r="AY38">
            <v>585.78680791541422</v>
          </cell>
          <cell r="BD38">
            <v>465.47820627461431</v>
          </cell>
          <cell r="BE38">
            <v>499.87909052088014</v>
          </cell>
          <cell r="BJ38">
            <v>0.97153986567971995</v>
          </cell>
          <cell r="BK38">
            <v>0.89714495912663239</v>
          </cell>
        </row>
        <row r="39">
          <cell r="J39">
            <v>1.0004635914833877</v>
          </cell>
          <cell r="K39">
            <v>0.86994909984288449</v>
          </cell>
          <cell r="R39">
            <v>57.401000000000003</v>
          </cell>
          <cell r="S39">
            <v>1773.8999999999996</v>
          </cell>
          <cell r="AL39">
            <v>1.8770404696782286</v>
          </cell>
          <cell r="AM39">
            <v>2.0137037037037038</v>
          </cell>
          <cell r="AR39">
            <v>0.23170328043065452</v>
          </cell>
          <cell r="AS39">
            <v>0.18337660060541419</v>
          </cell>
          <cell r="AX39">
            <v>606.60406613126838</v>
          </cell>
          <cell r="AY39">
            <v>586.46042617960529</v>
          </cell>
          <cell r="BD39">
            <v>508.33609170571935</v>
          </cell>
          <cell r="BE39">
            <v>500.15274761824247</v>
          </cell>
          <cell r="BJ39">
            <v>1.0004635914833877</v>
          </cell>
          <cell r="BK39">
            <v>0.90015300198012216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0.51059754619271491</v>
          </cell>
          <cell r="K9">
            <v>0.51059754619271491</v>
          </cell>
          <cell r="R9">
            <v>23.289000000000001</v>
          </cell>
          <cell r="S9">
            <v>23.289000000000001</v>
          </cell>
          <cell r="X9">
            <v>127.95503738550867</v>
          </cell>
          <cell r="Y9">
            <v>127.95503738550866</v>
          </cell>
          <cell r="AD9">
            <v>1.5329125338142471</v>
          </cell>
          <cell r="AE9">
            <v>1.5329125338142471</v>
          </cell>
          <cell r="AJ9">
            <v>1603.6180170895977</v>
          </cell>
          <cell r="AK9">
            <v>1603.6180170895977</v>
          </cell>
          <cell r="BC9">
            <v>0.51059754619271491</v>
          </cell>
          <cell r="BD9">
            <v>0.51059754619271491</v>
          </cell>
        </row>
        <row r="10">
          <cell r="J10">
            <v>0.91595943603145025</v>
          </cell>
          <cell r="K10">
            <v>0.71466356375873541</v>
          </cell>
          <cell r="R10">
            <v>42.353000000000002</v>
          </cell>
          <cell r="S10">
            <v>65.641999999999996</v>
          </cell>
          <cell r="X10">
            <v>108.84737668217909</v>
          </cell>
          <cell r="Y10">
            <v>115.62654718459892</v>
          </cell>
          <cell r="AD10">
            <v>1.2844426604963048</v>
          </cell>
          <cell r="AE10">
            <v>1.3725968130160568</v>
          </cell>
          <cell r="AJ10">
            <v>796.06875546004471</v>
          </cell>
          <cell r="AK10">
            <v>1082.5776179884665</v>
          </cell>
          <cell r="BC10">
            <v>0.91595943603145025</v>
          </cell>
          <cell r="BD10">
            <v>0.71466356375873541</v>
          </cell>
        </row>
        <row r="11">
          <cell r="J11">
            <v>0.91638419582819142</v>
          </cell>
          <cell r="K11">
            <v>0.78178859574544624</v>
          </cell>
          <cell r="R11">
            <v>41.976999999999997</v>
          </cell>
          <cell r="S11">
            <v>107.619</v>
          </cell>
          <cell r="X11">
            <v>115.82439669159001</v>
          </cell>
          <cell r="Y11">
            <v>115.70371876912364</v>
          </cell>
          <cell r="AD11">
            <v>1.2530671558234272</v>
          </cell>
          <cell r="AE11">
            <v>1.3259740380416096</v>
          </cell>
          <cell r="AJ11">
            <v>967.40691330966081</v>
          </cell>
          <cell r="AK11">
            <v>1037.6550609093056</v>
          </cell>
          <cell r="BC11">
            <v>0.91638419582819142</v>
          </cell>
          <cell r="BD11">
            <v>0.78178859574544624</v>
          </cell>
        </row>
        <row r="12">
          <cell r="J12">
            <v>0.89503757401699091</v>
          </cell>
          <cell r="K12">
            <v>0.80962901821424338</v>
          </cell>
          <cell r="R12">
            <v>40.161999999999999</v>
          </cell>
          <cell r="S12">
            <v>147.78100000000001</v>
          </cell>
          <cell r="X12">
            <v>120.04289481045231</v>
          </cell>
          <cell r="Y12">
            <v>116.88296365291683</v>
          </cell>
          <cell r="AD12">
            <v>1.2897764055574921</v>
          </cell>
          <cell r="AE12">
            <v>1.3161367158159709</v>
          </cell>
          <cell r="AJ12">
            <v>810.00746974755862</v>
          </cell>
          <cell r="AK12">
            <v>975.78795650320421</v>
          </cell>
          <cell r="BC12">
            <v>0.89503757401699091</v>
          </cell>
          <cell r="BD12">
            <v>0.80962901821424338</v>
          </cell>
        </row>
        <row r="13">
          <cell r="J13">
            <v>1.0347328102074764</v>
          </cell>
          <cell r="K13">
            <v>0.85309467761000357</v>
          </cell>
          <cell r="R13">
            <v>45.195999999999998</v>
          </cell>
          <cell r="S13">
            <v>192.977</v>
          </cell>
          <cell r="X13">
            <v>105.77035052720971</v>
          </cell>
          <cell r="Y13">
            <v>114.28034436238241</v>
          </cell>
          <cell r="AD13">
            <v>1.2036463403841049</v>
          </cell>
          <cell r="AE13">
            <v>1.2897910113640485</v>
          </cell>
          <cell r="AJ13">
            <v>759.44375608457699</v>
          </cell>
          <cell r="AK13">
            <v>925.11926291733505</v>
          </cell>
          <cell r="BC13">
            <v>1.0347328102074764</v>
          </cell>
          <cell r="BD13">
            <v>0.85309467761000357</v>
          </cell>
        </row>
        <row r="14">
          <cell r="J14">
            <v>0.92907022116205784</v>
          </cell>
          <cell r="K14">
            <v>0.86534014588667063</v>
          </cell>
          <cell r="R14">
            <v>40.381999999999998</v>
          </cell>
          <cell r="S14">
            <v>233.35900000000001</v>
          </cell>
          <cell r="X14">
            <v>114.51852776194139</v>
          </cell>
          <cell r="Y14">
            <v>114.32156120870498</v>
          </cell>
          <cell r="AD14">
            <v>1.3768510722599179</v>
          </cell>
          <cell r="AE14">
            <v>1.3048564657887631</v>
          </cell>
          <cell r="AJ14">
            <v>841.81021247092099</v>
          </cell>
          <cell r="AK14">
            <v>910.70290839435927</v>
          </cell>
          <cell r="BC14">
            <v>0.92907022116205784</v>
          </cell>
          <cell r="BD14">
            <v>0.86534014588667063</v>
          </cell>
        </row>
        <row r="15">
          <cell r="J15">
            <v>0.97750803558200139</v>
          </cell>
          <cell r="K15">
            <v>0.88066233582324027</v>
          </cell>
          <cell r="R15">
            <v>41.706000000000003</v>
          </cell>
          <cell r="S15">
            <v>275.065</v>
          </cell>
          <cell r="X15">
            <v>114.99404596752773</v>
          </cell>
          <cell r="Y15">
            <v>114.42352492401396</v>
          </cell>
          <cell r="AD15">
            <v>1.309164149043303</v>
          </cell>
          <cell r="AE15">
            <v>1.3055096068202063</v>
          </cell>
          <cell r="AJ15">
            <v>922.73485829376204</v>
          </cell>
          <cell r="AK15">
            <v>912.52722083870697</v>
          </cell>
          <cell r="BC15">
            <v>0.97750803558200139</v>
          </cell>
          <cell r="BD15">
            <v>0.88066233582324027</v>
          </cell>
        </row>
        <row r="16">
          <cell r="J16">
            <v>0.85490801596503918</v>
          </cell>
          <cell r="K16">
            <v>0.87750063269069101</v>
          </cell>
          <cell r="R16">
            <v>37.368000000000002</v>
          </cell>
          <cell r="S16">
            <v>312.43299999999999</v>
          </cell>
          <cell r="X16">
            <v>135.31266952218166</v>
          </cell>
          <cell r="Y16">
            <v>116.92193436009892</v>
          </cell>
          <cell r="AD16">
            <v>1.5253692999357737</v>
          </cell>
          <cell r="AE16">
            <v>1.3318055391075847</v>
          </cell>
          <cell r="AJ16">
            <v>979.19021622779815</v>
          </cell>
          <cell r="AK16">
            <v>920.50033127102222</v>
          </cell>
          <cell r="BC16">
            <v>0.85490801596503918</v>
          </cell>
          <cell r="BD16">
            <v>0.87750063269069101</v>
          </cell>
        </row>
        <row r="17">
          <cell r="J17">
            <v>0.90977724576767383</v>
          </cell>
          <cell r="K17">
            <v>0.88082372821397759</v>
          </cell>
          <cell r="R17">
            <v>37.177999999999997</v>
          </cell>
          <cell r="S17">
            <v>349.61099999999999</v>
          </cell>
          <cell r="X17">
            <v>141.9313729807341</v>
          </cell>
          <cell r="Y17">
            <v>119.58146426344284</v>
          </cell>
          <cell r="AD17">
            <v>1.4551616547420518</v>
          </cell>
          <cell r="AE17">
            <v>1.3449233576746729</v>
          </cell>
          <cell r="AJ17">
            <v>1069.4044865242984</v>
          </cell>
          <cell r="AK17">
            <v>936.33495513585001</v>
          </cell>
          <cell r="BC17">
            <v>0.90977724576767383</v>
          </cell>
          <cell r="BD17">
            <v>0.88082372821397759</v>
          </cell>
        </row>
        <row r="18">
          <cell r="J18">
            <v>0.92095307955743766</v>
          </cell>
          <cell r="K18">
            <v>0.88456868281122991</v>
          </cell>
          <cell r="R18">
            <v>37.624000000000002</v>
          </cell>
          <cell r="S18">
            <v>387.23500000000001</v>
          </cell>
          <cell r="X18">
            <v>136.5391690206703</v>
          </cell>
          <cell r="Y18">
            <v>121.22908569173811</v>
          </cell>
          <cell r="AD18">
            <v>1.4299383372315542</v>
          </cell>
          <cell r="AE18">
            <v>1.3531834674035146</v>
          </cell>
          <cell r="AJ18">
            <v>1036.9072932170664</v>
          </cell>
          <cell r="AK18">
            <v>946.1066277583343</v>
          </cell>
          <cell r="BC18">
            <v>0.92095307955743766</v>
          </cell>
          <cell r="BD18">
            <v>0.88456868281122991</v>
          </cell>
        </row>
        <row r="19">
          <cell r="J19">
            <v>0.89961008897425399</v>
          </cell>
          <cell r="K19">
            <v>0.88584767118144381</v>
          </cell>
          <cell r="R19">
            <v>36.598999999999997</v>
          </cell>
          <cell r="S19">
            <v>423.834</v>
          </cell>
          <cell r="X19">
            <v>141.06170020434578</v>
          </cell>
          <cell r="Y19">
            <v>122.94167566457401</v>
          </cell>
          <cell r="AD19">
            <v>1.4426623678242576</v>
          </cell>
          <cell r="AE19">
            <v>1.36091016765998</v>
          </cell>
          <cell r="AJ19">
            <v>952.6282138856451</v>
          </cell>
          <cell r="AK19">
            <v>946.66978109353977</v>
          </cell>
          <cell r="BC19">
            <v>0.89961008897425399</v>
          </cell>
          <cell r="BD19">
            <v>0.88584767118144381</v>
          </cell>
        </row>
        <row r="20">
          <cell r="J20">
            <v>0.96351061102185942</v>
          </cell>
          <cell r="K20">
            <v>0.89226272197643275</v>
          </cell>
          <cell r="R20">
            <v>41.506999999999998</v>
          </cell>
          <cell r="S20">
            <v>465.34100000000001</v>
          </cell>
          <cell r="X20">
            <v>127.02779674382217</v>
          </cell>
          <cell r="Y20">
            <v>123.30614522052619</v>
          </cell>
          <cell r="AD20">
            <v>1.2528007324065822</v>
          </cell>
          <cell r="AE20">
            <v>1.3512671352835877</v>
          </cell>
          <cell r="AJ20">
            <v>1010.3953550003702</v>
          </cell>
          <cell r="AK20">
            <v>952.35390820924817</v>
          </cell>
          <cell r="BC20">
            <v>0.96351061102185942</v>
          </cell>
          <cell r="BD20">
            <v>0.89226272197643275</v>
          </cell>
        </row>
        <row r="21">
          <cell r="J21">
            <v>0.81833416852695751</v>
          </cell>
          <cell r="K21">
            <v>0.88679942717942883</v>
          </cell>
          <cell r="R21">
            <v>34.055999999999997</v>
          </cell>
          <cell r="S21">
            <v>499.39699999999999</v>
          </cell>
          <cell r="X21">
            <v>145.30130014253885</v>
          </cell>
          <cell r="Y21">
            <v>124.80608814373973</v>
          </cell>
          <cell r="AD21">
            <v>1.5063424947145878</v>
          </cell>
          <cell r="AE21">
            <v>1.3618423819125864</v>
          </cell>
          <cell r="AJ21">
            <v>1203.0426356588825</v>
          </cell>
          <cell r="AK21">
            <v>969.44943601983709</v>
          </cell>
          <cell r="BC21">
            <v>0.81833416852695751</v>
          </cell>
          <cell r="BD21">
            <v>0.88679942717942883</v>
          </cell>
        </row>
        <row r="22">
          <cell r="J22">
            <v>0.80178174319073592</v>
          </cell>
          <cell r="K22">
            <v>0.88095179460081008</v>
          </cell>
          <cell r="R22">
            <v>33.35</v>
          </cell>
          <cell r="S22">
            <v>532.74699999999996</v>
          </cell>
          <cell r="X22">
            <v>149.73463218496084</v>
          </cell>
          <cell r="Y22">
            <v>126.36661676947526</v>
          </cell>
          <cell r="AD22">
            <v>1.6581709145427286</v>
          </cell>
          <cell r="AE22">
            <v>1.3803925690806329</v>
          </cell>
          <cell r="AJ22">
            <v>1045.4818590704758</v>
          </cell>
          <cell r="AK22">
            <v>974.20907109753591</v>
          </cell>
          <cell r="BC22">
            <v>0.80178174319073592</v>
          </cell>
          <cell r="BD22">
            <v>0.88095179460081008</v>
          </cell>
        </row>
        <row r="23">
          <cell r="J23">
            <v>0.83392234525081543</v>
          </cell>
          <cell r="K23">
            <v>0.87772318475468825</v>
          </cell>
          <cell r="R23">
            <v>37.173000000000002</v>
          </cell>
          <cell r="S23">
            <v>569.91999999999996</v>
          </cell>
          <cell r="X23">
            <v>135.37065291579393</v>
          </cell>
          <cell r="Y23">
            <v>126.95390452155819</v>
          </cell>
          <cell r="AD23">
            <v>1.3719635219110644</v>
          </cell>
          <cell r="AE23">
            <v>1.3798427849522739</v>
          </cell>
          <cell r="AJ23">
            <v>1001.2939499098808</v>
          </cell>
          <cell r="AK23">
            <v>975.97568079730308</v>
          </cell>
          <cell r="BC23">
            <v>0.83392234525081543</v>
          </cell>
          <cell r="BD23">
            <v>0.87772318475468825</v>
          </cell>
        </row>
        <row r="24">
          <cell r="J24">
            <v>0.71544699401876755</v>
          </cell>
          <cell r="K24">
            <v>0.86770078317840027</v>
          </cell>
          <cell r="R24">
            <v>30.58</v>
          </cell>
          <cell r="S24">
            <v>600.5</v>
          </cell>
          <cell r="X24">
            <v>133.36879994995681</v>
          </cell>
          <cell r="Y24">
            <v>127.2805781305514</v>
          </cell>
          <cell r="AD24">
            <v>1.4748201438848922</v>
          </cell>
          <cell r="AE24">
            <v>1.3846794338051622</v>
          </cell>
          <cell r="AJ24">
            <v>1211.6919555265235</v>
          </cell>
          <cell r="AK24">
            <v>987.97935054121581</v>
          </cell>
          <cell r="BC24">
            <v>0.71544699401876755</v>
          </cell>
          <cell r="BD24">
            <v>0.86770078317840027</v>
          </cell>
        </row>
        <row r="25">
          <cell r="J25">
            <v>0.8328829355437859</v>
          </cell>
          <cell r="K25">
            <v>0.86574272070870828</v>
          </cell>
          <cell r="R25">
            <v>34.347000000000001</v>
          </cell>
          <cell r="S25">
            <v>634.84699999999998</v>
          </cell>
          <cell r="X25">
            <v>145.91799304133056</v>
          </cell>
          <cell r="Y25">
            <v>128.28891445401285</v>
          </cell>
          <cell r="AD25">
            <v>1.3480071039683232</v>
          </cell>
          <cell r="AE25">
            <v>1.3826953580941548</v>
          </cell>
          <cell r="AJ25">
            <v>1139.6954610300756</v>
          </cell>
          <cell r="AK25">
            <v>996.18761685886534</v>
          </cell>
          <cell r="BC25">
            <v>0.8328829355437859</v>
          </cell>
          <cell r="BD25">
            <v>0.86574272070870828</v>
          </cell>
        </row>
        <row r="26">
          <cell r="J26">
            <v>0.86103724153012806</v>
          </cell>
          <cell r="K26">
            <v>0.86549075777960993</v>
          </cell>
          <cell r="R26">
            <v>35.722000000000001</v>
          </cell>
          <cell r="S26">
            <v>670.56899999999996</v>
          </cell>
          <cell r="X26">
            <v>141.32646079348521</v>
          </cell>
          <cell r="Y26">
            <v>128.98343989485286</v>
          </cell>
          <cell r="AD26">
            <v>1.3241139913778623</v>
          </cell>
          <cell r="AE26">
            <v>1.3795746597292744</v>
          </cell>
          <cell r="AJ26">
            <v>1082.0166843961604</v>
          </cell>
          <cell r="AK26">
            <v>1000.7598323215057</v>
          </cell>
          <cell r="BC26">
            <v>0.86103724153012806</v>
          </cell>
          <cell r="BD26">
            <v>0.86549075777960993</v>
          </cell>
        </row>
        <row r="27">
          <cell r="J27">
            <v>0.87083435591564096</v>
          </cell>
          <cell r="K27">
            <v>0.86577013790386059</v>
          </cell>
          <cell r="R27">
            <v>37.222000000000001</v>
          </cell>
          <cell r="S27">
            <v>707.79099999999994</v>
          </cell>
          <cell r="X27">
            <v>141.03374829451505</v>
          </cell>
          <cell r="Y27">
            <v>129.61715320747231</v>
          </cell>
          <cell r="AD27">
            <v>1.3620976841652785</v>
          </cell>
          <cell r="AE27">
            <v>1.3786555635773836</v>
          </cell>
          <cell r="AJ27">
            <v>1071.0187523507407</v>
          </cell>
          <cell r="AK27">
            <v>1004.4546765923827</v>
          </cell>
          <cell r="BC27">
            <v>0.87083435591564096</v>
          </cell>
          <cell r="BD27">
            <v>0.86577013790386059</v>
          </cell>
        </row>
        <row r="28">
          <cell r="J28">
            <v>0.95259631828556668</v>
          </cell>
          <cell r="K28">
            <v>0.86997981726285112</v>
          </cell>
          <cell r="R28">
            <v>39.682000000000002</v>
          </cell>
          <cell r="S28">
            <v>747.47299999999996</v>
          </cell>
          <cell r="X28">
            <v>130.10046139811632</v>
          </cell>
          <cell r="Y28">
            <v>129.64281117186852</v>
          </cell>
          <cell r="AD28">
            <v>1.270097273322917</v>
          </cell>
          <cell r="AE28">
            <v>1.3728923987889863</v>
          </cell>
          <cell r="AJ28">
            <v>954.93473111237074</v>
          </cell>
          <cell r="AK28">
            <v>1001.8257515656086</v>
          </cell>
          <cell r="BC28">
            <v>0.95259631828556668</v>
          </cell>
          <cell r="BD28">
            <v>0.86997981726285112</v>
          </cell>
        </row>
        <row r="29">
          <cell r="J29">
            <v>0.91135443343060463</v>
          </cell>
          <cell r="K29">
            <v>0.87189306186957694</v>
          </cell>
          <cell r="R29">
            <v>37.963999999999999</v>
          </cell>
          <cell r="S29">
            <v>785.4369999999999</v>
          </cell>
          <cell r="X29">
            <v>144.95248869497246</v>
          </cell>
          <cell r="Y29">
            <v>130.38280253653193</v>
          </cell>
          <cell r="AD29">
            <v>1.2643557054051207</v>
          </cell>
          <cell r="AE29">
            <v>1.3676462911729392</v>
          </cell>
          <cell r="AJ29">
            <v>1015.1506690548846</v>
          </cell>
          <cell r="AK29">
            <v>1002.4698098001494</v>
          </cell>
          <cell r="BC29">
            <v>0.91135443343060463</v>
          </cell>
          <cell r="BD29">
            <v>0.87189306186957694</v>
          </cell>
        </row>
        <row r="30">
          <cell r="J30">
            <v>0.92596175841528305</v>
          </cell>
          <cell r="K30">
            <v>0.87437651721669352</v>
          </cell>
          <cell r="R30">
            <v>40.158000000000001</v>
          </cell>
          <cell r="S30">
            <v>825.59499999999991</v>
          </cell>
          <cell r="X30">
            <v>134.66348333099398</v>
          </cell>
          <cell r="Y30">
            <v>130.59102034228897</v>
          </cell>
          <cell r="AD30">
            <v>1.232631107126849</v>
          </cell>
          <cell r="AE30">
            <v>1.3610789794027338</v>
          </cell>
          <cell r="AJ30">
            <v>884.5256237860541</v>
          </cell>
          <cell r="AK30">
            <v>996.73285327551673</v>
          </cell>
          <cell r="BC30">
            <v>0.92596175841528305</v>
          </cell>
          <cell r="BD30">
            <v>0.87437651721669352</v>
          </cell>
        </row>
        <row r="31">
          <cell r="J31">
            <v>0.9327958207639484</v>
          </cell>
          <cell r="K31">
            <v>0.87700632056768146</v>
          </cell>
          <cell r="R31">
            <v>41.517000000000003</v>
          </cell>
          <cell r="S31">
            <v>867.11199999999997</v>
          </cell>
          <cell r="X31">
            <v>123.82933128353861</v>
          </cell>
          <cell r="Y31">
            <v>130.26727318546017</v>
          </cell>
          <cell r="AD31">
            <v>1.2139605462822458</v>
          </cell>
          <cell r="AE31">
            <v>1.354035003552021</v>
          </cell>
          <cell r="AJ31">
            <v>923.53493749546635</v>
          </cell>
          <cell r="AK31">
            <v>993.22816429711452</v>
          </cell>
          <cell r="BC31">
            <v>0.9327958207639484</v>
          </cell>
          <cell r="BD31">
            <v>0.87700632056768146</v>
          </cell>
        </row>
        <row r="32">
          <cell r="J32">
            <v>0.91794846007087327</v>
          </cell>
          <cell r="K32">
            <v>0.87874062132154951</v>
          </cell>
          <cell r="R32">
            <v>40.146000000000001</v>
          </cell>
          <cell r="S32">
            <v>907.25799999999992</v>
          </cell>
          <cell r="X32">
            <v>131.92624060226851</v>
          </cell>
          <cell r="Y32">
            <v>130.34068218920021</v>
          </cell>
          <cell r="AD32">
            <v>1.2454540925621482</v>
          </cell>
          <cell r="AE32">
            <v>1.3492303181674894</v>
          </cell>
          <cell r="AJ32">
            <v>979.90783639716847</v>
          </cell>
          <cell r="AK32">
            <v>992.6387422320887</v>
          </cell>
          <cell r="BC32">
            <v>0.91794846007087327</v>
          </cell>
          <cell r="BD32">
            <v>0.87874062132154951</v>
          </cell>
        </row>
        <row r="33">
          <cell r="J33">
            <v>0.93150628866277796</v>
          </cell>
          <cell r="K33">
            <v>0.88087735897547703</v>
          </cell>
          <cell r="R33">
            <v>40.588999999999999</v>
          </cell>
          <cell r="S33">
            <v>947.84699999999998</v>
          </cell>
          <cell r="X33">
            <v>125.33919119980014</v>
          </cell>
          <cell r="Y33">
            <v>130.1265067813878</v>
          </cell>
          <cell r="AD33">
            <v>1.2885264480524279</v>
          </cell>
          <cell r="AE33">
            <v>1.3466308380993979</v>
          </cell>
          <cell r="AJ33">
            <v>947.93811131092843</v>
          </cell>
          <cell r="AK33">
            <v>990.72455786640614</v>
          </cell>
          <cell r="BC33">
            <v>0.93150628866277796</v>
          </cell>
          <cell r="BD33">
            <v>0.88087735897547703</v>
          </cell>
        </row>
        <row r="34">
          <cell r="J34">
            <v>0.88724324755610506</v>
          </cell>
          <cell r="K34">
            <v>0.88112626775556913</v>
          </cell>
          <cell r="R34">
            <v>38.847999999999999</v>
          </cell>
          <cell r="S34">
            <v>986.69499999999994</v>
          </cell>
          <cell r="X34">
            <v>139.66253515753257</v>
          </cell>
          <cell r="Y34">
            <v>130.50195778737901</v>
          </cell>
          <cell r="AD34">
            <v>1.3153830313014827</v>
          </cell>
          <cell r="AE34">
            <v>1.3454005543759722</v>
          </cell>
          <cell r="AJ34">
            <v>1042.6112026359331</v>
          </cell>
          <cell r="AK34">
            <v>992.76743066499807</v>
          </cell>
          <cell r="BC34">
            <v>0.88724324755610506</v>
          </cell>
          <cell r="BD34">
            <v>0.88112626775556913</v>
          </cell>
        </row>
        <row r="35">
          <cell r="J35">
            <v>0.97340971071727711</v>
          </cell>
          <cell r="K35">
            <v>0.88461575796637981</v>
          </cell>
          <cell r="R35">
            <v>42.837000000000003</v>
          </cell>
          <cell r="S35">
            <v>1029.5319999999999</v>
          </cell>
          <cell r="X35">
            <v>122.70769083289176</v>
          </cell>
          <cell r="Y35">
            <v>130.1776521674183</v>
          </cell>
          <cell r="AD35">
            <v>1.2302448817610943</v>
          </cell>
          <cell r="AE35">
            <v>1.3406091311391972</v>
          </cell>
          <cell r="AJ35">
            <v>953.73298783761697</v>
          </cell>
          <cell r="AK35">
            <v>991.14327675099014</v>
          </cell>
          <cell r="BC35">
            <v>0.97340971071727711</v>
          </cell>
          <cell r="BD35">
            <v>0.88461575796637981</v>
          </cell>
        </row>
        <row r="36">
          <cell r="J36">
            <v>0.88688930805291077</v>
          </cell>
          <cell r="K36">
            <v>0.88469897213370752</v>
          </cell>
          <cell r="R36">
            <v>39.213999999999999</v>
          </cell>
          <cell r="S36">
            <v>1068.7459999999999</v>
          </cell>
          <cell r="X36">
            <v>143.50991062193532</v>
          </cell>
          <cell r="Y36">
            <v>130.66683405257663</v>
          </cell>
          <cell r="AD36">
            <v>1.3439077880348855</v>
          </cell>
          <cell r="AE36">
            <v>1.3407301641362868</v>
          </cell>
          <cell r="AJ36">
            <v>1006.5196103432263</v>
          </cell>
          <cell r="AK36">
            <v>991.70745902206863</v>
          </cell>
          <cell r="BC36">
            <v>0.88688930805291077</v>
          </cell>
          <cell r="BD36">
            <v>0.88469897213370752</v>
          </cell>
        </row>
        <row r="37">
          <cell r="J37">
            <v>0.92305602365425232</v>
          </cell>
          <cell r="K37">
            <v>0.88605211959328889</v>
          </cell>
          <cell r="R37">
            <v>40.776000000000003</v>
          </cell>
          <cell r="S37">
            <v>1109.5219999999999</v>
          </cell>
          <cell r="X37">
            <v>130.27414510958315</v>
          </cell>
          <cell r="Y37">
            <v>130.65240235645931</v>
          </cell>
          <cell r="AD37">
            <v>1.2973317637826172</v>
          </cell>
          <cell r="AE37">
            <v>1.3391352312076732</v>
          </cell>
          <cell r="AJ37">
            <v>964.56248773787615</v>
          </cell>
          <cell r="AK37">
            <v>990.70985523495619</v>
          </cell>
          <cell r="BC37">
            <v>0.92305602365425232</v>
          </cell>
          <cell r="BD37">
            <v>0.88605211959328889</v>
          </cell>
        </row>
        <row r="38">
          <cell r="J38">
            <v>0.90385657836075861</v>
          </cell>
          <cell r="K38">
            <v>0.88664737754182976</v>
          </cell>
          <cell r="R38">
            <v>39.149000000000001</v>
          </cell>
          <cell r="S38">
            <v>1148.6709999999998</v>
          </cell>
          <cell r="X38">
            <v>137.46595443964645</v>
          </cell>
          <cell r="Y38">
            <v>130.88462180876959</v>
          </cell>
          <cell r="AD38">
            <v>1.3129326419576488</v>
          </cell>
          <cell r="AE38">
            <v>1.3382421946754122</v>
          </cell>
          <cell r="AJ38">
            <v>970.36961352783192</v>
          </cell>
          <cell r="AK38">
            <v>990.01661920602191</v>
          </cell>
          <cell r="BC38">
            <v>0.90385657836075861</v>
          </cell>
          <cell r="BD38">
            <v>0.88664737754182976</v>
          </cell>
        </row>
        <row r="39">
          <cell r="J39">
            <v>0.93457401478332747</v>
          </cell>
          <cell r="K39">
            <v>0.88818847821278912</v>
          </cell>
          <cell r="R39">
            <v>40.225999999999999</v>
          </cell>
          <cell r="S39">
            <v>1188.8969999999999</v>
          </cell>
          <cell r="X39">
            <v>130.96588945437796</v>
          </cell>
          <cell r="Y39">
            <v>130.88737147700178</v>
          </cell>
          <cell r="AD39">
            <v>1.2554069507283847</v>
          </cell>
          <cell r="AE39">
            <v>1.3354394871885455</v>
          </cell>
          <cell r="AJ39">
            <v>975.9538606870907</v>
          </cell>
          <cell r="AK39">
            <v>989.54080967484902</v>
          </cell>
          <cell r="BC39">
            <v>0.93457401478332747</v>
          </cell>
          <cell r="BD39">
            <v>0.88818847821278912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0.70699367296611837</v>
          </cell>
          <cell r="K9">
            <v>0.70699367296611837</v>
          </cell>
          <cell r="R9">
            <v>38.92</v>
          </cell>
          <cell r="S9">
            <v>38.92</v>
          </cell>
          <cell r="AF9">
            <v>117.41015032344893</v>
          </cell>
          <cell r="AG9">
            <v>117.41015032344892</v>
          </cell>
          <cell r="AL9">
            <v>1.5647482014388487</v>
          </cell>
          <cell r="AM9">
            <v>1.5647482014388487</v>
          </cell>
          <cell r="AR9">
            <v>0.22353545734840696</v>
          </cell>
          <cell r="AS9">
            <v>0.22353545734840696</v>
          </cell>
          <cell r="AX9">
            <v>1160.5000000000007</v>
          </cell>
          <cell r="AY9">
            <v>1160.5000000000007</v>
          </cell>
          <cell r="BD9">
            <v>563.78484069887554</v>
          </cell>
          <cell r="BE9">
            <v>563.78484069887554</v>
          </cell>
          <cell r="BJ9">
            <v>8.5328879753341695</v>
          </cell>
          <cell r="BK9">
            <v>8.5328879753341695</v>
          </cell>
          <cell r="BN9">
            <v>0.70699367296611837</v>
          </cell>
          <cell r="BO9">
            <v>0.70699367296611837</v>
          </cell>
        </row>
        <row r="10">
          <cell r="J10">
            <v>0.93591973583850152</v>
          </cell>
          <cell r="K10">
            <v>0.82098895055563503</v>
          </cell>
          <cell r="R10">
            <v>51.103000000000002</v>
          </cell>
          <cell r="S10">
            <v>90.022999999999996</v>
          </cell>
          <cell r="AF10">
            <v>102.26877267564984</v>
          </cell>
          <cell r="AG10">
            <v>108.81490442034109</v>
          </cell>
          <cell r="AL10">
            <v>1.3619552668140813</v>
          </cell>
          <cell r="AM10">
            <v>1.4496295391177811</v>
          </cell>
          <cell r="AR10">
            <v>0.17415807291157076</v>
          </cell>
          <cell r="AS10">
            <v>0.19550559301511838</v>
          </cell>
          <cell r="AX10">
            <v>875.40653190615126</v>
          </cell>
          <cell r="AY10">
            <v>998.66211968052698</v>
          </cell>
          <cell r="BD10">
            <v>479.97978592254947</v>
          </cell>
          <cell r="BE10">
            <v>516.21155704653575</v>
          </cell>
          <cell r="BJ10">
            <v>6.2755611216564899</v>
          </cell>
          <cell r="BK10">
            <v>7.2514801772882196</v>
          </cell>
          <cell r="BN10">
            <v>0.93591973583850152</v>
          </cell>
          <cell r="BO10">
            <v>0.82098895055563503</v>
          </cell>
        </row>
        <row r="11">
          <cell r="J11">
            <v>0.93162214062175497</v>
          </cell>
          <cell r="K11">
            <v>0.857109515222226</v>
          </cell>
          <cell r="R11">
            <v>49.52</v>
          </cell>
          <cell r="S11">
            <v>139.54300000000001</v>
          </cell>
          <cell r="AF11">
            <v>106.79285547380904</v>
          </cell>
          <cell r="AG11">
            <v>108.09733446819538</v>
          </cell>
          <cell r="AL11">
            <v>1.4297253634894991</v>
          </cell>
          <cell r="AM11">
            <v>1.4425660907390554</v>
          </cell>
          <cell r="AR11">
            <v>0.21203554119547657</v>
          </cell>
          <cell r="AS11">
            <v>0.20137162021742402</v>
          </cell>
          <cell r="AX11">
            <v>954.94426494345566</v>
          </cell>
          <cell r="AY11">
            <v>983.14784690023885</v>
          </cell>
          <cell r="BD11">
            <v>490.39579967689821</v>
          </cell>
          <cell r="BE11">
            <v>507.05024974380865</v>
          </cell>
          <cell r="BJ11">
            <v>5.8582390953151418</v>
          </cell>
          <cell r="BK11">
            <v>6.7570569645200633</v>
          </cell>
          <cell r="BN11">
            <v>0.93162214062175497</v>
          </cell>
          <cell r="BO11">
            <v>0.857109515222226</v>
          </cell>
        </row>
        <row r="12">
          <cell r="J12">
            <v>0.93469720916285837</v>
          </cell>
          <cell r="K12">
            <v>0.87642288229077825</v>
          </cell>
          <cell r="R12">
            <v>50.433999999999997</v>
          </cell>
          <cell r="S12">
            <v>189.977</v>
          </cell>
          <cell r="AF12">
            <v>102.42855271074619</v>
          </cell>
          <cell r="AG12">
            <v>106.59241893023452</v>
          </cell>
          <cell r="AL12">
            <v>1.332434468810723</v>
          </cell>
          <cell r="AM12">
            <v>1.4133289819293915</v>
          </cell>
          <cell r="AR12">
            <v>0.1962961494230083</v>
          </cell>
          <cell r="AS12">
            <v>0.20002421345741853</v>
          </cell>
          <cell r="AX12">
            <v>838.15521275330093</v>
          </cell>
          <cell r="AY12">
            <v>944.65603730977966</v>
          </cell>
          <cell r="BD12">
            <v>448.90351746837348</v>
          </cell>
          <cell r="BE12">
            <v>491.61379009038052</v>
          </cell>
          <cell r="BJ12">
            <v>2.7778879327438992</v>
          </cell>
          <cell r="BK12">
            <v>5.700690083536581</v>
          </cell>
          <cell r="BN12">
            <v>0.93469720916285837</v>
          </cell>
          <cell r="BO12">
            <v>0.87642288229077825</v>
          </cell>
        </row>
        <row r="13">
          <cell r="J13">
            <v>0.95856380810831898</v>
          </cell>
          <cell r="K13">
            <v>0.89293709052676773</v>
          </cell>
          <cell r="R13">
            <v>52.286000000000001</v>
          </cell>
          <cell r="S13">
            <v>242.26300000000001</v>
          </cell>
          <cell r="AF13">
            <v>103.63266164613948</v>
          </cell>
          <cell r="AG13">
            <v>105.95363434754466</v>
          </cell>
          <cell r="AL13">
            <v>1.304364457024825</v>
          </cell>
          <cell r="AM13">
            <v>1.3898118986390822</v>
          </cell>
          <cell r="AR13">
            <v>0.1759553226485101</v>
          </cell>
          <cell r="AS13">
            <v>0.19482958602840716</v>
          </cell>
          <cell r="AX13">
            <v>847.52744520521821</v>
          </cell>
          <cell r="AY13">
            <v>923.69342408869716</v>
          </cell>
          <cell r="BD13">
            <v>469.88677657499227</v>
          </cell>
          <cell r="BE13">
            <v>486.92459434581536</v>
          </cell>
          <cell r="BJ13">
            <v>2.8650116666026921</v>
          </cell>
          <cell r="BK13">
            <v>5.088684611352198</v>
          </cell>
          <cell r="BN13">
            <v>0.95856380810831898</v>
          </cell>
          <cell r="BO13">
            <v>0.89293709052676773</v>
          </cell>
        </row>
        <row r="14">
          <cell r="J14">
            <v>0.96946343548677427</v>
          </cell>
          <cell r="K14">
            <v>0.90528152201484824</v>
          </cell>
          <cell r="R14">
            <v>50.588999999999999</v>
          </cell>
          <cell r="S14">
            <v>292.85199999999998</v>
          </cell>
          <cell r="AF14">
            <v>102.39668532851765</v>
          </cell>
          <cell r="AG14">
            <v>105.33918577309902</v>
          </cell>
          <cell r="AL14">
            <v>1.3797465852260373</v>
          </cell>
          <cell r="AM14">
            <v>1.3880731564066493</v>
          </cell>
          <cell r="AR14">
            <v>0.21546185929747574</v>
          </cell>
          <cell r="AS14">
            <v>0.19839372788985565</v>
          </cell>
          <cell r="AX14">
            <v>785.82260965822695</v>
          </cell>
          <cell r="AY14">
            <v>899.87679783645012</v>
          </cell>
          <cell r="BD14">
            <v>443.57469015003261</v>
          </cell>
          <cell r="BE14">
            <v>479.43607351153571</v>
          </cell>
          <cell r="BJ14">
            <v>2.5717053114314541</v>
          </cell>
          <cell r="BK14">
            <v>4.6538866048380187</v>
          </cell>
          <cell r="BN14">
            <v>0.96946343548677427</v>
          </cell>
          <cell r="BO14">
            <v>0.90528152201484824</v>
          </cell>
        </row>
        <row r="15">
          <cell r="J15">
            <v>0.79564140564469499</v>
          </cell>
          <cell r="K15">
            <v>0.88973627238974595</v>
          </cell>
          <cell r="R15">
            <v>42.521999999999998</v>
          </cell>
          <cell r="S15">
            <v>335.37399999999997</v>
          </cell>
          <cell r="AF15">
            <v>110.50461860472029</v>
          </cell>
          <cell r="AG15">
            <v>105.99410993199685</v>
          </cell>
          <cell r="AL15">
            <v>1.4909928977940832</v>
          </cell>
          <cell r="AM15">
            <v>1.4011223291012422</v>
          </cell>
          <cell r="AR15">
            <v>0.19519307652509291</v>
          </cell>
          <cell r="AS15">
            <v>0.1979879179662109</v>
          </cell>
          <cell r="AX15">
            <v>992.27646865152201</v>
          </cell>
          <cell r="AY15">
            <v>911.59213296200699</v>
          </cell>
          <cell r="BD15">
            <v>498.96524152203466</v>
          </cell>
          <cell r="BE15">
            <v>481.91217267886071</v>
          </cell>
          <cell r="BJ15">
            <v>3.525233996519312</v>
          </cell>
          <cell r="BK15">
            <v>4.5107849743868575</v>
          </cell>
          <cell r="BN15">
            <v>0.79564140564469499</v>
          </cell>
          <cell r="BO15">
            <v>0.88973627238974595</v>
          </cell>
        </row>
        <row r="16">
          <cell r="J16">
            <v>0.98960421759223338</v>
          </cell>
          <cell r="K16">
            <v>0.90246520123224694</v>
          </cell>
          <cell r="R16">
            <v>54.488999999999997</v>
          </cell>
          <cell r="S16">
            <v>389.86299999999994</v>
          </cell>
          <cell r="AF16">
            <v>94.14958851077246</v>
          </cell>
          <cell r="AG16">
            <v>104.33866653849428</v>
          </cell>
          <cell r="AL16">
            <v>1.2791572610985704</v>
          </cell>
          <cell r="AM16">
            <v>1.3840759446267024</v>
          </cell>
          <cell r="AR16">
            <v>0.16884141753381415</v>
          </cell>
          <cell r="AS16">
            <v>0.19391427244955284</v>
          </cell>
          <cell r="AX16">
            <v>689.32041329442518</v>
          </cell>
          <cell r="AY16">
            <v>880.52644133965032</v>
          </cell>
          <cell r="BD16">
            <v>433.67285140120157</v>
          </cell>
          <cell r="BE16">
            <v>475.17002895889146</v>
          </cell>
          <cell r="BJ16">
            <v>2.3876378718641527</v>
          </cell>
          <cell r="BK16">
            <v>4.2140444207324714</v>
          </cell>
          <cell r="BN16">
            <v>0.98960421759223338</v>
          </cell>
          <cell r="BO16">
            <v>0.90246520123224694</v>
          </cell>
        </row>
        <row r="17">
          <cell r="J17">
            <v>0.8489579855137741</v>
          </cell>
          <cell r="K17">
            <v>0.89652289475720748</v>
          </cell>
          <cell r="R17">
            <v>45.817999999999998</v>
          </cell>
          <cell r="S17">
            <v>435.68099999999993</v>
          </cell>
          <cell r="AF17">
            <v>100.40254314082699</v>
          </cell>
          <cell r="AG17">
            <v>103.92472766616723</v>
          </cell>
          <cell r="AL17">
            <v>1.3859181980880877</v>
          </cell>
          <cell r="AM17">
            <v>1.3842696835528749</v>
          </cell>
          <cell r="AR17">
            <v>0.1789689641625562</v>
          </cell>
          <cell r="AS17">
            <v>0.19234256256297619</v>
          </cell>
          <cell r="AX17">
            <v>936.71308219477044</v>
          </cell>
          <cell r="AY17">
            <v>886.43525882469078</v>
          </cell>
          <cell r="BD17">
            <v>535.26125103670995</v>
          </cell>
          <cell r="BE17">
            <v>481.48946821183455</v>
          </cell>
          <cell r="BJ17">
            <v>1.7482212231002188</v>
          </cell>
          <cell r="BK17">
            <v>3.954728344821163</v>
          </cell>
          <cell r="BN17">
            <v>0.8489579855137741</v>
          </cell>
          <cell r="BO17">
            <v>0.89652289475720748</v>
          </cell>
        </row>
        <row r="18">
          <cell r="J18">
            <v>0.95105315700520177</v>
          </cell>
          <cell r="K18">
            <v>0.90190956125055355</v>
          </cell>
          <cell r="R18">
            <v>50.66</v>
          </cell>
          <cell r="S18">
            <v>486.34099999999989</v>
          </cell>
          <cell r="AF18">
            <v>95.929540177847841</v>
          </cell>
          <cell r="AG18">
            <v>103.09190419835707</v>
          </cell>
          <cell r="AL18">
            <v>1.3541255428345835</v>
          </cell>
          <cell r="AM18">
            <v>1.3811297011767467</v>
          </cell>
          <cell r="AR18">
            <v>0.19147256217923411</v>
          </cell>
          <cell r="AS18">
            <v>0.19225193845470573</v>
          </cell>
          <cell r="AX18">
            <v>744.42558231346175</v>
          </cell>
          <cell r="AY18">
            <v>871.64273626940792</v>
          </cell>
          <cell r="BD18">
            <v>283.29885511251564</v>
          </cell>
          <cell r="BE18">
            <v>460.84482492736652</v>
          </cell>
          <cell r="BJ18">
            <v>3.9439399921039939</v>
          </cell>
          <cell r="BK18">
            <v>3.9536045696332773</v>
          </cell>
          <cell r="BN18">
            <v>0.95105315700520177</v>
          </cell>
          <cell r="BO18">
            <v>0.90190956125055355</v>
          </cell>
        </row>
        <row r="19">
          <cell r="J19">
            <v>0.81937936252009747</v>
          </cell>
          <cell r="K19">
            <v>0.89437407040189398</v>
          </cell>
          <cell r="R19">
            <v>44.396000000000001</v>
          </cell>
          <cell r="S19">
            <v>530.73699999999985</v>
          </cell>
          <cell r="AF19">
            <v>92.971037350277896</v>
          </cell>
          <cell r="AG19">
            <v>102.24529654788741</v>
          </cell>
          <cell r="AL19">
            <v>1.3717452022704748</v>
          </cell>
          <cell r="AM19">
            <v>1.3803446904964234</v>
          </cell>
          <cell r="AR19">
            <v>0.22524551761419948</v>
          </cell>
          <cell r="AS19">
            <v>0.19501184202345048</v>
          </cell>
          <cell r="AX19">
            <v>850.87034868006151</v>
          </cell>
          <cell r="AY19">
            <v>869.90513192032995</v>
          </cell>
          <cell r="BD19">
            <v>500.73700333363212</v>
          </cell>
          <cell r="BE19">
            <v>464.1817943727313</v>
          </cell>
          <cell r="BJ19">
            <v>3.1556897017750658</v>
          </cell>
          <cell r="BK19">
            <v>3.886859216523483</v>
          </cell>
          <cell r="BN19">
            <v>0.81937936252009747</v>
          </cell>
          <cell r="BO19">
            <v>0.89437407040189398</v>
          </cell>
        </row>
        <row r="20">
          <cell r="J20">
            <v>0.87376279379422117</v>
          </cell>
          <cell r="K20">
            <v>0.89265970127742722</v>
          </cell>
          <cell r="R20">
            <v>47.04</v>
          </cell>
          <cell r="S20">
            <v>577.77699999999982</v>
          </cell>
          <cell r="AF20">
            <v>104.04620224760514</v>
          </cell>
          <cell r="AG20">
            <v>102.39191817546123</v>
          </cell>
          <cell r="AL20">
            <v>1.4413265306122449</v>
          </cell>
          <cell r="AM20">
            <v>1.3853095571474812</v>
          </cell>
          <cell r="AR20">
            <v>0.21258503401360546</v>
          </cell>
          <cell r="AS20">
            <v>0.1964425721342318</v>
          </cell>
          <cell r="AX20">
            <v>849.03231292517057</v>
          </cell>
          <cell r="AY20">
            <v>868.20576104621728</v>
          </cell>
          <cell r="BD20">
            <v>416.52210884353775</v>
          </cell>
          <cell r="BE20">
            <v>460.30155752132811</v>
          </cell>
          <cell r="BJ20">
            <v>2.7657312925171307</v>
          </cell>
          <cell r="BK20">
            <v>3.7955820325143264</v>
          </cell>
          <cell r="BN20">
            <v>0.87376279379422117</v>
          </cell>
          <cell r="BO20">
            <v>0.89265970127742722</v>
          </cell>
        </row>
        <row r="21">
          <cell r="J21">
            <v>0.95742328806677512</v>
          </cell>
          <cell r="K21">
            <v>0.89776891404059367</v>
          </cell>
          <cell r="R21">
            <v>53.075000000000003</v>
          </cell>
          <cell r="S21">
            <v>630.85199999999986</v>
          </cell>
          <cell r="AF21">
            <v>86.589780024553988</v>
          </cell>
          <cell r="AG21">
            <v>101.06244869235044</v>
          </cell>
          <cell r="AL21">
            <v>1.2962788506829956</v>
          </cell>
          <cell r="AM21">
            <v>1.3778192032362584</v>
          </cell>
          <cell r="AR21">
            <v>0.17899199246349504</v>
          </cell>
          <cell r="AS21">
            <v>0.19497441555230077</v>
          </cell>
          <cell r="AX21">
            <v>780.23212435233131</v>
          </cell>
          <cell r="AY21">
            <v>860.80434079625672</v>
          </cell>
          <cell r="BD21">
            <v>399.82666038624546</v>
          </cell>
          <cell r="BE21">
            <v>455.2136681820781</v>
          </cell>
          <cell r="BJ21">
            <v>2.2628356099854301</v>
          </cell>
          <cell r="BK21">
            <v>3.6666286228782763</v>
          </cell>
          <cell r="BN21">
            <v>0.95742328806677512</v>
          </cell>
          <cell r="BO21">
            <v>0.89776891404059367</v>
          </cell>
        </row>
        <row r="22">
          <cell r="J22">
            <v>0.81539002625679891</v>
          </cell>
          <cell r="K22">
            <v>0.89176022777829023</v>
          </cell>
          <cell r="R22">
            <v>45.08</v>
          </cell>
          <cell r="S22">
            <v>675.9319999999999</v>
          </cell>
          <cell r="AF22">
            <v>103.70533448414581</v>
          </cell>
          <cell r="AG22">
            <v>101.23871093691666</v>
          </cell>
          <cell r="AL22">
            <v>1.3753327417923691</v>
          </cell>
          <cell r="AM22">
            <v>1.3776533734162608</v>
          </cell>
          <cell r="AR22">
            <v>0.17080745341614909</v>
          </cell>
          <cell r="AS22">
            <v>0.19336264594663374</v>
          </cell>
          <cell r="AX22">
            <v>844.20629991127066</v>
          </cell>
          <cell r="AY22">
            <v>859.69736600723184</v>
          </cell>
          <cell r="BD22">
            <v>445.74312333629439</v>
          </cell>
          <cell r="BE22">
            <v>454.58204819419774</v>
          </cell>
          <cell r="BJ22">
            <v>2.8859804791483104</v>
          </cell>
          <cell r="BK22">
            <v>3.6145647787055681</v>
          </cell>
          <cell r="BN22">
            <v>0.81539002625679891</v>
          </cell>
          <cell r="BO22">
            <v>0.89176022777829023</v>
          </cell>
        </row>
        <row r="23">
          <cell r="J23">
            <v>0.83399186914965528</v>
          </cell>
          <cell r="K23">
            <v>0.88793124036916971</v>
          </cell>
          <cell r="R23">
            <v>44.874000000000002</v>
          </cell>
          <cell r="S23">
            <v>720.80599999999993</v>
          </cell>
          <cell r="AF23">
            <v>109.3152780697442</v>
          </cell>
          <cell r="AG23">
            <v>101.7415201165274</v>
          </cell>
          <cell r="AL23">
            <v>1.4707848642866692</v>
          </cell>
          <cell r="AM23">
            <v>1.3834513031245579</v>
          </cell>
          <cell r="AR23">
            <v>0.21616080581182864</v>
          </cell>
          <cell r="AS23">
            <v>0.19478195242547927</v>
          </cell>
          <cell r="AX23">
            <v>942.21821099077295</v>
          </cell>
          <cell r="AY23">
            <v>864.83472668096567</v>
          </cell>
          <cell r="BD23">
            <v>407.7951597807164</v>
          </cell>
          <cell r="BE23">
            <v>451.66931601568291</v>
          </cell>
          <cell r="BJ23">
            <v>2.6652404510408214</v>
          </cell>
          <cell r="BK23">
            <v>3.5554642996867645</v>
          </cell>
          <cell r="BN23">
            <v>0.83399186914965528</v>
          </cell>
          <cell r="BO23">
            <v>0.88793124036916971</v>
          </cell>
        </row>
        <row r="24">
          <cell r="J24">
            <v>0.85614896966605891</v>
          </cell>
          <cell r="K24">
            <v>0.88603457371467431</v>
          </cell>
          <cell r="R24">
            <v>44.107999999999997</v>
          </cell>
          <cell r="S24">
            <v>764.91399999999987</v>
          </cell>
          <cell r="AF24">
            <v>86.858118096449985</v>
          </cell>
          <cell r="AG24">
            <v>100.88328363987567</v>
          </cell>
          <cell r="AL24">
            <v>1.4464496236510385</v>
          </cell>
          <cell r="AM24">
            <v>1.3870840382056024</v>
          </cell>
          <cell r="AR24">
            <v>0.20177745533690036</v>
          </cell>
          <cell r="AS24">
            <v>0.19518534109716915</v>
          </cell>
          <cell r="AX24">
            <v>949.56787884284006</v>
          </cell>
          <cell r="AY24">
            <v>869.72077906797392</v>
          </cell>
          <cell r="BD24">
            <v>411.83005350503402</v>
          </cell>
          <cell r="BE24">
            <v>449.37202482893554</v>
          </cell>
          <cell r="BJ24">
            <v>2.7228620658385285</v>
          </cell>
          <cell r="BK24">
            <v>3.5074531254494281</v>
          </cell>
          <cell r="BN24">
            <v>0.85614896966605891</v>
          </cell>
          <cell r="BO24">
            <v>0.88603457371467431</v>
          </cell>
        </row>
        <row r="25">
          <cell r="J25">
            <v>0.84987944674046412</v>
          </cell>
          <cell r="K25">
            <v>0.88399845769970331</v>
          </cell>
          <cell r="R25">
            <v>43.784999999999997</v>
          </cell>
          <cell r="S25">
            <v>808.69899999999984</v>
          </cell>
          <cell r="AF25">
            <v>108.00933817895569</v>
          </cell>
          <cell r="AG25">
            <v>101.26910617458094</v>
          </cell>
          <cell r="AL25">
            <v>1.4639716797990179</v>
          </cell>
          <cell r="AM25">
            <v>1.3912469287089513</v>
          </cell>
          <cell r="AR25">
            <v>0.20098207148566863</v>
          </cell>
          <cell r="AS25">
            <v>0.19549919067539351</v>
          </cell>
          <cell r="AX25">
            <v>894.4871531346347</v>
          </cell>
          <cell r="AY25">
            <v>871.06169291664776</v>
          </cell>
          <cell r="BD25">
            <v>458.06783144912634</v>
          </cell>
          <cell r="BE25">
            <v>449.84283769362935</v>
          </cell>
          <cell r="BJ25">
            <v>3.195158159186803</v>
          </cell>
          <cell r="BK25">
            <v>3.4905446896806076</v>
          </cell>
          <cell r="BN25">
            <v>0.84987944674046412</v>
          </cell>
          <cell r="BO25">
            <v>0.88399845769970331</v>
          </cell>
        </row>
        <row r="26">
          <cell r="J26">
            <v>0.82486484810878857</v>
          </cell>
          <cell r="K26">
            <v>0.88066230406156598</v>
          </cell>
          <cell r="R26">
            <v>45.118000000000002</v>
          </cell>
          <cell r="S26">
            <v>853.81699999999989</v>
          </cell>
          <cell r="AF26">
            <v>98.123151014916502</v>
          </cell>
          <cell r="AG26">
            <v>101.10286539360125</v>
          </cell>
          <cell r="AL26">
            <v>1.4052041313888026</v>
          </cell>
          <cell r="AM26">
            <v>1.3919844650551583</v>
          </cell>
          <cell r="AR26">
            <v>0.21942461988563322</v>
          </cell>
          <cell r="AS26">
            <v>0.19676347507721215</v>
          </cell>
          <cell r="AX26">
            <v>959.74555609734625</v>
          </cell>
          <cell r="AY26">
            <v>875.74798815202814</v>
          </cell>
          <cell r="BD26">
            <v>481.82986834522654</v>
          </cell>
          <cell r="BE26">
            <v>451.53311892361046</v>
          </cell>
          <cell r="BJ26">
            <v>3.326831863114629</v>
          </cell>
          <cell r="BK26">
            <v>3.4818936610538604</v>
          </cell>
          <cell r="BN26">
            <v>0.82486484810878857</v>
          </cell>
          <cell r="BO26">
            <v>0.88066230406156598</v>
          </cell>
        </row>
        <row r="27">
          <cell r="J27">
            <v>0.96295634616895498</v>
          </cell>
          <cell r="K27">
            <v>0.88508240589321208</v>
          </cell>
          <cell r="R27">
            <v>52.991</v>
          </cell>
          <cell r="S27">
            <v>906.80799999999988</v>
          </cell>
          <cell r="AF27">
            <v>95.468915991002021</v>
          </cell>
          <cell r="AG27">
            <v>100.77363515655753</v>
          </cell>
          <cell r="AL27">
            <v>1.279462550244381</v>
          </cell>
          <cell r="AM27">
            <v>1.3854090391791869</v>
          </cell>
          <cell r="AR27">
            <v>0.18304995187862089</v>
          </cell>
          <cell r="AS27">
            <v>0.19596210002558428</v>
          </cell>
          <cell r="AX27">
            <v>822.8842633654765</v>
          </cell>
          <cell r="AY27">
            <v>872.65879877548525</v>
          </cell>
          <cell r="BD27">
            <v>467.48504463021982</v>
          </cell>
          <cell r="BE27">
            <v>452.46529915924913</v>
          </cell>
          <cell r="BJ27">
            <v>2.8325564718538208</v>
          </cell>
          <cell r="BK27">
            <v>3.4439484433309251</v>
          </cell>
          <cell r="BN27">
            <v>0.96295634616895498</v>
          </cell>
          <cell r="BO27">
            <v>0.88508240589321208</v>
          </cell>
        </row>
        <row r="28">
          <cell r="J28">
            <v>0.94586471291287932</v>
          </cell>
          <cell r="K28">
            <v>0.88804078257875918</v>
          </cell>
          <cell r="R28">
            <v>49.58</v>
          </cell>
          <cell r="S28">
            <v>956.38799999999992</v>
          </cell>
          <cell r="AF28">
            <v>101.42594926443854</v>
          </cell>
          <cell r="AG28">
            <v>100.8074516969875</v>
          </cell>
          <cell r="AL28">
            <v>1.3634530052440499</v>
          </cell>
          <cell r="AM28">
            <v>1.3842708189563231</v>
          </cell>
          <cell r="AR28">
            <v>0.18354175070592982</v>
          </cell>
          <cell r="AS28">
            <v>0.1953182181290439</v>
          </cell>
          <cell r="AX28">
            <v>800.80112948769704</v>
          </cell>
          <cell r="AY28">
            <v>868.93363362986588</v>
          </cell>
          <cell r="BD28">
            <v>367.0552642194441</v>
          </cell>
          <cell r="BE28">
            <v>448.03756738896806</v>
          </cell>
          <cell r="BJ28">
            <v>2.4223477208547139</v>
          </cell>
          <cell r="BK28">
            <v>3.3909877581065491</v>
          </cell>
          <cell r="BN28">
            <v>0.94586471291287932</v>
          </cell>
          <cell r="BO28">
            <v>0.88804078257875918</v>
          </cell>
        </row>
        <row r="29">
          <cell r="J29">
            <v>0.84525319637554264</v>
          </cell>
          <cell r="K29">
            <v>0.88612237545705885</v>
          </cell>
          <cell r="R29">
            <v>42.73</v>
          </cell>
          <cell r="S29">
            <v>999.11799999999994</v>
          </cell>
          <cell r="AF29">
            <v>111.10621172194313</v>
          </cell>
          <cell r="AG29">
            <v>101.24790619371996</v>
          </cell>
          <cell r="AL29">
            <v>1.5235197753334893</v>
          </cell>
          <cell r="AM29">
            <v>1.3902261794903104</v>
          </cell>
          <cell r="AR29">
            <v>0.18254153990170841</v>
          </cell>
          <cell r="AS29">
            <v>0.194771788717649</v>
          </cell>
          <cell r="AX29">
            <v>938.43154692253495</v>
          </cell>
          <cell r="AY29">
            <v>871.90590100468626</v>
          </cell>
          <cell r="BD29">
            <v>438.60332319213904</v>
          </cell>
          <cell r="BE29">
            <v>447.63408626408534</v>
          </cell>
          <cell r="BJ29">
            <v>2.6608939854898792</v>
          </cell>
          <cell r="BK29">
            <v>3.3597633112405028</v>
          </cell>
          <cell r="BN29">
            <v>0.84525319637554264</v>
          </cell>
          <cell r="BO29">
            <v>0.88612237545705885</v>
          </cell>
        </row>
        <row r="30">
          <cell r="J30">
            <v>0.85108470083753118</v>
          </cell>
          <cell r="K30">
            <v>0.88467288017912271</v>
          </cell>
          <cell r="R30">
            <v>41.411999999999999</v>
          </cell>
          <cell r="S30">
            <v>1040.53</v>
          </cell>
          <cell r="AF30">
            <v>108.34160041243787</v>
          </cell>
          <cell r="AG30">
            <v>101.5302277654051</v>
          </cell>
          <cell r="AL30">
            <v>1.4923210663575774</v>
          </cell>
          <cell r="AM30">
            <v>1.3942894486463626</v>
          </cell>
          <cell r="AR30">
            <v>0.18352168453588333</v>
          </cell>
          <cell r="AS30">
            <v>0.19432404639943107</v>
          </cell>
          <cell r="AX30">
            <v>975.09852216748845</v>
          </cell>
          <cell r="AY30">
            <v>876.01285883155697</v>
          </cell>
          <cell r="BD30">
            <v>457.79056795131299</v>
          </cell>
          <cell r="BE30">
            <v>448.03830355684136</v>
          </cell>
          <cell r="BJ30">
            <v>2.9749830966879345</v>
          </cell>
          <cell r="BK30">
            <v>3.3444494632543309</v>
          </cell>
          <cell r="BN30">
            <v>0.85108470083753118</v>
          </cell>
          <cell r="BO30">
            <v>0.88467288017912271</v>
          </cell>
        </row>
        <row r="31">
          <cell r="J31">
            <v>0.86732740169197031</v>
          </cell>
          <cell r="K31">
            <v>0.88396161276908025</v>
          </cell>
          <cell r="R31">
            <v>43.62</v>
          </cell>
          <cell r="S31">
            <v>1084.1499999999999</v>
          </cell>
          <cell r="AF31">
            <v>108.83369691706015</v>
          </cell>
          <cell r="AG31">
            <v>101.82407762418406</v>
          </cell>
          <cell r="AL31">
            <v>1.4695093993580925</v>
          </cell>
          <cell r="AM31">
            <v>1.397315869575243</v>
          </cell>
          <cell r="AR31">
            <v>0.17731109118942703</v>
          </cell>
          <cell r="AS31">
            <v>0.19363954231211811</v>
          </cell>
          <cell r="AX31">
            <v>919.12883998166126</v>
          </cell>
          <cell r="AY31">
            <v>877.74759950191412</v>
          </cell>
          <cell r="BD31">
            <v>420.97964236589144</v>
          </cell>
          <cell r="BE31">
            <v>446.94961767283166</v>
          </cell>
          <cell r="BJ31">
            <v>2.7556166895921974</v>
          </cell>
          <cell r="BK31">
            <v>3.3207581976664127</v>
          </cell>
          <cell r="BN31">
            <v>0.86732740169197031</v>
          </cell>
          <cell r="BO31">
            <v>0.88396161276908025</v>
          </cell>
        </row>
        <row r="32">
          <cell r="J32">
            <v>0.82813258940849088</v>
          </cell>
          <cell r="K32">
            <v>0.88170368638550889</v>
          </cell>
          <cell r="R32">
            <v>42.808999999999997</v>
          </cell>
          <cell r="S32">
            <v>1126.9589999999998</v>
          </cell>
          <cell r="AF32">
            <v>108.9372952708086</v>
          </cell>
          <cell r="AG32">
            <v>102.09428242687373</v>
          </cell>
          <cell r="AL32">
            <v>1.5066925179284731</v>
          </cell>
          <cell r="AM32">
            <v>1.401470683494253</v>
          </cell>
          <cell r="AR32">
            <v>8.4379481043703408E-2</v>
          </cell>
          <cell r="AS32">
            <v>0.18948915710481282</v>
          </cell>
          <cell r="AX32">
            <v>962.16636688546703</v>
          </cell>
          <cell r="AY32">
            <v>880.95435592599222</v>
          </cell>
          <cell r="BD32">
            <v>492.97030998155134</v>
          </cell>
          <cell r="BE32">
            <v>448.69777338838469</v>
          </cell>
          <cell r="BJ32">
            <v>2.9222826975630523</v>
          </cell>
          <cell r="BK32">
            <v>3.305621588717973</v>
          </cell>
          <cell r="BN32">
            <v>0.82813258940849088</v>
          </cell>
          <cell r="BO32">
            <v>0.88170368638550889</v>
          </cell>
        </row>
        <row r="33">
          <cell r="J33">
            <v>0.91819997147339893</v>
          </cell>
          <cell r="K33">
            <v>0.88314357091555773</v>
          </cell>
          <cell r="R33">
            <v>48.204000000000001</v>
          </cell>
          <cell r="S33">
            <v>1175.1629999999998</v>
          </cell>
          <cell r="AF33">
            <v>102.39054530805242</v>
          </cell>
          <cell r="AG33">
            <v>102.10643483119921</v>
          </cell>
          <cell r="AL33">
            <v>1.3795535640195835</v>
          </cell>
          <cell r="AM33">
            <v>1.4005716653774838</v>
          </cell>
          <cell r="AR33">
            <v>9.0484963579228375E-2</v>
          </cell>
          <cell r="AS33">
            <v>0.18542810502547805</v>
          </cell>
          <cell r="AX33">
            <v>792.37947058335374</v>
          </cell>
          <cell r="AY33">
            <v>877.32110354053043</v>
          </cell>
          <cell r="BD33">
            <v>485.96713965646018</v>
          </cell>
          <cell r="BE33">
            <v>450.22652517140233</v>
          </cell>
          <cell r="BJ33">
            <v>2.7736287445027727</v>
          </cell>
          <cell r="BK33">
            <v>3.2837997792646894</v>
          </cell>
          <cell r="BN33">
            <v>0.91819997147339893</v>
          </cell>
          <cell r="BO33">
            <v>0.88314357091555773</v>
          </cell>
        </row>
        <row r="34">
          <cell r="J34">
            <v>0.87025555818718103</v>
          </cell>
          <cell r="K34">
            <v>0.88265313366450304</v>
          </cell>
          <cell r="R34">
            <v>45.81</v>
          </cell>
          <cell r="S34">
            <v>1220.9729999999997</v>
          </cell>
          <cell r="AF34">
            <v>100.1602643817676</v>
          </cell>
          <cell r="AG34">
            <v>102.03341596158583</v>
          </cell>
          <cell r="AL34">
            <v>1.4145383104125735</v>
          </cell>
          <cell r="AM34">
            <v>1.4010956835245332</v>
          </cell>
          <cell r="AR34">
            <v>8.5134250163719699E-2</v>
          </cell>
          <cell r="AS34">
            <v>0.18166515409108627</v>
          </cell>
          <cell r="AX34">
            <v>881.32198209997921</v>
          </cell>
          <cell r="AY34">
            <v>877.47121353215857</v>
          </cell>
          <cell r="BD34">
            <v>401.65029469547596</v>
          </cell>
          <cell r="BE34">
            <v>448.40398108721524</v>
          </cell>
          <cell r="BJ34">
            <v>2.9207596594627452</v>
          </cell>
          <cell r="BK34">
            <v>3.2701787836422413</v>
          </cell>
          <cell r="BN34">
            <v>0.87025555818718103</v>
          </cell>
          <cell r="BO34">
            <v>0.88265313366450304</v>
          </cell>
        </row>
        <row r="35">
          <cell r="J35">
            <v>0.96192326362964453</v>
          </cell>
          <cell r="K35">
            <v>0.88562434950461599</v>
          </cell>
          <cell r="R35">
            <v>51.817</v>
          </cell>
          <cell r="S35">
            <v>1272.7899999999997</v>
          </cell>
          <cell r="AF35">
            <v>93.803587921238375</v>
          </cell>
          <cell r="AG35">
            <v>101.69836854640604</v>
          </cell>
          <cell r="AL35">
            <v>1.2872223401586353</v>
          </cell>
          <cell r="AM35">
            <v>1.396459745912523</v>
          </cell>
          <cell r="AR35">
            <v>8.4914217341799034E-2</v>
          </cell>
          <cell r="AS35">
            <v>0.17772629277889981</v>
          </cell>
          <cell r="AX35">
            <v>818.36192755273271</v>
          </cell>
          <cell r="AY35">
            <v>875.06479466369194</v>
          </cell>
          <cell r="BD35">
            <v>434.63149159542093</v>
          </cell>
          <cell r="BE35">
            <v>447.84328443812444</v>
          </cell>
          <cell r="BJ35">
            <v>2.5107590173110332</v>
          </cell>
          <cell r="BK35">
            <v>3.2392617792408989</v>
          </cell>
          <cell r="BN35">
            <v>0.96192326362964453</v>
          </cell>
          <cell r="BO35">
            <v>0.88562434950461599</v>
          </cell>
        </row>
        <row r="36">
          <cell r="J36">
            <v>0.97389646568783927</v>
          </cell>
          <cell r="K36">
            <v>0.88881754786143585</v>
          </cell>
          <cell r="R36">
            <v>52.531999999999996</v>
          </cell>
          <cell r="S36">
            <v>1325.3219999999997</v>
          </cell>
          <cell r="AF36">
            <v>99.169504670121398</v>
          </cell>
          <cell r="AG36">
            <v>101.59813156463936</v>
          </cell>
          <cell r="AL36">
            <v>1.2754130815502933</v>
          </cell>
          <cell r="AM36">
            <v>1.3916617999248486</v>
          </cell>
          <cell r="AR36">
            <v>9.8987283941216794E-2</v>
          </cell>
          <cell r="AS36">
            <v>0.17460530209719291</v>
          </cell>
          <cell r="AX36">
            <v>804.64593009974919</v>
          </cell>
          <cell r="AY36">
            <v>872.27359087074706</v>
          </cell>
          <cell r="BD36">
            <v>276.99687809335302</v>
          </cell>
          <cell r="BE36">
            <v>441.07141811574877</v>
          </cell>
          <cell r="BJ36">
            <v>3.2342191426177225</v>
          </cell>
          <cell r="BK36">
            <v>3.2390619034468742</v>
          </cell>
          <cell r="BN36">
            <v>0.97389646568783927</v>
          </cell>
          <cell r="BO36">
            <v>0.88881754786143585</v>
          </cell>
        </row>
        <row r="37">
          <cell r="J37">
            <v>0.93959460515479354</v>
          </cell>
          <cell r="K37">
            <v>0.89056395308741298</v>
          </cell>
          <cell r="R37">
            <v>49.902999999999999</v>
          </cell>
          <cell r="S37">
            <v>1375.2249999999997</v>
          </cell>
          <cell r="AF37">
            <v>100.02040017076732</v>
          </cell>
          <cell r="AG37">
            <v>101.54088018413914</v>
          </cell>
          <cell r="AL37">
            <v>1.3927018415726511</v>
          </cell>
          <cell r="AM37">
            <v>1.3916995400752605</v>
          </cell>
          <cell r="AR37">
            <v>0.118229364968038</v>
          </cell>
          <cell r="AS37">
            <v>0.17255957984043038</v>
          </cell>
          <cell r="AX37">
            <v>802.57699937879499</v>
          </cell>
          <cell r="AY37">
            <v>869.74449999091087</v>
          </cell>
          <cell r="BD37">
            <v>389.54571869426763</v>
          </cell>
          <cell r="BE37">
            <v>439.20169717682592</v>
          </cell>
          <cell r="BJ37">
            <v>2.807446446105561</v>
          </cell>
          <cell r="BK37">
            <v>3.2233998073042769</v>
          </cell>
          <cell r="BN37">
            <v>0.93959460515479354</v>
          </cell>
          <cell r="BO37">
            <v>0.89056395308741298</v>
          </cell>
        </row>
        <row r="38">
          <cell r="J38">
            <v>0.86059861078040767</v>
          </cell>
          <cell r="K38">
            <v>0.88958977970591924</v>
          </cell>
          <cell r="R38">
            <v>44.655999999999999</v>
          </cell>
          <cell r="S38">
            <v>1419.8809999999996</v>
          </cell>
          <cell r="AF38">
            <v>108.6102108728205</v>
          </cell>
          <cell r="AG38">
            <v>101.76321433132033</v>
          </cell>
          <cell r="AL38">
            <v>1.4578108204944464</v>
          </cell>
          <cell r="AM38">
            <v>1.3937787744184196</v>
          </cell>
          <cell r="AR38">
            <v>8.0616266571121462E-2</v>
          </cell>
          <cell r="AS38">
            <v>0.16966791455485064</v>
          </cell>
          <cell r="AX38">
            <v>935.12629881762666</v>
          </cell>
          <cell r="AY38">
            <v>871.80079175649257</v>
          </cell>
          <cell r="BD38">
            <v>624.32819777857401</v>
          </cell>
          <cell r="BE38">
            <v>445.02402243568332</v>
          </cell>
          <cell r="BJ38">
            <v>3.1373163740596075</v>
          </cell>
          <cell r="BK38">
            <v>3.2206924383099929</v>
          </cell>
          <cell r="BN38">
            <v>0.86059861078040767</v>
          </cell>
          <cell r="BO38">
            <v>0.88958977970591924</v>
          </cell>
        </row>
        <row r="39">
          <cell r="J39">
            <v>0.87172394577134837</v>
          </cell>
          <cell r="K39">
            <v>0.88900925267927799</v>
          </cell>
          <cell r="R39">
            <v>46.728999999999999</v>
          </cell>
          <cell r="S39">
            <v>1466.6099999999997</v>
          </cell>
          <cell r="AF39">
            <v>111.11291813735811</v>
          </cell>
          <cell r="AG39">
            <v>102.06111377913014</v>
          </cell>
          <cell r="AL39">
            <v>1.4188191487085107</v>
          </cell>
          <cell r="AM39">
            <v>1.3945766086416975</v>
          </cell>
          <cell r="AR39">
            <v>9.6299942220034671E-2</v>
          </cell>
          <cell r="AS39">
            <v>0.16733027061458458</v>
          </cell>
          <cell r="AX39">
            <v>838.21010507393737</v>
          </cell>
          <cell r="AY39">
            <v>870.73052822495436</v>
          </cell>
          <cell r="BD39">
            <v>541.84767489139415</v>
          </cell>
          <cell r="BE39">
            <v>448.10900921171987</v>
          </cell>
          <cell r="BJ39">
            <v>2.9917182049688278</v>
          </cell>
          <cell r="BK39">
            <v>3.2133968812431513</v>
          </cell>
          <cell r="BN39">
            <v>0.87172394577134837</v>
          </cell>
          <cell r="BO39">
            <v>0.88900925267927799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1.020257349870421</v>
          </cell>
          <cell r="K9">
            <v>1.020257349870421</v>
          </cell>
          <cell r="R9">
            <v>54.765000000000001</v>
          </cell>
          <cell r="S9">
            <v>54.765000000000001</v>
          </cell>
          <cell r="AD9">
            <v>2.3080434584132203</v>
          </cell>
          <cell r="AE9">
            <v>2.3080434584132203</v>
          </cell>
          <cell r="AJ9">
            <v>606.0688395873251</v>
          </cell>
          <cell r="AK9">
            <v>606.0688395873251</v>
          </cell>
          <cell r="AN9">
            <v>1.020257349870421</v>
          </cell>
          <cell r="AO9">
            <v>1.020257349870421</v>
          </cell>
        </row>
        <row r="10">
          <cell r="J10">
            <v>0.98022825020696536</v>
          </cell>
          <cell r="K10">
            <v>1.0001500999338826</v>
          </cell>
          <cell r="R10">
            <v>53.106000000000002</v>
          </cell>
          <cell r="S10">
            <v>107.87100000000001</v>
          </cell>
          <cell r="AD10">
            <v>2.4196889240387152</v>
          </cell>
          <cell r="AE10">
            <v>2.3630076665646929</v>
          </cell>
          <cell r="AJ10">
            <v>615.22050239145904</v>
          </cell>
          <cell r="AK10">
            <v>610.57429707707047</v>
          </cell>
          <cell r="AN10">
            <v>0.98022825020696536</v>
          </cell>
          <cell r="AO10">
            <v>1.0001500999338826</v>
          </cell>
        </row>
        <row r="11">
          <cell r="J11">
            <v>1.053875497567448</v>
          </cell>
          <cell r="K11">
            <v>1.0181137775655245</v>
          </cell>
          <cell r="R11">
            <v>57.095999999999997</v>
          </cell>
          <cell r="S11">
            <v>164.96700000000001</v>
          </cell>
          <cell r="AD11">
            <v>2.2523469244780721</v>
          </cell>
          <cell r="AE11">
            <v>2.3247073657155672</v>
          </cell>
          <cell r="AJ11">
            <v>601.07257951519091</v>
          </cell>
          <cell r="AK11">
            <v>607.28569956415538</v>
          </cell>
          <cell r="AN11">
            <v>1.053875497567448</v>
          </cell>
          <cell r="AO11">
            <v>1.0181137775655245</v>
          </cell>
        </row>
        <row r="12">
          <cell r="J12">
            <v>0.75773603976003356</v>
          </cell>
          <cell r="K12">
            <v>0.95286894455448856</v>
          </cell>
          <cell r="R12">
            <v>41.052</v>
          </cell>
          <cell r="S12">
            <v>206.01900000000001</v>
          </cell>
          <cell r="AD12">
            <v>2.9426093734775405</v>
          </cell>
          <cell r="AE12">
            <v>2.4478324814701558</v>
          </cell>
          <cell r="AJ12">
            <v>711.33002046186095</v>
          </cell>
          <cell r="AK12">
            <v>628.01790126153583</v>
          </cell>
          <cell r="AN12">
            <v>0.75773603976003356</v>
          </cell>
          <cell r="AO12">
            <v>0.95286894455448856</v>
          </cell>
        </row>
        <row r="13">
          <cell r="J13">
            <v>0.95252474036390711</v>
          </cell>
          <cell r="K13">
            <v>0.95279941247135813</v>
          </cell>
          <cell r="R13">
            <v>52.134</v>
          </cell>
          <cell r="S13">
            <v>258.15300000000002</v>
          </cell>
          <cell r="AD13">
            <v>2.4993286530862777</v>
          </cell>
          <cell r="AE13">
            <v>2.4582321336571722</v>
          </cell>
          <cell r="AJ13">
            <v>697.69862277975324</v>
          </cell>
          <cell r="AK13">
            <v>642.08992341750809</v>
          </cell>
          <cell r="AN13">
            <v>0.95252474036390711</v>
          </cell>
          <cell r="AO13">
            <v>0.95279941247135813</v>
          </cell>
        </row>
        <row r="14">
          <cell r="J14">
            <v>0.90094566536602549</v>
          </cell>
          <cell r="K14">
            <v>0.94443052796577742</v>
          </cell>
          <cell r="R14">
            <v>46.978999999999999</v>
          </cell>
          <cell r="S14">
            <v>305.13200000000001</v>
          </cell>
          <cell r="AD14">
            <v>2.7416505247025271</v>
          </cell>
          <cell r="AE14">
            <v>2.501868043994075</v>
          </cell>
          <cell r="AJ14">
            <v>1110.826056515818</v>
          </cell>
          <cell r="AK14">
            <v>714.25788612487906</v>
          </cell>
          <cell r="AN14">
            <v>0.90094566536602549</v>
          </cell>
          <cell r="AO14">
            <v>0.94443052796577742</v>
          </cell>
        </row>
        <row r="15">
          <cell r="J15">
            <v>0.86403462152404831</v>
          </cell>
          <cell r="K15">
            <v>0.93338087449685647</v>
          </cell>
          <cell r="R15">
            <v>44.481000000000002</v>
          </cell>
          <cell r="S15">
            <v>349.613</v>
          </cell>
          <cell r="AD15">
            <v>2.798947865380724</v>
          </cell>
          <cell r="AE15">
            <v>2.5396652870459624</v>
          </cell>
          <cell r="AJ15">
            <v>1210.5249145739438</v>
          </cell>
          <cell r="AK15">
            <v>777.39756826611199</v>
          </cell>
          <cell r="AN15">
            <v>0.86403462152404831</v>
          </cell>
          <cell r="AO15">
            <v>0.93338087449685647</v>
          </cell>
        </row>
        <row r="16">
          <cell r="J16">
            <v>1.0523192281298483</v>
          </cell>
          <cell r="K16">
            <v>0.94775256835594213</v>
          </cell>
          <cell r="R16">
            <v>54.173999999999999</v>
          </cell>
          <cell r="S16">
            <v>403.78699999999998</v>
          </cell>
          <cell r="AD16">
            <v>2.2833831727396907</v>
          </cell>
          <cell r="AE16">
            <v>2.5052812497678234</v>
          </cell>
          <cell r="AJ16">
            <v>950.1172683161127</v>
          </cell>
          <cell r="AK16">
            <v>800.57047138213284</v>
          </cell>
          <cell r="AN16">
            <v>1.0523192281298483</v>
          </cell>
          <cell r="AO16">
            <v>0.94775256835594213</v>
          </cell>
        </row>
        <row r="17">
          <cell r="J17">
            <v>0.95636070583204047</v>
          </cell>
          <cell r="K17">
            <v>0.94868058180152104</v>
          </cell>
          <cell r="R17">
            <v>49.234000000000002</v>
          </cell>
          <cell r="S17">
            <v>453.02099999999996</v>
          </cell>
          <cell r="AD17">
            <v>2.4617134500548401</v>
          </cell>
          <cell r="AE17">
            <v>2.5005463322892321</v>
          </cell>
          <cell r="AJ17">
            <v>1045.9562132827602</v>
          </cell>
          <cell r="AK17">
            <v>827.2388192440103</v>
          </cell>
          <cell r="AN17">
            <v>0.95636070583204047</v>
          </cell>
          <cell r="AO17">
            <v>0.94868058180152104</v>
          </cell>
        </row>
        <row r="18">
          <cell r="J18">
            <v>0.96135287996777663</v>
          </cell>
          <cell r="K18">
            <v>0.94991379037605561</v>
          </cell>
          <cell r="R18">
            <v>49.491</v>
          </cell>
          <cell r="S18">
            <v>502.51199999999994</v>
          </cell>
          <cell r="AD18">
            <v>2.4044775817825466</v>
          </cell>
          <cell r="AE18">
            <v>2.4910847900149653</v>
          </cell>
          <cell r="AJ18">
            <v>1102.8663641522148</v>
          </cell>
          <cell r="AK18">
            <v>854.38460446914314</v>
          </cell>
          <cell r="AN18">
            <v>0.96135287996777663</v>
          </cell>
          <cell r="AO18">
            <v>0.94991379037605561</v>
          </cell>
        </row>
        <row r="19">
          <cell r="J19">
            <v>0.8181920886044477</v>
          </cell>
          <cell r="K19">
            <v>0.93823206348144661</v>
          </cell>
          <cell r="R19">
            <v>42.121000000000002</v>
          </cell>
          <cell r="S19">
            <v>544.63299999999992</v>
          </cell>
          <cell r="AD19">
            <v>2.8536834358158636</v>
          </cell>
          <cell r="AE19">
            <v>2.5191275592922215</v>
          </cell>
          <cell r="AJ19">
            <v>1153.5239797393826</v>
          </cell>
          <cell r="AK19">
            <v>877.51954051921325</v>
          </cell>
          <cell r="AN19">
            <v>0.8181920886044477</v>
          </cell>
          <cell r="AO19">
            <v>0.93823206348144661</v>
          </cell>
        </row>
        <row r="20">
          <cell r="J20">
            <v>0.83132325481362135</v>
          </cell>
          <cell r="K20">
            <v>0.92952320960604584</v>
          </cell>
          <cell r="R20">
            <v>42.796999999999997</v>
          </cell>
          <cell r="S20">
            <v>587.42999999999995</v>
          </cell>
          <cell r="AD20">
            <v>2.7992616304881186</v>
          </cell>
          <cell r="AE20">
            <v>2.5395366256405025</v>
          </cell>
          <cell r="AJ20">
            <v>1248.4561488442096</v>
          </cell>
          <cell r="AK20">
            <v>904.54399283946384</v>
          </cell>
          <cell r="AN20">
            <v>0.83132325481362135</v>
          </cell>
          <cell r="AO20">
            <v>0.92952320960604584</v>
          </cell>
        </row>
        <row r="21">
          <cell r="J21">
            <v>0.94639578236265265</v>
          </cell>
          <cell r="K21">
            <v>0.93079412935487238</v>
          </cell>
          <cell r="R21">
            <v>48.720999999999997</v>
          </cell>
          <cell r="S21">
            <v>636.15099999999995</v>
          </cell>
          <cell r="AD21">
            <v>2.3891135239424481</v>
          </cell>
          <cell r="AE21">
            <v>2.5280161471097276</v>
          </cell>
          <cell r="AJ21">
            <v>1102.545672394235</v>
          </cell>
          <cell r="AK21">
            <v>919.70837964320697</v>
          </cell>
          <cell r="AN21">
            <v>0.94639578236265265</v>
          </cell>
          <cell r="AO21">
            <v>0.93079412935487238</v>
          </cell>
        </row>
        <row r="22">
          <cell r="J22">
            <v>0.89421581623734758</v>
          </cell>
          <cell r="K22">
            <v>0.92819769059162349</v>
          </cell>
          <cell r="R22">
            <v>46.695999999999998</v>
          </cell>
          <cell r="S22">
            <v>682.84699999999998</v>
          </cell>
          <cell r="AD22">
            <v>2.4927188624293302</v>
          </cell>
          <cell r="AE22">
            <v>2.5256023677339146</v>
          </cell>
          <cell r="AJ22">
            <v>1009.9216265384567</v>
          </cell>
          <cell r="AK22">
            <v>925.87754751978923</v>
          </cell>
          <cell r="AN22">
            <v>0.89421581623734758</v>
          </cell>
          <cell r="AO22">
            <v>0.92819769059162349</v>
          </cell>
        </row>
        <row r="23">
          <cell r="J23">
            <v>0.78871719635613302</v>
          </cell>
          <cell r="K23">
            <v>0.91947136292681908</v>
          </cell>
          <cell r="R23">
            <v>38.723999999999997</v>
          </cell>
          <cell r="S23">
            <v>721.57100000000003</v>
          </cell>
          <cell r="AD23">
            <v>2.9800640429707679</v>
          </cell>
          <cell r="AE23">
            <v>2.5499916155166997</v>
          </cell>
          <cell r="AJ23">
            <v>1213.2267440131088</v>
          </cell>
          <cell r="AK23">
            <v>941.29849748175729</v>
          </cell>
          <cell r="AN23">
            <v>0.78871719635613302</v>
          </cell>
          <cell r="AO23">
            <v>0.91947136292681908</v>
          </cell>
        </row>
        <row r="24">
          <cell r="J24">
            <v>0.91847634085043084</v>
          </cell>
          <cell r="K24">
            <v>0.91941177613019831</v>
          </cell>
          <cell r="R24">
            <v>45.914000000000001</v>
          </cell>
          <cell r="S24">
            <v>767.48500000000001</v>
          </cell>
          <cell r="AD24">
            <v>2.5417084113777935</v>
          </cell>
          <cell r="AE24">
            <v>2.5494960813566396</v>
          </cell>
          <cell r="AJ24">
            <v>1012.0785492217568</v>
          </cell>
          <cell r="AK24">
            <v>945.53284120911383</v>
          </cell>
          <cell r="AN24">
            <v>0.91847634085043084</v>
          </cell>
          <cell r="AO24">
            <v>0.91941177613019831</v>
          </cell>
        </row>
        <row r="25">
          <cell r="J25">
            <v>1.0083279460209369</v>
          </cell>
          <cell r="K25">
            <v>0.92472900158344773</v>
          </cell>
          <cell r="R25">
            <v>53.536000000000001</v>
          </cell>
          <cell r="S25">
            <v>821.02099999999996</v>
          </cell>
          <cell r="AD25">
            <v>2.2620292887029287</v>
          </cell>
          <cell r="AE25">
            <v>2.5307513449716885</v>
          </cell>
          <cell r="AJ25">
            <v>819.2756095129954</v>
          </cell>
          <cell r="AK25">
            <v>937.30003454998655</v>
          </cell>
          <cell r="AN25">
            <v>1.0083279460209369</v>
          </cell>
          <cell r="AO25">
            <v>0.92472900158344773</v>
          </cell>
        </row>
        <row r="26">
          <cell r="J26">
            <v>0.84485677508294987</v>
          </cell>
          <cell r="K26">
            <v>0.91962616633220351</v>
          </cell>
          <cell r="R26">
            <v>51.192999999999998</v>
          </cell>
          <cell r="S26">
            <v>872.21399999999994</v>
          </cell>
          <cell r="AD26">
            <v>2.3518840466470028</v>
          </cell>
          <cell r="AE26">
            <v>2.5202530571625781</v>
          </cell>
          <cell r="AJ26">
            <v>797.57045237090836</v>
          </cell>
          <cell r="AK26">
            <v>929.09886316258212</v>
          </cell>
          <cell r="AN26">
            <v>0.84485677508294987</v>
          </cell>
          <cell r="AO26">
            <v>0.91962616633220351</v>
          </cell>
        </row>
        <row r="27">
          <cell r="J27">
            <v>0.95346614836609511</v>
          </cell>
          <cell r="K27">
            <v>0.92159780378183076</v>
          </cell>
          <cell r="R27">
            <v>55.948</v>
          </cell>
          <cell r="S27">
            <v>928.16199999999992</v>
          </cell>
          <cell r="AD27">
            <v>2.1716593980124399</v>
          </cell>
          <cell r="AE27">
            <v>2.499240434320734</v>
          </cell>
          <cell r="AJ27">
            <v>795.52121841966186</v>
          </cell>
          <cell r="AK27">
            <v>921.04703377495719</v>
          </cell>
          <cell r="AN27">
            <v>0.95346614836609511</v>
          </cell>
          <cell r="AO27">
            <v>0.92159780378183076</v>
          </cell>
        </row>
        <row r="28">
          <cell r="J28">
            <v>1.0968476462605015</v>
          </cell>
          <cell r="K28">
            <v>0.93083101835980253</v>
          </cell>
          <cell r="R28">
            <v>61.436999999999998</v>
          </cell>
          <cell r="S28">
            <v>989.59899999999993</v>
          </cell>
          <cell r="AD28">
            <v>1.9418265865846314</v>
          </cell>
          <cell r="AE28">
            <v>2.4646346651522495</v>
          </cell>
          <cell r="AJ28">
            <v>727.04593208126744</v>
          </cell>
          <cell r="AK28">
            <v>909.00291723406008</v>
          </cell>
          <cell r="AN28">
            <v>1.0968476462605015</v>
          </cell>
          <cell r="AO28">
            <v>0.93083101835980253</v>
          </cell>
        </row>
        <row r="29">
          <cell r="J29">
            <v>0.87446798618771693</v>
          </cell>
          <cell r="K29">
            <v>0.92797319438623194</v>
          </cell>
          <cell r="R29">
            <v>49.655999999999999</v>
          </cell>
          <cell r="S29">
            <v>1039.2549999999999</v>
          </cell>
          <cell r="AD29">
            <v>2.5273884324150155</v>
          </cell>
          <cell r="AE29">
            <v>2.4676330640699358</v>
          </cell>
          <cell r="AJ29">
            <v>910.0751007380012</v>
          </cell>
          <cell r="AK29">
            <v>909.05414657052859</v>
          </cell>
          <cell r="AN29">
            <v>0.87446798618771693</v>
          </cell>
          <cell r="AO29">
            <v>0.92797319438623194</v>
          </cell>
        </row>
        <row r="30">
          <cell r="J30">
            <v>0.98380912574033363</v>
          </cell>
          <cell r="K30">
            <v>0.93065307694206434</v>
          </cell>
          <cell r="R30">
            <v>55.546999999999997</v>
          </cell>
          <cell r="S30">
            <v>1094.8019999999999</v>
          </cell>
          <cell r="AD30">
            <v>2.2341440581849605</v>
          </cell>
          <cell r="AE30">
            <v>2.4557865257827451</v>
          </cell>
          <cell r="AJ30">
            <v>812.89258058288465</v>
          </cell>
          <cell r="AK30">
            <v>904.17519448063865</v>
          </cell>
          <cell r="AN30">
            <v>0.98380912574033363</v>
          </cell>
          <cell r="AO30">
            <v>0.93065307694206434</v>
          </cell>
        </row>
        <row r="31">
          <cell r="J31">
            <v>0.91998201433801985</v>
          </cell>
          <cell r="K31">
            <v>0.93017522688382825</v>
          </cell>
          <cell r="R31">
            <v>50.734999999999999</v>
          </cell>
          <cell r="S31">
            <v>1145.5369999999998</v>
          </cell>
          <cell r="AD31">
            <v>2.3672021287079925</v>
          </cell>
          <cell r="AE31">
            <v>2.4518631873086605</v>
          </cell>
          <cell r="AJ31">
            <v>944.1266200315697</v>
          </cell>
          <cell r="AK31">
            <v>905.944614041357</v>
          </cell>
          <cell r="AN31">
            <v>0.91998201433801985</v>
          </cell>
          <cell r="AO31">
            <v>0.93017522688382825</v>
          </cell>
        </row>
        <row r="32">
          <cell r="J32">
            <v>0.99410496777728441</v>
          </cell>
          <cell r="K32">
            <v>0.932786356503988</v>
          </cell>
          <cell r="R32">
            <v>52.133000000000003</v>
          </cell>
          <cell r="S32">
            <v>1197.6699999999998</v>
          </cell>
          <cell r="AD32">
            <v>2.3113958529146603</v>
          </cell>
          <cell r="AE32">
            <v>2.4457488289762632</v>
          </cell>
          <cell r="AJ32">
            <v>931.33655772030932</v>
          </cell>
          <cell r="AK32">
            <v>907.04989195581982</v>
          </cell>
          <cell r="AN32">
            <v>0.99410496777728441</v>
          </cell>
          <cell r="AO32">
            <v>0.932786356503988</v>
          </cell>
        </row>
        <row r="33">
          <cell r="J33">
            <v>0.90277428859927344</v>
          </cell>
          <cell r="K33">
            <v>0.93162193375672953</v>
          </cell>
          <cell r="R33">
            <v>46.787999999999997</v>
          </cell>
          <cell r="S33">
            <v>1244.4579999999999</v>
          </cell>
          <cell r="AD33">
            <v>2.6459776010942977</v>
          </cell>
          <cell r="AE33">
            <v>2.4532768482343328</v>
          </cell>
          <cell r="AJ33">
            <v>1098.9319912435785</v>
          </cell>
          <cell r="AK33">
            <v>914.26410060044714</v>
          </cell>
          <cell r="AN33">
            <v>0.90277428859927344</v>
          </cell>
          <cell r="AO33">
            <v>0.93162193375672953</v>
          </cell>
        </row>
        <row r="34">
          <cell r="J34">
            <v>0.88392484186657128</v>
          </cell>
          <cell r="K34">
            <v>0.92978103614607244</v>
          </cell>
          <cell r="R34">
            <v>47.401000000000003</v>
          </cell>
          <cell r="S34">
            <v>1291.8589999999999</v>
          </cell>
          <cell r="AD34">
            <v>2.5041665787641612</v>
          </cell>
          <cell r="AE34">
            <v>2.4551440985432627</v>
          </cell>
          <cell r="AJ34">
            <v>1051.1748635159142</v>
          </cell>
          <cell r="AK34">
            <v>919.2876419257434</v>
          </cell>
          <cell r="AN34">
            <v>0.88392484186657128</v>
          </cell>
          <cell r="AO34">
            <v>0.92978103614607244</v>
          </cell>
        </row>
        <row r="35">
          <cell r="J35">
            <v>0.95056340827815344</v>
          </cell>
          <cell r="K35">
            <v>0.93053969477279619</v>
          </cell>
          <cell r="R35">
            <v>50.04</v>
          </cell>
          <cell r="S35">
            <v>1341.8989999999999</v>
          </cell>
          <cell r="AD35">
            <v>2.3441247002398082</v>
          </cell>
          <cell r="AE35">
            <v>2.4510041366749666</v>
          </cell>
          <cell r="AJ35">
            <v>987.6744504140687</v>
          </cell>
          <cell r="AK35">
            <v>921.83781589319983</v>
          </cell>
          <cell r="AN35">
            <v>0.95056340827815344</v>
          </cell>
          <cell r="AO35">
            <v>0.93053969477279619</v>
          </cell>
        </row>
        <row r="36">
          <cell r="J36">
            <v>0.93341553824155654</v>
          </cell>
          <cell r="K36">
            <v>0.93063742487207612</v>
          </cell>
          <cell r="R36">
            <v>47.351999999999997</v>
          </cell>
          <cell r="S36">
            <v>1389.251</v>
          </cell>
          <cell r="AD36">
            <v>2.4961986822098328</v>
          </cell>
          <cell r="AE36">
            <v>2.4525445725790376</v>
          </cell>
          <cell r="AJ36">
            <v>1132.2956178667921</v>
          </cell>
          <cell r="AK36">
            <v>929.01117609884557</v>
          </cell>
          <cell r="AN36">
            <v>0.93341553824155654</v>
          </cell>
          <cell r="AO36">
            <v>0.93063742487207612</v>
          </cell>
        </row>
        <row r="37">
          <cell r="J37">
            <v>0.92427297750432902</v>
          </cell>
          <cell r="K37">
            <v>0.9304355290360723</v>
          </cell>
          <cell r="R37">
            <v>45.203000000000003</v>
          </cell>
          <cell r="S37">
            <v>1434.454</v>
          </cell>
          <cell r="AD37">
            <v>2.5662013583169259</v>
          </cell>
          <cell r="AE37">
            <v>2.4561261636831859</v>
          </cell>
          <cell r="AJ37">
            <v>1001.7250970317626</v>
          </cell>
          <cell r="AK37">
            <v>931.30256178840455</v>
          </cell>
          <cell r="AN37">
            <v>0.92427297750432902</v>
          </cell>
          <cell r="AO37">
            <v>0.9304355290360723</v>
          </cell>
        </row>
        <row r="38">
          <cell r="J38">
            <v>0.92063882874565606</v>
          </cell>
          <cell r="K38">
            <v>0.93012187083680486</v>
          </cell>
          <cell r="R38">
            <v>46.945999999999998</v>
          </cell>
          <cell r="S38">
            <v>1481.3999999999999</v>
          </cell>
          <cell r="AD38">
            <v>2.6136412047884807</v>
          </cell>
          <cell r="AE38">
            <v>2.4611178614823821</v>
          </cell>
          <cell r="AJ38">
            <v>948.43335709071391</v>
          </cell>
          <cell r="AK38">
            <v>931.84544171027733</v>
          </cell>
          <cell r="AN38">
            <v>0.92063882874565606</v>
          </cell>
          <cell r="AO38">
            <v>0.93012187083680486</v>
          </cell>
        </row>
        <row r="39">
          <cell r="J39">
            <v>0.97243621500176503</v>
          </cell>
          <cell r="K39">
            <v>0.93153026350351709</v>
          </cell>
          <cell r="R39">
            <v>53.325000000000003</v>
          </cell>
          <cell r="S39">
            <v>1534.7249999999999</v>
          </cell>
          <cell r="AD39">
            <v>2.4491326769807782</v>
          </cell>
          <cell r="AE39">
            <v>2.4607014285947</v>
          </cell>
          <cell r="AJ39">
            <v>782.71616872767027</v>
          </cell>
          <cell r="AK39">
            <v>926.66384990601421</v>
          </cell>
          <cell r="AN39">
            <v>0.97243621500176503</v>
          </cell>
          <cell r="AO39">
            <v>0.93153026350351709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0.72471445514214783</v>
          </cell>
          <cell r="K9">
            <v>0.72471445514214783</v>
          </cell>
          <cell r="R9">
            <v>40.387</v>
          </cell>
          <cell r="S9">
            <v>40.387</v>
          </cell>
          <cell r="X9">
            <v>98.062546951748232</v>
          </cell>
          <cell r="Y9">
            <v>98.062546951748232</v>
          </cell>
          <cell r="AD9">
            <v>2.40176294352143</v>
          </cell>
          <cell r="AE9">
            <v>2.40176294352143</v>
          </cell>
          <cell r="AJ9">
            <v>0.2550325599821725</v>
          </cell>
          <cell r="AK9">
            <v>0.2550325599821725</v>
          </cell>
          <cell r="AP9">
            <v>1147.283036620744</v>
          </cell>
          <cell r="AQ9">
            <v>1147.283036620744</v>
          </cell>
          <cell r="AV9">
            <v>637.79419120014563</v>
          </cell>
          <cell r="AW9">
            <v>637.79419120014563</v>
          </cell>
          <cell r="BA9">
            <v>0.74003977729836223</v>
          </cell>
          <cell r="BB9">
            <v>0.74003977729836223</v>
          </cell>
        </row>
        <row r="10">
          <cell r="J10">
            <v>0.96817879350814395</v>
          </cell>
          <cell r="K10">
            <v>0.84594843731964908</v>
          </cell>
          <cell r="R10">
            <v>53.515000000000001</v>
          </cell>
          <cell r="S10">
            <v>93.902000000000001</v>
          </cell>
          <cell r="X10">
            <v>67.322170706081195</v>
          </cell>
          <cell r="Y10">
            <v>80.543524622225206</v>
          </cell>
          <cell r="AD10">
            <v>1.7938895636737364</v>
          </cell>
          <cell r="AE10">
            <v>2.0553342846797724</v>
          </cell>
          <cell r="AJ10">
            <v>0.1868634962160142</v>
          </cell>
          <cell r="AK10">
            <v>0.21618282890673254</v>
          </cell>
          <cell r="AP10">
            <v>827.35307857606426</v>
          </cell>
          <cell r="AQ10">
            <v>964.95410108410954</v>
          </cell>
          <cell r="AV10">
            <v>516.85869382416251</v>
          </cell>
          <cell r="AW10">
            <v>568.87272901536005</v>
          </cell>
          <cell r="BA10">
            <v>0.96817879350814395</v>
          </cell>
          <cell r="BB10">
            <v>0.85483596683977459</v>
          </cell>
        </row>
        <row r="11">
          <cell r="J11">
            <v>0.97062117671142523</v>
          </cell>
          <cell r="K11">
            <v>0.88739247973508473</v>
          </cell>
          <cell r="R11">
            <v>53.65</v>
          </cell>
          <cell r="S11">
            <v>147.55199999999999</v>
          </cell>
          <cell r="X11">
            <v>66.442816346954402</v>
          </cell>
          <cell r="Y11">
            <v>75.416498224966759</v>
          </cell>
          <cell r="AD11">
            <v>1.7651444547996273</v>
          </cell>
          <cell r="AE11">
            <v>1.9498210800260247</v>
          </cell>
          <cell r="AJ11">
            <v>0.20689655172413793</v>
          </cell>
          <cell r="AK11">
            <v>0.21280633268271526</v>
          </cell>
          <cell r="AP11">
            <v>961.00055917986799</v>
          </cell>
          <cell r="AQ11">
            <v>963.51659076122314</v>
          </cell>
          <cell r="AV11">
            <v>471.12022367194788</v>
          </cell>
          <cell r="AW11">
            <v>533.32985659293217</v>
          </cell>
          <cell r="BA11">
            <v>0.97062117671142523</v>
          </cell>
          <cell r="BB11">
            <v>0.89359460309411587</v>
          </cell>
        </row>
        <row r="12">
          <cell r="J12">
            <v>0.90945140770773247</v>
          </cell>
          <cell r="K12">
            <v>0.8929036315390535</v>
          </cell>
          <cell r="R12">
            <v>50.363</v>
          </cell>
          <cell r="S12">
            <v>197.91499999999999</v>
          </cell>
          <cell r="X12">
            <v>69.990978123003785</v>
          </cell>
          <cell r="Y12">
            <v>74.035877913746489</v>
          </cell>
          <cell r="AD12">
            <v>1.8624784067668725</v>
          </cell>
          <cell r="AE12">
            <v>1.9275951797488822</v>
          </cell>
          <cell r="AJ12">
            <v>0.19657288088477654</v>
          </cell>
          <cell r="AK12">
            <v>0.20867544147740191</v>
          </cell>
          <cell r="AP12">
            <v>492.08823938208894</v>
          </cell>
          <cell r="AQ12">
            <v>843.55324255362223</v>
          </cell>
          <cell r="AV12">
            <v>449.53636598296265</v>
          </cell>
          <cell r="AW12">
            <v>512.00710911249928</v>
          </cell>
          <cell r="BA12">
            <v>0.99213613471775752</v>
          </cell>
          <cell r="BB12">
            <v>0.91676529959309816</v>
          </cell>
        </row>
        <row r="13">
          <cell r="J13">
            <v>0.14079745265528706</v>
          </cell>
          <cell r="K13">
            <v>0.7458489087900555</v>
          </cell>
          <cell r="R13">
            <v>7.585</v>
          </cell>
          <cell r="S13">
            <v>205.5</v>
          </cell>
          <cell r="X13">
            <v>224.39893088229175</v>
          </cell>
          <cell r="Y13">
            <v>79.585774540347046</v>
          </cell>
          <cell r="AD13">
            <v>5.4845088991430453</v>
          </cell>
          <cell r="AE13">
            <v>2.0588807785888079</v>
          </cell>
          <cell r="AJ13">
            <v>0</v>
          </cell>
          <cell r="AK13">
            <v>0.20097323600973235</v>
          </cell>
          <cell r="AP13">
            <v>7136.1423862887123</v>
          </cell>
          <cell r="AQ13">
            <v>1075.8125547445256</v>
          </cell>
          <cell r="AV13">
            <v>0</v>
          </cell>
          <cell r="AW13">
            <v>493.10893917275075</v>
          </cell>
          <cell r="BA13">
            <v>0.18772993687371611</v>
          </cell>
          <cell r="BB13">
            <v>0.80183284970829871</v>
          </cell>
        </row>
        <row r="14">
          <cell r="J14">
            <v>0.69217014558475898</v>
          </cell>
          <cell r="K14">
            <v>0.73806048021799353</v>
          </cell>
          <cell r="R14">
            <v>32.366999999999997</v>
          </cell>
          <cell r="S14">
            <v>237.86699999999999</v>
          </cell>
          <cell r="X14">
            <v>114.13992331179608</v>
          </cell>
          <cell r="Y14">
            <v>84.287621090248848</v>
          </cell>
          <cell r="AD14">
            <v>2.9258195075230948</v>
          </cell>
          <cell r="AE14">
            <v>2.176846725270845</v>
          </cell>
          <cell r="AJ14">
            <v>0</v>
          </cell>
          <cell r="AK14">
            <v>0.17362643830375799</v>
          </cell>
          <cell r="AP14">
            <v>1310.4842182143523</v>
          </cell>
          <cell r="AQ14">
            <v>1107.7447594283526</v>
          </cell>
          <cell r="AV14">
            <v>0</v>
          </cell>
          <cell r="AW14">
            <v>426.01069925630827</v>
          </cell>
          <cell r="BA14">
            <v>0.69217014558475898</v>
          </cell>
          <cell r="BB14">
            <v>0.78491149882074729</v>
          </cell>
        </row>
        <row r="15">
          <cell r="J15">
            <v>0.71056284444338325</v>
          </cell>
          <cell r="K15">
            <v>0.73470379940796582</v>
          </cell>
          <cell r="R15">
            <v>31.841999999999999</v>
          </cell>
          <cell r="S15">
            <v>269.709</v>
          </cell>
          <cell r="X15">
            <v>121.48046374500258</v>
          </cell>
          <cell r="Y15">
            <v>88.678629531986672</v>
          </cell>
          <cell r="AD15">
            <v>2.8892657496388421</v>
          </cell>
          <cell r="AE15">
            <v>2.2609553259253494</v>
          </cell>
          <cell r="AJ15">
            <v>0</v>
          </cell>
          <cell r="AK15">
            <v>0.15312800091950954</v>
          </cell>
          <cell r="AP15">
            <v>1382.3057997247872</v>
          </cell>
          <cell r="AQ15">
            <v>1140.1595941024609</v>
          </cell>
          <cell r="AV15">
            <v>0</v>
          </cell>
          <cell r="AW15">
            <v>375.71563054996415</v>
          </cell>
          <cell r="BA15">
            <v>0.71056284444338325</v>
          </cell>
          <cell r="BB15">
            <v>0.77533373337220002</v>
          </cell>
        </row>
        <row r="16">
          <cell r="J16">
            <v>0.91403027039714446</v>
          </cell>
          <cell r="K16">
            <v>0.75472288689927114</v>
          </cell>
          <cell r="R16">
            <v>42.164999999999999</v>
          </cell>
          <cell r="S16">
            <v>311.87400000000002</v>
          </cell>
          <cell r="X16">
            <v>89.019785057076646</v>
          </cell>
          <cell r="Y16">
            <v>88.724753359928144</v>
          </cell>
          <cell r="AD16">
            <v>2.110755365824736</v>
          </cell>
          <cell r="AE16">
            <v>2.2406484670091129</v>
          </cell>
          <cell r="AJ16">
            <v>0</v>
          </cell>
          <cell r="AK16">
            <v>0.13242527430949677</v>
          </cell>
          <cell r="AP16">
            <v>949.82775065202429</v>
          </cell>
          <cell r="AQ16">
            <v>1114.4269514997186</v>
          </cell>
          <cell r="AV16">
            <v>0</v>
          </cell>
          <cell r="AW16">
            <v>324.9193167753653</v>
          </cell>
          <cell r="BA16">
            <v>0.91403027039714446</v>
          </cell>
          <cell r="BB16">
            <v>0.79157309670382903</v>
          </cell>
        </row>
        <row r="17">
          <cell r="J17">
            <v>0.94053099548992869</v>
          </cell>
          <cell r="K17">
            <v>0.77351643472933829</v>
          </cell>
          <cell r="R17">
            <v>43.734000000000002</v>
          </cell>
          <cell r="S17">
            <v>355.608</v>
          </cell>
          <cell r="X17">
            <v>86.958240583890245</v>
          </cell>
          <cell r="Y17">
            <v>88.507501020984023</v>
          </cell>
          <cell r="AD17">
            <v>2.0716147619700918</v>
          </cell>
          <cell r="AE17">
            <v>2.219860070639581</v>
          </cell>
          <cell r="AJ17">
            <v>0</v>
          </cell>
          <cell r="AK17">
            <v>0.11613911947987671</v>
          </cell>
          <cell r="AP17">
            <v>1083.7872546585368</v>
          </cell>
          <cell r="AQ17">
            <v>1110.658767146014</v>
          </cell>
          <cell r="AV17">
            <v>0</v>
          </cell>
          <cell r="AW17">
            <v>284.95952565746632</v>
          </cell>
          <cell r="BA17">
            <v>0.94053099548992869</v>
          </cell>
          <cell r="BB17">
            <v>0.80729740903930103</v>
          </cell>
        </row>
        <row r="18">
          <cell r="J18">
            <v>0.78936587024865967</v>
          </cell>
          <cell r="K18">
            <v>0.77510966560218963</v>
          </cell>
          <cell r="R18">
            <v>40.555999999999997</v>
          </cell>
          <cell r="S18">
            <v>396.16399999999999</v>
          </cell>
          <cell r="X18">
            <v>99.740107489804927</v>
          </cell>
          <cell r="Y18">
            <v>89.657402546487361</v>
          </cell>
          <cell r="AD18">
            <v>2.3449058092514057</v>
          </cell>
          <cell r="AE18">
            <v>2.2326612211104497</v>
          </cell>
          <cell r="AJ18">
            <v>0</v>
          </cell>
          <cell r="AK18">
            <v>0.10424975515190678</v>
          </cell>
          <cell r="AP18">
            <v>1096.8991215046517</v>
          </cell>
          <cell r="AQ18">
            <v>1109.2501682106461</v>
          </cell>
          <cell r="AV18">
            <v>0</v>
          </cell>
          <cell r="AW18">
            <v>255.78772175159853</v>
          </cell>
          <cell r="BA18">
            <v>0.78936587024865967</v>
          </cell>
          <cell r="BB18">
            <v>0.80542438179749365</v>
          </cell>
        </row>
        <row r="19">
          <cell r="J19">
            <v>0.93024437331707566</v>
          </cell>
          <cell r="K19">
            <v>0.78922914842343683</v>
          </cell>
          <cell r="R19">
            <v>47.606000000000002</v>
          </cell>
          <cell r="S19">
            <v>443.77</v>
          </cell>
          <cell r="X19">
            <v>84.206626476036845</v>
          </cell>
          <cell r="Y19">
            <v>89.0726635023657</v>
          </cell>
          <cell r="AD19">
            <v>1.99554677981767</v>
          </cell>
          <cell r="AE19">
            <v>2.2072244631227891</v>
          </cell>
          <cell r="AJ19">
            <v>0</v>
          </cell>
          <cell r="AK19">
            <v>9.3066228000991499E-2</v>
          </cell>
          <cell r="AP19">
            <v>865.81809959664326</v>
          </cell>
          <cell r="AQ19">
            <v>1083.1356785911626</v>
          </cell>
          <cell r="AV19">
            <v>0</v>
          </cell>
          <cell r="AW19">
            <v>228.34776348108318</v>
          </cell>
          <cell r="BA19">
            <v>0.93024437331707566</v>
          </cell>
          <cell r="BB19">
            <v>0.81718722803674237</v>
          </cell>
        </row>
        <row r="20">
          <cell r="J20">
            <v>0.90534700770610221</v>
          </cell>
          <cell r="K20">
            <v>0.79846658234212742</v>
          </cell>
          <cell r="R20">
            <v>43.997</v>
          </cell>
          <cell r="S20">
            <v>487.767</v>
          </cell>
          <cell r="X20">
            <v>90.190783163098118</v>
          </cell>
          <cell r="Y20">
            <v>89.173518850745651</v>
          </cell>
          <cell r="AD20">
            <v>2.1569652476305206</v>
          </cell>
          <cell r="AE20">
            <v>2.2026910389591752</v>
          </cell>
          <cell r="AJ20">
            <v>0</v>
          </cell>
          <cell r="AK20">
            <v>8.4671574747779157E-2</v>
          </cell>
          <cell r="AP20">
            <v>1039.2813645910846</v>
          </cell>
          <cell r="AQ20">
            <v>1079.1799820125475</v>
          </cell>
          <cell r="AV20">
            <v>0</v>
          </cell>
          <cell r="AW20">
            <v>207.75060018410488</v>
          </cell>
          <cell r="BA20">
            <v>0.90534700770610221</v>
          </cell>
          <cell r="BB20">
            <v>0.82442857087424792</v>
          </cell>
        </row>
        <row r="21">
          <cell r="J21">
            <v>1.0551091950268905</v>
          </cell>
          <cell r="K21">
            <v>0.81641223646448435</v>
          </cell>
          <cell r="R21">
            <v>48.457999999999998</v>
          </cell>
          <cell r="S21">
            <v>536.22500000000002</v>
          </cell>
          <cell r="X21">
            <v>74.205834899139376</v>
          </cell>
          <cell r="Y21">
            <v>87.820907486249524</v>
          </cell>
          <cell r="AD21">
            <v>1.9233150357010196</v>
          </cell>
          <cell r="AE21">
            <v>2.1774441698913702</v>
          </cell>
          <cell r="AJ21">
            <v>0</v>
          </cell>
          <cell r="AK21">
            <v>7.7019907688004097E-2</v>
          </cell>
          <cell r="AP21">
            <v>990.65855576541946</v>
          </cell>
          <cell r="AQ21">
            <v>1071.1804085628139</v>
          </cell>
          <cell r="AV21">
            <v>0</v>
          </cell>
          <cell r="AW21">
            <v>188.97643153527022</v>
          </cell>
          <cell r="BA21">
            <v>1.0551091950268905</v>
          </cell>
          <cell r="BB21">
            <v>0.84104553363254941</v>
          </cell>
        </row>
        <row r="22">
          <cell r="J22">
            <v>0.92668800487730529</v>
          </cell>
          <cell r="K22">
            <v>0.82361928438763432</v>
          </cell>
          <cell r="R22">
            <v>42.56</v>
          </cell>
          <cell r="S22">
            <v>578.78500000000008</v>
          </cell>
          <cell r="X22">
            <v>102.28650230465843</v>
          </cell>
          <cell r="Y22">
            <v>88.884611133495866</v>
          </cell>
          <cell r="AD22">
            <v>2.1945488721804511</v>
          </cell>
          <cell r="AE22">
            <v>2.1787019359520374</v>
          </cell>
          <cell r="AJ22">
            <v>0</v>
          </cell>
          <cell r="AK22">
            <v>7.1356375856319695E-2</v>
          </cell>
          <cell r="AP22">
            <v>979.11559509305482</v>
          </cell>
          <cell r="AQ22">
            <v>1064.4105744080359</v>
          </cell>
          <cell r="AV22">
            <v>0</v>
          </cell>
          <cell r="AW22">
            <v>175.08036144682441</v>
          </cell>
          <cell r="BA22">
            <v>0.92668800487730529</v>
          </cell>
          <cell r="BB22">
            <v>0.84680021071201284</v>
          </cell>
        </row>
        <row r="23">
          <cell r="J23">
            <v>0.95005116815816415</v>
          </cell>
          <cell r="K23">
            <v>0.83137531776993379</v>
          </cell>
          <cell r="R23">
            <v>43.633000000000003</v>
          </cell>
          <cell r="S23">
            <v>622.41800000000012</v>
          </cell>
          <cell r="X23">
            <v>92.234156052975777</v>
          </cell>
          <cell r="Y23">
            <v>89.119422294920611</v>
          </cell>
          <cell r="AD23">
            <v>2.1222469232003296</v>
          </cell>
          <cell r="AE23">
            <v>2.17474430366731</v>
          </cell>
          <cell r="AJ23">
            <v>0</v>
          </cell>
          <cell r="AK23">
            <v>6.6354122149423683E-2</v>
          </cell>
          <cell r="AP23">
            <v>1019.4647987724086</v>
          </cell>
          <cell r="AQ23">
            <v>1061.2597673486171</v>
          </cell>
          <cell r="AV23">
            <v>0</v>
          </cell>
          <cell r="AW23">
            <v>162.80680667975582</v>
          </cell>
          <cell r="BA23">
            <v>0.95005116815816415</v>
          </cell>
          <cell r="BB23">
            <v>0.85330124415936126</v>
          </cell>
        </row>
        <row r="24">
          <cell r="J24">
            <v>0.86440311721396379</v>
          </cell>
          <cell r="K24">
            <v>0.83327632153088027</v>
          </cell>
          <cell r="R24">
            <v>39.523000000000003</v>
          </cell>
          <cell r="S24">
            <v>661.94100000000014</v>
          </cell>
          <cell r="X24">
            <v>83.86114982496531</v>
          </cell>
          <cell r="Y24">
            <v>88.805462738358855</v>
          </cell>
          <cell r="AD24">
            <v>2.3252283480505023</v>
          </cell>
          <cell r="AE24">
            <v>2.1837293656081131</v>
          </cell>
          <cell r="AJ24">
            <v>0</v>
          </cell>
          <cell r="AK24">
            <v>6.2392267588803216E-2</v>
          </cell>
          <cell r="AP24">
            <v>1112.0624823781454</v>
          </cell>
          <cell r="AQ24">
            <v>1064.29308256268</v>
          </cell>
          <cell r="AV24">
            <v>0</v>
          </cell>
          <cell r="AW24">
            <v>153.08598047258027</v>
          </cell>
          <cell r="BA24">
            <v>0.86440311721396379</v>
          </cell>
          <cell r="BB24">
            <v>0.85395610059325844</v>
          </cell>
        </row>
        <row r="25">
          <cell r="J25">
            <v>0.95695342608922862</v>
          </cell>
          <cell r="K25">
            <v>0.84003586822555465</v>
          </cell>
          <cell r="R25">
            <v>43.95</v>
          </cell>
          <cell r="S25">
            <v>705.89100000000019</v>
          </cell>
          <cell r="X25">
            <v>87.621520383250143</v>
          </cell>
          <cell r="Y25">
            <v>88.73174843047417</v>
          </cell>
          <cell r="AD25">
            <v>2.1069397042093283</v>
          </cell>
          <cell r="AE25">
            <v>2.1789483078832279</v>
          </cell>
          <cell r="AJ25">
            <v>0</v>
          </cell>
          <cell r="AK25">
            <v>5.8507616615029782E-2</v>
          </cell>
          <cell r="AP25">
            <v>1053.5749936089253</v>
          </cell>
          <cell r="AQ25">
            <v>1063.6257557239505</v>
          </cell>
          <cell r="AV25">
            <v>0</v>
          </cell>
          <cell r="AW25">
            <v>143.55458137304518</v>
          </cell>
          <cell r="BA25">
            <v>0.95695342608922862</v>
          </cell>
          <cell r="BB25">
            <v>0.85971728850740914</v>
          </cell>
        </row>
        <row r="26">
          <cell r="J26">
            <v>0.77353482480778901</v>
          </cell>
          <cell r="K26">
            <v>0.83633396137619764</v>
          </cell>
          <cell r="R26">
            <v>38.317</v>
          </cell>
          <cell r="S26">
            <v>744.2080000000002</v>
          </cell>
          <cell r="X26">
            <v>105.99514158321678</v>
          </cell>
          <cell r="Y26">
            <v>89.620587888574107</v>
          </cell>
          <cell r="AD26">
            <v>2.5236840044888691</v>
          </cell>
          <cell r="AE26">
            <v>2.196697697417926</v>
          </cell>
          <cell r="AJ26">
            <v>0</v>
          </cell>
          <cell r="AK26">
            <v>5.5495237890482212E-2</v>
          </cell>
          <cell r="AP26">
            <v>1068.3345729513426</v>
          </cell>
          <cell r="AQ26">
            <v>1063.868198360555</v>
          </cell>
          <cell r="AV26">
            <v>0</v>
          </cell>
          <cell r="AW26">
            <v>136.16339383613214</v>
          </cell>
          <cell r="BA26">
            <v>0.77353482480778901</v>
          </cell>
          <cell r="BB26">
            <v>0.85481377123497571</v>
          </cell>
        </row>
        <row r="27">
          <cell r="J27">
            <v>0.91505343039225628</v>
          </cell>
          <cell r="K27">
            <v>0.84070671146745823</v>
          </cell>
          <cell r="R27">
            <v>47.890999999999998</v>
          </cell>
          <cell r="S27">
            <v>792.09900000000016</v>
          </cell>
          <cell r="X27">
            <v>86.184220285698203</v>
          </cell>
          <cell r="Y27">
            <v>89.412822090524458</v>
          </cell>
          <cell r="AD27">
            <v>2.0964273036687482</v>
          </cell>
          <cell r="AE27">
            <v>2.1906352615014031</v>
          </cell>
          <cell r="AJ27">
            <v>0</v>
          </cell>
          <cell r="AK27">
            <v>5.21399471530705E-2</v>
          </cell>
          <cell r="AP27">
            <v>925.61355728335525</v>
          </cell>
          <cell r="AQ27">
            <v>1055.5092015485045</v>
          </cell>
          <cell r="AV27">
            <v>0</v>
          </cell>
          <cell r="AW27">
            <v>127.93083566574414</v>
          </cell>
          <cell r="BA27">
            <v>0.91505343039225628</v>
          </cell>
          <cell r="BB27">
            <v>0.85822974127925344</v>
          </cell>
        </row>
        <row r="28">
          <cell r="J28">
            <v>0.91841626273547394</v>
          </cell>
          <cell r="K28">
            <v>0.8447961972345932</v>
          </cell>
          <cell r="R28">
            <v>48.067</v>
          </cell>
          <cell r="S28">
            <v>840.16600000000017</v>
          </cell>
          <cell r="X28">
            <v>83.334822773817478</v>
          </cell>
          <cell r="Y28">
            <v>89.065091769187774</v>
          </cell>
          <cell r="AD28">
            <v>2.0575446772213786</v>
          </cell>
          <cell r="AE28">
            <v>2.1830209744264826</v>
          </cell>
          <cell r="AJ28">
            <v>0</v>
          </cell>
          <cell r="AK28">
            <v>4.9156952316565999E-2</v>
          </cell>
          <cell r="AP28">
            <v>876.35257184185718</v>
          </cell>
          <cell r="AQ28">
            <v>1045.2594155298971</v>
          </cell>
          <cell r="AV28">
            <v>0</v>
          </cell>
          <cell r="AW28">
            <v>120.61174458380876</v>
          </cell>
          <cell r="BA28">
            <v>0.91841626273547394</v>
          </cell>
          <cell r="BB28">
            <v>0.86145954761284149</v>
          </cell>
        </row>
        <row r="29">
          <cell r="J29">
            <v>0.85437919916357374</v>
          </cell>
          <cell r="K29">
            <v>0.84527246724736205</v>
          </cell>
          <cell r="R29">
            <v>44.438000000000002</v>
          </cell>
          <cell r="S29">
            <v>884.60400000000016</v>
          </cell>
          <cell r="X29">
            <v>97.966949284518535</v>
          </cell>
          <cell r="Y29">
            <v>89.512275756900081</v>
          </cell>
          <cell r="AD29">
            <v>2.1715648769071514</v>
          </cell>
          <cell r="AE29">
            <v>2.1824454784287659</v>
          </cell>
          <cell r="AJ29">
            <v>0</v>
          </cell>
          <cell r="AK29">
            <v>4.6687557370303535E-2</v>
          </cell>
          <cell r="AP29">
            <v>1005.1633916412293</v>
          </cell>
          <cell r="AQ29">
            <v>1043.2451954839053</v>
          </cell>
          <cell r="AV29">
            <v>0</v>
          </cell>
          <cell r="AW29">
            <v>114.5528247667886</v>
          </cell>
          <cell r="BA29">
            <v>0.85437919916357374</v>
          </cell>
          <cell r="BB29">
            <v>0.86110106862971914</v>
          </cell>
        </row>
        <row r="30">
          <cell r="J30">
            <v>0.93738745950643332</v>
          </cell>
          <cell r="K30">
            <v>0.84927943027529973</v>
          </cell>
          <cell r="R30">
            <v>44.613999999999997</v>
          </cell>
          <cell r="S30">
            <v>929.21800000000019</v>
          </cell>
          <cell r="X30">
            <v>93.39089703039555</v>
          </cell>
          <cell r="Y30">
            <v>89.698497730103071</v>
          </cell>
          <cell r="AD30">
            <v>2.1809297529923342</v>
          </cell>
          <cell r="AE30">
            <v>2.1823727047904797</v>
          </cell>
          <cell r="AJ30">
            <v>0</v>
          </cell>
          <cell r="AK30">
            <v>4.4445975002636612E-2</v>
          </cell>
          <cell r="AP30">
            <v>931.19190896049099</v>
          </cell>
          <cell r="AQ30">
            <v>1037.8652466183476</v>
          </cell>
          <cell r="AV30">
            <v>0</v>
          </cell>
          <cell r="AW30">
            <v>109.05286703443137</v>
          </cell>
          <cell r="BA30">
            <v>0.93738745950643332</v>
          </cell>
          <cell r="BB30">
            <v>0.86447888369231451</v>
          </cell>
        </row>
        <row r="31">
          <cell r="J31">
            <v>0.81035246290498875</v>
          </cell>
          <cell r="K31">
            <v>0.84751807858967432</v>
          </cell>
          <cell r="R31">
            <v>42.018999999999998</v>
          </cell>
          <cell r="S31">
            <v>971.23700000000019</v>
          </cell>
          <cell r="X31">
            <v>99.399124052908505</v>
          </cell>
          <cell r="Y31">
            <v>90.11817965887839</v>
          </cell>
          <cell r="AD31">
            <v>2.3798757704847806</v>
          </cell>
          <cell r="AE31">
            <v>2.1909173559079815</v>
          </cell>
          <cell r="AJ31">
            <v>0</v>
          </cell>
          <cell r="AK31">
            <v>4.2523091686169273E-2</v>
          </cell>
          <cell r="AP31">
            <v>1020.3440332397078</v>
          </cell>
          <cell r="AQ31">
            <v>1037.1072196229209</v>
          </cell>
          <cell r="AV31">
            <v>0</v>
          </cell>
          <cell r="AW31">
            <v>104.33487089145106</v>
          </cell>
          <cell r="BA31">
            <v>0.81035246290498875</v>
          </cell>
          <cell r="BB31">
            <v>0.86198797931245286</v>
          </cell>
        </row>
        <row r="32">
          <cell r="J32">
            <v>0.97226641879368469</v>
          </cell>
          <cell r="K32">
            <v>0.85289188133234284</v>
          </cell>
          <cell r="R32">
            <v>50.156999999999996</v>
          </cell>
          <cell r="S32">
            <v>1021.3940000000002</v>
          </cell>
          <cell r="X32">
            <v>83.840589978134275</v>
          </cell>
          <cell r="Y32">
            <v>89.809909720326687</v>
          </cell>
          <cell r="AD32">
            <v>2.0535518471997927</v>
          </cell>
          <cell r="AE32">
            <v>2.184171827913616</v>
          </cell>
          <cell r="AJ32">
            <v>0</v>
          </cell>
          <cell r="AK32">
            <v>4.0434935000597208E-2</v>
          </cell>
          <cell r="AP32">
            <v>828.35040445736422</v>
          </cell>
          <cell r="AQ32">
            <v>1026.8559203414891</v>
          </cell>
          <cell r="AV32">
            <v>0</v>
          </cell>
          <cell r="AW32">
            <v>99.211359181667646</v>
          </cell>
          <cell r="BA32">
            <v>0.97226641879368469</v>
          </cell>
          <cell r="BB32">
            <v>0.86681601534833119</v>
          </cell>
        </row>
        <row r="33">
          <cell r="J33">
            <v>0.95994035625201501</v>
          </cell>
          <cell r="K33">
            <v>0.85734836516136104</v>
          </cell>
          <cell r="R33">
            <v>49.936999999999998</v>
          </cell>
          <cell r="S33">
            <v>1071.3310000000001</v>
          </cell>
          <cell r="X33">
            <v>86.348273271561212</v>
          </cell>
          <cell r="Y33">
            <v>89.64855553628648</v>
          </cell>
          <cell r="AD33">
            <v>2.0445761659691213</v>
          </cell>
          <cell r="AE33">
            <v>2.1776649793574538</v>
          </cell>
          <cell r="AJ33">
            <v>0</v>
          </cell>
          <cell r="AK33">
            <v>3.8550177302813037E-2</v>
          </cell>
          <cell r="AP33">
            <v>900.63179593675216</v>
          </cell>
          <cell r="AQ33">
            <v>1020.9723473837391</v>
          </cell>
          <cell r="AV33">
            <v>0</v>
          </cell>
          <cell r="AW33">
            <v>94.586908247777998</v>
          </cell>
          <cell r="BA33">
            <v>0.95994035625201501</v>
          </cell>
          <cell r="BB33">
            <v>0.87075344620501161</v>
          </cell>
        </row>
        <row r="34">
          <cell r="J34">
            <v>0.91392530244806736</v>
          </cell>
          <cell r="K34">
            <v>0.85954888796260909</v>
          </cell>
          <cell r="R34">
            <v>46.216000000000001</v>
          </cell>
          <cell r="S34">
            <v>1117.547</v>
          </cell>
          <cell r="X34">
            <v>95.83365334237925</v>
          </cell>
          <cell r="Y34">
            <v>89.904339391646829</v>
          </cell>
          <cell r="AD34">
            <v>2.1875540938203217</v>
          </cell>
          <cell r="AE34">
            <v>2.178073942303993</v>
          </cell>
          <cell r="AJ34">
            <v>0</v>
          </cell>
          <cell r="AK34">
            <v>3.6955940108111783E-2</v>
          </cell>
          <cell r="AP34">
            <v>981.11780107499817</v>
          </cell>
          <cell r="AQ34">
            <v>1019.3241681910928</v>
          </cell>
          <cell r="AV34">
            <v>0</v>
          </cell>
          <cell r="AW34">
            <v>90.675279876372329</v>
          </cell>
          <cell r="BA34">
            <v>0.91392530244806736</v>
          </cell>
          <cell r="BB34">
            <v>0.87245780494000658</v>
          </cell>
        </row>
        <row r="35">
          <cell r="J35">
            <v>0.8475079869602582</v>
          </cell>
          <cell r="K35">
            <v>0.85912346875974666</v>
          </cell>
          <cell r="R35">
            <v>40.356999999999999</v>
          </cell>
          <cell r="S35">
            <v>1157.904</v>
          </cell>
          <cell r="X35">
            <v>104.21860228650812</v>
          </cell>
          <cell r="Y35">
            <v>90.403241466126161</v>
          </cell>
          <cell r="AD35">
            <v>2.4927521867334042</v>
          </cell>
          <cell r="AE35">
            <v>2.1890415785764628</v>
          </cell>
          <cell r="AJ35">
            <v>0</v>
          </cell>
          <cell r="AK35">
            <v>3.5667896475010015E-2</v>
          </cell>
          <cell r="AP35">
            <v>1056.8662314166252</v>
          </cell>
          <cell r="AQ35">
            <v>1020.6326402626918</v>
          </cell>
          <cell r="AV35">
            <v>0</v>
          </cell>
          <cell r="AW35">
            <v>87.514929562381923</v>
          </cell>
          <cell r="BA35">
            <v>0.8475079869602582</v>
          </cell>
          <cell r="BB35">
            <v>0.87156353433856937</v>
          </cell>
        </row>
        <row r="36">
          <cell r="J36">
            <v>0.99501161038361963</v>
          </cell>
          <cell r="K36">
            <v>0.86362067126807562</v>
          </cell>
          <cell r="R36">
            <v>45.901000000000003</v>
          </cell>
          <cell r="S36">
            <v>1203.8050000000001</v>
          </cell>
          <cell r="X36">
            <v>97.00943215922554</v>
          </cell>
          <cell r="Y36">
            <v>90.655135052715309</v>
          </cell>
          <cell r="AD36">
            <v>2.1633515609681706</v>
          </cell>
          <cell r="AE36">
            <v>2.188062020011547</v>
          </cell>
          <cell r="AJ36">
            <v>0</v>
          </cell>
          <cell r="AK36">
            <v>3.4307882090537915E-2</v>
          </cell>
          <cell r="AP36">
            <v>1009.1831965048965</v>
          </cell>
          <cell r="AQ36">
            <v>1020.196073777317</v>
          </cell>
          <cell r="AV36">
            <v>0</v>
          </cell>
          <cell r="AW36">
            <v>84.17799145210418</v>
          </cell>
          <cell r="BA36">
            <v>0.99501161038361963</v>
          </cell>
          <cell r="BB36">
            <v>0.87570620691787282</v>
          </cell>
        </row>
        <row r="37">
          <cell r="J37">
            <v>0.96241117196282877</v>
          </cell>
          <cell r="K37">
            <v>0.86681249695671492</v>
          </cell>
          <cell r="R37">
            <v>44.79</v>
          </cell>
          <cell r="S37">
            <v>1248.595</v>
          </cell>
          <cell r="X37">
            <v>96.352387347395322</v>
          </cell>
          <cell r="Y37">
            <v>90.859508712932367</v>
          </cell>
          <cell r="AD37">
            <v>2.2036168787675821</v>
          </cell>
          <cell r="AE37">
            <v>2.1886200088899925</v>
          </cell>
          <cell r="AJ37">
            <v>0</v>
          </cell>
          <cell r="AK37">
            <v>3.3077178748913777E-2</v>
          </cell>
          <cell r="AP37">
            <v>941.10338108668964</v>
          </cell>
          <cell r="AQ37">
            <v>1017.3588353568417</v>
          </cell>
          <cell r="AV37">
            <v>0</v>
          </cell>
          <cell r="AW37">
            <v>81.158331564678932</v>
          </cell>
          <cell r="BA37">
            <v>0.96241117196282877</v>
          </cell>
          <cell r="BB37">
            <v>0.87854547912292313</v>
          </cell>
        </row>
        <row r="38">
          <cell r="J38">
            <v>0.91086257529179593</v>
          </cell>
          <cell r="K38">
            <v>0.86819394236436098</v>
          </cell>
          <cell r="R38">
            <v>42.478999999999999</v>
          </cell>
          <cell r="S38">
            <v>1291.0740000000001</v>
          </cell>
          <cell r="X38">
            <v>102.55061966867413</v>
          </cell>
          <cell r="Y38">
            <v>91.244170399473148</v>
          </cell>
          <cell r="AD38">
            <v>2.3211469196544172</v>
          </cell>
          <cell r="AE38">
            <v>2.1929804178536632</v>
          </cell>
          <cell r="AJ38">
            <v>0</v>
          </cell>
          <cell r="AK38">
            <v>3.1988871280809614E-2</v>
          </cell>
          <cell r="AP38">
            <v>1048.3261757108194</v>
          </cell>
          <cell r="AQ38">
            <v>1018.3777247860276</v>
          </cell>
          <cell r="AV38">
            <v>0</v>
          </cell>
          <cell r="AW38">
            <v>78.488054906225585</v>
          </cell>
          <cell r="BA38">
            <v>0.91086257529179593</v>
          </cell>
          <cell r="BB38">
            <v>0.87957225141640494</v>
          </cell>
        </row>
        <row r="39">
          <cell r="J39">
            <v>0.90804973109499865</v>
          </cell>
          <cell r="K39">
            <v>0.86938797252842825</v>
          </cell>
          <cell r="R39">
            <v>41.704000000000001</v>
          </cell>
          <cell r="S39">
            <v>1332.778</v>
          </cell>
          <cell r="X39">
            <v>99.740326567417597</v>
          </cell>
          <cell r="Y39">
            <v>91.510023900077115</v>
          </cell>
          <cell r="AD39">
            <v>2.3522923460579319</v>
          </cell>
          <cell r="AE39">
            <v>2.1979654526110126</v>
          </cell>
          <cell r="AJ39">
            <v>0</v>
          </cell>
          <cell r="AK39">
            <v>3.0987906463041854E-2</v>
          </cell>
          <cell r="AP39">
            <v>1270.329472055354</v>
          </cell>
          <cell r="AQ39">
            <v>1026.2615551524652</v>
          </cell>
          <cell r="AV39">
            <v>0</v>
          </cell>
          <cell r="AW39">
            <v>76.032082612408274</v>
          </cell>
          <cell r="BA39">
            <v>0.90804973109499865</v>
          </cell>
          <cell r="BB39">
            <v>0.88043624342438931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29"/>
      <sheetName val="30"/>
      <sheetName val="31"/>
      <sheetName val="28"/>
      <sheetName val="27"/>
      <sheetName val="26"/>
      <sheetName val="25"/>
      <sheetName val="24"/>
      <sheetName val="23"/>
      <sheetName val="22"/>
      <sheetName val="21"/>
      <sheetName val="20"/>
    </sheetNames>
    <sheetDataSet>
      <sheetData sheetId="0">
        <row r="9">
          <cell r="J9">
            <v>0.94257305293041049</v>
          </cell>
        </row>
        <row r="32">
          <cell r="AP32">
            <v>0</v>
          </cell>
          <cell r="AQ32">
            <v>0</v>
          </cell>
        </row>
        <row r="33">
          <cell r="AP33">
            <v>0</v>
          </cell>
          <cell r="AQ33">
            <v>0</v>
          </cell>
        </row>
        <row r="34">
          <cell r="AP34">
            <v>0</v>
          </cell>
          <cell r="AQ34">
            <v>0</v>
          </cell>
        </row>
        <row r="35">
          <cell r="AP35">
            <v>0</v>
          </cell>
          <cell r="AQ35">
            <v>0</v>
          </cell>
        </row>
        <row r="36">
          <cell r="AP36">
            <v>0</v>
          </cell>
          <cell r="AQ36">
            <v>0</v>
          </cell>
        </row>
        <row r="37">
          <cell r="AP37">
            <v>0</v>
          </cell>
          <cell r="AQ37">
            <v>0</v>
          </cell>
        </row>
        <row r="38">
          <cell r="AP38">
            <v>0</v>
          </cell>
          <cell r="AQ38">
            <v>0</v>
          </cell>
        </row>
        <row r="39">
          <cell r="AP39">
            <v>0</v>
          </cell>
          <cell r="AQ3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J4">
            <v>1239</v>
          </cell>
        </row>
      </sheetData>
      <sheetData sheetId="12">
        <row r="4">
          <cell r="J4">
            <v>1310</v>
          </cell>
        </row>
      </sheetData>
      <sheetData sheetId="13">
        <row r="4">
          <cell r="J4">
            <v>1191</v>
          </cell>
        </row>
      </sheetData>
      <sheetData sheetId="14">
        <row r="5">
          <cell r="J5">
            <v>1311.8</v>
          </cell>
        </row>
      </sheetData>
      <sheetData sheetId="15">
        <row r="5">
          <cell r="J5">
            <v>1362</v>
          </cell>
        </row>
      </sheetData>
      <sheetData sheetId="16">
        <row r="5">
          <cell r="J5">
            <v>1930</v>
          </cell>
        </row>
      </sheetData>
      <sheetData sheetId="17">
        <row r="5">
          <cell r="J5">
            <v>2409</v>
          </cell>
        </row>
      </sheetData>
      <sheetData sheetId="18">
        <row r="5">
          <cell r="J5">
            <v>1978</v>
          </cell>
        </row>
      </sheetData>
      <sheetData sheetId="19">
        <row r="5">
          <cell r="J5">
            <v>1819</v>
          </cell>
        </row>
      </sheetData>
      <sheetData sheetId="20">
        <row r="5">
          <cell r="J5">
            <v>1812</v>
          </cell>
        </row>
      </sheetData>
      <sheetData sheetId="21">
        <row r="5">
          <cell r="J5">
            <v>1461</v>
          </cell>
        </row>
      </sheetData>
      <sheetData sheetId="22">
        <row r="5">
          <cell r="J5">
            <v>1429</v>
          </cell>
        </row>
      </sheetData>
      <sheetData sheetId="23">
        <row r="5">
          <cell r="J5">
            <v>1397</v>
          </cell>
        </row>
      </sheetData>
      <sheetData sheetId="24">
        <row r="5">
          <cell r="J5">
            <v>1333</v>
          </cell>
        </row>
      </sheetData>
      <sheetData sheetId="25">
        <row r="5">
          <cell r="J5">
            <v>1260</v>
          </cell>
        </row>
      </sheetData>
      <sheetData sheetId="26">
        <row r="5">
          <cell r="J5">
            <v>1211</v>
          </cell>
        </row>
      </sheetData>
      <sheetData sheetId="27">
        <row r="5">
          <cell r="J5">
            <v>1209</v>
          </cell>
        </row>
      </sheetData>
      <sheetData sheetId="28">
        <row r="5">
          <cell r="J5">
            <v>1253</v>
          </cell>
        </row>
      </sheetData>
      <sheetData sheetId="29">
        <row r="5">
          <cell r="J5">
            <v>1210</v>
          </cell>
        </row>
      </sheetData>
      <sheetData sheetId="30">
        <row r="4">
          <cell r="J4">
            <v>1520</v>
          </cell>
        </row>
      </sheetData>
      <sheetData sheetId="31">
        <row r="4">
          <cell r="J4">
            <v>1065</v>
          </cell>
        </row>
      </sheetData>
      <sheetData sheetId="32">
        <row r="4">
          <cell r="J4">
            <v>1133</v>
          </cell>
        </row>
      </sheetData>
      <sheetData sheetId="33">
        <row r="4">
          <cell r="J4">
            <v>1857</v>
          </cell>
        </row>
      </sheetData>
      <sheetData sheetId="34">
        <row r="4">
          <cell r="J4">
            <v>1602</v>
          </cell>
        </row>
      </sheetData>
      <sheetData sheetId="35">
        <row r="4">
          <cell r="J4">
            <v>1615</v>
          </cell>
        </row>
      </sheetData>
      <sheetData sheetId="36">
        <row r="4">
          <cell r="J4">
            <v>1553</v>
          </cell>
        </row>
      </sheetData>
      <sheetData sheetId="37">
        <row r="4">
          <cell r="J4">
            <v>1597</v>
          </cell>
        </row>
      </sheetData>
      <sheetData sheetId="38">
        <row r="4">
          <cell r="J4">
            <v>1483</v>
          </cell>
        </row>
      </sheetData>
      <sheetData sheetId="39">
        <row r="4">
          <cell r="J4">
            <v>1472</v>
          </cell>
        </row>
      </sheetData>
      <sheetData sheetId="40">
        <row r="4">
          <cell r="J4">
            <v>1568</v>
          </cell>
        </row>
      </sheetData>
      <sheetData sheetId="41">
        <row r="4">
          <cell r="J4">
            <v>1305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">
          <cell r="F4">
            <v>59.673000000000002</v>
          </cell>
        </row>
        <row r="37">
          <cell r="B37">
            <v>0.85269190429667641</v>
          </cell>
          <cell r="D37">
            <v>0.85269190429667641</v>
          </cell>
          <cell r="F37">
            <v>1595.0559999999998</v>
          </cell>
          <cell r="H37">
            <v>2.381692554994935</v>
          </cell>
          <cell r="J37">
            <v>986.51592169804803</v>
          </cell>
          <cell r="L37">
            <v>0.90405788689995714</v>
          </cell>
          <cell r="N37">
            <v>0.90405788689995714</v>
          </cell>
          <cell r="P37">
            <v>1727.1940000000002</v>
          </cell>
          <cell r="R37">
            <v>2.2665021995213039</v>
          </cell>
          <cell r="T37">
            <v>0.27727053243584676</v>
          </cell>
          <cell r="V37">
            <v>627.66337192000401</v>
          </cell>
          <cell r="X37">
            <v>433.98772807223736</v>
          </cell>
          <cell r="Z37">
            <v>0.37501240246787071</v>
          </cell>
          <cell r="AB37">
            <v>0.78662424716927493</v>
          </cell>
          <cell r="AD37">
            <v>500.22699999999998</v>
          </cell>
          <cell r="AF37">
            <v>127.56165626236535</v>
          </cell>
          <cell r="AH37">
            <v>2.1896059189128132</v>
          </cell>
          <cell r="AJ37">
            <v>1225.1600573339688</v>
          </cell>
          <cell r="AL37">
            <v>0</v>
          </cell>
          <cell r="AN37">
            <v>0.89671048774219353</v>
          </cell>
          <cell r="AP37">
            <v>0.89671048774219353</v>
          </cell>
          <cell r="AR37">
            <v>1468.2629999999999</v>
          </cell>
          <cell r="AT37">
            <v>103.12301533327545</v>
          </cell>
          <cell r="AV37">
            <v>1.3725742595161767</v>
          </cell>
          <cell r="AX37">
            <v>0.20248415985419507</v>
          </cell>
          <cell r="AZ37">
            <v>823.10739969610347</v>
          </cell>
          <cell r="BB37">
            <v>492.04251854061584</v>
          </cell>
          <cell r="BD37">
            <v>6.3263870301165506</v>
          </cell>
          <cell r="BF37">
            <v>0.89079472610344168</v>
          </cell>
          <cell r="BH37">
            <v>0.89079472610344168</v>
          </cell>
          <cell r="BJ37">
            <v>1394.1029999999998</v>
          </cell>
          <cell r="BL37">
            <v>2.7063997423432848</v>
          </cell>
          <cell r="BN37">
            <v>0</v>
          </cell>
          <cell r="BP37">
            <v>1148.9756352292482</v>
          </cell>
          <cell r="BR37">
            <v>0</v>
          </cell>
          <cell r="BT37">
            <v>0.88250458205810622</v>
          </cell>
          <cell r="BV37">
            <v>0.88250458205810622</v>
          </cell>
          <cell r="BX37">
            <v>1387.3030000000003</v>
          </cell>
          <cell r="BZ37">
            <v>79.985776366492942</v>
          </cell>
          <cell r="CB37">
            <v>2.0503812072777174</v>
          </cell>
          <cell r="CD37">
            <v>0.20507416188100216</v>
          </cell>
          <cell r="CF37">
            <v>562.52897888925327</v>
          </cell>
          <cell r="CH37">
            <v>497.97583916419126</v>
          </cell>
          <cell r="CJ37">
            <v>0</v>
          </cell>
        </row>
      </sheetData>
      <sheetData sheetId="1" refreshError="1"/>
      <sheetData sheetId="2" refreshError="1"/>
      <sheetData sheetId="3" refreshError="1"/>
      <sheetData sheetId="4">
        <row r="3">
          <cell r="H3" t="str">
            <v>Rata-rata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N6">
            <v>610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17.940999999999999</v>
          </cell>
        </row>
        <row r="38">
          <cell r="B38">
            <v>0.81961610597326295</v>
          </cell>
          <cell r="C38">
            <v>0</v>
          </cell>
          <cell r="D38">
            <v>0.83793083858755912</v>
          </cell>
          <cell r="E38">
            <v>0</v>
          </cell>
          <cell r="F38">
            <v>1655.8839999999998</v>
          </cell>
          <cell r="G38">
            <v>0</v>
          </cell>
          <cell r="H38">
            <v>2.3800163538025614</v>
          </cell>
          <cell r="I38">
            <v>0</v>
          </cell>
          <cell r="J38">
            <v>987.22519210282826</v>
          </cell>
          <cell r="K38">
            <v>0</v>
          </cell>
          <cell r="L38">
            <v>0.84175524031029192</v>
          </cell>
          <cell r="M38">
            <v>0</v>
          </cell>
          <cell r="N38">
            <v>0.87679263832975451</v>
          </cell>
          <cell r="O38">
            <v>0</v>
          </cell>
          <cell r="P38">
            <v>1649.2969999999998</v>
          </cell>
          <cell r="Q38">
            <v>0</v>
          </cell>
          <cell r="R38">
            <v>2.3196877214958866</v>
          </cell>
          <cell r="S38">
            <v>0</v>
          </cell>
          <cell r="T38">
            <v>0.24616548747739192</v>
          </cell>
          <cell r="U38">
            <v>0</v>
          </cell>
          <cell r="V38">
            <v>616.10298205841684</v>
          </cell>
          <cell r="W38">
            <v>0</v>
          </cell>
          <cell r="X38">
            <v>486.41123339216654</v>
          </cell>
          <cell r="Y38">
            <v>0</v>
          </cell>
          <cell r="Z38">
            <v>0.51081756803054779</v>
          </cell>
          <cell r="AA38">
            <v>0</v>
          </cell>
          <cell r="AB38">
            <v>0.80748845980230732</v>
          </cell>
          <cell r="AC38">
            <v>0</v>
          </cell>
          <cell r="AD38">
            <v>700.59100000000012</v>
          </cell>
          <cell r="AE38">
            <v>0</v>
          </cell>
          <cell r="AF38">
            <v>110.32386420254063</v>
          </cell>
          <cell r="AG38">
            <v>0</v>
          </cell>
          <cell r="AH38">
            <v>1.9417891465919492</v>
          </cell>
          <cell r="AI38">
            <v>0</v>
          </cell>
          <cell r="AJ38">
            <v>1127.8883114399123</v>
          </cell>
          <cell r="AK38">
            <v>0</v>
          </cell>
          <cell r="AL38">
            <v>0</v>
          </cell>
          <cell r="AM38">
            <v>0</v>
          </cell>
          <cell r="AN38">
            <v>0.78888926318585439</v>
          </cell>
          <cell r="AO38">
            <v>0</v>
          </cell>
          <cell r="AP38">
            <v>0.80397212983171706</v>
          </cell>
          <cell r="AQ38">
            <v>0</v>
          </cell>
          <cell r="AR38">
            <v>1297.2190000000005</v>
          </cell>
          <cell r="AS38">
            <v>0</v>
          </cell>
          <cell r="AT38">
            <v>120.055903115169</v>
          </cell>
          <cell r="AU38">
            <v>0</v>
          </cell>
          <cell r="AV38">
            <v>1.4886460959945849</v>
          </cell>
          <cell r="AW38">
            <v>0</v>
          </cell>
          <cell r="AX38">
            <v>0.19526386832138592</v>
          </cell>
          <cell r="AY38">
            <v>0</v>
          </cell>
          <cell r="AZ38">
            <v>913.20617413096761</v>
          </cell>
          <cell r="BA38">
            <v>0</v>
          </cell>
          <cell r="BB38">
            <v>493.47212151533398</v>
          </cell>
          <cell r="BC38">
            <v>0</v>
          </cell>
          <cell r="BD38">
            <v>2.9987226520733956</v>
          </cell>
          <cell r="BE38">
            <v>0</v>
          </cell>
          <cell r="BF38">
            <v>0.84480150722122049</v>
          </cell>
          <cell r="BG38">
            <v>0</v>
          </cell>
          <cell r="BH38">
            <v>0.85404308554088593</v>
          </cell>
          <cell r="BI38">
            <v>0</v>
          </cell>
          <cell r="BJ38">
            <v>1387.3799999999999</v>
          </cell>
          <cell r="BK38">
            <v>0</v>
          </cell>
          <cell r="BL38">
            <v>2.8414709740662256</v>
          </cell>
          <cell r="BM38">
            <v>0</v>
          </cell>
          <cell r="BN38">
            <v>0</v>
          </cell>
          <cell r="BO38">
            <v>0</v>
          </cell>
          <cell r="BP38">
            <v>1094.5930657786623</v>
          </cell>
          <cell r="BQ38">
            <v>0</v>
          </cell>
          <cell r="BR38">
            <v>0</v>
          </cell>
          <cell r="BS38">
            <v>0</v>
          </cell>
          <cell r="BT38">
            <v>0.56906056118136883</v>
          </cell>
          <cell r="BU38">
            <v>0</v>
          </cell>
          <cell r="BV38">
            <v>0.79794558249051384</v>
          </cell>
          <cell r="BW38">
            <v>0</v>
          </cell>
          <cell r="BX38">
            <v>904.63799999999992</v>
          </cell>
          <cell r="BY38">
            <v>0</v>
          </cell>
          <cell r="BZ38">
            <v>98.183245752799891</v>
          </cell>
          <cell r="CA38">
            <v>0</v>
          </cell>
          <cell r="CB38">
            <v>2.3456896570783012</v>
          </cell>
          <cell r="CC38">
            <v>0</v>
          </cell>
          <cell r="CD38">
            <v>1.3817681768840134E-2</v>
          </cell>
          <cell r="CE38">
            <v>0</v>
          </cell>
          <cell r="CF38">
            <v>1025.3921152991588</v>
          </cell>
          <cell r="CG38">
            <v>0</v>
          </cell>
          <cell r="CH38">
            <v>32.403016455200856</v>
          </cell>
          <cell r="CI38">
            <v>0</v>
          </cell>
          <cell r="CJ38">
            <v>0</v>
          </cell>
          <cell r="CK38">
            <v>0</v>
          </cell>
        </row>
      </sheetData>
      <sheetData sheetId="1">
        <row r="41">
          <cell r="P41">
            <v>1762.4719999999998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N6">
            <v>629</v>
          </cell>
        </row>
      </sheetData>
      <sheetData sheetId="21"/>
      <sheetData sheetId="22">
        <row r="6">
          <cell r="N6">
            <v>697</v>
          </cell>
        </row>
      </sheetData>
      <sheetData sheetId="23">
        <row r="6">
          <cell r="N6">
            <v>613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">
          <cell r="F4">
            <v>64.293999999999997</v>
          </cell>
        </row>
        <row r="39">
          <cell r="B39">
            <v>0.903990808274441</v>
          </cell>
          <cell r="C39">
            <v>0</v>
          </cell>
          <cell r="D39">
            <v>0.90437903832375621</v>
          </cell>
          <cell r="E39">
            <v>0</v>
          </cell>
          <cell r="F39">
            <v>1787.5840000000001</v>
          </cell>
          <cell r="G39">
            <v>0</v>
          </cell>
          <cell r="H39">
            <v>2.2781228742257711</v>
          </cell>
          <cell r="I39">
            <v>0</v>
          </cell>
          <cell r="J39">
            <v>915.86317621997148</v>
          </cell>
          <cell r="K39">
            <v>0</v>
          </cell>
          <cell r="L39">
            <v>0.9123567896542889</v>
          </cell>
          <cell r="M39">
            <v>0</v>
          </cell>
          <cell r="N39">
            <v>0.91641187210867769</v>
          </cell>
          <cell r="O39">
            <v>0</v>
          </cell>
          <cell r="P39">
            <v>1733.4829999999997</v>
          </cell>
          <cell r="Q39">
            <v>0</v>
          </cell>
          <cell r="R39">
            <v>2.0999496389638668</v>
          </cell>
          <cell r="S39">
            <v>0</v>
          </cell>
          <cell r="T39">
            <v>0.29126331207170764</v>
          </cell>
          <cell r="U39">
            <v>0</v>
          </cell>
          <cell r="V39">
            <v>594.5770105619722</v>
          </cell>
          <cell r="W39">
            <v>0</v>
          </cell>
          <cell r="X39">
            <v>459.61050670817082</v>
          </cell>
          <cell r="Y39">
            <v>0</v>
          </cell>
          <cell r="Z39">
            <v>0.31795967338482251</v>
          </cell>
          <cell r="AA39">
            <v>0</v>
          </cell>
          <cell r="AB39">
            <v>0.77060412200599582</v>
          </cell>
          <cell r="AC39">
            <v>0</v>
          </cell>
          <cell r="AD39">
            <v>413.67199999999991</v>
          </cell>
          <cell r="AE39">
            <v>0</v>
          </cell>
          <cell r="AF39">
            <v>99.280285249300306</v>
          </cell>
          <cell r="AG39">
            <v>0</v>
          </cell>
          <cell r="AH39">
            <v>1.8947378599470119</v>
          </cell>
          <cell r="AI39">
            <v>0</v>
          </cell>
          <cell r="AJ39">
            <v>1272.9030729660244</v>
          </cell>
          <cell r="AK39">
            <v>0</v>
          </cell>
          <cell r="AL39">
            <v>0</v>
          </cell>
          <cell r="AM39">
            <v>0</v>
          </cell>
          <cell r="AN39">
            <v>0.880306580757235</v>
          </cell>
          <cell r="AO39">
            <v>0</v>
          </cell>
          <cell r="AP39">
            <v>0.89025454042732222</v>
          </cell>
          <cell r="AQ39">
            <v>0</v>
          </cell>
          <cell r="AR39">
            <v>1341.886</v>
          </cell>
          <cell r="AS39">
            <v>0</v>
          </cell>
          <cell r="AT39">
            <v>122.30106022435156</v>
          </cell>
          <cell r="AU39">
            <v>0</v>
          </cell>
          <cell r="AV39">
            <v>1.4501977068096692</v>
          </cell>
          <cell r="AW39">
            <v>0</v>
          </cell>
          <cell r="AX39">
            <v>6.3790813824721321E-2</v>
          </cell>
          <cell r="AY39">
            <v>0</v>
          </cell>
          <cell r="AZ39">
            <v>910.28921979959557</v>
          </cell>
          <cell r="BA39">
            <v>0</v>
          </cell>
          <cell r="BB39">
            <v>164.14175272713183</v>
          </cell>
          <cell r="BC39">
            <v>0</v>
          </cell>
          <cell r="BD39">
            <v>2.0120934267143409</v>
          </cell>
          <cell r="BE39">
            <v>0</v>
          </cell>
          <cell r="BF39">
            <v>0.84682779620148241</v>
          </cell>
          <cell r="BG39">
            <v>0</v>
          </cell>
          <cell r="BH39">
            <v>0.84682779620148241</v>
          </cell>
          <cell r="BI39">
            <v>0</v>
          </cell>
          <cell r="BJ39">
            <v>1322.9140000000002</v>
          </cell>
          <cell r="BK39">
            <v>0</v>
          </cell>
          <cell r="BL39">
            <v>2.6480179361621383</v>
          </cell>
          <cell r="BM39">
            <v>0</v>
          </cell>
          <cell r="BN39">
            <v>0</v>
          </cell>
          <cell r="BO39">
            <v>0</v>
          </cell>
          <cell r="BP39">
            <v>1045.6073032714144</v>
          </cell>
          <cell r="BQ39">
            <v>0</v>
          </cell>
          <cell r="BR39">
            <v>0</v>
          </cell>
          <cell r="BS39">
            <v>0</v>
          </cell>
          <cell r="BT39">
            <v>0.84513581917015268</v>
          </cell>
          <cell r="BU39">
            <v>0</v>
          </cell>
          <cell r="BV39">
            <v>0.84822809271497868</v>
          </cell>
          <cell r="BW39">
            <v>0</v>
          </cell>
          <cell r="BX39">
            <v>1346.3750000000002</v>
          </cell>
          <cell r="BY39">
            <v>0</v>
          </cell>
          <cell r="BZ39">
            <v>79.267993939383302</v>
          </cell>
          <cell r="CA39">
            <v>0</v>
          </cell>
          <cell r="CB39">
            <v>1.9571070466994711</v>
          </cell>
          <cell r="CC39">
            <v>0</v>
          </cell>
          <cell r="CD39">
            <v>0.21004549252622781</v>
          </cell>
          <cell r="CE39">
            <v>0</v>
          </cell>
          <cell r="CF39">
            <v>810.96020053848281</v>
          </cell>
          <cell r="CG39">
            <v>0</v>
          </cell>
          <cell r="CH39">
            <v>541.04427072695194</v>
          </cell>
          <cell r="CI39">
            <v>0</v>
          </cell>
          <cell r="CJ39">
            <v>2.8892396249187628</v>
          </cell>
          <cell r="CK39">
            <v>0</v>
          </cell>
        </row>
        <row r="40">
          <cell r="CJ40">
            <v>2.4682831581832825</v>
          </cell>
          <cell r="CK40">
            <v>0</v>
          </cell>
        </row>
        <row r="41">
          <cell r="CJ41">
            <v>14.750731402459706</v>
          </cell>
          <cell r="CK41">
            <v>0</v>
          </cell>
        </row>
        <row r="42">
          <cell r="CJ42">
            <v>0</v>
          </cell>
          <cell r="CK42">
            <v>0</v>
          </cell>
        </row>
        <row r="43">
          <cell r="CJ43">
            <v>19.550648754712846</v>
          </cell>
          <cell r="CK43">
            <v>0</v>
          </cell>
        </row>
        <row r="44">
          <cell r="CJ44">
            <v>0</v>
          </cell>
          <cell r="CK44">
            <v>0</v>
          </cell>
        </row>
        <row r="45">
          <cell r="CJ45">
            <v>3.7653073278297011</v>
          </cell>
          <cell r="CK45">
            <v>0</v>
          </cell>
        </row>
        <row r="46">
          <cell r="CJ46">
            <v>0</v>
          </cell>
          <cell r="CK46">
            <v>0</v>
          </cell>
        </row>
        <row r="47">
          <cell r="CJ47">
            <v>8.7308903741261457</v>
          </cell>
          <cell r="CK47">
            <v>0</v>
          </cell>
        </row>
      </sheetData>
      <sheetData sheetId="1">
        <row r="41">
          <cell r="P41">
            <v>1826.1110000000006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G3">
            <v>8.4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6">
          <cell r="N6">
            <v>760</v>
          </cell>
        </row>
      </sheetData>
      <sheetData sheetId="17">
        <row r="6">
          <cell r="N6">
            <v>655</v>
          </cell>
        </row>
      </sheetData>
      <sheetData sheetId="18">
        <row r="6">
          <cell r="N6">
            <v>795</v>
          </cell>
        </row>
      </sheetData>
      <sheetData sheetId="19">
        <row r="6">
          <cell r="N6">
            <v>706</v>
          </cell>
        </row>
      </sheetData>
      <sheetData sheetId="20">
        <row r="6">
          <cell r="N6">
            <v>638</v>
          </cell>
        </row>
      </sheetData>
      <sheetData sheetId="21">
        <row r="6">
          <cell r="N6">
            <v>705</v>
          </cell>
        </row>
      </sheetData>
      <sheetData sheetId="22">
        <row r="6">
          <cell r="N6">
            <v>733</v>
          </cell>
        </row>
      </sheetData>
      <sheetData sheetId="23">
        <row r="6">
          <cell r="N6">
            <v>740</v>
          </cell>
        </row>
      </sheetData>
      <sheetData sheetId="24">
        <row r="6">
          <cell r="N6">
            <v>535</v>
          </cell>
        </row>
      </sheetData>
      <sheetData sheetId="25">
        <row r="6">
          <cell r="N6">
            <v>584</v>
          </cell>
        </row>
      </sheetData>
      <sheetData sheetId="26">
        <row r="6">
          <cell r="N6">
            <v>601</v>
          </cell>
        </row>
      </sheetData>
      <sheetData sheetId="27">
        <row r="6">
          <cell r="N6">
            <v>737</v>
          </cell>
        </row>
      </sheetData>
      <sheetData sheetId="28">
        <row r="6">
          <cell r="N6">
            <v>620</v>
          </cell>
        </row>
      </sheetData>
      <sheetData sheetId="29">
        <row r="6">
          <cell r="N6">
            <v>615</v>
          </cell>
        </row>
      </sheetData>
      <sheetData sheetId="30">
        <row r="6">
          <cell r="N6">
            <v>670</v>
          </cell>
        </row>
      </sheetData>
      <sheetData sheetId="31">
        <row r="6">
          <cell r="N6">
            <v>675</v>
          </cell>
        </row>
      </sheetData>
      <sheetData sheetId="32">
        <row r="6">
          <cell r="N6">
            <v>590</v>
          </cell>
        </row>
      </sheetData>
      <sheetData sheetId="33">
        <row r="6">
          <cell r="N6">
            <v>549</v>
          </cell>
        </row>
      </sheetData>
      <sheetData sheetId="34">
        <row r="6">
          <cell r="N6">
            <v>660</v>
          </cell>
        </row>
      </sheetData>
      <sheetData sheetId="35">
        <row r="6">
          <cell r="N6">
            <v>616</v>
          </cell>
        </row>
      </sheetData>
      <sheetData sheetId="36">
        <row r="6">
          <cell r="N6">
            <v>477</v>
          </cell>
        </row>
      </sheetData>
      <sheetData sheetId="37">
        <row r="6">
          <cell r="N6">
            <v>576</v>
          </cell>
        </row>
      </sheetData>
      <sheetData sheetId="38">
        <row r="6">
          <cell r="N6">
            <v>654</v>
          </cell>
        </row>
      </sheetData>
      <sheetData sheetId="39">
        <row r="6">
          <cell r="N6">
            <v>633</v>
          </cell>
        </row>
      </sheetData>
      <sheetData sheetId="40">
        <row r="6">
          <cell r="N6">
            <v>678</v>
          </cell>
        </row>
      </sheetData>
      <sheetData sheetId="41">
        <row r="6">
          <cell r="N6">
            <v>513</v>
          </cell>
        </row>
      </sheetData>
      <sheetData sheetId="4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7.7140000000000004</v>
          </cell>
        </row>
        <row r="40">
          <cell r="B40">
            <v>0.89986679210292397</v>
          </cell>
          <cell r="C40">
            <v>0</v>
          </cell>
          <cell r="D40">
            <v>0.90007770455700553</v>
          </cell>
          <cell r="E40">
            <v>0</v>
          </cell>
          <cell r="F40">
            <v>1865.5170000000001</v>
          </cell>
          <cell r="G40">
            <v>0</v>
          </cell>
          <cell r="H40">
            <v>2.2984748999875095</v>
          </cell>
          <cell r="I40">
            <v>0</v>
          </cell>
          <cell r="J40">
            <v>910.11683088387656</v>
          </cell>
          <cell r="K40">
            <v>0</v>
          </cell>
          <cell r="L40">
            <v>0.88665975535746266</v>
          </cell>
          <cell r="M40">
            <v>0</v>
          </cell>
          <cell r="N40">
            <v>0.91130227636045102</v>
          </cell>
          <cell r="O40">
            <v>0</v>
          </cell>
          <cell r="P40">
            <v>1681.0409999999997</v>
          </cell>
          <cell r="Q40">
            <v>0</v>
          </cell>
          <cell r="R40">
            <v>2.3611024359310693</v>
          </cell>
          <cell r="S40">
            <v>0</v>
          </cell>
          <cell r="T40">
            <v>8.5601719410769897E-2</v>
          </cell>
          <cell r="U40">
            <v>0</v>
          </cell>
          <cell r="V40">
            <v>751.421904641232</v>
          </cell>
          <cell r="W40">
            <v>0</v>
          </cell>
          <cell r="X40">
            <v>160.39777732964276</v>
          </cell>
          <cell r="Y40">
            <v>0</v>
          </cell>
          <cell r="Z40">
            <v>0.90643195002874466</v>
          </cell>
          <cell r="AA40">
            <v>0</v>
          </cell>
          <cell r="AB40">
            <v>0.90643195002874466</v>
          </cell>
          <cell r="AC40">
            <v>0</v>
          </cell>
          <cell r="AD40">
            <v>1304.5220000000002</v>
          </cell>
          <cell r="AE40">
            <v>0</v>
          </cell>
          <cell r="AF40">
            <v>93.687912863926385</v>
          </cell>
          <cell r="AG40">
            <v>0</v>
          </cell>
          <cell r="AH40">
            <v>1.3601917024013392</v>
          </cell>
          <cell r="AI40">
            <v>0</v>
          </cell>
          <cell r="AJ40">
            <v>867.9948824167011</v>
          </cell>
          <cell r="AK40">
            <v>0</v>
          </cell>
          <cell r="AL40">
            <v>0</v>
          </cell>
          <cell r="AM40">
            <v>0</v>
          </cell>
          <cell r="AN40">
            <v>0.89554898846394682</v>
          </cell>
          <cell r="AO40">
            <v>0</v>
          </cell>
          <cell r="AP40">
            <v>0.90516622970016913</v>
          </cell>
          <cell r="AQ40">
            <v>0</v>
          </cell>
          <cell r="AR40">
            <v>1480.133</v>
          </cell>
          <cell r="AS40">
            <v>0</v>
          </cell>
          <cell r="AT40">
            <v>101.4464316391317</v>
          </cell>
          <cell r="AU40">
            <v>0</v>
          </cell>
          <cell r="AV40">
            <v>1.4403435366956892</v>
          </cell>
          <cell r="AW40">
            <v>0</v>
          </cell>
          <cell r="AX40">
            <v>0.14586527021558199</v>
          </cell>
          <cell r="AY40">
            <v>0</v>
          </cell>
          <cell r="AZ40">
            <v>849.3617938387971</v>
          </cell>
          <cell r="BA40">
            <v>0</v>
          </cell>
          <cell r="BB40">
            <v>387.77382640614013</v>
          </cell>
          <cell r="BC40">
            <v>0</v>
          </cell>
          <cell r="BD40">
            <v>4.1014476401782778</v>
          </cell>
          <cell r="BE40">
            <v>0</v>
          </cell>
          <cell r="BF40">
            <v>0.90695192925845458</v>
          </cell>
          <cell r="BG40">
            <v>0</v>
          </cell>
          <cell r="BH40">
            <v>0.90825057016469368</v>
          </cell>
          <cell r="BI40">
            <v>0</v>
          </cell>
          <cell r="BJ40">
            <v>1465.1599999999999</v>
          </cell>
          <cell r="BK40">
            <v>0</v>
          </cell>
          <cell r="BL40">
            <v>2.859209915640613</v>
          </cell>
          <cell r="BM40">
            <v>0</v>
          </cell>
          <cell r="BN40">
            <v>0</v>
          </cell>
          <cell r="BO40">
            <v>0</v>
          </cell>
          <cell r="BP40">
            <v>1013.158972398919</v>
          </cell>
          <cell r="BQ40">
            <v>0</v>
          </cell>
          <cell r="BR40">
            <v>0</v>
          </cell>
          <cell r="BS40">
            <v>0</v>
          </cell>
          <cell r="BT40">
            <v>0.86462303428543996</v>
          </cell>
          <cell r="BU40">
            <v>0</v>
          </cell>
          <cell r="BV40">
            <v>0.87445112764829958</v>
          </cell>
          <cell r="BW40">
            <v>0</v>
          </cell>
          <cell r="BX40">
            <v>1364.3539999999998</v>
          </cell>
          <cell r="BY40">
            <v>0</v>
          </cell>
          <cell r="BZ40">
            <v>84.357025620624938</v>
          </cell>
          <cell r="CA40">
            <v>0</v>
          </cell>
          <cell r="CB40">
            <v>2.027780180217158</v>
          </cell>
          <cell r="CC40">
            <v>0</v>
          </cell>
          <cell r="CD40">
            <v>7.468736119804685E-2</v>
          </cell>
          <cell r="CE40">
            <v>0</v>
          </cell>
          <cell r="CF40">
            <v>883.67533645959929</v>
          </cell>
          <cell r="CG40">
            <v>0</v>
          </cell>
          <cell r="CH40">
            <v>193.15194077197017</v>
          </cell>
          <cell r="CI40">
            <v>0</v>
          </cell>
          <cell r="CJ40">
            <v>2.4682831581832825</v>
          </cell>
          <cell r="CK40">
            <v>0</v>
          </cell>
        </row>
      </sheetData>
      <sheetData sheetId="1">
        <row r="41">
          <cell r="P41">
            <v>1922.6600000000003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380.7</v>
          </cell>
        </row>
      </sheetData>
      <sheetData sheetId="13">
        <row r="6">
          <cell r="N6">
            <v>582</v>
          </cell>
        </row>
      </sheetData>
      <sheetData sheetId="14">
        <row r="6">
          <cell r="N6">
            <v>566</v>
          </cell>
        </row>
      </sheetData>
      <sheetData sheetId="15">
        <row r="6">
          <cell r="N6">
            <v>590</v>
          </cell>
        </row>
      </sheetData>
      <sheetData sheetId="16">
        <row r="6">
          <cell r="N6">
            <v>635</v>
          </cell>
        </row>
      </sheetData>
      <sheetData sheetId="17">
        <row r="6">
          <cell r="N6">
            <v>584</v>
          </cell>
        </row>
      </sheetData>
      <sheetData sheetId="18">
        <row r="6">
          <cell r="N6">
            <v>663</v>
          </cell>
        </row>
      </sheetData>
      <sheetData sheetId="19">
        <row r="6">
          <cell r="N6">
            <v>600</v>
          </cell>
        </row>
      </sheetData>
      <sheetData sheetId="20">
        <row r="6">
          <cell r="N6">
            <v>659</v>
          </cell>
        </row>
      </sheetData>
      <sheetData sheetId="21">
        <row r="6">
          <cell r="N6">
            <v>645</v>
          </cell>
        </row>
      </sheetData>
      <sheetData sheetId="22">
        <row r="6">
          <cell r="N6">
            <v>600</v>
          </cell>
        </row>
      </sheetData>
      <sheetData sheetId="23">
        <row r="6">
          <cell r="N6">
            <v>600</v>
          </cell>
        </row>
      </sheetData>
      <sheetData sheetId="24">
        <row r="6">
          <cell r="N6">
            <v>635</v>
          </cell>
        </row>
      </sheetData>
      <sheetData sheetId="25">
        <row r="6">
          <cell r="N6">
            <v>708</v>
          </cell>
        </row>
      </sheetData>
      <sheetData sheetId="26">
        <row r="6">
          <cell r="N6">
            <v>611</v>
          </cell>
        </row>
      </sheetData>
      <sheetData sheetId="27">
        <row r="6">
          <cell r="N6">
            <v>563</v>
          </cell>
        </row>
      </sheetData>
      <sheetData sheetId="28">
        <row r="6">
          <cell r="N6">
            <v>575</v>
          </cell>
        </row>
      </sheetData>
      <sheetData sheetId="29">
        <row r="6">
          <cell r="N6">
            <v>596</v>
          </cell>
        </row>
      </sheetData>
      <sheetData sheetId="30">
        <row r="6">
          <cell r="N6">
            <v>572</v>
          </cell>
        </row>
      </sheetData>
      <sheetData sheetId="31">
        <row r="6">
          <cell r="N6">
            <v>575</v>
          </cell>
        </row>
      </sheetData>
      <sheetData sheetId="32">
        <row r="6">
          <cell r="N6">
            <v>681</v>
          </cell>
        </row>
      </sheetData>
      <sheetData sheetId="33"/>
      <sheetData sheetId="34"/>
      <sheetData sheetId="35"/>
      <sheetData sheetId="36">
        <row r="6">
          <cell r="N6">
            <v>593</v>
          </cell>
        </row>
      </sheetData>
      <sheetData sheetId="37">
        <row r="6">
          <cell r="N6">
            <v>660</v>
          </cell>
        </row>
      </sheetData>
      <sheetData sheetId="38">
        <row r="6">
          <cell r="N6">
            <v>705</v>
          </cell>
        </row>
      </sheetData>
      <sheetData sheetId="39">
        <row r="6">
          <cell r="N6">
            <v>682</v>
          </cell>
        </row>
      </sheetData>
      <sheetData sheetId="40">
        <row r="6">
          <cell r="N6">
            <v>680</v>
          </cell>
        </row>
      </sheetData>
      <sheetData sheetId="41">
        <row r="6">
          <cell r="N6">
            <v>626</v>
          </cell>
        </row>
      </sheetData>
      <sheetData sheetId="42">
        <row r="6">
          <cell r="N6">
            <v>265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1">
          <cell r="B41">
            <v>0.83939758980569712</v>
          </cell>
          <cell r="C41">
            <v>0</v>
          </cell>
          <cell r="D41">
            <v>0.84053150634019802</v>
          </cell>
          <cell r="E41">
            <v>0</v>
          </cell>
          <cell r="F41">
            <v>1669.0300000000004</v>
          </cell>
          <cell r="G41">
            <v>0</v>
          </cell>
          <cell r="H41">
            <v>2.4391880313715144</v>
          </cell>
          <cell r="I41">
            <v>0</v>
          </cell>
          <cell r="J41">
            <v>1033.4658693971942</v>
          </cell>
          <cell r="K41">
            <v>0</v>
          </cell>
          <cell r="L41">
            <v>0.88164645374478923</v>
          </cell>
          <cell r="M41">
            <v>0</v>
          </cell>
          <cell r="N41">
            <v>0.90721678437063535</v>
          </cell>
          <cell r="O41">
            <v>0</v>
          </cell>
          <cell r="P41">
            <v>1849.2530000000002</v>
          </cell>
          <cell r="Q41">
            <v>0</v>
          </cell>
          <cell r="R41">
            <v>2.6039627892992474</v>
          </cell>
          <cell r="S41">
            <v>0</v>
          </cell>
          <cell r="T41">
            <v>0.22857878289233541</v>
          </cell>
          <cell r="U41">
            <v>0</v>
          </cell>
          <cell r="V41">
            <v>604.72261502347192</v>
          </cell>
          <cell r="W41">
            <v>0</v>
          </cell>
          <cell r="X41">
            <v>521.7858237893895</v>
          </cell>
          <cell r="Y41">
            <v>0</v>
          </cell>
          <cell r="Z41">
            <v>0.88193173114859524</v>
          </cell>
          <cell r="AA41">
            <v>0</v>
          </cell>
          <cell r="AB41">
            <v>0.88340653340367237</v>
          </cell>
          <cell r="AC41">
            <v>0</v>
          </cell>
          <cell r="AD41">
            <v>1253.7050000000004</v>
          </cell>
          <cell r="AE41">
            <v>0</v>
          </cell>
          <cell r="AF41">
            <v>98.517030917360543</v>
          </cell>
          <cell r="AG41">
            <v>0</v>
          </cell>
          <cell r="AH41">
            <v>1.4871121994408565</v>
          </cell>
          <cell r="AI41">
            <v>0</v>
          </cell>
          <cell r="AJ41">
            <v>885.26051981925434</v>
          </cell>
          <cell r="AK41">
            <v>0</v>
          </cell>
          <cell r="AL41">
            <v>0</v>
          </cell>
          <cell r="AM41">
            <v>0</v>
          </cell>
          <cell r="AN41">
            <v>0.88320076687716276</v>
          </cell>
          <cell r="AO41">
            <v>0</v>
          </cell>
          <cell r="AP41">
            <v>0.89534439715396263</v>
          </cell>
          <cell r="AQ41">
            <v>0</v>
          </cell>
          <cell r="AR41">
            <v>1406.635</v>
          </cell>
          <cell r="AS41">
            <v>0</v>
          </cell>
          <cell r="AT41">
            <v>105.33379299664101</v>
          </cell>
          <cell r="AU41">
            <v>0</v>
          </cell>
          <cell r="AV41">
            <v>1.5242049287839419</v>
          </cell>
          <cell r="AW41">
            <v>0</v>
          </cell>
          <cell r="AX41">
            <v>8.076011189825362E-2</v>
          </cell>
          <cell r="AY41">
            <v>0</v>
          </cell>
          <cell r="AZ41">
            <v>927.60064977766092</v>
          </cell>
          <cell r="BA41">
            <v>0</v>
          </cell>
          <cell r="BB41">
            <v>240.2739175407979</v>
          </cell>
          <cell r="BC41">
            <v>0</v>
          </cell>
          <cell r="BD41">
            <v>16.955357999765397</v>
          </cell>
          <cell r="BE41">
            <v>0</v>
          </cell>
          <cell r="BF41">
            <v>0.88101947107260103</v>
          </cell>
          <cell r="BG41">
            <v>0</v>
          </cell>
          <cell r="BH41">
            <v>0.88362769927484108</v>
          </cell>
          <cell r="BI41">
            <v>0</v>
          </cell>
          <cell r="BJ41">
            <v>1457.0090000000002</v>
          </cell>
          <cell r="BK41">
            <v>0</v>
          </cell>
          <cell r="BL41">
            <v>2.7597633233562728</v>
          </cell>
          <cell r="BM41">
            <v>0</v>
          </cell>
          <cell r="BN41">
            <v>0</v>
          </cell>
          <cell r="BO41">
            <v>0</v>
          </cell>
          <cell r="BP41">
            <v>932.94369492569979</v>
          </cell>
          <cell r="BQ41">
            <v>0</v>
          </cell>
          <cell r="BR41">
            <v>0</v>
          </cell>
          <cell r="BS41">
            <v>0</v>
          </cell>
          <cell r="BT41">
            <v>0.89958178262093658</v>
          </cell>
          <cell r="BU41">
            <v>0</v>
          </cell>
          <cell r="BV41">
            <v>0.90458737037626458</v>
          </cell>
          <cell r="BW41">
            <v>0</v>
          </cell>
          <cell r="BX41">
            <v>1385.694</v>
          </cell>
          <cell r="BY41">
            <v>0</v>
          </cell>
          <cell r="BZ41">
            <v>82.805082393313654</v>
          </cell>
          <cell r="CA41">
            <v>0</v>
          </cell>
          <cell r="CB41">
            <v>1.9750969550275892</v>
          </cell>
          <cell r="CC41">
            <v>0</v>
          </cell>
          <cell r="CD41">
            <v>5.6505981840146526E-2</v>
          </cell>
          <cell r="CE41">
            <v>0</v>
          </cell>
          <cell r="CF41">
            <v>886.8080976030775</v>
          </cell>
          <cell r="CG41">
            <v>0</v>
          </cell>
          <cell r="CH41">
            <v>150.23872370090368</v>
          </cell>
          <cell r="CI41">
            <v>0</v>
          </cell>
          <cell r="CJ41">
            <v>14.750731402459706</v>
          </cell>
          <cell r="CK4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2">
          <cell r="B42">
            <v>0.89683016748794442</v>
          </cell>
          <cell r="C42">
            <v>0</v>
          </cell>
          <cell r="D42">
            <v>0.91651254782215474</v>
          </cell>
          <cell r="E42">
            <v>0</v>
          </cell>
          <cell r="F42">
            <v>1608.12</v>
          </cell>
          <cell r="G42">
            <v>0</v>
          </cell>
          <cell r="H42">
            <v>2.3160037808123777</v>
          </cell>
          <cell r="I42">
            <v>0</v>
          </cell>
          <cell r="J42">
            <v>1025.4408439668696</v>
          </cell>
          <cell r="K42">
            <v>0</v>
          </cell>
          <cell r="L42">
            <v>0.92866754762333059</v>
          </cell>
          <cell r="M42">
            <v>0</v>
          </cell>
          <cell r="N42">
            <v>0.93793898235070616</v>
          </cell>
          <cell r="O42">
            <v>0</v>
          </cell>
          <cell r="P42">
            <v>1827.3590000000004</v>
          </cell>
          <cell r="Q42">
            <v>0</v>
          </cell>
          <cell r="R42">
            <v>2.0916446631450083</v>
          </cell>
          <cell r="S42">
            <v>0</v>
          </cell>
          <cell r="T42">
            <v>0.23153633194134263</v>
          </cell>
          <cell r="U42">
            <v>0</v>
          </cell>
          <cell r="V42">
            <v>614.27862833739778</v>
          </cell>
          <cell r="W42">
            <v>0</v>
          </cell>
          <cell r="X42">
            <v>437.11553121198392</v>
          </cell>
          <cell r="Y42">
            <v>0</v>
          </cell>
          <cell r="Z42">
            <v>0.83629623576679857</v>
          </cell>
          <cell r="AA42">
            <v>0</v>
          </cell>
          <cell r="AB42">
            <v>0.84011645284697367</v>
          </cell>
          <cell r="AC42">
            <v>0</v>
          </cell>
          <cell r="AD42">
            <v>1132.2849999999999</v>
          </cell>
          <cell r="AE42">
            <v>0</v>
          </cell>
          <cell r="AF42">
            <v>111.28199961501578</v>
          </cell>
          <cell r="AG42">
            <v>0</v>
          </cell>
          <cell r="AH42">
            <v>1.6594761919481404</v>
          </cell>
          <cell r="AI42">
            <v>0</v>
          </cell>
          <cell r="AJ42">
            <v>964.83334142905812</v>
          </cell>
          <cell r="AK42">
            <v>0</v>
          </cell>
          <cell r="AL42">
            <v>0</v>
          </cell>
          <cell r="AM42">
            <v>0</v>
          </cell>
          <cell r="AN42">
            <v>0.841493556505851</v>
          </cell>
          <cell r="AO42">
            <v>0</v>
          </cell>
          <cell r="AP42">
            <v>0.85108230952572761</v>
          </cell>
          <cell r="AQ42">
            <v>0</v>
          </cell>
          <cell r="AR42">
            <v>1316.3440000000001</v>
          </cell>
          <cell r="AS42">
            <v>0</v>
          </cell>
          <cell r="AT42">
            <v>121.83943867945894</v>
          </cell>
          <cell r="AU42">
            <v>0</v>
          </cell>
          <cell r="AV42">
            <v>1.4904158791318984</v>
          </cell>
          <cell r="AW42">
            <v>0</v>
          </cell>
          <cell r="AX42">
            <v>0.19523771901569797</v>
          </cell>
          <cell r="AY42">
            <v>0</v>
          </cell>
          <cell r="AZ42">
            <v>883.63400448514949</v>
          </cell>
          <cell r="BA42">
            <v>0</v>
          </cell>
          <cell r="BB42">
            <v>521.88219796648889</v>
          </cell>
          <cell r="BC42">
            <v>0</v>
          </cell>
          <cell r="BD42">
            <v>0</v>
          </cell>
          <cell r="BE42">
            <v>0</v>
          </cell>
          <cell r="BF42">
            <v>0.81559727954315242</v>
          </cell>
          <cell r="BG42">
            <v>0</v>
          </cell>
          <cell r="BH42">
            <v>0.82877820530328572</v>
          </cell>
          <cell r="BI42">
            <v>0</v>
          </cell>
          <cell r="BJ42">
            <v>1259.7350000000001</v>
          </cell>
          <cell r="BK42">
            <v>0</v>
          </cell>
          <cell r="BL42">
            <v>2.8948151793829653</v>
          </cell>
          <cell r="BM42">
            <v>0</v>
          </cell>
          <cell r="BN42">
            <v>0</v>
          </cell>
          <cell r="BO42">
            <v>0</v>
          </cell>
          <cell r="BP42">
            <v>971.01940308418136</v>
          </cell>
          <cell r="BQ42">
            <v>0</v>
          </cell>
          <cell r="BR42">
            <v>0</v>
          </cell>
          <cell r="BS42">
            <v>0</v>
          </cell>
          <cell r="BT42">
            <v>0.90927146053562879</v>
          </cell>
          <cell r="BU42">
            <v>0</v>
          </cell>
          <cell r="BV42">
            <v>0.93351910522430248</v>
          </cell>
          <cell r="BW42">
            <v>0</v>
          </cell>
          <cell r="BX42">
            <v>1433.0600000000002</v>
          </cell>
          <cell r="BY42">
            <v>0</v>
          </cell>
          <cell r="BZ42">
            <v>77.094083288095504</v>
          </cell>
          <cell r="CA42">
            <v>0</v>
          </cell>
          <cell r="CB42">
            <v>1.8864527654110776</v>
          </cell>
          <cell r="CC42">
            <v>0</v>
          </cell>
          <cell r="CD42">
            <v>0.14263185072502196</v>
          </cell>
          <cell r="CE42">
            <v>0</v>
          </cell>
          <cell r="CF42">
            <v>754.59782022786919</v>
          </cell>
          <cell r="CG42">
            <v>0</v>
          </cell>
          <cell r="CH42">
            <v>384.70371094022579</v>
          </cell>
          <cell r="CI4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3">
          <cell r="B43">
            <v>0.81728992699563985</v>
          </cell>
          <cell r="C43">
            <v>0</v>
          </cell>
          <cell r="D43">
            <v>0.81728992699563985</v>
          </cell>
          <cell r="E43">
            <v>0</v>
          </cell>
          <cell r="F43">
            <v>1753.6980000000001</v>
          </cell>
          <cell r="G43">
            <v>0</v>
          </cell>
          <cell r="H43">
            <v>2.3283626941468825</v>
          </cell>
          <cell r="I43">
            <v>0</v>
          </cell>
          <cell r="J43">
            <v>919.17354641449094</v>
          </cell>
          <cell r="K43">
            <v>0</v>
          </cell>
          <cell r="L43">
            <v>0.88541366395827092</v>
          </cell>
          <cell r="M43">
            <v>0</v>
          </cell>
          <cell r="N43">
            <v>0.92564375346980865</v>
          </cell>
          <cell r="O43">
            <v>0</v>
          </cell>
          <cell r="P43">
            <v>1848.3660000000002</v>
          </cell>
          <cell r="Q43">
            <v>0</v>
          </cell>
          <cell r="R43">
            <v>2.3081272864789759</v>
          </cell>
          <cell r="S43">
            <v>0</v>
          </cell>
          <cell r="T43">
            <v>0.22165523494805681</v>
          </cell>
          <cell r="U43">
            <v>0</v>
          </cell>
          <cell r="V43">
            <v>618.58478751390965</v>
          </cell>
          <cell r="W43">
            <v>0</v>
          </cell>
          <cell r="X43">
            <v>420.83341222523308</v>
          </cell>
          <cell r="Y43">
            <v>0</v>
          </cell>
          <cell r="Z43">
            <v>0.80335180840639453</v>
          </cell>
          <cell r="AA43">
            <v>0</v>
          </cell>
          <cell r="AB43">
            <v>0.86162048557993176</v>
          </cell>
          <cell r="AC43">
            <v>0</v>
          </cell>
          <cell r="AD43">
            <v>1130.835</v>
          </cell>
          <cell r="AE43">
            <v>0</v>
          </cell>
          <cell r="AF43">
            <v>107.89351601751943</v>
          </cell>
          <cell r="AG43">
            <v>0</v>
          </cell>
          <cell r="AH43">
            <v>1.5947507815021644</v>
          </cell>
          <cell r="AI43">
            <v>0</v>
          </cell>
          <cell r="AJ43">
            <v>914.38361918405428</v>
          </cell>
          <cell r="AK43">
            <v>0</v>
          </cell>
          <cell r="AL43">
            <v>20.165629822211024</v>
          </cell>
          <cell r="AM43">
            <v>0</v>
          </cell>
          <cell r="AN43">
            <v>0.85071018918198382</v>
          </cell>
          <cell r="AO43">
            <v>0</v>
          </cell>
          <cell r="AP43">
            <v>0.85071018918198382</v>
          </cell>
          <cell r="AQ43">
            <v>0</v>
          </cell>
          <cell r="AR43">
            <v>1375.3570000000002</v>
          </cell>
          <cell r="AS43">
            <v>0</v>
          </cell>
          <cell r="AT43">
            <v>113.79764973808959</v>
          </cell>
          <cell r="AU43">
            <v>0</v>
          </cell>
          <cell r="AV43">
            <v>1.4656558260873356</v>
          </cell>
          <cell r="AW43">
            <v>0</v>
          </cell>
          <cell r="AX43">
            <v>0.1861334911590227</v>
          </cell>
          <cell r="AY43">
            <v>0</v>
          </cell>
          <cell r="AZ43">
            <v>878.4606469447566</v>
          </cell>
          <cell r="BA43">
            <v>0</v>
          </cell>
          <cell r="BB43">
            <v>550.25945990750074</v>
          </cell>
          <cell r="BC43">
            <v>0</v>
          </cell>
          <cell r="BD43">
            <v>0</v>
          </cell>
          <cell r="BE43">
            <v>0</v>
          </cell>
          <cell r="BF43">
            <v>0.89363459307778192</v>
          </cell>
          <cell r="BG43">
            <v>0</v>
          </cell>
          <cell r="BH43">
            <v>0.89363459307778192</v>
          </cell>
          <cell r="BI43">
            <v>0</v>
          </cell>
          <cell r="BJ43">
            <v>1430.6919999999998</v>
          </cell>
          <cell r="BK43">
            <v>0</v>
          </cell>
          <cell r="BL43">
            <v>2.6821286482345617</v>
          </cell>
          <cell r="BM43">
            <v>0</v>
          </cell>
          <cell r="BN43">
            <v>0</v>
          </cell>
          <cell r="BO43">
            <v>0</v>
          </cell>
          <cell r="BP43">
            <v>974.33568621579991</v>
          </cell>
          <cell r="BQ43">
            <v>0</v>
          </cell>
          <cell r="BR43">
            <v>0</v>
          </cell>
          <cell r="BS43">
            <v>0</v>
          </cell>
          <cell r="BT43">
            <v>0.90863447914298279</v>
          </cell>
          <cell r="BU43">
            <v>0</v>
          </cell>
          <cell r="BV43">
            <v>0.91878389692957507</v>
          </cell>
          <cell r="BW43">
            <v>0</v>
          </cell>
          <cell r="BX43">
            <v>1460.105</v>
          </cell>
          <cell r="BY43">
            <v>0</v>
          </cell>
          <cell r="BZ43">
            <v>77.669648185232361</v>
          </cell>
          <cell r="CA43">
            <v>0</v>
          </cell>
          <cell r="CB43">
            <v>2.0032805859852543</v>
          </cell>
          <cell r="CC43">
            <v>0</v>
          </cell>
          <cell r="CD43">
            <v>8.3692611147828416E-2</v>
          </cell>
          <cell r="CE43">
            <v>0</v>
          </cell>
          <cell r="CF43">
            <v>840.7660191674878</v>
          </cell>
          <cell r="CG43">
            <v>0</v>
          </cell>
          <cell r="CH43">
            <v>246.27502816578257</v>
          </cell>
          <cell r="CI43">
            <v>0</v>
          </cell>
          <cell r="CJ43">
            <v>20.270490976769814</v>
          </cell>
          <cell r="CK4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G3">
            <v>6.4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">
          <cell r="F4">
            <v>44.353000000000002</v>
          </cell>
        </row>
        <row r="44">
          <cell r="B44">
            <v>0.85128629745489748</v>
          </cell>
          <cell r="C44">
            <v>0</v>
          </cell>
          <cell r="D44">
            <v>0.88261388777069127</v>
          </cell>
          <cell r="E44">
            <v>0</v>
          </cell>
          <cell r="F44">
            <v>1626.8629999999996</v>
          </cell>
          <cell r="G44">
            <v>0</v>
          </cell>
          <cell r="H44">
            <v>2.4992417923328527</v>
          </cell>
          <cell r="I44">
            <v>0</v>
          </cell>
          <cell r="J44">
            <v>943.70529048850415</v>
          </cell>
          <cell r="K44">
            <v>0</v>
          </cell>
          <cell r="L44">
            <v>0.91684997474795549</v>
          </cell>
          <cell r="M44">
            <v>0</v>
          </cell>
          <cell r="N44">
            <v>0.9454769668630435</v>
          </cell>
          <cell r="O44">
            <v>0</v>
          </cell>
          <cell r="P44">
            <v>1788.1659999999997</v>
          </cell>
          <cell r="Q44">
            <v>0</v>
          </cell>
          <cell r="R44">
            <v>2.1331811476115754</v>
          </cell>
          <cell r="S44">
            <v>0</v>
          </cell>
          <cell r="T44">
            <v>0.21231250342529728</v>
          </cell>
          <cell r="U44">
            <v>0</v>
          </cell>
          <cell r="V44">
            <v>722.2509375527776</v>
          </cell>
          <cell r="W44">
            <v>0</v>
          </cell>
          <cell r="X44">
            <v>464.24761459506601</v>
          </cell>
          <cell r="Y44">
            <v>0</v>
          </cell>
          <cell r="Z44">
            <v>0.86206949583301151</v>
          </cell>
          <cell r="AA44">
            <v>0</v>
          </cell>
          <cell r="AB44">
            <v>0.90942581099977049</v>
          </cell>
          <cell r="AC44">
            <v>0</v>
          </cell>
          <cell r="AD44">
            <v>1188.7909999999999</v>
          </cell>
          <cell r="AE44">
            <v>0</v>
          </cell>
          <cell r="AF44">
            <v>106.25948485661435</v>
          </cell>
          <cell r="AG44">
            <v>0</v>
          </cell>
          <cell r="AH44">
            <v>1.5097691688446497</v>
          </cell>
          <cell r="AI44">
            <v>0</v>
          </cell>
          <cell r="AJ44">
            <v>921.84495003747463</v>
          </cell>
          <cell r="AK44">
            <v>0</v>
          </cell>
          <cell r="AL44">
            <v>7.5538929887591681</v>
          </cell>
          <cell r="AM44">
            <v>0</v>
          </cell>
          <cell r="AN44">
            <v>0.9113017975148916</v>
          </cell>
          <cell r="AO44">
            <v>0</v>
          </cell>
          <cell r="AP44">
            <v>0.94321744444989342</v>
          </cell>
          <cell r="AQ44">
            <v>0</v>
          </cell>
          <cell r="AR44">
            <v>1441.538</v>
          </cell>
          <cell r="AS44">
            <v>0</v>
          </cell>
          <cell r="AT44">
            <v>98.381360721465839</v>
          </cell>
          <cell r="AU44">
            <v>0</v>
          </cell>
          <cell r="AV44">
            <v>1.4245895703061591</v>
          </cell>
          <cell r="AW44">
            <v>0</v>
          </cell>
          <cell r="AX44">
            <v>6.3755312952158888E-2</v>
          </cell>
          <cell r="AY44">
            <v>0</v>
          </cell>
          <cell r="AZ44">
            <v>884.49349236718024</v>
          </cell>
          <cell r="BA44">
            <v>0</v>
          </cell>
          <cell r="BB44">
            <v>178.9753721372584</v>
          </cell>
          <cell r="BC44">
            <v>0</v>
          </cell>
          <cell r="BD44">
            <v>0</v>
          </cell>
          <cell r="BE44">
            <v>0</v>
          </cell>
          <cell r="BF44">
            <v>0.83968007638049036</v>
          </cell>
          <cell r="BG44">
            <v>0</v>
          </cell>
          <cell r="BH44">
            <v>0.88025535162218882</v>
          </cell>
          <cell r="BI44">
            <v>0</v>
          </cell>
          <cell r="BJ44">
            <v>1283.7219999999998</v>
          </cell>
          <cell r="BK44">
            <v>0</v>
          </cell>
          <cell r="BL44">
            <v>2.9010175100216404</v>
          </cell>
          <cell r="BM44">
            <v>0</v>
          </cell>
          <cell r="BN44">
            <v>0</v>
          </cell>
          <cell r="BO44">
            <v>0</v>
          </cell>
          <cell r="BP44">
            <v>1018.1901188326394</v>
          </cell>
          <cell r="BQ44">
            <v>0</v>
          </cell>
          <cell r="BR44">
            <v>0</v>
          </cell>
          <cell r="BS44">
            <v>0</v>
          </cell>
          <cell r="BT44">
            <v>0.86479672437549404</v>
          </cell>
          <cell r="BU44">
            <v>0</v>
          </cell>
          <cell r="BV44">
            <v>0.91368891665471463</v>
          </cell>
          <cell r="BW44">
            <v>0</v>
          </cell>
          <cell r="BX44">
            <v>1364.9880000000001</v>
          </cell>
          <cell r="BY44">
            <v>0</v>
          </cell>
          <cell r="BZ44">
            <v>71.774411764880114</v>
          </cell>
          <cell r="CA44">
            <v>0</v>
          </cell>
          <cell r="CB44">
            <v>1.9880760856505704</v>
          </cell>
          <cell r="CC44">
            <v>0</v>
          </cell>
          <cell r="CD44">
            <v>0.17403816004243261</v>
          </cell>
          <cell r="CE44">
            <v>0</v>
          </cell>
          <cell r="CF44">
            <v>844.20451628287208</v>
          </cell>
          <cell r="CG44">
            <v>0</v>
          </cell>
          <cell r="CH44">
            <v>469.40954792276608</v>
          </cell>
          <cell r="CI44">
            <v>0</v>
          </cell>
          <cell r="CJ44">
            <v>0</v>
          </cell>
          <cell r="CK44">
            <v>0</v>
          </cell>
        </row>
      </sheetData>
      <sheetData sheetId="1">
        <row r="41">
          <cell r="P41">
            <v>1715.0680000000002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619</v>
          </cell>
        </row>
      </sheetData>
      <sheetData sheetId="13">
        <row r="6">
          <cell r="N6">
            <v>640</v>
          </cell>
        </row>
      </sheetData>
      <sheetData sheetId="14">
        <row r="6">
          <cell r="N6">
            <v>676</v>
          </cell>
        </row>
      </sheetData>
      <sheetData sheetId="15">
        <row r="6">
          <cell r="N6">
            <v>610</v>
          </cell>
        </row>
      </sheetData>
      <sheetData sheetId="16">
        <row r="6">
          <cell r="N6">
            <v>623</v>
          </cell>
        </row>
      </sheetData>
      <sheetData sheetId="17"/>
      <sheetData sheetId="18"/>
      <sheetData sheetId="19">
        <row r="6">
          <cell r="N6">
            <v>679</v>
          </cell>
        </row>
      </sheetData>
      <sheetData sheetId="20">
        <row r="6">
          <cell r="N6">
            <v>710</v>
          </cell>
        </row>
      </sheetData>
      <sheetData sheetId="21">
        <row r="6">
          <cell r="N6">
            <v>704</v>
          </cell>
        </row>
      </sheetData>
      <sheetData sheetId="22">
        <row r="6">
          <cell r="N6">
            <v>720</v>
          </cell>
        </row>
      </sheetData>
      <sheetData sheetId="23">
        <row r="6">
          <cell r="N6">
            <v>689</v>
          </cell>
        </row>
      </sheetData>
      <sheetData sheetId="24">
        <row r="6">
          <cell r="N6">
            <v>745</v>
          </cell>
        </row>
      </sheetData>
      <sheetData sheetId="25">
        <row r="6">
          <cell r="N6">
            <v>588</v>
          </cell>
        </row>
      </sheetData>
      <sheetData sheetId="26">
        <row r="6">
          <cell r="N6">
            <v>143</v>
          </cell>
        </row>
      </sheetData>
      <sheetData sheetId="27">
        <row r="6">
          <cell r="N6">
            <v>530</v>
          </cell>
        </row>
      </sheetData>
      <sheetData sheetId="28">
        <row r="6">
          <cell r="N6">
            <v>705</v>
          </cell>
        </row>
      </sheetData>
      <sheetData sheetId="29">
        <row r="6">
          <cell r="N6">
            <v>743</v>
          </cell>
        </row>
      </sheetData>
      <sheetData sheetId="30">
        <row r="6">
          <cell r="N6">
            <v>727</v>
          </cell>
        </row>
      </sheetData>
      <sheetData sheetId="31">
        <row r="6">
          <cell r="N6">
            <v>699</v>
          </cell>
        </row>
      </sheetData>
      <sheetData sheetId="32">
        <row r="6">
          <cell r="N6">
            <v>639</v>
          </cell>
        </row>
      </sheetData>
      <sheetData sheetId="33">
        <row r="6">
          <cell r="N6">
            <v>600</v>
          </cell>
        </row>
      </sheetData>
      <sheetData sheetId="34">
        <row r="6">
          <cell r="N6">
            <v>751</v>
          </cell>
        </row>
      </sheetData>
      <sheetData sheetId="35">
        <row r="6">
          <cell r="N6">
            <v>635</v>
          </cell>
        </row>
      </sheetData>
      <sheetData sheetId="36">
        <row r="6">
          <cell r="N6">
            <v>639</v>
          </cell>
        </row>
      </sheetData>
      <sheetData sheetId="37">
        <row r="6">
          <cell r="N6">
            <v>624</v>
          </cell>
        </row>
      </sheetData>
      <sheetData sheetId="38">
        <row r="6">
          <cell r="N6">
            <v>685</v>
          </cell>
        </row>
      </sheetData>
      <sheetData sheetId="39">
        <row r="6">
          <cell r="N6">
            <v>718</v>
          </cell>
        </row>
      </sheetData>
      <sheetData sheetId="40">
        <row r="6">
          <cell r="N6">
            <v>625</v>
          </cell>
        </row>
      </sheetData>
      <sheetData sheetId="41">
        <row r="6">
          <cell r="N6">
            <v>734</v>
          </cell>
        </row>
      </sheetData>
      <sheetData sheetId="4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RBP"/>
      <sheetName val="Chem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56.475000000000001</v>
          </cell>
        </row>
        <row r="45">
          <cell r="B45">
            <v>0.84979165368605014</v>
          </cell>
          <cell r="C45">
            <v>0</v>
          </cell>
          <cell r="D45">
            <v>0.85889246846907286</v>
          </cell>
          <cell r="E45">
            <v>0</v>
          </cell>
          <cell r="F45">
            <v>1534.4690000000003</v>
          </cell>
          <cell r="G45">
            <v>0</v>
          </cell>
          <cell r="H45">
            <v>2.4307190304919817</v>
          </cell>
          <cell r="I45">
            <v>0</v>
          </cell>
          <cell r="J45">
            <v>1009.2876688939294</v>
          </cell>
          <cell r="K45">
            <v>0</v>
          </cell>
          <cell r="L45">
            <v>0.85741705611332952</v>
          </cell>
          <cell r="M45">
            <v>0</v>
          </cell>
          <cell r="N45">
            <v>0.89481520731611941</v>
          </cell>
          <cell r="O45">
            <v>0</v>
          </cell>
          <cell r="P45">
            <v>1704.768</v>
          </cell>
          <cell r="Q45">
            <v>0</v>
          </cell>
          <cell r="R45">
            <v>2.4058077110785745</v>
          </cell>
          <cell r="S45">
            <v>0</v>
          </cell>
          <cell r="T45">
            <v>0.14817265457821827</v>
          </cell>
          <cell r="U45">
            <v>0</v>
          </cell>
          <cell r="V45">
            <v>708.74890307654778</v>
          </cell>
          <cell r="W45">
            <v>0</v>
          </cell>
          <cell r="X45">
            <v>419.01830630326219</v>
          </cell>
          <cell r="Y45">
            <v>0</v>
          </cell>
          <cell r="Z45">
            <v>0.87132155033301406</v>
          </cell>
          <cell r="AA45">
            <v>0</v>
          </cell>
          <cell r="AB45">
            <v>0.87132155033301406</v>
          </cell>
          <cell r="AC45">
            <v>0</v>
          </cell>
          <cell r="AD45">
            <v>1204.6450000000002</v>
          </cell>
          <cell r="AE45">
            <v>0</v>
          </cell>
          <cell r="AF45">
            <v>105.43835507766659</v>
          </cell>
          <cell r="AG45">
            <v>0</v>
          </cell>
          <cell r="AH45">
            <v>1.5603767084908828</v>
          </cell>
          <cell r="AI45">
            <v>0</v>
          </cell>
          <cell r="AJ45">
            <v>928.04959137339199</v>
          </cell>
          <cell r="AK45">
            <v>0</v>
          </cell>
          <cell r="AL45">
            <v>0</v>
          </cell>
          <cell r="AM45">
            <v>0</v>
          </cell>
          <cell r="AN45">
            <v>0.47758007033586591</v>
          </cell>
          <cell r="AO45">
            <v>0</v>
          </cell>
          <cell r="AP45">
            <v>0.8638562625636298</v>
          </cell>
          <cell r="AQ45">
            <v>0</v>
          </cell>
          <cell r="AR45">
            <v>764.20999999999992</v>
          </cell>
          <cell r="AS45">
            <v>0</v>
          </cell>
          <cell r="AT45">
            <v>117.91593614950136</v>
          </cell>
          <cell r="AU45">
            <v>0</v>
          </cell>
          <cell r="AV45">
            <v>1.737087973201084</v>
          </cell>
          <cell r="AW45">
            <v>0</v>
          </cell>
          <cell r="AX45">
            <v>0</v>
          </cell>
          <cell r="AY45">
            <v>0</v>
          </cell>
          <cell r="AZ45">
            <v>1171.1575352324626</v>
          </cell>
          <cell r="BA45">
            <v>0</v>
          </cell>
          <cell r="BB45">
            <v>0</v>
          </cell>
          <cell r="BC45">
            <v>0</v>
          </cell>
          <cell r="BD45">
            <v>23.422881145234534</v>
          </cell>
          <cell r="BE45">
            <v>0</v>
          </cell>
          <cell r="BF45">
            <v>0.79411423930112257</v>
          </cell>
          <cell r="BG45">
            <v>0</v>
          </cell>
          <cell r="BH45">
            <v>0.80751482141228126</v>
          </cell>
          <cell r="BI45">
            <v>0</v>
          </cell>
          <cell r="BJ45">
            <v>1316.4520000000002</v>
          </cell>
          <cell r="BK45">
            <v>0</v>
          </cell>
          <cell r="BL45">
            <v>2.6146034948482737</v>
          </cell>
          <cell r="BM45">
            <v>0</v>
          </cell>
          <cell r="BN45">
            <v>0</v>
          </cell>
          <cell r="BO45">
            <v>0</v>
          </cell>
          <cell r="BP45">
            <v>1083.3644303830235</v>
          </cell>
          <cell r="BQ45">
            <v>0</v>
          </cell>
          <cell r="BR45">
            <v>0</v>
          </cell>
          <cell r="BS45">
            <v>0</v>
          </cell>
          <cell r="BT45">
            <v>0.79215109753247104</v>
          </cell>
          <cell r="BU45">
            <v>0</v>
          </cell>
          <cell r="BV45">
            <v>0.80246910810737848</v>
          </cell>
          <cell r="BW45">
            <v>0</v>
          </cell>
          <cell r="BX45">
            <v>1219.0239999999997</v>
          </cell>
          <cell r="BY45">
            <v>0</v>
          </cell>
          <cell r="BZ45">
            <v>89.967609483204555</v>
          </cell>
          <cell r="CA45">
            <v>0</v>
          </cell>
          <cell r="CB45">
            <v>2.2528678680649445</v>
          </cell>
          <cell r="CC45">
            <v>0</v>
          </cell>
          <cell r="CD45">
            <v>0</v>
          </cell>
          <cell r="CE45">
            <v>0</v>
          </cell>
          <cell r="CF45">
            <v>1093.3749039341374</v>
          </cell>
          <cell r="CG45">
            <v>0</v>
          </cell>
          <cell r="CH45">
            <v>0</v>
          </cell>
          <cell r="CI45">
            <v>0</v>
          </cell>
          <cell r="CJ45">
            <v>3.7653073278297011</v>
          </cell>
          <cell r="CK45">
            <v>0</v>
          </cell>
        </row>
      </sheetData>
      <sheetData sheetId="1">
        <row r="41">
          <cell r="P41">
            <v>1589.6969999999997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683</v>
          </cell>
        </row>
      </sheetData>
      <sheetData sheetId="13">
        <row r="6">
          <cell r="N6">
            <v>384</v>
          </cell>
        </row>
      </sheetData>
      <sheetData sheetId="14">
        <row r="6">
          <cell r="N6">
            <v>693</v>
          </cell>
        </row>
      </sheetData>
      <sheetData sheetId="15">
        <row r="6">
          <cell r="N6">
            <v>664</v>
          </cell>
        </row>
      </sheetData>
      <sheetData sheetId="16">
        <row r="6">
          <cell r="N6">
            <v>655</v>
          </cell>
        </row>
      </sheetData>
      <sheetData sheetId="17">
        <row r="6">
          <cell r="N6">
            <v>550</v>
          </cell>
        </row>
      </sheetData>
      <sheetData sheetId="18">
        <row r="6">
          <cell r="N6">
            <v>687</v>
          </cell>
        </row>
      </sheetData>
      <sheetData sheetId="19">
        <row r="6">
          <cell r="N6">
            <v>603.20000000000005</v>
          </cell>
        </row>
      </sheetData>
      <sheetData sheetId="20">
        <row r="6">
          <cell r="N6">
            <v>678</v>
          </cell>
        </row>
      </sheetData>
      <sheetData sheetId="21">
        <row r="6">
          <cell r="N6">
            <v>655</v>
          </cell>
        </row>
      </sheetData>
      <sheetData sheetId="22">
        <row r="6">
          <cell r="N6">
            <v>673</v>
          </cell>
        </row>
      </sheetData>
      <sheetData sheetId="23">
        <row r="6">
          <cell r="N6">
            <v>859</v>
          </cell>
        </row>
      </sheetData>
      <sheetData sheetId="24">
        <row r="6">
          <cell r="N6">
            <v>708</v>
          </cell>
        </row>
      </sheetData>
      <sheetData sheetId="25">
        <row r="6">
          <cell r="N6">
            <v>735</v>
          </cell>
        </row>
      </sheetData>
      <sheetData sheetId="26">
        <row r="6">
          <cell r="N6">
            <v>607</v>
          </cell>
        </row>
      </sheetData>
      <sheetData sheetId="27">
        <row r="6">
          <cell r="N6">
            <v>746</v>
          </cell>
        </row>
      </sheetData>
      <sheetData sheetId="28">
        <row r="6">
          <cell r="N6">
            <v>457.8</v>
          </cell>
        </row>
      </sheetData>
      <sheetData sheetId="29">
        <row r="6">
          <cell r="N6">
            <v>725</v>
          </cell>
        </row>
      </sheetData>
      <sheetData sheetId="30">
        <row r="6">
          <cell r="N6">
            <v>638</v>
          </cell>
        </row>
      </sheetData>
      <sheetData sheetId="31">
        <row r="6">
          <cell r="N6">
            <v>612</v>
          </cell>
        </row>
      </sheetData>
      <sheetData sheetId="32">
        <row r="6">
          <cell r="N6">
            <v>445.7</v>
          </cell>
        </row>
      </sheetData>
      <sheetData sheetId="33">
        <row r="6">
          <cell r="N6">
            <v>801</v>
          </cell>
        </row>
      </sheetData>
      <sheetData sheetId="34">
        <row r="6">
          <cell r="N6">
            <v>567</v>
          </cell>
        </row>
      </sheetData>
      <sheetData sheetId="35">
        <row r="6">
          <cell r="N6">
            <v>531</v>
          </cell>
        </row>
      </sheetData>
      <sheetData sheetId="36">
        <row r="6">
          <cell r="N6">
            <v>650</v>
          </cell>
        </row>
      </sheetData>
      <sheetData sheetId="37">
        <row r="6">
          <cell r="N6">
            <v>601</v>
          </cell>
        </row>
      </sheetData>
      <sheetData sheetId="38">
        <row r="6">
          <cell r="N6">
            <v>576</v>
          </cell>
        </row>
      </sheetData>
      <sheetData sheetId="39">
        <row r="6">
          <cell r="N6">
            <v>524</v>
          </cell>
        </row>
      </sheetData>
      <sheetData sheetId="40">
        <row r="6">
          <cell r="N6">
            <v>11</v>
          </cell>
        </row>
      </sheetData>
      <sheetData sheetId="41">
        <row r="6">
          <cell r="N6">
            <v>635</v>
          </cell>
        </row>
      </sheetData>
      <sheetData sheetId="42">
        <row r="6">
          <cell r="N6">
            <v>720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29"/>
      <sheetName val="30"/>
      <sheetName val="31"/>
    </sheetNames>
    <sheetDataSet>
      <sheetData sheetId="0">
        <row r="4">
          <cell r="F4">
            <v>56.024000000000001</v>
          </cell>
        </row>
        <row r="46">
          <cell r="B46">
            <v>0.83769523903512089</v>
          </cell>
          <cell r="C46">
            <v>0</v>
          </cell>
          <cell r="D46">
            <v>0.8766254011798259</v>
          </cell>
          <cell r="E46">
            <v>0</v>
          </cell>
          <cell r="F46">
            <v>1634.1919999999996</v>
          </cell>
          <cell r="G46">
            <v>0</v>
          </cell>
          <cell r="H46">
            <v>2.3108465835103833</v>
          </cell>
          <cell r="I46">
            <v>0</v>
          </cell>
          <cell r="J46">
            <v>925.52625884841029</v>
          </cell>
          <cell r="K46">
            <v>0</v>
          </cell>
          <cell r="L46">
            <v>0.84617170172403267</v>
          </cell>
          <cell r="M46">
            <v>0</v>
          </cell>
          <cell r="N46">
            <v>0.9204051477742291</v>
          </cell>
          <cell r="O46">
            <v>0</v>
          </cell>
          <cell r="P46">
            <v>1544.1629999999998</v>
          </cell>
          <cell r="Q46">
            <v>0</v>
          </cell>
          <cell r="R46">
            <v>2.2768451258060192</v>
          </cell>
          <cell r="S46">
            <v>0</v>
          </cell>
          <cell r="T46">
            <v>0.21063190867803475</v>
          </cell>
          <cell r="U46">
            <v>0</v>
          </cell>
          <cell r="V46">
            <v>556.96866198710893</v>
          </cell>
          <cell r="W46">
            <v>0</v>
          </cell>
          <cell r="X46">
            <v>505.65160543284605</v>
          </cell>
          <cell r="Y46">
            <v>0</v>
          </cell>
          <cell r="Z46">
            <v>0.81429519491858005</v>
          </cell>
          <cell r="AA46">
            <v>0</v>
          </cell>
          <cell r="AB46">
            <v>0.84116945725970971</v>
          </cell>
          <cell r="AC46">
            <v>0</v>
          </cell>
          <cell r="AD46">
            <v>1037.251</v>
          </cell>
          <cell r="AE46">
            <v>0</v>
          </cell>
          <cell r="AF46">
            <v>107.29574153254443</v>
          </cell>
          <cell r="AG46">
            <v>0</v>
          </cell>
          <cell r="AH46">
            <v>1.536754363215846</v>
          </cell>
          <cell r="AI46">
            <v>0</v>
          </cell>
          <cell r="AJ46">
            <v>927.08314573810958</v>
          </cell>
          <cell r="AK46">
            <v>0</v>
          </cell>
          <cell r="AL46">
            <v>0</v>
          </cell>
          <cell r="AM46">
            <v>0</v>
          </cell>
          <cell r="AN46">
            <v>0.88342597272628431</v>
          </cell>
          <cell r="AO46">
            <v>0</v>
          </cell>
          <cell r="AP46">
            <v>0.90448559347378232</v>
          </cell>
          <cell r="AQ46">
            <v>0</v>
          </cell>
          <cell r="AR46">
            <v>1294.864</v>
          </cell>
          <cell r="AS46">
            <v>0</v>
          </cell>
          <cell r="AT46">
            <v>106.60047579603155</v>
          </cell>
          <cell r="AU46">
            <v>0</v>
          </cell>
          <cell r="AV46">
            <v>1.7585630614489243</v>
          </cell>
          <cell r="AW46">
            <v>0</v>
          </cell>
          <cell r="AX46">
            <v>7.321232191179923E-2</v>
          </cell>
          <cell r="AY46">
            <v>0</v>
          </cell>
          <cell r="AZ46">
            <v>932.75272152133323</v>
          </cell>
          <cell r="BA46">
            <v>0</v>
          </cell>
          <cell r="BB46">
            <v>205.07134339976946</v>
          </cell>
          <cell r="BC46">
            <v>0</v>
          </cell>
          <cell r="BD46">
            <v>0</v>
          </cell>
          <cell r="BE46">
            <v>0</v>
          </cell>
          <cell r="BF46">
            <v>0.85694754288718977</v>
          </cell>
          <cell r="BG46">
            <v>0</v>
          </cell>
          <cell r="BH46">
            <v>0.88509205317544382</v>
          </cell>
          <cell r="BI46">
            <v>0</v>
          </cell>
          <cell r="BJ46">
            <v>1241.78</v>
          </cell>
          <cell r="BK46">
            <v>0</v>
          </cell>
          <cell r="BL46">
            <v>2.5784760585610975</v>
          </cell>
          <cell r="BM46">
            <v>0</v>
          </cell>
          <cell r="BN46">
            <v>0</v>
          </cell>
          <cell r="BO46">
            <v>0</v>
          </cell>
          <cell r="BP46">
            <v>1074.7242034080921</v>
          </cell>
          <cell r="BQ46">
            <v>0</v>
          </cell>
          <cell r="BR46">
            <v>0</v>
          </cell>
          <cell r="BS46">
            <v>0</v>
          </cell>
          <cell r="BT46">
            <v>0.52741321849552625</v>
          </cell>
          <cell r="BU46">
            <v>0</v>
          </cell>
          <cell r="BV46">
            <v>0.87317352495084033</v>
          </cell>
          <cell r="BW46">
            <v>0</v>
          </cell>
          <cell r="BX46">
            <v>769.93799999999987</v>
          </cell>
          <cell r="BY46">
            <v>0</v>
          </cell>
          <cell r="BZ46">
            <v>79.808070660850817</v>
          </cell>
          <cell r="CA46">
            <v>0</v>
          </cell>
          <cell r="CB46">
            <v>2.0515937646927416</v>
          </cell>
          <cell r="CC46">
            <v>0</v>
          </cell>
          <cell r="CD46">
            <v>7.8512815317597004E-2</v>
          </cell>
          <cell r="CE46">
            <v>0</v>
          </cell>
          <cell r="CF46">
            <v>1021.1664039077168</v>
          </cell>
          <cell r="CG46">
            <v>0</v>
          </cell>
          <cell r="CH46">
            <v>210.64553249742193</v>
          </cell>
          <cell r="CI46">
            <v>0</v>
          </cell>
          <cell r="CJ46">
            <v>0</v>
          </cell>
          <cell r="CK46">
            <v>0</v>
          </cell>
        </row>
      </sheetData>
      <sheetData sheetId="1">
        <row r="41">
          <cell r="P41">
            <v>1722.4600000000005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697</v>
          </cell>
        </row>
      </sheetData>
      <sheetData sheetId="13">
        <row r="6">
          <cell r="N6">
            <v>542</v>
          </cell>
        </row>
      </sheetData>
      <sheetData sheetId="14">
        <row r="6">
          <cell r="N6">
            <v>552</v>
          </cell>
        </row>
      </sheetData>
      <sheetData sheetId="15">
        <row r="6">
          <cell r="N6">
            <v>547</v>
          </cell>
        </row>
      </sheetData>
      <sheetData sheetId="16">
        <row r="6">
          <cell r="N6">
            <v>624</v>
          </cell>
        </row>
      </sheetData>
      <sheetData sheetId="17">
        <row r="6">
          <cell r="N6">
            <v>636</v>
          </cell>
        </row>
      </sheetData>
      <sheetData sheetId="18">
        <row r="6">
          <cell r="N6">
            <v>607</v>
          </cell>
        </row>
      </sheetData>
      <sheetData sheetId="19">
        <row r="6">
          <cell r="N6">
            <v>766</v>
          </cell>
        </row>
      </sheetData>
      <sheetData sheetId="20">
        <row r="6">
          <cell r="N6">
            <v>661</v>
          </cell>
        </row>
      </sheetData>
      <sheetData sheetId="21">
        <row r="6">
          <cell r="N6">
            <v>671</v>
          </cell>
        </row>
      </sheetData>
      <sheetData sheetId="22">
        <row r="6">
          <cell r="N6">
            <v>675</v>
          </cell>
        </row>
      </sheetData>
      <sheetData sheetId="23">
        <row r="6">
          <cell r="N6">
            <v>624</v>
          </cell>
        </row>
      </sheetData>
      <sheetData sheetId="24">
        <row r="6">
          <cell r="N6">
            <v>607</v>
          </cell>
        </row>
      </sheetData>
      <sheetData sheetId="25">
        <row r="6">
          <cell r="N6">
            <v>593</v>
          </cell>
        </row>
      </sheetData>
      <sheetData sheetId="26">
        <row r="6">
          <cell r="N6">
            <v>642</v>
          </cell>
        </row>
      </sheetData>
      <sheetData sheetId="27">
        <row r="6">
          <cell r="N6">
            <v>577</v>
          </cell>
        </row>
      </sheetData>
      <sheetData sheetId="28">
        <row r="6">
          <cell r="N6">
            <v>624</v>
          </cell>
        </row>
      </sheetData>
      <sheetData sheetId="29">
        <row r="6">
          <cell r="N6">
            <v>569</v>
          </cell>
        </row>
      </sheetData>
      <sheetData sheetId="30">
        <row r="6">
          <cell r="N6">
            <v>606</v>
          </cell>
        </row>
      </sheetData>
      <sheetData sheetId="31">
        <row r="6">
          <cell r="N6">
            <v>339</v>
          </cell>
        </row>
      </sheetData>
      <sheetData sheetId="32">
        <row r="6">
          <cell r="N6">
            <v>593</v>
          </cell>
        </row>
      </sheetData>
      <sheetData sheetId="33">
        <row r="6">
          <cell r="N6">
            <v>666</v>
          </cell>
        </row>
      </sheetData>
      <sheetData sheetId="34">
        <row r="6">
          <cell r="N6">
            <v>718</v>
          </cell>
        </row>
      </sheetData>
      <sheetData sheetId="35">
        <row r="6">
          <cell r="N6">
            <v>612</v>
          </cell>
        </row>
      </sheetData>
      <sheetData sheetId="36">
        <row r="6">
          <cell r="N6">
            <v>644</v>
          </cell>
        </row>
      </sheetData>
      <sheetData sheetId="37">
        <row r="6">
          <cell r="N6">
            <v>614</v>
          </cell>
        </row>
      </sheetData>
      <sheetData sheetId="38">
        <row r="6">
          <cell r="N6">
            <v>530</v>
          </cell>
        </row>
      </sheetData>
      <sheetData sheetId="39">
        <row r="6">
          <cell r="N6">
            <v>531</v>
          </cell>
        </row>
      </sheetData>
      <sheetData sheetId="40"/>
      <sheetData sheetId="41"/>
      <sheetData sheetId="4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7">
          <cell r="B47">
            <v>0.83356468968646791</v>
          </cell>
          <cell r="C47">
            <v>0</v>
          </cell>
          <cell r="D47">
            <v>0.83361178337123676</v>
          </cell>
          <cell r="E47">
            <v>0</v>
          </cell>
          <cell r="F47">
            <v>1793.9010000000003</v>
          </cell>
          <cell r="G47">
            <v>0</v>
          </cell>
          <cell r="H47">
            <v>2.2654867799282119</v>
          </cell>
          <cell r="I47">
            <v>0</v>
          </cell>
          <cell r="J47">
            <v>869.87488161275269</v>
          </cell>
          <cell r="K47">
            <v>0</v>
          </cell>
          <cell r="L47">
            <v>0.92571232966703221</v>
          </cell>
          <cell r="M47">
            <v>0</v>
          </cell>
          <cell r="N47">
            <v>0.92998023945781472</v>
          </cell>
          <cell r="O47">
            <v>0</v>
          </cell>
          <cell r="P47">
            <v>1900.5750000000003</v>
          </cell>
          <cell r="Q47">
            <v>0</v>
          </cell>
          <cell r="R47">
            <v>2.404628073083146</v>
          </cell>
          <cell r="S47">
            <v>0</v>
          </cell>
          <cell r="T47">
            <v>0.23240335161727366</v>
          </cell>
          <cell r="U47">
            <v>0</v>
          </cell>
          <cell r="V47">
            <v>527.49748365626192</v>
          </cell>
          <cell r="W47">
            <v>0</v>
          </cell>
          <cell r="X47">
            <v>446.15971482314541</v>
          </cell>
          <cell r="Y47">
            <v>0</v>
          </cell>
          <cell r="Z47">
            <v>0.89180765054163103</v>
          </cell>
          <cell r="AA47">
            <v>0</v>
          </cell>
          <cell r="AB47">
            <v>0.89180765054163103</v>
          </cell>
          <cell r="AC47">
            <v>0</v>
          </cell>
          <cell r="AD47">
            <v>1235.4100000000003</v>
          </cell>
          <cell r="AE47">
            <v>0</v>
          </cell>
          <cell r="AF47">
            <v>96.393123699060041</v>
          </cell>
          <cell r="AG47">
            <v>0</v>
          </cell>
          <cell r="AH47">
            <v>1.4614581394031132</v>
          </cell>
          <cell r="AI47">
            <v>0</v>
          </cell>
          <cell r="AJ47">
            <v>901.21823524174181</v>
          </cell>
          <cell r="AK47">
            <v>0</v>
          </cell>
          <cell r="AL47">
            <v>0</v>
          </cell>
          <cell r="AM47">
            <v>0</v>
          </cell>
          <cell r="AN47">
            <v>0.65645764284355046</v>
          </cell>
          <cell r="AO47">
            <v>0</v>
          </cell>
          <cell r="AP47">
            <v>0.84659221514529037</v>
          </cell>
          <cell r="AQ47">
            <v>0</v>
          </cell>
          <cell r="AR47">
            <v>1045.3910000000001</v>
          </cell>
          <cell r="AS47">
            <v>0</v>
          </cell>
          <cell r="AT47">
            <v>0</v>
          </cell>
          <cell r="AU47">
            <v>0</v>
          </cell>
          <cell r="AV47">
            <v>1.7690031768017898</v>
          </cell>
          <cell r="AW47">
            <v>0</v>
          </cell>
          <cell r="AX47">
            <v>9.0148088131617746E-2</v>
          </cell>
          <cell r="AY47">
            <v>0</v>
          </cell>
          <cell r="AZ47">
            <v>1055.9628120004859</v>
          </cell>
          <cell r="BA47">
            <v>0</v>
          </cell>
          <cell r="BB47">
            <v>340.1813292825363</v>
          </cell>
          <cell r="BC47">
            <v>0</v>
          </cell>
          <cell r="BD47">
            <v>7.6095929656941745</v>
          </cell>
          <cell r="BE47">
            <v>0</v>
          </cell>
          <cell r="BF47">
            <v>0.90491767701928916</v>
          </cell>
          <cell r="BG47">
            <v>0</v>
          </cell>
          <cell r="BH47">
            <v>0.90491767701928916</v>
          </cell>
          <cell r="BI47">
            <v>0</v>
          </cell>
          <cell r="BJ47">
            <v>1444.9050000000002</v>
          </cell>
          <cell r="BK47">
            <v>0</v>
          </cell>
          <cell r="BL47">
            <v>2.4918593263916997</v>
          </cell>
          <cell r="BM47">
            <v>0</v>
          </cell>
          <cell r="BN47">
            <v>0</v>
          </cell>
          <cell r="BO47">
            <v>0</v>
          </cell>
          <cell r="BP47">
            <v>1021.2881687593227</v>
          </cell>
          <cell r="BQ47">
            <v>0</v>
          </cell>
          <cell r="BR47">
            <v>0</v>
          </cell>
          <cell r="BS47">
            <v>0</v>
          </cell>
          <cell r="BT47">
            <v>0.83316575545335458</v>
          </cell>
          <cell r="BU47">
            <v>0</v>
          </cell>
          <cell r="BV47">
            <v>0.84218323358645453</v>
          </cell>
          <cell r="BW47">
            <v>0</v>
          </cell>
          <cell r="BX47">
            <v>1301.6999999999998</v>
          </cell>
          <cell r="BY47">
            <v>0</v>
          </cell>
          <cell r="BZ47">
            <v>87.852276445978333</v>
          </cell>
          <cell r="CA47">
            <v>0</v>
          </cell>
          <cell r="CB47">
            <v>1.9540600752861652</v>
          </cell>
          <cell r="CC47">
            <v>0</v>
          </cell>
          <cell r="CD47">
            <v>9.0078359068909902E-2</v>
          </cell>
          <cell r="CE47">
            <v>0</v>
          </cell>
          <cell r="CF47">
            <v>925.71845933687518</v>
          </cell>
          <cell r="CG47">
            <v>0</v>
          </cell>
          <cell r="CH47">
            <v>294.56672044249837</v>
          </cell>
          <cell r="CI47">
            <v>0</v>
          </cell>
          <cell r="CJ47">
            <v>8.7308903741261457</v>
          </cell>
          <cell r="CK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7">
          <cell r="D7">
            <v>0</v>
          </cell>
          <cell r="E7">
            <v>0</v>
          </cell>
          <cell r="F7">
            <v>6500</v>
          </cell>
          <cell r="G7">
            <v>7600.0000000003638</v>
          </cell>
          <cell r="H7">
            <v>4199.9999999998181</v>
          </cell>
          <cell r="I7">
            <v>11643.33</v>
          </cell>
          <cell r="J7">
            <v>7723.3299999996771</v>
          </cell>
          <cell r="K7">
            <v>13699.999999998909</v>
          </cell>
          <cell r="L7">
            <v>330</v>
          </cell>
          <cell r="M7">
            <v>650</v>
          </cell>
        </row>
        <row r="8">
          <cell r="D8">
            <v>0</v>
          </cell>
          <cell r="E8">
            <v>0</v>
          </cell>
          <cell r="F8">
            <v>3500</v>
          </cell>
          <cell r="G8">
            <v>4600.0000000003638</v>
          </cell>
          <cell r="H8">
            <v>2200.0000000007276</v>
          </cell>
          <cell r="I8">
            <v>5677.9499999992722</v>
          </cell>
          <cell r="J8">
            <v>4377.9500000003873</v>
          </cell>
          <cell r="K8">
            <v>7600.0000000003638</v>
          </cell>
          <cell r="L8">
            <v>230</v>
          </cell>
          <cell r="M8">
            <v>390</v>
          </cell>
        </row>
        <row r="9">
          <cell r="D9">
            <v>0</v>
          </cell>
          <cell r="E9">
            <v>0</v>
          </cell>
          <cell r="F9">
            <v>7100</v>
          </cell>
          <cell r="G9">
            <v>7900</v>
          </cell>
          <cell r="H9">
            <v>4599.9999999994543</v>
          </cell>
          <cell r="I9">
            <v>14274.42</v>
          </cell>
          <cell r="J9">
            <v>8654.4199999995399</v>
          </cell>
          <cell r="K9">
            <v>16000</v>
          </cell>
          <cell r="L9">
            <v>481.52000000001863</v>
          </cell>
          <cell r="M9">
            <v>754.84000000002561</v>
          </cell>
        </row>
        <row r="10">
          <cell r="D10">
            <v>0</v>
          </cell>
          <cell r="E10">
            <v>0</v>
          </cell>
          <cell r="F10">
            <v>6200</v>
          </cell>
          <cell r="G10">
            <v>7400.0000000003638</v>
          </cell>
          <cell r="H10">
            <v>4300.0000000001819</v>
          </cell>
          <cell r="I10">
            <v>10535.759999999273</v>
          </cell>
          <cell r="J10">
            <v>5625.7600000001685</v>
          </cell>
          <cell r="K10">
            <v>13799.999999999272</v>
          </cell>
          <cell r="L10">
            <v>458.47999999998137</v>
          </cell>
          <cell r="M10">
            <v>675.15999999997439</v>
          </cell>
        </row>
        <row r="11">
          <cell r="D11">
            <v>0</v>
          </cell>
          <cell r="E11">
            <v>0</v>
          </cell>
          <cell r="F11">
            <v>6600</v>
          </cell>
          <cell r="G11">
            <v>7299.9999999996362</v>
          </cell>
          <cell r="H11">
            <v>4800.0000000001819</v>
          </cell>
          <cell r="I11">
            <v>12981.910000000727</v>
          </cell>
          <cell r="J11">
            <v>6821.9099999991677</v>
          </cell>
          <cell r="K11">
            <v>16100.000000000364</v>
          </cell>
          <cell r="L11">
            <v>540</v>
          </cell>
          <cell r="M11">
            <v>730</v>
          </cell>
        </row>
        <row r="12">
          <cell r="D12">
            <v>0</v>
          </cell>
          <cell r="E12">
            <v>0</v>
          </cell>
          <cell r="F12">
            <v>6700</v>
          </cell>
          <cell r="G12">
            <v>7300</v>
          </cell>
          <cell r="H12">
            <v>4599.9999999994543</v>
          </cell>
          <cell r="I12">
            <v>11066.99</v>
          </cell>
          <cell r="J12">
            <v>7716.9900000003181</v>
          </cell>
          <cell r="K12">
            <v>16000</v>
          </cell>
          <cell r="L12">
            <v>550</v>
          </cell>
          <cell r="M12">
            <v>730</v>
          </cell>
        </row>
        <row r="13">
          <cell r="D13">
            <v>0</v>
          </cell>
          <cell r="E13">
            <v>0</v>
          </cell>
          <cell r="F13">
            <v>6700</v>
          </cell>
          <cell r="G13">
            <v>7699.9999999996362</v>
          </cell>
          <cell r="H13">
            <v>3800.0000000001819</v>
          </cell>
          <cell r="I13">
            <v>9611.7899999996371</v>
          </cell>
          <cell r="J13">
            <v>7251.7900000006921</v>
          </cell>
          <cell r="K13">
            <v>14399.999999999636</v>
          </cell>
          <cell r="L13">
            <v>490</v>
          </cell>
          <cell r="M13">
            <v>760</v>
          </cell>
        </row>
        <row r="14">
          <cell r="D14">
            <v>5</v>
          </cell>
          <cell r="E14">
            <v>0</v>
          </cell>
          <cell r="F14">
            <v>6800</v>
          </cell>
          <cell r="G14">
            <v>8295.0000000003638</v>
          </cell>
          <cell r="H14">
            <v>7100.0000000003638</v>
          </cell>
          <cell r="I14">
            <v>17015.190000000362</v>
          </cell>
          <cell r="J14">
            <v>7155.1900000004644</v>
          </cell>
          <cell r="K14">
            <v>9600.0000000003638</v>
          </cell>
          <cell r="L14">
            <v>370</v>
          </cell>
          <cell r="M14">
            <v>590</v>
          </cell>
        </row>
        <row r="15">
          <cell r="D15">
            <v>0</v>
          </cell>
          <cell r="E15">
            <v>0</v>
          </cell>
          <cell r="F15">
            <v>6600</v>
          </cell>
          <cell r="G15">
            <v>7400</v>
          </cell>
          <cell r="H15">
            <v>6800.0000000001819</v>
          </cell>
          <cell r="I15">
            <v>18499.16</v>
          </cell>
          <cell r="J15">
            <v>7259.1599999992177</v>
          </cell>
          <cell r="K15">
            <v>9100.0000000003638</v>
          </cell>
          <cell r="L15">
            <v>364.88000000000466</v>
          </cell>
          <cell r="M15">
            <v>538.53999999997905</v>
          </cell>
        </row>
        <row r="16">
          <cell r="D16">
            <v>0</v>
          </cell>
          <cell r="E16">
            <v>0</v>
          </cell>
          <cell r="F16">
            <v>6700</v>
          </cell>
          <cell r="G16">
            <v>7300</v>
          </cell>
          <cell r="H16">
            <v>5799.9999999992724</v>
          </cell>
          <cell r="I16">
            <v>13376.299999999272</v>
          </cell>
          <cell r="J16">
            <v>7486.2999999993535</v>
          </cell>
          <cell r="K16">
            <v>15000</v>
          </cell>
          <cell r="L16">
            <v>415.11999999999534</v>
          </cell>
          <cell r="M16">
            <v>641.46000000002095</v>
          </cell>
        </row>
        <row r="17">
          <cell r="D17">
            <v>0</v>
          </cell>
          <cell r="E17">
            <v>0</v>
          </cell>
          <cell r="F17">
            <v>6600</v>
          </cell>
          <cell r="G17">
            <v>7400</v>
          </cell>
          <cell r="H17">
            <v>5600.0000000003638</v>
          </cell>
          <cell r="I17">
            <v>12902.620000001456</v>
          </cell>
          <cell r="J17">
            <v>6652.6200000007057</v>
          </cell>
          <cell r="K17">
            <v>15299.999999999272</v>
          </cell>
          <cell r="L17">
            <v>410</v>
          </cell>
          <cell r="M17">
            <v>670</v>
          </cell>
        </row>
        <row r="18">
          <cell r="D18">
            <v>0</v>
          </cell>
          <cell r="E18">
            <v>0</v>
          </cell>
          <cell r="F18">
            <v>6600</v>
          </cell>
          <cell r="G18">
            <v>7400</v>
          </cell>
          <cell r="H18">
            <v>5800.0000000001819</v>
          </cell>
          <cell r="I18">
            <v>14789.239999998908</v>
          </cell>
          <cell r="J18">
            <v>8219.2400000007456</v>
          </cell>
          <cell r="K18">
            <v>16000</v>
          </cell>
          <cell r="L18">
            <v>420</v>
          </cell>
          <cell r="M18">
            <v>670</v>
          </cell>
        </row>
        <row r="19">
          <cell r="D19">
            <v>0</v>
          </cell>
          <cell r="E19">
            <v>0</v>
          </cell>
          <cell r="F19">
            <v>6400</v>
          </cell>
          <cell r="G19">
            <v>7499.9999999996362</v>
          </cell>
          <cell r="H19">
            <v>5399.9999999996362</v>
          </cell>
          <cell r="I19">
            <v>13905.410000000364</v>
          </cell>
          <cell r="J19">
            <v>7065.4099999985583</v>
          </cell>
          <cell r="K19">
            <v>15900.000000001455</v>
          </cell>
          <cell r="L19">
            <v>380</v>
          </cell>
          <cell r="M19">
            <v>620</v>
          </cell>
        </row>
        <row r="20">
          <cell r="D20">
            <v>0</v>
          </cell>
          <cell r="E20">
            <v>0</v>
          </cell>
          <cell r="F20">
            <v>6400</v>
          </cell>
          <cell r="G20">
            <v>7499.9999999996362</v>
          </cell>
          <cell r="H20">
            <v>6800.0000000001819</v>
          </cell>
          <cell r="I20">
            <v>15253.410000000727</v>
          </cell>
          <cell r="J20">
            <v>5583.4099999999726</v>
          </cell>
          <cell r="K20">
            <v>9299.9999999992724</v>
          </cell>
          <cell r="L20">
            <v>410</v>
          </cell>
          <cell r="M20">
            <v>690</v>
          </cell>
        </row>
        <row r="21">
          <cell r="D21">
            <v>0</v>
          </cell>
          <cell r="E21">
            <v>0</v>
          </cell>
          <cell r="F21">
            <v>6900</v>
          </cell>
          <cell r="G21">
            <v>7500.0000000014552</v>
          </cell>
          <cell r="H21">
            <v>7199.9999999998181</v>
          </cell>
          <cell r="I21">
            <v>16980.549999998908</v>
          </cell>
          <cell r="J21">
            <v>5910.5500000010634</v>
          </cell>
          <cell r="K21">
            <v>9700.0000000007276</v>
          </cell>
          <cell r="L21">
            <v>350</v>
          </cell>
          <cell r="M21">
            <v>700</v>
          </cell>
        </row>
        <row r="22">
          <cell r="D22">
            <v>6</v>
          </cell>
          <cell r="E22">
            <v>0</v>
          </cell>
          <cell r="F22">
            <v>6800</v>
          </cell>
          <cell r="G22">
            <v>7694</v>
          </cell>
          <cell r="H22">
            <v>7100.0000000003638</v>
          </cell>
          <cell r="I22">
            <v>17346.770000001092</v>
          </cell>
          <cell r="J22">
            <v>5676.7699999992456</v>
          </cell>
          <cell r="K22">
            <v>9099.9999999985448</v>
          </cell>
          <cell r="L22">
            <v>380</v>
          </cell>
          <cell r="M22">
            <v>580</v>
          </cell>
        </row>
        <row r="23">
          <cell r="D23">
            <v>0</v>
          </cell>
          <cell r="E23">
            <v>0</v>
          </cell>
          <cell r="F23">
            <v>6900</v>
          </cell>
          <cell r="G23">
            <v>7399.9999999992724</v>
          </cell>
          <cell r="H23">
            <v>7199.9999999998181</v>
          </cell>
          <cell r="I23">
            <v>17842.559999998546</v>
          </cell>
          <cell r="J23">
            <v>6072.5600000010863</v>
          </cell>
          <cell r="K23">
            <v>4300.0000000010914</v>
          </cell>
          <cell r="L23">
            <v>350</v>
          </cell>
          <cell r="M23">
            <v>580</v>
          </cell>
        </row>
        <row r="24">
          <cell r="D24">
            <v>0</v>
          </cell>
          <cell r="E24">
            <v>0</v>
          </cell>
          <cell r="F24">
            <v>6400</v>
          </cell>
          <cell r="G24">
            <v>7499.9999999996362</v>
          </cell>
          <cell r="H24">
            <v>5000</v>
          </cell>
          <cell r="I24">
            <v>12695.900000001455</v>
          </cell>
          <cell r="J24">
            <v>7245.8999999992493</v>
          </cell>
          <cell r="K24">
            <v>19799.999999999272</v>
          </cell>
          <cell r="L24">
            <v>420</v>
          </cell>
          <cell r="M24">
            <v>690</v>
          </cell>
        </row>
        <row r="25">
          <cell r="D25">
            <v>0</v>
          </cell>
          <cell r="E25">
            <v>0</v>
          </cell>
          <cell r="F25">
            <v>6600</v>
          </cell>
          <cell r="G25">
            <v>8000.0000000003638</v>
          </cell>
          <cell r="H25">
            <v>5000</v>
          </cell>
          <cell r="I25">
            <v>13052.729999998544</v>
          </cell>
          <cell r="J25">
            <v>7582.7300000007453</v>
          </cell>
          <cell r="K25">
            <v>14899.999999999636</v>
          </cell>
          <cell r="L25">
            <v>420</v>
          </cell>
          <cell r="M25">
            <v>730</v>
          </cell>
        </row>
        <row r="26">
          <cell r="D26">
            <v>0</v>
          </cell>
          <cell r="E26">
            <v>0</v>
          </cell>
          <cell r="F26">
            <v>6400</v>
          </cell>
          <cell r="G26">
            <v>7399.9999999992724</v>
          </cell>
          <cell r="H26">
            <v>4699.9999999998181</v>
          </cell>
          <cell r="I26">
            <v>11166.860000000728</v>
          </cell>
          <cell r="J26">
            <v>6646.8599999992684</v>
          </cell>
          <cell r="K26">
            <v>14000</v>
          </cell>
          <cell r="L26">
            <v>400</v>
          </cell>
          <cell r="M26">
            <v>670</v>
          </cell>
        </row>
        <row r="27">
          <cell r="D27">
            <v>0</v>
          </cell>
          <cell r="E27">
            <v>0</v>
          </cell>
          <cell r="F27">
            <v>7100</v>
          </cell>
          <cell r="G27">
            <v>7500.0000000003638</v>
          </cell>
          <cell r="H27">
            <v>5100.0000000003638</v>
          </cell>
          <cell r="I27">
            <v>13139.589999999636</v>
          </cell>
          <cell r="J27">
            <v>7559.5900000000047</v>
          </cell>
          <cell r="K27">
            <v>15400.000000001455</v>
          </cell>
          <cell r="L27">
            <v>480</v>
          </cell>
          <cell r="M27">
            <v>700</v>
          </cell>
        </row>
        <row r="28">
          <cell r="D28">
            <v>0</v>
          </cell>
          <cell r="E28">
            <v>0</v>
          </cell>
          <cell r="F28">
            <v>6800</v>
          </cell>
          <cell r="G28">
            <v>7400.0000000007276</v>
          </cell>
          <cell r="H28">
            <v>4699.9999999998181</v>
          </cell>
          <cell r="I28">
            <v>12380.39</v>
          </cell>
          <cell r="J28">
            <v>6840.3899999996038</v>
          </cell>
          <cell r="K28">
            <v>15000</v>
          </cell>
          <cell r="L28">
            <v>470</v>
          </cell>
          <cell r="M28">
            <v>720</v>
          </cell>
        </row>
        <row r="29">
          <cell r="D29">
            <v>0</v>
          </cell>
          <cell r="E29">
            <v>0</v>
          </cell>
          <cell r="F29">
            <v>7000</v>
          </cell>
          <cell r="G29">
            <v>7199.9999999989086</v>
          </cell>
          <cell r="H29">
            <v>4699.9999999998181</v>
          </cell>
          <cell r="I29">
            <v>13091.199999999637</v>
          </cell>
          <cell r="J29">
            <v>7731.2000000008056</v>
          </cell>
          <cell r="K29">
            <v>14899.999999999636</v>
          </cell>
          <cell r="L29">
            <v>460</v>
          </cell>
          <cell r="M29">
            <v>700</v>
          </cell>
        </row>
        <row r="30">
          <cell r="D30">
            <v>0</v>
          </cell>
          <cell r="E30">
            <v>0</v>
          </cell>
          <cell r="F30">
            <v>6800</v>
          </cell>
          <cell r="G30">
            <v>7300.0000000003638</v>
          </cell>
          <cell r="H30">
            <v>4699.9999999998181</v>
          </cell>
          <cell r="I30">
            <v>12439.690000000728</v>
          </cell>
          <cell r="J30">
            <v>7389.6899999992274</v>
          </cell>
          <cell r="K30">
            <v>14699.999999998909</v>
          </cell>
          <cell r="L30">
            <v>440</v>
          </cell>
          <cell r="M30">
            <v>700</v>
          </cell>
        </row>
        <row r="31">
          <cell r="D31">
            <v>0</v>
          </cell>
          <cell r="E31">
            <v>0</v>
          </cell>
          <cell r="F31">
            <v>6900</v>
          </cell>
          <cell r="G31">
            <v>7200.0000000003638</v>
          </cell>
          <cell r="H31">
            <v>4600.0000000003638</v>
          </cell>
          <cell r="I31">
            <v>11657.929999999636</v>
          </cell>
          <cell r="J31">
            <v>6717.9300000000594</v>
          </cell>
          <cell r="K31">
            <v>14600.000000000364</v>
          </cell>
          <cell r="L31">
            <v>430</v>
          </cell>
          <cell r="M31">
            <v>720</v>
          </cell>
        </row>
        <row r="32">
          <cell r="D32">
            <v>0</v>
          </cell>
          <cell r="E32">
            <v>0</v>
          </cell>
          <cell r="F32">
            <v>7100</v>
          </cell>
          <cell r="G32">
            <v>7299.9999999996362</v>
          </cell>
          <cell r="H32">
            <v>4899.9999999996362</v>
          </cell>
          <cell r="I32">
            <v>12921.680000000364</v>
          </cell>
          <cell r="J32">
            <v>8151.6800000010189</v>
          </cell>
          <cell r="K32">
            <v>15500</v>
          </cell>
          <cell r="L32">
            <v>470</v>
          </cell>
          <cell r="M32">
            <v>730</v>
          </cell>
        </row>
        <row r="33">
          <cell r="D33">
            <v>0</v>
          </cell>
          <cell r="E33">
            <v>0</v>
          </cell>
          <cell r="F33">
            <v>6900</v>
          </cell>
          <cell r="G33">
            <v>7400.0000000010914</v>
          </cell>
          <cell r="H33">
            <v>4700.0000000007276</v>
          </cell>
          <cell r="I33">
            <v>12147.529999999273</v>
          </cell>
          <cell r="J33">
            <v>7187.5299999993276</v>
          </cell>
          <cell r="K33">
            <v>15200.000000000728</v>
          </cell>
          <cell r="L33">
            <v>510</v>
          </cell>
          <cell r="M33">
            <v>740</v>
          </cell>
        </row>
        <row r="34">
          <cell r="D34">
            <v>0</v>
          </cell>
          <cell r="E34">
            <v>0</v>
          </cell>
          <cell r="F34">
            <v>7100</v>
          </cell>
          <cell r="G34">
            <v>8099.9999999989086</v>
          </cell>
          <cell r="H34">
            <v>5000</v>
          </cell>
          <cell r="I34">
            <v>13554.830000001091</v>
          </cell>
          <cell r="J34">
            <v>7864.829999999627</v>
          </cell>
          <cell r="K34">
            <v>15500</v>
          </cell>
          <cell r="L34">
            <v>490</v>
          </cell>
          <cell r="M34">
            <v>750</v>
          </cell>
        </row>
        <row r="35">
          <cell r="D35">
            <v>0</v>
          </cell>
          <cell r="E35">
            <v>0</v>
          </cell>
          <cell r="F35">
            <v>6600</v>
          </cell>
          <cell r="G35">
            <v>8000.0000000003638</v>
          </cell>
          <cell r="H35">
            <v>4799.9999999992724</v>
          </cell>
          <cell r="I35">
            <v>12135.5</v>
          </cell>
          <cell r="J35">
            <v>6845.4999999999454</v>
          </cell>
          <cell r="K35">
            <v>15000</v>
          </cell>
          <cell r="L35">
            <v>460</v>
          </cell>
          <cell r="M35">
            <v>710</v>
          </cell>
        </row>
        <row r="36">
          <cell r="D36">
            <v>0</v>
          </cell>
          <cell r="E36">
            <v>0</v>
          </cell>
          <cell r="F36">
            <v>6900</v>
          </cell>
          <cell r="G36">
            <v>8100</v>
          </cell>
          <cell r="H36">
            <v>5700.0000000007276</v>
          </cell>
          <cell r="I36">
            <v>13514.5</v>
          </cell>
          <cell r="J36">
            <v>6704.500000001146</v>
          </cell>
          <cell r="K36">
            <v>12000</v>
          </cell>
          <cell r="L36">
            <v>440</v>
          </cell>
          <cell r="M36">
            <v>660</v>
          </cell>
        </row>
        <row r="37">
          <cell r="D37">
            <v>0</v>
          </cell>
          <cell r="E37">
            <v>0</v>
          </cell>
          <cell r="F37">
            <v>6800</v>
          </cell>
          <cell r="G37">
            <v>7999.9999999992724</v>
          </cell>
          <cell r="H37">
            <v>6699.9999999998181</v>
          </cell>
          <cell r="I37">
            <v>15599.359999999637</v>
          </cell>
          <cell r="J37">
            <v>6139.3599999989638</v>
          </cell>
          <cell r="K37">
            <v>8699.9999999989086</v>
          </cell>
          <cell r="L37">
            <v>340</v>
          </cell>
          <cell r="M37">
            <v>510</v>
          </cell>
        </row>
        <row r="38">
          <cell r="N38">
            <v>1679622.0999999973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K398"/>
  <sheetViews>
    <sheetView tabSelected="1" topLeftCell="A383" zoomScale="115" zoomScaleNormal="115" workbookViewId="0">
      <selection activeCell="C392" sqref="C392"/>
    </sheetView>
  </sheetViews>
  <sheetFormatPr defaultColWidth="9.140625" defaultRowHeight="12.75"/>
  <cols>
    <col min="1" max="1" width="11.5703125" style="571" customWidth="1"/>
    <col min="2" max="89" width="9.42578125" style="571" customWidth="1"/>
    <col min="90" max="16384" width="9.140625" style="571"/>
  </cols>
  <sheetData>
    <row r="1" spans="1:89" ht="13.5" thickBot="1">
      <c r="A1" s="635" t="s">
        <v>30</v>
      </c>
      <c r="B1" s="638" t="s">
        <v>150</v>
      </c>
      <c r="C1" s="639"/>
      <c r="D1" s="639"/>
      <c r="E1" s="639"/>
      <c r="F1" s="639"/>
      <c r="G1" s="639"/>
      <c r="H1" s="639"/>
      <c r="I1" s="639"/>
      <c r="J1" s="639"/>
      <c r="K1" s="640"/>
      <c r="L1" s="641" t="s">
        <v>215</v>
      </c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3"/>
      <c r="Z1" s="785" t="s">
        <v>316</v>
      </c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7"/>
      <c r="AN1" s="794" t="s">
        <v>317</v>
      </c>
      <c r="AO1" s="795"/>
      <c r="AP1" s="795"/>
      <c r="AQ1" s="795"/>
      <c r="AR1" s="795"/>
      <c r="AS1" s="795"/>
      <c r="AT1" s="795"/>
      <c r="AU1" s="795"/>
      <c r="AV1" s="795"/>
      <c r="AW1" s="795"/>
      <c r="AX1" s="795"/>
      <c r="AY1" s="795"/>
      <c r="AZ1" s="795"/>
      <c r="BA1" s="795"/>
      <c r="BB1" s="795"/>
      <c r="BC1" s="795"/>
      <c r="BD1" s="795"/>
      <c r="BE1" s="796"/>
      <c r="BF1" s="644" t="s">
        <v>216</v>
      </c>
      <c r="BG1" s="645"/>
      <c r="BH1" s="645"/>
      <c r="BI1" s="645"/>
      <c r="BJ1" s="645"/>
      <c r="BK1" s="645"/>
      <c r="BL1" s="645"/>
      <c r="BM1" s="645"/>
      <c r="BN1" s="645"/>
      <c r="BO1" s="645"/>
      <c r="BP1" s="645"/>
      <c r="BQ1" s="645"/>
      <c r="BR1" s="645"/>
      <c r="BS1" s="646"/>
      <c r="BT1" s="800" t="s">
        <v>318</v>
      </c>
      <c r="BU1" s="801"/>
      <c r="BV1" s="801"/>
      <c r="BW1" s="801"/>
      <c r="BX1" s="801"/>
      <c r="BY1" s="801"/>
      <c r="BZ1" s="801"/>
      <c r="CA1" s="801"/>
      <c r="CB1" s="801"/>
      <c r="CC1" s="801"/>
      <c r="CD1" s="801"/>
      <c r="CE1" s="801"/>
      <c r="CF1" s="801"/>
      <c r="CG1" s="801"/>
      <c r="CH1" s="801"/>
      <c r="CI1" s="801"/>
      <c r="CJ1" s="801"/>
      <c r="CK1" s="802"/>
    </row>
    <row r="2" spans="1:89">
      <c r="A2" s="636"/>
      <c r="B2" s="650" t="s">
        <v>406</v>
      </c>
      <c r="C2" s="648"/>
      <c r="D2" s="647" t="s">
        <v>407</v>
      </c>
      <c r="E2" s="648"/>
      <c r="F2" s="647" t="s">
        <v>217</v>
      </c>
      <c r="G2" s="648"/>
      <c r="H2" s="647" t="s">
        <v>218</v>
      </c>
      <c r="I2" s="648"/>
      <c r="J2" s="647" t="s">
        <v>219</v>
      </c>
      <c r="K2" s="649"/>
      <c r="L2" s="650" t="s">
        <v>406</v>
      </c>
      <c r="M2" s="648"/>
      <c r="N2" s="647" t="s">
        <v>407</v>
      </c>
      <c r="O2" s="648"/>
      <c r="P2" s="647" t="s">
        <v>217</v>
      </c>
      <c r="Q2" s="648"/>
      <c r="R2" s="647" t="s">
        <v>319</v>
      </c>
      <c r="S2" s="648"/>
      <c r="T2" s="647" t="s">
        <v>320</v>
      </c>
      <c r="U2" s="648"/>
      <c r="V2" s="647" t="s">
        <v>219</v>
      </c>
      <c r="W2" s="648"/>
      <c r="X2" s="647" t="s">
        <v>321</v>
      </c>
      <c r="Y2" s="649"/>
      <c r="Z2" s="650" t="s">
        <v>406</v>
      </c>
      <c r="AA2" s="648"/>
      <c r="AB2" s="647" t="s">
        <v>407</v>
      </c>
      <c r="AC2" s="648"/>
      <c r="AD2" s="647" t="s">
        <v>217</v>
      </c>
      <c r="AE2" s="648"/>
      <c r="AF2" s="647" t="s">
        <v>322</v>
      </c>
      <c r="AG2" s="648"/>
      <c r="AH2" s="647" t="s">
        <v>220</v>
      </c>
      <c r="AI2" s="648"/>
      <c r="AJ2" s="647" t="s">
        <v>221</v>
      </c>
      <c r="AK2" s="649"/>
      <c r="AL2" s="668" t="s">
        <v>429</v>
      </c>
      <c r="AM2" s="669"/>
      <c r="AN2" s="650" t="s">
        <v>406</v>
      </c>
      <c r="AO2" s="648"/>
      <c r="AP2" s="647" t="s">
        <v>407</v>
      </c>
      <c r="AQ2" s="648"/>
      <c r="AR2" s="647" t="s">
        <v>217</v>
      </c>
      <c r="AS2" s="648"/>
      <c r="AT2" s="647" t="s">
        <v>322</v>
      </c>
      <c r="AU2" s="648"/>
      <c r="AV2" s="647" t="s">
        <v>220</v>
      </c>
      <c r="AW2" s="648"/>
      <c r="AX2" s="647" t="s">
        <v>323</v>
      </c>
      <c r="AY2" s="648"/>
      <c r="AZ2" s="647" t="s">
        <v>221</v>
      </c>
      <c r="BA2" s="648"/>
      <c r="BB2" s="647" t="s">
        <v>324</v>
      </c>
      <c r="BC2" s="648"/>
      <c r="BD2" s="652" t="s">
        <v>429</v>
      </c>
      <c r="BE2" s="788"/>
      <c r="BF2" s="650" t="s">
        <v>406</v>
      </c>
      <c r="BG2" s="648"/>
      <c r="BH2" s="647" t="s">
        <v>407</v>
      </c>
      <c r="BI2" s="648"/>
      <c r="BJ2" s="647" t="s">
        <v>217</v>
      </c>
      <c r="BK2" s="648"/>
      <c r="BL2" s="647" t="s">
        <v>220</v>
      </c>
      <c r="BM2" s="648"/>
      <c r="BN2" s="647" t="s">
        <v>320</v>
      </c>
      <c r="BO2" s="648"/>
      <c r="BP2" s="647" t="s">
        <v>221</v>
      </c>
      <c r="BQ2" s="648"/>
      <c r="BR2" s="647" t="s">
        <v>321</v>
      </c>
      <c r="BS2" s="649"/>
      <c r="BT2" s="650" t="s">
        <v>406</v>
      </c>
      <c r="BU2" s="648"/>
      <c r="BV2" s="647" t="s">
        <v>407</v>
      </c>
      <c r="BW2" s="648"/>
      <c r="BX2" s="647" t="s">
        <v>217</v>
      </c>
      <c r="BY2" s="648"/>
      <c r="BZ2" s="647" t="s">
        <v>322</v>
      </c>
      <c r="CA2" s="648"/>
      <c r="CB2" s="647" t="s">
        <v>220</v>
      </c>
      <c r="CC2" s="648"/>
      <c r="CD2" s="647" t="s">
        <v>323</v>
      </c>
      <c r="CE2" s="648"/>
      <c r="CF2" s="647" t="s">
        <v>221</v>
      </c>
      <c r="CG2" s="648"/>
      <c r="CH2" s="652" t="s">
        <v>324</v>
      </c>
      <c r="CI2" s="652"/>
      <c r="CJ2" s="652" t="s">
        <v>430</v>
      </c>
      <c r="CK2" s="788"/>
    </row>
    <row r="3" spans="1:89" ht="13.5" thickBot="1">
      <c r="A3" s="637"/>
      <c r="B3" s="507" t="s">
        <v>222</v>
      </c>
      <c r="C3" s="508" t="s">
        <v>223</v>
      </c>
      <c r="D3" s="508" t="s">
        <v>222</v>
      </c>
      <c r="E3" s="508" t="s">
        <v>223</v>
      </c>
      <c r="F3" s="508" t="s">
        <v>222</v>
      </c>
      <c r="G3" s="508" t="s">
        <v>223</v>
      </c>
      <c r="H3" s="508" t="s">
        <v>222</v>
      </c>
      <c r="I3" s="508" t="s">
        <v>223</v>
      </c>
      <c r="J3" s="508" t="s">
        <v>222</v>
      </c>
      <c r="K3" s="509" t="s">
        <v>223</v>
      </c>
      <c r="L3" s="507" t="s">
        <v>222</v>
      </c>
      <c r="M3" s="508" t="s">
        <v>223</v>
      </c>
      <c r="N3" s="508" t="s">
        <v>222</v>
      </c>
      <c r="O3" s="508" t="s">
        <v>223</v>
      </c>
      <c r="P3" s="546" t="s">
        <v>222</v>
      </c>
      <c r="Q3" s="546" t="s">
        <v>223</v>
      </c>
      <c r="R3" s="546" t="s">
        <v>222</v>
      </c>
      <c r="S3" s="546" t="s">
        <v>223</v>
      </c>
      <c r="T3" s="546" t="s">
        <v>222</v>
      </c>
      <c r="U3" s="546" t="s">
        <v>223</v>
      </c>
      <c r="V3" s="546" t="s">
        <v>222</v>
      </c>
      <c r="W3" s="546" t="s">
        <v>223</v>
      </c>
      <c r="X3" s="546" t="s">
        <v>222</v>
      </c>
      <c r="Y3" s="547" t="s">
        <v>223</v>
      </c>
      <c r="Z3" s="557" t="s">
        <v>222</v>
      </c>
      <c r="AA3" s="546" t="s">
        <v>223</v>
      </c>
      <c r="AB3" s="546" t="s">
        <v>222</v>
      </c>
      <c r="AC3" s="546" t="s">
        <v>223</v>
      </c>
      <c r="AD3" s="546" t="s">
        <v>222</v>
      </c>
      <c r="AE3" s="546" t="s">
        <v>223</v>
      </c>
      <c r="AF3" s="546" t="s">
        <v>222</v>
      </c>
      <c r="AG3" s="546" t="s">
        <v>223</v>
      </c>
      <c r="AH3" s="546" t="s">
        <v>222</v>
      </c>
      <c r="AI3" s="546" t="s">
        <v>223</v>
      </c>
      <c r="AJ3" s="546" t="s">
        <v>222</v>
      </c>
      <c r="AK3" s="568" t="s">
        <v>223</v>
      </c>
      <c r="AL3" s="508" t="s">
        <v>222</v>
      </c>
      <c r="AM3" s="575" t="s">
        <v>223</v>
      </c>
      <c r="AN3" s="557" t="s">
        <v>222</v>
      </c>
      <c r="AO3" s="546" t="s">
        <v>223</v>
      </c>
      <c r="AP3" s="546" t="s">
        <v>222</v>
      </c>
      <c r="AQ3" s="546" t="s">
        <v>223</v>
      </c>
      <c r="AR3" s="546" t="s">
        <v>222</v>
      </c>
      <c r="AS3" s="546" t="s">
        <v>223</v>
      </c>
      <c r="AT3" s="546" t="s">
        <v>222</v>
      </c>
      <c r="AU3" s="546" t="s">
        <v>223</v>
      </c>
      <c r="AV3" s="546" t="s">
        <v>222</v>
      </c>
      <c r="AW3" s="546" t="s">
        <v>223</v>
      </c>
      <c r="AX3" s="546" t="s">
        <v>222</v>
      </c>
      <c r="AY3" s="546" t="s">
        <v>223</v>
      </c>
      <c r="AZ3" s="546" t="s">
        <v>222</v>
      </c>
      <c r="BA3" s="546" t="s">
        <v>223</v>
      </c>
      <c r="BB3" s="546" t="s">
        <v>222</v>
      </c>
      <c r="BC3" s="546" t="s">
        <v>223</v>
      </c>
      <c r="BD3" s="578" t="s">
        <v>222</v>
      </c>
      <c r="BE3" s="579" t="s">
        <v>223</v>
      </c>
      <c r="BF3" s="557" t="s">
        <v>222</v>
      </c>
      <c r="BG3" s="546" t="s">
        <v>223</v>
      </c>
      <c r="BH3" s="546" t="s">
        <v>222</v>
      </c>
      <c r="BI3" s="546" t="s">
        <v>223</v>
      </c>
      <c r="BJ3" s="546" t="s">
        <v>222</v>
      </c>
      <c r="BK3" s="546" t="s">
        <v>223</v>
      </c>
      <c r="BL3" s="546" t="s">
        <v>222</v>
      </c>
      <c r="BM3" s="546" t="s">
        <v>223</v>
      </c>
      <c r="BN3" s="546" t="s">
        <v>222</v>
      </c>
      <c r="BO3" s="546" t="s">
        <v>223</v>
      </c>
      <c r="BP3" s="546" t="s">
        <v>222</v>
      </c>
      <c r="BQ3" s="546" t="s">
        <v>223</v>
      </c>
      <c r="BR3" s="546" t="s">
        <v>222</v>
      </c>
      <c r="BS3" s="547" t="s">
        <v>223</v>
      </c>
      <c r="BT3" s="507" t="s">
        <v>222</v>
      </c>
      <c r="BU3" s="508" t="s">
        <v>223</v>
      </c>
      <c r="BV3" s="508" t="s">
        <v>222</v>
      </c>
      <c r="BW3" s="508" t="s">
        <v>223</v>
      </c>
      <c r="BX3" s="508" t="s">
        <v>222</v>
      </c>
      <c r="BY3" s="508" t="s">
        <v>223</v>
      </c>
      <c r="BZ3" s="508" t="s">
        <v>222</v>
      </c>
      <c r="CA3" s="508" t="s">
        <v>223</v>
      </c>
      <c r="CB3" s="508" t="s">
        <v>222</v>
      </c>
      <c r="CC3" s="508" t="s">
        <v>223</v>
      </c>
      <c r="CD3" s="508" t="s">
        <v>222</v>
      </c>
      <c r="CE3" s="508" t="s">
        <v>223</v>
      </c>
      <c r="CF3" s="508" t="s">
        <v>222</v>
      </c>
      <c r="CG3" s="508" t="s">
        <v>223</v>
      </c>
      <c r="CH3" s="508" t="s">
        <v>222</v>
      </c>
      <c r="CI3" s="508" t="s">
        <v>223</v>
      </c>
      <c r="CJ3" s="508" t="s">
        <v>222</v>
      </c>
      <c r="CK3" s="509" t="s">
        <v>223</v>
      </c>
    </row>
    <row r="4" spans="1:89" ht="14.25" customHeight="1" thickTop="1">
      <c r="A4" s="559">
        <f>+Report1!A9</f>
        <v>45992</v>
      </c>
      <c r="B4" s="518">
        <f>+Report1!J9</f>
        <v>0.57448452274845652</v>
      </c>
      <c r="C4" s="519">
        <f>+Report1!K9</f>
        <v>0.57448452274845652</v>
      </c>
      <c r="D4" s="519">
        <f>+Report1!AJ9</f>
        <v>0.57448452274845652</v>
      </c>
      <c r="E4" s="519">
        <f>+Report1!AK9</f>
        <v>0.57448452274845652</v>
      </c>
      <c r="F4" s="520">
        <f>+Report1!R9</f>
        <v>41.514000000000003</v>
      </c>
      <c r="G4" s="520">
        <f>+Report1!S9</f>
        <v>41.514000000000003</v>
      </c>
      <c r="H4" s="520">
        <f>+Report1!X9</f>
        <v>3.3730066965361085</v>
      </c>
      <c r="I4" s="520">
        <f>+Report1!Y9</f>
        <v>3.3730066965361085</v>
      </c>
      <c r="J4" s="520">
        <f>+Report1!AD9</f>
        <v>1260.9399238810706</v>
      </c>
      <c r="K4" s="548">
        <f>+Report1!AE9</f>
        <v>1260.9399238810706</v>
      </c>
      <c r="L4" s="518">
        <f>+[1]Report1!J9</f>
        <v>0.90824861007949564</v>
      </c>
      <c r="M4" s="519">
        <f>+[1]Report1!K9</f>
        <v>0.90824861007949564</v>
      </c>
      <c r="N4" s="519">
        <f>+[1]Report1!BJ9</f>
        <v>0.90824861007949564</v>
      </c>
      <c r="O4" s="519">
        <f>+[1]Report1!BK9</f>
        <v>0.90824861007949564</v>
      </c>
      <c r="P4" s="520">
        <f>+[1]Report1!R9</f>
        <v>60.009</v>
      </c>
      <c r="Q4" s="520">
        <f>+[1]Report1!S9</f>
        <v>60.009</v>
      </c>
      <c r="R4" s="520">
        <f>+[1]Report1!AL9</f>
        <v>1.6696328884000733</v>
      </c>
      <c r="S4" s="520">
        <f>+[1]Report1!AM9</f>
        <v>1.6696328884000733</v>
      </c>
      <c r="T4" s="520">
        <f>+[1]Report1!AR9</f>
        <v>0.31995200719892014</v>
      </c>
      <c r="U4" s="520">
        <f>+[1]Report1!AS9</f>
        <v>0.31995200719892014</v>
      </c>
      <c r="V4" s="520">
        <f>+[1]Report1!AX9</f>
        <v>552.30198803514236</v>
      </c>
      <c r="W4" s="520">
        <f>+[1]Report1!AY9</f>
        <v>552.30198803514236</v>
      </c>
      <c r="X4" s="520">
        <f>+[1]Report1!BD9</f>
        <v>494.04256028262427</v>
      </c>
      <c r="Y4" s="556">
        <f>+[1]Report1!BE9</f>
        <v>494.04256028262427</v>
      </c>
      <c r="Z4" s="518">
        <f>+[2]Report1!J9</f>
        <v>0.51059754619271491</v>
      </c>
      <c r="AA4" s="519">
        <f>+[2]Report1!K9</f>
        <v>0.51059754619271491</v>
      </c>
      <c r="AB4" s="519">
        <f>+[2]Report1!BC9</f>
        <v>0.51059754619271491</v>
      </c>
      <c r="AC4" s="519">
        <f>+[2]Report1!BD9</f>
        <v>0.51059754619271491</v>
      </c>
      <c r="AD4" s="520">
        <f>+[2]Report1!R9</f>
        <v>23.289000000000001</v>
      </c>
      <c r="AE4" s="520">
        <f>+[2]Report1!S9</f>
        <v>23.289000000000001</v>
      </c>
      <c r="AF4" s="520">
        <f>+[2]Report1!X9</f>
        <v>127.95503738550867</v>
      </c>
      <c r="AG4" s="520">
        <f>+[2]Report1!Y9</f>
        <v>127.95503738550866</v>
      </c>
      <c r="AH4" s="520">
        <f>+[2]Report1!AD9</f>
        <v>1.5329125338142471</v>
      </c>
      <c r="AI4" s="520">
        <f>+[2]Report1!AE9</f>
        <v>1.5329125338142471</v>
      </c>
      <c r="AJ4" s="520">
        <f>+[2]Report1!AJ9</f>
        <v>1603.6180170895977</v>
      </c>
      <c r="AK4" s="520">
        <f>+[2]Report1!AK9</f>
        <v>1603.6180170895977</v>
      </c>
      <c r="AL4" s="576"/>
      <c r="AM4" s="576"/>
      <c r="AN4" s="518">
        <f>+[3]Report1!J9</f>
        <v>0.70699367296611837</v>
      </c>
      <c r="AO4" s="519">
        <f>+[3]Report1!K9</f>
        <v>0.70699367296611837</v>
      </c>
      <c r="AP4" s="519">
        <f>+[3]Report1!BN9</f>
        <v>0.70699367296611837</v>
      </c>
      <c r="AQ4" s="519">
        <f>+[3]Report1!BO9</f>
        <v>0.70699367296611837</v>
      </c>
      <c r="AR4" s="520">
        <f>+[3]Report1!R9</f>
        <v>38.92</v>
      </c>
      <c r="AS4" s="520">
        <f>+[3]Report1!S9</f>
        <v>38.92</v>
      </c>
      <c r="AT4" s="521">
        <f>+[3]Report1!AF9</f>
        <v>117.41015032344893</v>
      </c>
      <c r="AU4" s="521">
        <f>+[3]Report1!AG9</f>
        <v>117.41015032344892</v>
      </c>
      <c r="AV4" s="520">
        <f>+[3]Report1!AL9</f>
        <v>1.5647482014388487</v>
      </c>
      <c r="AW4" s="520">
        <f>+[3]Report1!AM9</f>
        <v>1.5647482014388487</v>
      </c>
      <c r="AX4" s="520">
        <f>+[3]Report1!AR9</f>
        <v>0.22353545734840696</v>
      </c>
      <c r="AY4" s="520">
        <f>+[3]Report1!AS9</f>
        <v>0.22353545734840696</v>
      </c>
      <c r="AZ4" s="520">
        <f>+[3]Report1!AX9</f>
        <v>1160.5000000000007</v>
      </c>
      <c r="BA4" s="520">
        <f>+[3]Report1!AY9</f>
        <v>1160.5000000000007</v>
      </c>
      <c r="BB4" s="520">
        <f>+[3]Report1!BD9</f>
        <v>563.78484069887554</v>
      </c>
      <c r="BC4" s="520">
        <f>+[3]Report1!BE9</f>
        <v>563.78484069887554</v>
      </c>
      <c r="BD4" s="520">
        <f>+[3]Report1!BJ9</f>
        <v>8.5328879753341695</v>
      </c>
      <c r="BE4" s="520">
        <f>+[3]Report1!BK9</f>
        <v>8.5328879753341695</v>
      </c>
      <c r="BF4" s="518">
        <f>+[4]Report1!J9</f>
        <v>1.020257349870421</v>
      </c>
      <c r="BG4" s="519">
        <f>+[4]Report1!K9</f>
        <v>1.020257349870421</v>
      </c>
      <c r="BH4" s="519">
        <f>+[4]Report1!AN9</f>
        <v>1.020257349870421</v>
      </c>
      <c r="BI4" s="519">
        <f>+[4]Report1!AO9</f>
        <v>1.020257349870421</v>
      </c>
      <c r="BJ4" s="520">
        <f>+[4]Report1!R9</f>
        <v>54.765000000000001</v>
      </c>
      <c r="BK4" s="520">
        <f>+[4]Report1!S9</f>
        <v>54.765000000000001</v>
      </c>
      <c r="BL4" s="520">
        <f>+[4]Report1!AD9</f>
        <v>2.3080434584132203</v>
      </c>
      <c r="BM4" s="520">
        <f>+[4]Report1!AE9</f>
        <v>2.3080434584132203</v>
      </c>
      <c r="BN4" s="521">
        <v>0</v>
      </c>
      <c r="BO4" s="521">
        <v>0</v>
      </c>
      <c r="BP4" s="521">
        <f>+[4]Report1!AJ9</f>
        <v>606.0688395873251</v>
      </c>
      <c r="BQ4" s="521">
        <f>+[4]Report1!AK9</f>
        <v>606.0688395873251</v>
      </c>
      <c r="BR4" s="521">
        <v>0</v>
      </c>
      <c r="BS4" s="522">
        <v>0</v>
      </c>
      <c r="BT4" s="580">
        <f>+[5]Report1!J9</f>
        <v>0.72471445514214783</v>
      </c>
      <c r="BU4" s="581">
        <f>+[5]Report1!K9</f>
        <v>0.72471445514214783</v>
      </c>
      <c r="BV4" s="581">
        <f>+[5]Report1!BA9</f>
        <v>0.74003977729836223</v>
      </c>
      <c r="BW4" s="581">
        <f>+[5]Report1!BB9</f>
        <v>0.74003977729836223</v>
      </c>
      <c r="BX4" s="576">
        <f>+[5]Report1!R9</f>
        <v>40.387</v>
      </c>
      <c r="BY4" s="576">
        <f>+[5]Report1!S9</f>
        <v>40.387</v>
      </c>
      <c r="BZ4" s="582">
        <f>+[5]Report1!X9</f>
        <v>98.062546951748232</v>
      </c>
      <c r="CA4" s="582">
        <f>+[5]Report1!Y9</f>
        <v>98.062546951748232</v>
      </c>
      <c r="CB4" s="576">
        <f>+[5]Report1!AD9</f>
        <v>2.40176294352143</v>
      </c>
      <c r="CC4" s="576">
        <f>+[5]Report1!AE9</f>
        <v>2.40176294352143</v>
      </c>
      <c r="CD4" s="582">
        <f>+[5]Report1!AJ9</f>
        <v>0.2550325599821725</v>
      </c>
      <c r="CE4" s="582">
        <f>+[5]Report1!AK9</f>
        <v>0.2550325599821725</v>
      </c>
      <c r="CF4" s="582">
        <f>+[5]Report1!AP9</f>
        <v>1147.283036620744</v>
      </c>
      <c r="CG4" s="582">
        <f>+[5]Report1!AQ9</f>
        <v>1147.283036620744</v>
      </c>
      <c r="CH4" s="582">
        <f>+[5]Report1!AV9</f>
        <v>637.79419120014563</v>
      </c>
      <c r="CI4" s="582">
        <f>+[5]Report1!AW9</f>
        <v>637.79419120014563</v>
      </c>
      <c r="CJ4" s="582"/>
      <c r="CK4" s="583"/>
    </row>
    <row r="5" spans="1:89" ht="14.25" customHeight="1">
      <c r="A5" s="560">
        <f>1+A4</f>
        <v>45993</v>
      </c>
      <c r="B5" s="512">
        <f>+Report1!J10</f>
        <v>0.55551257975101975</v>
      </c>
      <c r="C5" s="513">
        <f>+Report1!K10</f>
        <v>0.56446973408948886</v>
      </c>
      <c r="D5" s="513">
        <f>+Report1!AJ10</f>
        <v>0.55551257975101975</v>
      </c>
      <c r="E5" s="513">
        <f>+Report1!AK10</f>
        <v>0.56446973408948886</v>
      </c>
      <c r="F5" s="510">
        <f>+Report1!R10</f>
        <v>44.883000000000003</v>
      </c>
      <c r="G5" s="510">
        <f>+Report1!S10</f>
        <v>86.397000000000006</v>
      </c>
      <c r="H5" s="510">
        <f>+Report1!X10</f>
        <v>3.0830381213377001</v>
      </c>
      <c r="I5" s="510">
        <f>+Report1!Y10</f>
        <v>3.2223688322511199</v>
      </c>
      <c r="J5" s="510">
        <f>+Report1!AD10</f>
        <v>636.67535592543095</v>
      </c>
      <c r="K5" s="511">
        <f>+Report1!AE10</f>
        <v>936.63622579487571</v>
      </c>
      <c r="L5" s="512">
        <f>+[1]Report1!J10</f>
        <v>0.65938127879840291</v>
      </c>
      <c r="M5" s="513">
        <f>+[1]Report1!K10</f>
        <v>0.78260306081212916</v>
      </c>
      <c r="N5" s="513">
        <f>+[1]Report1!BJ10</f>
        <v>0.65938127879840291</v>
      </c>
      <c r="O5" s="513">
        <f>+[1]Report1!BK10</f>
        <v>0.78260306081212916</v>
      </c>
      <c r="P5" s="510">
        <f>+[1]Report1!R10</f>
        <v>44.423000000000002</v>
      </c>
      <c r="Q5" s="510">
        <f>+[1]Report1!S10</f>
        <v>104.432</v>
      </c>
      <c r="R5" s="510">
        <f>+[1]Report1!AL10</f>
        <v>2.7579181955293426</v>
      </c>
      <c r="S5" s="510">
        <f>+[1]Report1!AM10</f>
        <v>2.1325647311168989</v>
      </c>
      <c r="T5" s="510">
        <f>+[1]Report1!AR10</f>
        <v>0.37818247304324337</v>
      </c>
      <c r="U5" s="510">
        <f>+[1]Report1!AS10</f>
        <v>0.34472192431438636</v>
      </c>
      <c r="V5" s="510">
        <f>+[1]Report1!AX10</f>
        <v>693.06102694546837</v>
      </c>
      <c r="W5" s="510">
        <f>+[1]Report1!AY10</f>
        <v>612.17768500076033</v>
      </c>
      <c r="X5" s="510">
        <f>+[1]Report1!BD10</f>
        <v>406.50113679850529</v>
      </c>
      <c r="Y5" s="569">
        <f>+[1]Report1!BE10</f>
        <v>456.80442776160561</v>
      </c>
      <c r="Z5" s="512">
        <f>+[2]Report1!J10</f>
        <v>0.91595943603145025</v>
      </c>
      <c r="AA5" s="513">
        <f>+[2]Report1!K10</f>
        <v>0.71466356375873541</v>
      </c>
      <c r="AB5" s="513">
        <f>+[2]Report1!BC10</f>
        <v>0.91595943603145025</v>
      </c>
      <c r="AC5" s="513">
        <f>+[2]Report1!BD10</f>
        <v>0.71466356375873541</v>
      </c>
      <c r="AD5" s="510">
        <f>+[2]Report1!R10</f>
        <v>42.353000000000002</v>
      </c>
      <c r="AE5" s="510">
        <f>+[2]Report1!S10</f>
        <v>65.641999999999996</v>
      </c>
      <c r="AF5" s="510">
        <f>+[2]Report1!X10</f>
        <v>108.84737668217909</v>
      </c>
      <c r="AG5" s="510">
        <f>+[2]Report1!Y10</f>
        <v>115.62654718459892</v>
      </c>
      <c r="AH5" s="510">
        <f>+[2]Report1!AD10</f>
        <v>1.2844426604963048</v>
      </c>
      <c r="AI5" s="510">
        <f>+[2]Report1!AE10</f>
        <v>1.3725968130160568</v>
      </c>
      <c r="AJ5" s="510">
        <f>+[2]Report1!AJ10</f>
        <v>796.06875546004471</v>
      </c>
      <c r="AK5" s="510">
        <f>+[2]Report1!AK10</f>
        <v>1082.5776179884665</v>
      </c>
      <c r="AL5" s="576"/>
      <c r="AM5" s="576"/>
      <c r="AN5" s="512">
        <f>+[3]Report1!J10</f>
        <v>0.93591973583850152</v>
      </c>
      <c r="AO5" s="513">
        <f>+[3]Report1!K10</f>
        <v>0.82098895055563503</v>
      </c>
      <c r="AP5" s="513">
        <f>+[3]Report1!BN10</f>
        <v>0.93591973583850152</v>
      </c>
      <c r="AQ5" s="513">
        <f>+[3]Report1!BO10</f>
        <v>0.82098895055563503</v>
      </c>
      <c r="AR5" s="510">
        <f>+[3]Report1!R10</f>
        <v>51.103000000000002</v>
      </c>
      <c r="AS5" s="510">
        <f>+[3]Report1!S10</f>
        <v>90.022999999999996</v>
      </c>
      <c r="AT5" s="514">
        <f>+[3]Report1!AF10</f>
        <v>102.26877267564984</v>
      </c>
      <c r="AU5" s="514">
        <f>+[3]Report1!AG10</f>
        <v>108.81490442034109</v>
      </c>
      <c r="AV5" s="510">
        <f>+[3]Report1!AL10</f>
        <v>1.3619552668140813</v>
      </c>
      <c r="AW5" s="510">
        <f>+[3]Report1!AM10</f>
        <v>1.4496295391177811</v>
      </c>
      <c r="AX5" s="510">
        <f>+[3]Report1!AR10</f>
        <v>0.17415807291157076</v>
      </c>
      <c r="AY5" s="510">
        <f>+[3]Report1!AS10</f>
        <v>0.19550559301511838</v>
      </c>
      <c r="AZ5" s="510">
        <f>+[3]Report1!AX10</f>
        <v>875.40653190615126</v>
      </c>
      <c r="BA5" s="510">
        <f>+[3]Report1!AY10</f>
        <v>998.66211968052698</v>
      </c>
      <c r="BB5" s="510">
        <f>+[3]Report1!BD10</f>
        <v>479.97978592254947</v>
      </c>
      <c r="BC5" s="510">
        <f>+[3]Report1!BE10</f>
        <v>516.21155704653575</v>
      </c>
      <c r="BD5" s="510">
        <f>+[3]Report1!BJ10</f>
        <v>6.2755611216564899</v>
      </c>
      <c r="BE5" s="510">
        <f>+[3]Report1!BK10</f>
        <v>7.2514801772882196</v>
      </c>
      <c r="BF5" s="512">
        <f>+[4]Report1!J10</f>
        <v>0.98022825020696536</v>
      </c>
      <c r="BG5" s="513">
        <f>+[4]Report1!K10</f>
        <v>1.0001500999338826</v>
      </c>
      <c r="BH5" s="513">
        <f>+[4]Report1!AN10</f>
        <v>0.98022825020696536</v>
      </c>
      <c r="BI5" s="513">
        <f>+[4]Report1!AO10</f>
        <v>1.0001500999338826</v>
      </c>
      <c r="BJ5" s="510">
        <f>+[4]Report1!R10</f>
        <v>53.106000000000002</v>
      </c>
      <c r="BK5" s="510">
        <f>+[4]Report1!S10</f>
        <v>107.87100000000001</v>
      </c>
      <c r="BL5" s="510">
        <f>+[4]Report1!AD10</f>
        <v>2.4196889240387152</v>
      </c>
      <c r="BM5" s="510">
        <f>+[4]Report1!AE10</f>
        <v>2.3630076665646929</v>
      </c>
      <c r="BN5" s="514">
        <v>0</v>
      </c>
      <c r="BO5" s="514">
        <v>0</v>
      </c>
      <c r="BP5" s="514">
        <f>+[4]Report1!AJ10</f>
        <v>615.22050239145904</v>
      </c>
      <c r="BQ5" s="514">
        <f>+[4]Report1!AK10</f>
        <v>610.57429707707047</v>
      </c>
      <c r="BR5" s="514">
        <v>0</v>
      </c>
      <c r="BS5" s="515">
        <v>0</v>
      </c>
      <c r="BT5" s="512">
        <f>+[5]Report1!J10</f>
        <v>0.96817879350814395</v>
      </c>
      <c r="BU5" s="513">
        <f>+[5]Report1!K10</f>
        <v>0.84594843731964908</v>
      </c>
      <c r="BV5" s="513">
        <f>+[5]Report1!BA10</f>
        <v>0.96817879350814395</v>
      </c>
      <c r="BW5" s="513">
        <f>+[5]Report1!BB10</f>
        <v>0.85483596683977459</v>
      </c>
      <c r="BX5" s="510">
        <f>+[5]Report1!R10</f>
        <v>53.515000000000001</v>
      </c>
      <c r="BY5" s="510">
        <f>+[5]Report1!S10</f>
        <v>93.902000000000001</v>
      </c>
      <c r="BZ5" s="514">
        <f>+[5]Report1!X10</f>
        <v>67.322170706081195</v>
      </c>
      <c r="CA5" s="514">
        <f>+[5]Report1!Y10</f>
        <v>80.543524622225206</v>
      </c>
      <c r="CB5" s="510">
        <f>+[5]Report1!AD10</f>
        <v>1.7938895636737364</v>
      </c>
      <c r="CC5" s="510">
        <f>+[5]Report1!AE10</f>
        <v>2.0553342846797724</v>
      </c>
      <c r="CD5" s="514">
        <f>+[5]Report1!AJ10</f>
        <v>0.1868634962160142</v>
      </c>
      <c r="CE5" s="514">
        <f>+[5]Report1!AK10</f>
        <v>0.21618282890673254</v>
      </c>
      <c r="CF5" s="514">
        <f>+[5]Report1!AP10</f>
        <v>827.35307857606426</v>
      </c>
      <c r="CG5" s="514">
        <f>+[5]Report1!AQ10</f>
        <v>964.95410108410954</v>
      </c>
      <c r="CH5" s="514">
        <f>+[5]Report1!AV10</f>
        <v>516.85869382416251</v>
      </c>
      <c r="CI5" s="514">
        <f>+[5]Report1!AW10</f>
        <v>568.87272901536005</v>
      </c>
      <c r="CJ5" s="514"/>
      <c r="CK5" s="515"/>
    </row>
    <row r="6" spans="1:89" ht="12.75" customHeight="1">
      <c r="A6" s="560">
        <f t="shared" ref="A6:A34" si="0">1+A5</f>
        <v>45994</v>
      </c>
      <c r="B6" s="512">
        <f>+Report1!J11</f>
        <v>0.29165501554682627</v>
      </c>
      <c r="C6" s="513">
        <f>+Report1!K11</f>
        <v>0.46912956464987021</v>
      </c>
      <c r="D6" s="513">
        <f>+Report1!AJ11</f>
        <v>0.29165501554682627</v>
      </c>
      <c r="E6" s="513">
        <f>+Report1!AK11</f>
        <v>0.46912956464987021</v>
      </c>
      <c r="F6" s="510">
        <f>+Report1!R11</f>
        <v>23.981000000000002</v>
      </c>
      <c r="G6" s="510">
        <f>+Report1!S11</f>
        <v>110.37800000000001</v>
      </c>
      <c r="H6" s="510">
        <f>+Report1!X11</f>
        <v>2.8229014636587295</v>
      </c>
      <c r="I6" s="510">
        <f>+Report1!Y11</f>
        <v>3.1355795538966098</v>
      </c>
      <c r="J6" s="510">
        <f>+Report1!AD11</f>
        <v>2492.1896501396541</v>
      </c>
      <c r="K6" s="511">
        <f>+Report1!AE11</f>
        <v>1274.5996484806653</v>
      </c>
      <c r="L6" s="512">
        <f>+[1]Report1!J11</f>
        <v>0.73430614636134384</v>
      </c>
      <c r="M6" s="513">
        <f>+[1]Report1!K11</f>
        <v>0.76632514833747079</v>
      </c>
      <c r="N6" s="513">
        <f>+[1]Report1!BJ11</f>
        <v>0.89610241589858908</v>
      </c>
      <c r="O6" s="513">
        <f>+[1]Report1!BK11</f>
        <v>0.81598097448270723</v>
      </c>
      <c r="P6" s="510">
        <f>+[1]Report1!R11</f>
        <v>49.814999999999998</v>
      </c>
      <c r="Q6" s="510">
        <f>+[1]Report1!S11</f>
        <v>154.24700000000001</v>
      </c>
      <c r="R6" s="510">
        <f>+[1]Report1!AL11</f>
        <v>2.1755495332731107</v>
      </c>
      <c r="S6" s="510">
        <f>+[1]Report1!AM11</f>
        <v>2.1464469325173257</v>
      </c>
      <c r="T6" s="510">
        <f>+[1]Report1!AR11</f>
        <v>0.19672789320485801</v>
      </c>
      <c r="U6" s="510">
        <f>+[1]Report1!AS11</f>
        <v>0.29692635837325843</v>
      </c>
      <c r="V6" s="510">
        <f>+[1]Report1!AX11</f>
        <v>193.14383217907621</v>
      </c>
      <c r="W6" s="510">
        <f>+[1]Report1!AY11</f>
        <v>476.84817208762621</v>
      </c>
      <c r="X6" s="510">
        <f>+[1]Report1!BD11</f>
        <v>10.217805881762521</v>
      </c>
      <c r="Y6" s="569">
        <f>+[1]Report1!BE11</f>
        <v>312.57658171633807</v>
      </c>
      <c r="Z6" s="512">
        <f>+[2]Report1!J11</f>
        <v>0.91638419582819142</v>
      </c>
      <c r="AA6" s="513">
        <f>+[2]Report1!K11</f>
        <v>0.78178859574544624</v>
      </c>
      <c r="AB6" s="513">
        <f>+[2]Report1!BC11</f>
        <v>0.91638419582819142</v>
      </c>
      <c r="AC6" s="513">
        <f>+[2]Report1!BD11</f>
        <v>0.78178859574544624</v>
      </c>
      <c r="AD6" s="510">
        <f>+[2]Report1!R11</f>
        <v>41.976999999999997</v>
      </c>
      <c r="AE6" s="510">
        <f>+[2]Report1!S11</f>
        <v>107.619</v>
      </c>
      <c r="AF6" s="510">
        <f>+[2]Report1!X11</f>
        <v>115.82439669159001</v>
      </c>
      <c r="AG6" s="510">
        <f>+[2]Report1!Y11</f>
        <v>115.70371876912364</v>
      </c>
      <c r="AH6" s="510">
        <f>+[2]Report1!AD11</f>
        <v>1.2530671558234272</v>
      </c>
      <c r="AI6" s="510">
        <f>+[2]Report1!AE11</f>
        <v>1.3259740380416096</v>
      </c>
      <c r="AJ6" s="510">
        <f>+[2]Report1!AJ11</f>
        <v>967.40691330966081</v>
      </c>
      <c r="AK6" s="510">
        <f>+[2]Report1!AK11</f>
        <v>1037.6550609093056</v>
      </c>
      <c r="AL6" s="576"/>
      <c r="AM6" s="576"/>
      <c r="AN6" s="512">
        <f>+[3]Report1!J11</f>
        <v>0.93162214062175497</v>
      </c>
      <c r="AO6" s="513">
        <f>+[3]Report1!K11</f>
        <v>0.857109515222226</v>
      </c>
      <c r="AP6" s="513">
        <f>+[3]Report1!BN11</f>
        <v>0.93162214062175497</v>
      </c>
      <c r="AQ6" s="513">
        <f>+[3]Report1!BO11</f>
        <v>0.857109515222226</v>
      </c>
      <c r="AR6" s="510">
        <f>+[3]Report1!R11</f>
        <v>49.52</v>
      </c>
      <c r="AS6" s="510">
        <f>+[3]Report1!S11</f>
        <v>139.54300000000001</v>
      </c>
      <c r="AT6" s="514">
        <f>+[3]Report1!AF11</f>
        <v>106.79285547380904</v>
      </c>
      <c r="AU6" s="514">
        <f>+[3]Report1!AG11</f>
        <v>108.09733446819538</v>
      </c>
      <c r="AV6" s="510">
        <f>+[3]Report1!AL11</f>
        <v>1.4297253634894991</v>
      </c>
      <c r="AW6" s="510">
        <f>+[3]Report1!AM11</f>
        <v>1.4425660907390554</v>
      </c>
      <c r="AX6" s="510">
        <f>+[3]Report1!AR11</f>
        <v>0.21203554119547657</v>
      </c>
      <c r="AY6" s="510">
        <f>+[3]Report1!AS11</f>
        <v>0.20137162021742402</v>
      </c>
      <c r="AZ6" s="510">
        <f>+[3]Report1!AX11</f>
        <v>954.94426494345566</v>
      </c>
      <c r="BA6" s="510">
        <f>+[3]Report1!AY11</f>
        <v>983.14784690023885</v>
      </c>
      <c r="BB6" s="510">
        <f>+[3]Report1!BD11</f>
        <v>490.39579967689821</v>
      </c>
      <c r="BC6" s="510">
        <f>+[3]Report1!BE11</f>
        <v>507.05024974380865</v>
      </c>
      <c r="BD6" s="510">
        <f>+[3]Report1!BJ11</f>
        <v>5.8582390953151418</v>
      </c>
      <c r="BE6" s="510">
        <f>+[3]Report1!BK11</f>
        <v>6.7570569645200633</v>
      </c>
      <c r="BF6" s="512">
        <f>+[4]Report1!J11</f>
        <v>1.053875497567448</v>
      </c>
      <c r="BG6" s="513">
        <f>+[4]Report1!K11</f>
        <v>1.0181137775655245</v>
      </c>
      <c r="BH6" s="513">
        <f>+[4]Report1!AN11</f>
        <v>1.053875497567448</v>
      </c>
      <c r="BI6" s="513">
        <f>+[4]Report1!AO11</f>
        <v>1.0181137775655245</v>
      </c>
      <c r="BJ6" s="510">
        <f>+[4]Report1!R11</f>
        <v>57.095999999999997</v>
      </c>
      <c r="BK6" s="510">
        <f>+[4]Report1!S11</f>
        <v>164.96700000000001</v>
      </c>
      <c r="BL6" s="510">
        <f>+[4]Report1!AD11</f>
        <v>2.2523469244780721</v>
      </c>
      <c r="BM6" s="510">
        <f>+[4]Report1!AE11</f>
        <v>2.3247073657155672</v>
      </c>
      <c r="BN6" s="514">
        <v>0</v>
      </c>
      <c r="BO6" s="514">
        <v>0</v>
      </c>
      <c r="BP6" s="514">
        <f>+[4]Report1!AJ11</f>
        <v>601.07257951519091</v>
      </c>
      <c r="BQ6" s="514">
        <f>+[4]Report1!AK11</f>
        <v>607.28569956415538</v>
      </c>
      <c r="BR6" s="514">
        <v>0</v>
      </c>
      <c r="BS6" s="515">
        <v>0</v>
      </c>
      <c r="BT6" s="512">
        <f>+[5]Report1!J11</f>
        <v>0.97062117671142523</v>
      </c>
      <c r="BU6" s="513">
        <f>+[5]Report1!K11</f>
        <v>0.88739247973508473</v>
      </c>
      <c r="BV6" s="513">
        <f>+[5]Report1!BA11</f>
        <v>0.97062117671142523</v>
      </c>
      <c r="BW6" s="513">
        <f>+[5]Report1!BB11</f>
        <v>0.89359460309411587</v>
      </c>
      <c r="BX6" s="510">
        <f>+[5]Report1!R11</f>
        <v>53.65</v>
      </c>
      <c r="BY6" s="510">
        <f>+[5]Report1!S11</f>
        <v>147.55199999999999</v>
      </c>
      <c r="BZ6" s="514">
        <f>+[5]Report1!X11</f>
        <v>66.442816346954402</v>
      </c>
      <c r="CA6" s="514">
        <f>+[5]Report1!Y11</f>
        <v>75.416498224966759</v>
      </c>
      <c r="CB6" s="510">
        <f>+[5]Report1!AD11</f>
        <v>1.7651444547996273</v>
      </c>
      <c r="CC6" s="510">
        <f>+[5]Report1!AE11</f>
        <v>1.9498210800260247</v>
      </c>
      <c r="CD6" s="514">
        <f>+[5]Report1!AJ11</f>
        <v>0.20689655172413793</v>
      </c>
      <c r="CE6" s="514">
        <f>+[5]Report1!AK11</f>
        <v>0.21280633268271526</v>
      </c>
      <c r="CF6" s="514">
        <f>+[5]Report1!AP11</f>
        <v>961.00055917986799</v>
      </c>
      <c r="CG6" s="514">
        <f>+[5]Report1!AQ11</f>
        <v>963.51659076122314</v>
      </c>
      <c r="CH6" s="514">
        <f>+[5]Report1!AV11</f>
        <v>471.12022367194788</v>
      </c>
      <c r="CI6" s="514">
        <f>+[5]Report1!AW11</f>
        <v>533.32985659293217</v>
      </c>
      <c r="CJ6" s="514"/>
      <c r="CK6" s="515"/>
    </row>
    <row r="7" spans="1:89" ht="12.75" customHeight="1">
      <c r="A7" s="560">
        <f t="shared" si="0"/>
        <v>45995</v>
      </c>
      <c r="B7" s="512">
        <f>+Report1!J12</f>
        <v>0.90880857450148078</v>
      </c>
      <c r="C7" s="513">
        <f>+Report1!K12</f>
        <v>0.57830322354273</v>
      </c>
      <c r="D7" s="513">
        <f>+Report1!AJ12</f>
        <v>0.90880857450148078</v>
      </c>
      <c r="E7" s="513">
        <f>+Report1!AK12</f>
        <v>0.57830322354273</v>
      </c>
      <c r="F7" s="510">
        <f>+Report1!R12</f>
        <v>70.632000000000005</v>
      </c>
      <c r="G7" s="510">
        <f>+Report1!S12</f>
        <v>181.01000000000002</v>
      </c>
      <c r="H7" s="510">
        <f>+Report1!X12</f>
        <v>2.1512628836787853</v>
      </c>
      <c r="I7" s="510">
        <f>+Report1!Y12</f>
        <v>2.7514888680183414</v>
      </c>
      <c r="J7" s="510">
        <f>+Report1!AD12</f>
        <v>693.66802582397804</v>
      </c>
      <c r="K7" s="511">
        <f>+Report1!AE12</f>
        <v>1047.9140378984482</v>
      </c>
      <c r="L7" s="512">
        <f>+[1]Report1!J12</f>
        <v>0</v>
      </c>
      <c r="M7" s="513">
        <f>+[1]Report1!K12</f>
        <v>0.57315120911546868</v>
      </c>
      <c r="N7" s="513">
        <f>+[1]Report1!BJ12</f>
        <v>0</v>
      </c>
      <c r="O7" s="513">
        <f>+[1]Report1!BK12</f>
        <v>0.76632514833747079</v>
      </c>
      <c r="P7" s="510">
        <f>+[1]Report1!R12</f>
        <v>0</v>
      </c>
      <c r="Q7" s="510">
        <f>+[1]Report1!S12</f>
        <v>154.24700000000001</v>
      </c>
      <c r="R7" s="510">
        <f>+[1]Report1!AL12</f>
        <v>0</v>
      </c>
      <c r="S7" s="510">
        <f>+[1]Report1!AM12</f>
        <v>2.1865384740059772</v>
      </c>
      <c r="T7" s="510">
        <f>+[1]Report1!AR12</f>
        <v>0</v>
      </c>
      <c r="U7" s="510">
        <f>+[1]Report1!AS12</f>
        <v>0.29692635837325843</v>
      </c>
      <c r="V7" s="510">
        <f>+[1]Report1!AX12</f>
        <v>0</v>
      </c>
      <c r="W7" s="510">
        <f>+[1]Report1!AY12</f>
        <v>629.63675144411002</v>
      </c>
      <c r="X7" s="510">
        <f>+[1]Report1!BD12</f>
        <v>0</v>
      </c>
      <c r="Y7" s="569">
        <f>+[1]Report1!BE12</f>
        <v>319.51350755606268</v>
      </c>
      <c r="Z7" s="512">
        <f>+[2]Report1!J12</f>
        <v>0.89503757401699091</v>
      </c>
      <c r="AA7" s="513">
        <f>+[2]Report1!K12</f>
        <v>0.80962901821424338</v>
      </c>
      <c r="AB7" s="513">
        <f>+[2]Report1!BC12</f>
        <v>0.89503757401699091</v>
      </c>
      <c r="AC7" s="513">
        <f>+[2]Report1!BD12</f>
        <v>0.80962901821424338</v>
      </c>
      <c r="AD7" s="510">
        <f>+[2]Report1!R12</f>
        <v>40.161999999999999</v>
      </c>
      <c r="AE7" s="510">
        <f>+[2]Report1!S12</f>
        <v>147.78100000000001</v>
      </c>
      <c r="AF7" s="510">
        <f>+[2]Report1!X12</f>
        <v>120.04289481045231</v>
      </c>
      <c r="AG7" s="510">
        <f>+[2]Report1!Y12</f>
        <v>116.88296365291683</v>
      </c>
      <c r="AH7" s="510">
        <f>+[2]Report1!AD12</f>
        <v>1.2897764055574921</v>
      </c>
      <c r="AI7" s="510">
        <f>+[2]Report1!AE12</f>
        <v>1.3161367158159709</v>
      </c>
      <c r="AJ7" s="510">
        <f>+[2]Report1!AJ12</f>
        <v>810.00746974755862</v>
      </c>
      <c r="AK7" s="510">
        <f>+[2]Report1!AK12</f>
        <v>975.78795650320421</v>
      </c>
      <c r="AL7" s="576"/>
      <c r="AM7" s="576"/>
      <c r="AN7" s="512">
        <f>+[3]Report1!J12</f>
        <v>0.93469720916285837</v>
      </c>
      <c r="AO7" s="513">
        <f>+[3]Report1!K12</f>
        <v>0.87642288229077825</v>
      </c>
      <c r="AP7" s="513">
        <f>+[3]Report1!BN12</f>
        <v>0.93469720916285837</v>
      </c>
      <c r="AQ7" s="513">
        <f>+[3]Report1!BO12</f>
        <v>0.87642288229077825</v>
      </c>
      <c r="AR7" s="510">
        <f>+[3]Report1!R12</f>
        <v>50.433999999999997</v>
      </c>
      <c r="AS7" s="510">
        <f>+[3]Report1!S12</f>
        <v>189.977</v>
      </c>
      <c r="AT7" s="514">
        <f>+[3]Report1!AF12</f>
        <v>102.42855271074619</v>
      </c>
      <c r="AU7" s="514">
        <f>+[3]Report1!AG12</f>
        <v>106.59241893023452</v>
      </c>
      <c r="AV7" s="510">
        <f>+[3]Report1!AL12</f>
        <v>1.332434468810723</v>
      </c>
      <c r="AW7" s="510">
        <f>+[3]Report1!AM12</f>
        <v>1.4133289819293915</v>
      </c>
      <c r="AX7" s="510">
        <f>+[3]Report1!AR12</f>
        <v>0.1962961494230083</v>
      </c>
      <c r="AY7" s="510">
        <f>+[3]Report1!AS12</f>
        <v>0.20002421345741853</v>
      </c>
      <c r="AZ7" s="510">
        <f>+[3]Report1!AX12</f>
        <v>838.15521275330093</v>
      </c>
      <c r="BA7" s="510">
        <f>+[3]Report1!AY12</f>
        <v>944.65603730977966</v>
      </c>
      <c r="BB7" s="510">
        <f>+[3]Report1!BD12</f>
        <v>448.90351746837348</v>
      </c>
      <c r="BC7" s="510">
        <f>+[3]Report1!BE12</f>
        <v>491.61379009038052</v>
      </c>
      <c r="BD7" s="510">
        <f>+[3]Report1!BJ12</f>
        <v>2.7778879327438992</v>
      </c>
      <c r="BE7" s="510">
        <f>+[3]Report1!BK12</f>
        <v>5.700690083536581</v>
      </c>
      <c r="BF7" s="512">
        <f>+[4]Report1!J12</f>
        <v>0.75773603976003356</v>
      </c>
      <c r="BG7" s="513">
        <f>+[4]Report1!K12</f>
        <v>0.95286894455448856</v>
      </c>
      <c r="BH7" s="513">
        <f>+[4]Report1!AN12</f>
        <v>0.75773603976003356</v>
      </c>
      <c r="BI7" s="513">
        <f>+[4]Report1!AO12</f>
        <v>0.95286894455448856</v>
      </c>
      <c r="BJ7" s="510">
        <f>+[4]Report1!R12</f>
        <v>41.052</v>
      </c>
      <c r="BK7" s="510">
        <f>+[4]Report1!S12</f>
        <v>206.01900000000001</v>
      </c>
      <c r="BL7" s="510">
        <f>+[4]Report1!AD12</f>
        <v>2.9426093734775405</v>
      </c>
      <c r="BM7" s="510">
        <f>+[4]Report1!AE12</f>
        <v>2.4478324814701558</v>
      </c>
      <c r="BN7" s="514">
        <v>0</v>
      </c>
      <c r="BO7" s="514">
        <v>0</v>
      </c>
      <c r="BP7" s="514">
        <f>+[4]Report1!AJ12</f>
        <v>711.33002046186095</v>
      </c>
      <c r="BQ7" s="514">
        <f>+[4]Report1!AK12</f>
        <v>628.01790126153583</v>
      </c>
      <c r="BR7" s="514">
        <v>0</v>
      </c>
      <c r="BS7" s="515">
        <v>0</v>
      </c>
      <c r="BT7" s="512">
        <f>+[5]Report1!J12</f>
        <v>0.90945140770773247</v>
      </c>
      <c r="BU7" s="513">
        <f>+[5]Report1!K12</f>
        <v>0.8929036315390535</v>
      </c>
      <c r="BV7" s="513">
        <f>+[5]Report1!BA12</f>
        <v>0.99213613471775752</v>
      </c>
      <c r="BW7" s="513">
        <f>+[5]Report1!BB12</f>
        <v>0.91676529959309816</v>
      </c>
      <c r="BX7" s="510">
        <f>+[5]Report1!R12</f>
        <v>50.363</v>
      </c>
      <c r="BY7" s="510">
        <f>+[5]Report1!S12</f>
        <v>197.91499999999999</v>
      </c>
      <c r="BZ7" s="514">
        <f>+[5]Report1!X12</f>
        <v>69.990978123003785</v>
      </c>
      <c r="CA7" s="514">
        <f>+[5]Report1!Y12</f>
        <v>74.035877913746489</v>
      </c>
      <c r="CB7" s="510">
        <f>+[5]Report1!AD12</f>
        <v>1.8624784067668725</v>
      </c>
      <c r="CC7" s="510">
        <f>+[5]Report1!AE12</f>
        <v>1.9275951797488822</v>
      </c>
      <c r="CD7" s="514">
        <f>+[5]Report1!AJ12</f>
        <v>0.19657288088477654</v>
      </c>
      <c r="CE7" s="514">
        <f>+[5]Report1!AK12</f>
        <v>0.20867544147740191</v>
      </c>
      <c r="CF7" s="514">
        <f>+[5]Report1!AP12</f>
        <v>492.08823938208894</v>
      </c>
      <c r="CG7" s="514">
        <f>+[5]Report1!AQ12</f>
        <v>843.55324255362223</v>
      </c>
      <c r="CH7" s="514">
        <f>+[5]Report1!AV12</f>
        <v>449.53636598296265</v>
      </c>
      <c r="CI7" s="514">
        <f>+[5]Report1!AW12</f>
        <v>512.00710911249928</v>
      </c>
      <c r="CJ7" s="514"/>
      <c r="CK7" s="515"/>
    </row>
    <row r="8" spans="1:89" ht="12.75" customHeight="1">
      <c r="A8" s="560">
        <f t="shared" si="0"/>
        <v>45996</v>
      </c>
      <c r="B8" s="512">
        <f>+Report1!J13</f>
        <v>0.96078194782398096</v>
      </c>
      <c r="C8" s="513">
        <f>+Report1!K13</f>
        <v>0.65573572100317512</v>
      </c>
      <c r="D8" s="513">
        <f>+Report1!AJ13</f>
        <v>0.96078194782398096</v>
      </c>
      <c r="E8" s="513">
        <f>+Report1!AK13</f>
        <v>0.65573572100317512</v>
      </c>
      <c r="F8" s="510">
        <f>+Report1!R13</f>
        <v>76.335999999999999</v>
      </c>
      <c r="G8" s="510">
        <f>+Report1!S13</f>
        <v>257.346</v>
      </c>
      <c r="H8" s="510">
        <f>+Report1!X13</f>
        <v>1.4329543072731084</v>
      </c>
      <c r="I8" s="510">
        <f>+Report1!Y13</f>
        <v>2.3603747483932138</v>
      </c>
      <c r="J8" s="510">
        <f>+Report1!AD13</f>
        <v>731.94587088660762</v>
      </c>
      <c r="K8" s="511">
        <f>+Report1!AE13</f>
        <v>954.18906841372382</v>
      </c>
      <c r="L8" s="512">
        <f>+[1]Report1!J13</f>
        <v>0.60005297785912048</v>
      </c>
      <c r="M8" s="513">
        <f>+[1]Report1!K13</f>
        <v>0.57775515337177208</v>
      </c>
      <c r="N8" s="513">
        <f>+[1]Report1!BJ13</f>
        <v>0.60005297785912048</v>
      </c>
      <c r="O8" s="513">
        <f>+[1]Report1!BK13</f>
        <v>0.73035367876216328</v>
      </c>
      <c r="P8" s="510">
        <f>+[1]Report1!R13</f>
        <v>33.343000000000004</v>
      </c>
      <c r="Q8" s="510">
        <f>+[1]Report1!S13</f>
        <v>187.59000000000003</v>
      </c>
      <c r="R8" s="510">
        <f>+[1]Report1!AL13</f>
        <v>3.2806286177008661</v>
      </c>
      <c r="S8" s="510">
        <f>+[1]Report1!AM13</f>
        <v>2.3810064502372192</v>
      </c>
      <c r="T8" s="510">
        <f>+[1]Report1!AR13</f>
        <v>0.22493476891701406</v>
      </c>
      <c r="U8" s="510">
        <f>+[1]Report1!AS13</f>
        <v>0.28413028413028407</v>
      </c>
      <c r="V8" s="510">
        <f>+[1]Report1!AX13</f>
        <v>951.84086614885518</v>
      </c>
      <c r="W8" s="510">
        <f>+[1]Report1!AY13</f>
        <v>686.90660482968656</v>
      </c>
      <c r="X8" s="510">
        <f>+[1]Report1!BD13</f>
        <v>641.25903487988603</v>
      </c>
      <c r="Y8" s="569">
        <f>+[1]Report1!BE13</f>
        <v>376.70184977877301</v>
      </c>
      <c r="Z8" s="512">
        <f>+[2]Report1!J13</f>
        <v>1.0347328102074764</v>
      </c>
      <c r="AA8" s="513">
        <f>+[2]Report1!K13</f>
        <v>0.85309467761000357</v>
      </c>
      <c r="AB8" s="513">
        <f>+[2]Report1!BC13</f>
        <v>1.0347328102074764</v>
      </c>
      <c r="AC8" s="513">
        <f>+[2]Report1!BD13</f>
        <v>0.85309467761000357</v>
      </c>
      <c r="AD8" s="510">
        <f>+[2]Report1!R13</f>
        <v>45.195999999999998</v>
      </c>
      <c r="AE8" s="510">
        <f>+[2]Report1!S13</f>
        <v>192.977</v>
      </c>
      <c r="AF8" s="510">
        <f>+[2]Report1!X13</f>
        <v>105.77035052720971</v>
      </c>
      <c r="AG8" s="510">
        <f>+[2]Report1!Y13</f>
        <v>114.28034436238241</v>
      </c>
      <c r="AH8" s="510">
        <f>+[2]Report1!AD13</f>
        <v>1.2036463403841049</v>
      </c>
      <c r="AI8" s="510">
        <f>+[2]Report1!AE13</f>
        <v>1.2897910113640485</v>
      </c>
      <c r="AJ8" s="510">
        <f>+[2]Report1!AJ13</f>
        <v>759.44375608457699</v>
      </c>
      <c r="AK8" s="510">
        <f>+[2]Report1!AK13</f>
        <v>925.11926291733505</v>
      </c>
      <c r="AL8" s="576"/>
      <c r="AM8" s="576"/>
      <c r="AN8" s="512">
        <f>+[3]Report1!J13</f>
        <v>0.95856380810831898</v>
      </c>
      <c r="AO8" s="513">
        <f>+[3]Report1!K13</f>
        <v>0.89293709052676773</v>
      </c>
      <c r="AP8" s="513">
        <f>+[3]Report1!BN13</f>
        <v>0.95856380810831898</v>
      </c>
      <c r="AQ8" s="513">
        <f>+[3]Report1!BO13</f>
        <v>0.89293709052676773</v>
      </c>
      <c r="AR8" s="510">
        <f>+[3]Report1!R13</f>
        <v>52.286000000000001</v>
      </c>
      <c r="AS8" s="510">
        <f>+[3]Report1!S13</f>
        <v>242.26300000000001</v>
      </c>
      <c r="AT8" s="514">
        <f>+[3]Report1!AF13</f>
        <v>103.63266164613948</v>
      </c>
      <c r="AU8" s="514">
        <f>+[3]Report1!AG13</f>
        <v>105.95363434754466</v>
      </c>
      <c r="AV8" s="510">
        <f>+[3]Report1!AL13</f>
        <v>1.304364457024825</v>
      </c>
      <c r="AW8" s="510">
        <f>+[3]Report1!AM13</f>
        <v>1.3898118986390822</v>
      </c>
      <c r="AX8" s="510">
        <f>+[3]Report1!AR13</f>
        <v>0.1759553226485101</v>
      </c>
      <c r="AY8" s="510">
        <f>+[3]Report1!AS13</f>
        <v>0.19482958602840716</v>
      </c>
      <c r="AZ8" s="510">
        <f>+[3]Report1!AX13</f>
        <v>847.52744520521821</v>
      </c>
      <c r="BA8" s="510">
        <f>+[3]Report1!AY13</f>
        <v>923.69342408869716</v>
      </c>
      <c r="BB8" s="510">
        <f>+[3]Report1!BD13</f>
        <v>469.88677657499227</v>
      </c>
      <c r="BC8" s="510">
        <f>+[3]Report1!BE13</f>
        <v>486.92459434581536</v>
      </c>
      <c r="BD8" s="510">
        <f>+[3]Report1!BJ13</f>
        <v>2.8650116666026921</v>
      </c>
      <c r="BE8" s="510">
        <f>+[3]Report1!BK13</f>
        <v>5.088684611352198</v>
      </c>
      <c r="BF8" s="512">
        <f>+[4]Report1!J13</f>
        <v>0.95252474036390711</v>
      </c>
      <c r="BG8" s="513">
        <f>+[4]Report1!K13</f>
        <v>0.95279941247135813</v>
      </c>
      <c r="BH8" s="513">
        <f>+[4]Report1!AN13</f>
        <v>0.95252474036390711</v>
      </c>
      <c r="BI8" s="513">
        <f>+[4]Report1!AO13</f>
        <v>0.95279941247135813</v>
      </c>
      <c r="BJ8" s="510">
        <f>+[4]Report1!R13</f>
        <v>52.134</v>
      </c>
      <c r="BK8" s="510">
        <f>+[4]Report1!S13</f>
        <v>258.15300000000002</v>
      </c>
      <c r="BL8" s="510">
        <f>+[4]Report1!AD13</f>
        <v>2.4993286530862777</v>
      </c>
      <c r="BM8" s="510">
        <f>+[4]Report1!AE13</f>
        <v>2.4582321336571722</v>
      </c>
      <c r="BN8" s="514">
        <v>0</v>
      </c>
      <c r="BO8" s="514">
        <v>0</v>
      </c>
      <c r="BP8" s="514">
        <f>+[4]Report1!AJ13</f>
        <v>697.69862277975324</v>
      </c>
      <c r="BQ8" s="514">
        <f>+[4]Report1!AK13</f>
        <v>642.08992341750809</v>
      </c>
      <c r="BR8" s="514">
        <v>0</v>
      </c>
      <c r="BS8" s="515">
        <v>0</v>
      </c>
      <c r="BT8" s="512">
        <f>+[5]Report1!J13</f>
        <v>0.14079745265528706</v>
      </c>
      <c r="BU8" s="513">
        <f>+[5]Report1!K13</f>
        <v>0.7458489087900555</v>
      </c>
      <c r="BV8" s="513">
        <f>+[5]Report1!BA13</f>
        <v>0.18772993687371611</v>
      </c>
      <c r="BW8" s="513">
        <f>+[5]Report1!BB13</f>
        <v>0.80183284970829871</v>
      </c>
      <c r="BX8" s="510">
        <f>+[5]Report1!R13</f>
        <v>7.585</v>
      </c>
      <c r="BY8" s="510">
        <f>+[5]Report1!S13</f>
        <v>205.5</v>
      </c>
      <c r="BZ8" s="514">
        <f>+[5]Report1!X13</f>
        <v>224.39893088229175</v>
      </c>
      <c r="CA8" s="514">
        <f>+[5]Report1!Y13</f>
        <v>79.585774540347046</v>
      </c>
      <c r="CB8" s="510">
        <f>+[5]Report1!AD13</f>
        <v>5.4845088991430453</v>
      </c>
      <c r="CC8" s="510">
        <f>+[5]Report1!AE13</f>
        <v>2.0588807785888079</v>
      </c>
      <c r="CD8" s="514">
        <f>+[5]Report1!AJ13</f>
        <v>0</v>
      </c>
      <c r="CE8" s="514">
        <f>+[5]Report1!AK13</f>
        <v>0.20097323600973235</v>
      </c>
      <c r="CF8" s="514">
        <f>+[5]Report1!AP13</f>
        <v>7136.1423862887123</v>
      </c>
      <c r="CG8" s="514">
        <f>+[5]Report1!AQ13</f>
        <v>1075.8125547445256</v>
      </c>
      <c r="CH8" s="514">
        <f>+[5]Report1!AV13</f>
        <v>0</v>
      </c>
      <c r="CI8" s="514">
        <f>+[5]Report1!AW13</f>
        <v>493.10893917275075</v>
      </c>
      <c r="CJ8" s="514"/>
      <c r="CK8" s="515"/>
    </row>
    <row r="9" spans="1:89" ht="12.75" customHeight="1">
      <c r="A9" s="560">
        <f t="shared" si="0"/>
        <v>45997</v>
      </c>
      <c r="B9" s="512">
        <f>+Report1!J14</f>
        <v>1.0548482469653839</v>
      </c>
      <c r="C9" s="513">
        <f>+Report1!K14</f>
        <v>0.71494296473464114</v>
      </c>
      <c r="D9" s="513">
        <f>+Report1!AJ14</f>
        <v>1.0548482469653839</v>
      </c>
      <c r="E9" s="513">
        <f>+Report1!AK14</f>
        <v>0.71494296473464114</v>
      </c>
      <c r="F9" s="510">
        <f>+Report1!R14</f>
        <v>72.11</v>
      </c>
      <c r="G9" s="510">
        <f>+Report1!S14</f>
        <v>329.45600000000002</v>
      </c>
      <c r="H9" s="510">
        <f>+Report1!X14</f>
        <v>1.9805158785189294</v>
      </c>
      <c r="I9" s="510">
        <f>+Report1!Y14</f>
        <v>2.2772327715992424</v>
      </c>
      <c r="J9" s="510">
        <f>+Report1!AD14</f>
        <v>758.06379142975686</v>
      </c>
      <c r="K9" s="511">
        <f>+Report1!AE14</f>
        <v>911.26195910834201</v>
      </c>
      <c r="L9" s="512">
        <f>+[1]Report1!J14</f>
        <v>0.73952524011373999</v>
      </c>
      <c r="M9" s="513">
        <f>+[1]Report1!K14</f>
        <v>0.60007309443387991</v>
      </c>
      <c r="N9" s="513">
        <f>+[1]Report1!BJ14</f>
        <v>0.73952524011373999</v>
      </c>
      <c r="O9" s="513">
        <f>+[1]Report1!BK14</f>
        <v>0.73189695962883916</v>
      </c>
      <c r="P9" s="510">
        <f>+[1]Report1!R14</f>
        <v>38.427999999999997</v>
      </c>
      <c r="Q9" s="510">
        <f>+[1]Report1!S14</f>
        <v>226.01800000000003</v>
      </c>
      <c r="R9" s="510">
        <f>+[1]Report1!AL14</f>
        <v>3.2365722910377852</v>
      </c>
      <c r="S9" s="510">
        <f>+[1]Report1!AM14</f>
        <v>2.5264713429903809</v>
      </c>
      <c r="T9" s="510">
        <f>+[1]Report1!AR14</f>
        <v>0.23160195690642243</v>
      </c>
      <c r="U9" s="510">
        <f>+[1]Report1!AS14</f>
        <v>0.27519932040810902</v>
      </c>
      <c r="V9" s="510">
        <f>+[1]Report1!AX14</f>
        <v>949.07281149159598</v>
      </c>
      <c r="W9" s="510">
        <f>+[1]Report1!AY14</f>
        <v>731.48059004150093</v>
      </c>
      <c r="X9" s="510">
        <f>+[1]Report1!BD14</f>
        <v>509.13396481732065</v>
      </c>
      <c r="Y9" s="569">
        <f>+[1]Report1!BE14</f>
        <v>399.21820385986973</v>
      </c>
      <c r="Z9" s="512">
        <f>+[2]Report1!J14</f>
        <v>0.92907022116205784</v>
      </c>
      <c r="AA9" s="513">
        <f>+[2]Report1!K14</f>
        <v>0.86534014588667063</v>
      </c>
      <c r="AB9" s="513">
        <f>+[2]Report1!BC14</f>
        <v>0.92907022116205784</v>
      </c>
      <c r="AC9" s="513">
        <f>+[2]Report1!BD14</f>
        <v>0.86534014588667063</v>
      </c>
      <c r="AD9" s="510">
        <f>+[2]Report1!R14</f>
        <v>40.381999999999998</v>
      </c>
      <c r="AE9" s="510">
        <f>+[2]Report1!S14</f>
        <v>233.35900000000001</v>
      </c>
      <c r="AF9" s="510">
        <f>+[2]Report1!X14</f>
        <v>114.51852776194139</v>
      </c>
      <c r="AG9" s="510">
        <f>+[2]Report1!Y14</f>
        <v>114.32156120870498</v>
      </c>
      <c r="AH9" s="510">
        <f>+[2]Report1!AD14</f>
        <v>1.3768510722599179</v>
      </c>
      <c r="AI9" s="510">
        <f>+[2]Report1!AE14</f>
        <v>1.3048564657887631</v>
      </c>
      <c r="AJ9" s="510">
        <f>+[2]Report1!AJ14</f>
        <v>841.81021247092099</v>
      </c>
      <c r="AK9" s="510">
        <f>+[2]Report1!AK14</f>
        <v>910.70290839435927</v>
      </c>
      <c r="AL9" s="576"/>
      <c r="AM9" s="576"/>
      <c r="AN9" s="512">
        <f>+[3]Report1!J14</f>
        <v>0.96946343548677427</v>
      </c>
      <c r="AO9" s="513">
        <f>+[3]Report1!K14</f>
        <v>0.90528152201484824</v>
      </c>
      <c r="AP9" s="513">
        <f>+[3]Report1!BN14</f>
        <v>0.96946343548677427</v>
      </c>
      <c r="AQ9" s="513">
        <f>+[3]Report1!BO14</f>
        <v>0.90528152201484824</v>
      </c>
      <c r="AR9" s="510">
        <f>+[3]Report1!R14</f>
        <v>50.588999999999999</v>
      </c>
      <c r="AS9" s="510">
        <f>+[3]Report1!S14</f>
        <v>292.85199999999998</v>
      </c>
      <c r="AT9" s="514">
        <f>+[3]Report1!AF14</f>
        <v>102.39668532851765</v>
      </c>
      <c r="AU9" s="514">
        <f>+[3]Report1!AG14</f>
        <v>105.33918577309902</v>
      </c>
      <c r="AV9" s="510">
        <f>+[3]Report1!AL14</f>
        <v>1.3797465852260373</v>
      </c>
      <c r="AW9" s="510">
        <f>+[3]Report1!AM14</f>
        <v>1.3880731564066493</v>
      </c>
      <c r="AX9" s="510">
        <f>+[3]Report1!AR14</f>
        <v>0.21546185929747574</v>
      </c>
      <c r="AY9" s="510">
        <f>+[3]Report1!AS14</f>
        <v>0.19839372788985565</v>
      </c>
      <c r="AZ9" s="510">
        <f>+[3]Report1!AX14</f>
        <v>785.82260965822695</v>
      </c>
      <c r="BA9" s="510">
        <f>+[3]Report1!AY14</f>
        <v>899.87679783645012</v>
      </c>
      <c r="BB9" s="510">
        <f>+[3]Report1!BD14</f>
        <v>443.57469015003261</v>
      </c>
      <c r="BC9" s="510">
        <f>+[3]Report1!BE14</f>
        <v>479.43607351153571</v>
      </c>
      <c r="BD9" s="510">
        <f>+[3]Report1!BJ14</f>
        <v>2.5717053114314541</v>
      </c>
      <c r="BE9" s="510">
        <f>+[3]Report1!BK14</f>
        <v>4.6538866048380187</v>
      </c>
      <c r="BF9" s="512">
        <f>+[4]Report1!J14</f>
        <v>0.90094566536602549</v>
      </c>
      <c r="BG9" s="513">
        <f>+[4]Report1!K14</f>
        <v>0.94443052796577742</v>
      </c>
      <c r="BH9" s="513">
        <f>+[4]Report1!AN14</f>
        <v>0.90094566536602549</v>
      </c>
      <c r="BI9" s="513">
        <f>+[4]Report1!AO14</f>
        <v>0.94443052796577742</v>
      </c>
      <c r="BJ9" s="510">
        <f>+[4]Report1!R14</f>
        <v>46.978999999999999</v>
      </c>
      <c r="BK9" s="510">
        <f>+[4]Report1!S14</f>
        <v>305.13200000000001</v>
      </c>
      <c r="BL9" s="510">
        <f>+[4]Report1!AD14</f>
        <v>2.7416505247025271</v>
      </c>
      <c r="BM9" s="510">
        <f>+[4]Report1!AE14</f>
        <v>2.501868043994075</v>
      </c>
      <c r="BN9" s="514">
        <v>0</v>
      </c>
      <c r="BO9" s="514">
        <v>0</v>
      </c>
      <c r="BP9" s="514">
        <f>+[4]Report1!AJ14</f>
        <v>1110.826056515818</v>
      </c>
      <c r="BQ9" s="514">
        <f>+[4]Report1!AK14</f>
        <v>714.25788612487906</v>
      </c>
      <c r="BR9" s="514">
        <v>0</v>
      </c>
      <c r="BS9" s="515">
        <v>0</v>
      </c>
      <c r="BT9" s="512">
        <f>+[5]Report1!J14</f>
        <v>0.69217014558475898</v>
      </c>
      <c r="BU9" s="513">
        <f>+[5]Report1!K14</f>
        <v>0.73806048021799353</v>
      </c>
      <c r="BV9" s="513">
        <f>+[5]Report1!BA14</f>
        <v>0.69217014558475898</v>
      </c>
      <c r="BW9" s="513">
        <f>+[5]Report1!BB14</f>
        <v>0.78491149882074729</v>
      </c>
      <c r="BX9" s="510">
        <f>+[5]Report1!R14</f>
        <v>32.366999999999997</v>
      </c>
      <c r="BY9" s="510">
        <f>+[5]Report1!S14</f>
        <v>237.86699999999999</v>
      </c>
      <c r="BZ9" s="514">
        <f>+[5]Report1!X14</f>
        <v>114.13992331179608</v>
      </c>
      <c r="CA9" s="514">
        <f>+[5]Report1!Y14</f>
        <v>84.287621090248848</v>
      </c>
      <c r="CB9" s="510">
        <f>+[5]Report1!AD14</f>
        <v>2.9258195075230948</v>
      </c>
      <c r="CC9" s="510">
        <f>+[5]Report1!AE14</f>
        <v>2.176846725270845</v>
      </c>
      <c r="CD9" s="514">
        <f>+[5]Report1!AJ14</f>
        <v>0</v>
      </c>
      <c r="CE9" s="514">
        <f>+[5]Report1!AK14</f>
        <v>0.17362643830375799</v>
      </c>
      <c r="CF9" s="514">
        <f>+[5]Report1!AP14</f>
        <v>1310.4842182143523</v>
      </c>
      <c r="CG9" s="514">
        <f>+[5]Report1!AQ14</f>
        <v>1107.7447594283526</v>
      </c>
      <c r="CH9" s="514">
        <f>+[5]Report1!AV14</f>
        <v>0</v>
      </c>
      <c r="CI9" s="514">
        <f>+[5]Report1!AW14</f>
        <v>426.01069925630827</v>
      </c>
      <c r="CJ9" s="514"/>
      <c r="CK9" s="515"/>
    </row>
    <row r="10" spans="1:89" ht="12.75" customHeight="1">
      <c r="A10" s="560">
        <f t="shared" si="0"/>
        <v>45998</v>
      </c>
      <c r="B10" s="512">
        <f>+Report1!J15</f>
        <v>1.059755142791432</v>
      </c>
      <c r="C10" s="513">
        <f>+Report1!K15</f>
        <v>0.76073970990235729</v>
      </c>
      <c r="D10" s="513">
        <f>+Report1!AJ15</f>
        <v>1.059755142791432</v>
      </c>
      <c r="E10" s="513">
        <f>+Report1!AK15</f>
        <v>0.76073970990235729</v>
      </c>
      <c r="F10" s="510">
        <f>+Report1!R15</f>
        <v>74.795000000000002</v>
      </c>
      <c r="G10" s="510">
        <f>+Report1!S15</f>
        <v>404.25100000000003</v>
      </c>
      <c r="H10" s="510">
        <f>+Report1!X15</f>
        <v>1.9182699378300685</v>
      </c>
      <c r="I10" s="510">
        <f>+Report1!Y15</f>
        <v>2.2108170418873421</v>
      </c>
      <c r="J10" s="510">
        <f>+Report1!AD15</f>
        <v>678.03436058559771</v>
      </c>
      <c r="K10" s="511">
        <f>+Report1!AE15</f>
        <v>868.10991191115841</v>
      </c>
      <c r="L10" s="512">
        <f>+[1]Report1!J15</f>
        <v>0.93770624821828241</v>
      </c>
      <c r="M10" s="513">
        <f>+[1]Report1!K15</f>
        <v>0.64079475345687797</v>
      </c>
      <c r="N10" s="513">
        <f>+[1]Report1!BJ15</f>
        <v>0.93770624821828241</v>
      </c>
      <c r="O10" s="513">
        <f>+[1]Report1!BK15</f>
        <v>0.76139099084206474</v>
      </c>
      <c r="P10" s="510">
        <f>+[1]Report1!R15</f>
        <v>48.44</v>
      </c>
      <c r="Q10" s="510">
        <f>+[1]Report1!S15</f>
        <v>274.45800000000003</v>
      </c>
      <c r="R10" s="510">
        <f>+[1]Report1!AL15</f>
        <v>2.5624896779521058</v>
      </c>
      <c r="S10" s="510">
        <f>+[1]Report1!AM15</f>
        <v>2.5328283380335055</v>
      </c>
      <c r="T10" s="510">
        <f>+[1]Report1!AR15</f>
        <v>0.18166804293971928</v>
      </c>
      <c r="U10" s="510">
        <f>+[1]Report1!AS15</f>
        <v>0.2586916759577057</v>
      </c>
      <c r="V10" s="510">
        <f>+[1]Report1!AX15</f>
        <v>736.84289843107445</v>
      </c>
      <c r="W10" s="510">
        <f>+[1]Report1!AY15</f>
        <v>732.42700158130276</v>
      </c>
      <c r="X10" s="510">
        <f>+[1]Report1!BD15</f>
        <v>480.98678777869441</v>
      </c>
      <c r="Y10" s="569">
        <f>+[1]Report1!BE15</f>
        <v>413.64981162873738</v>
      </c>
      <c r="Z10" s="512">
        <f>+[2]Report1!J15</f>
        <v>0.97750803558200139</v>
      </c>
      <c r="AA10" s="513">
        <f>+[2]Report1!K15</f>
        <v>0.88066233582324027</v>
      </c>
      <c r="AB10" s="513">
        <f>+[2]Report1!BC15</f>
        <v>0.97750803558200139</v>
      </c>
      <c r="AC10" s="513">
        <f>+[2]Report1!BD15</f>
        <v>0.88066233582324027</v>
      </c>
      <c r="AD10" s="510">
        <f>+[2]Report1!R15</f>
        <v>41.706000000000003</v>
      </c>
      <c r="AE10" s="510">
        <f>+[2]Report1!S15</f>
        <v>275.065</v>
      </c>
      <c r="AF10" s="510">
        <f>+[2]Report1!X15</f>
        <v>114.99404596752773</v>
      </c>
      <c r="AG10" s="510">
        <f>+[2]Report1!Y15</f>
        <v>114.42352492401396</v>
      </c>
      <c r="AH10" s="510">
        <f>+[2]Report1!AD15</f>
        <v>1.309164149043303</v>
      </c>
      <c r="AI10" s="510">
        <f>+[2]Report1!AE15</f>
        <v>1.3055096068202063</v>
      </c>
      <c r="AJ10" s="510">
        <f>+[2]Report1!AJ15</f>
        <v>922.73485829376204</v>
      </c>
      <c r="AK10" s="510">
        <f>+[2]Report1!AK15</f>
        <v>912.52722083870697</v>
      </c>
      <c r="AL10" s="576"/>
      <c r="AM10" s="576"/>
      <c r="AN10" s="512">
        <f>+[3]Report1!J15</f>
        <v>0.79564140564469499</v>
      </c>
      <c r="AO10" s="513">
        <f>+[3]Report1!K15</f>
        <v>0.88973627238974595</v>
      </c>
      <c r="AP10" s="513">
        <f>+[3]Report1!BN15</f>
        <v>0.79564140564469499</v>
      </c>
      <c r="AQ10" s="513">
        <f>+[3]Report1!BO15</f>
        <v>0.88973627238974595</v>
      </c>
      <c r="AR10" s="510">
        <f>+[3]Report1!R15</f>
        <v>42.521999999999998</v>
      </c>
      <c r="AS10" s="510">
        <f>+[3]Report1!S15</f>
        <v>335.37399999999997</v>
      </c>
      <c r="AT10" s="514">
        <f>+[3]Report1!AF15</f>
        <v>110.50461860472029</v>
      </c>
      <c r="AU10" s="514">
        <f>+[3]Report1!AG15</f>
        <v>105.99410993199685</v>
      </c>
      <c r="AV10" s="510">
        <f>+[3]Report1!AL15</f>
        <v>1.4909928977940832</v>
      </c>
      <c r="AW10" s="510">
        <f>+[3]Report1!AM15</f>
        <v>1.4011223291012422</v>
      </c>
      <c r="AX10" s="510">
        <f>+[3]Report1!AR15</f>
        <v>0.19519307652509291</v>
      </c>
      <c r="AY10" s="510">
        <f>+[3]Report1!AS15</f>
        <v>0.1979879179662109</v>
      </c>
      <c r="AZ10" s="510">
        <f>+[3]Report1!AX15</f>
        <v>992.27646865152201</v>
      </c>
      <c r="BA10" s="510">
        <f>+[3]Report1!AY15</f>
        <v>911.59213296200699</v>
      </c>
      <c r="BB10" s="510">
        <f>+[3]Report1!BD15</f>
        <v>498.96524152203466</v>
      </c>
      <c r="BC10" s="510">
        <f>+[3]Report1!BE15</f>
        <v>481.91217267886071</v>
      </c>
      <c r="BD10" s="510">
        <f>+[3]Report1!BJ15</f>
        <v>3.525233996519312</v>
      </c>
      <c r="BE10" s="510">
        <f>+[3]Report1!BK15</f>
        <v>4.5107849743868575</v>
      </c>
      <c r="BF10" s="512">
        <f>+[4]Report1!J15</f>
        <v>0.86403462152404831</v>
      </c>
      <c r="BG10" s="513">
        <f>+[4]Report1!K15</f>
        <v>0.93338087449685647</v>
      </c>
      <c r="BH10" s="513">
        <f>+[4]Report1!AN15</f>
        <v>0.86403462152404831</v>
      </c>
      <c r="BI10" s="513">
        <f>+[4]Report1!AO15</f>
        <v>0.93338087449685647</v>
      </c>
      <c r="BJ10" s="510">
        <f>+[4]Report1!R15</f>
        <v>44.481000000000002</v>
      </c>
      <c r="BK10" s="510">
        <f>+[4]Report1!S15</f>
        <v>349.613</v>
      </c>
      <c r="BL10" s="510">
        <f>+[4]Report1!AD15</f>
        <v>2.798947865380724</v>
      </c>
      <c r="BM10" s="510">
        <f>+[4]Report1!AE15</f>
        <v>2.5396652870459624</v>
      </c>
      <c r="BN10" s="514">
        <v>0</v>
      </c>
      <c r="BO10" s="514">
        <v>0</v>
      </c>
      <c r="BP10" s="514">
        <f>+[4]Report1!AJ15</f>
        <v>1210.5249145739438</v>
      </c>
      <c r="BQ10" s="514">
        <f>+[4]Report1!AK15</f>
        <v>777.39756826611199</v>
      </c>
      <c r="BR10" s="514">
        <v>0</v>
      </c>
      <c r="BS10" s="515">
        <v>0</v>
      </c>
      <c r="BT10" s="512">
        <f>+[5]Report1!J15</f>
        <v>0.71056284444338325</v>
      </c>
      <c r="BU10" s="513">
        <f>+[5]Report1!K15</f>
        <v>0.73470379940796582</v>
      </c>
      <c r="BV10" s="513">
        <f>+[5]Report1!BA15</f>
        <v>0.71056284444338325</v>
      </c>
      <c r="BW10" s="513">
        <f>+[5]Report1!BB15</f>
        <v>0.77533373337220002</v>
      </c>
      <c r="BX10" s="510">
        <f>+[5]Report1!R15</f>
        <v>31.841999999999999</v>
      </c>
      <c r="BY10" s="510">
        <f>+[5]Report1!S15</f>
        <v>269.709</v>
      </c>
      <c r="BZ10" s="514">
        <f>+[5]Report1!X15</f>
        <v>121.48046374500258</v>
      </c>
      <c r="CA10" s="514">
        <f>+[5]Report1!Y15</f>
        <v>88.678629531986672</v>
      </c>
      <c r="CB10" s="510">
        <f>+[5]Report1!AD15</f>
        <v>2.8892657496388421</v>
      </c>
      <c r="CC10" s="510">
        <f>+[5]Report1!AE15</f>
        <v>2.2609553259253494</v>
      </c>
      <c r="CD10" s="514">
        <f>+[5]Report1!AJ15</f>
        <v>0</v>
      </c>
      <c r="CE10" s="514">
        <f>+[5]Report1!AK15</f>
        <v>0.15312800091950954</v>
      </c>
      <c r="CF10" s="514">
        <f>+[5]Report1!AP15</f>
        <v>1382.3057997247872</v>
      </c>
      <c r="CG10" s="514">
        <f>+[5]Report1!AQ15</f>
        <v>1140.1595941024609</v>
      </c>
      <c r="CH10" s="514">
        <f>+[5]Report1!AV15</f>
        <v>0</v>
      </c>
      <c r="CI10" s="514">
        <f>+[5]Report1!AW15</f>
        <v>375.71563054996415</v>
      </c>
      <c r="CJ10" s="514"/>
      <c r="CK10" s="515"/>
    </row>
    <row r="11" spans="1:89" ht="12.75" customHeight="1">
      <c r="A11" s="560">
        <f t="shared" si="0"/>
        <v>45999</v>
      </c>
      <c r="B11" s="512">
        <f>+Report1!J16</f>
        <v>1.0979342164706634</v>
      </c>
      <c r="C11" s="513">
        <f>+Report1!K16</f>
        <v>0.80622243755311951</v>
      </c>
      <c r="D11" s="513">
        <f>+Report1!AJ16</f>
        <v>1.0979342164706634</v>
      </c>
      <c r="E11" s="513">
        <f>+Report1!AK16</f>
        <v>0.80622243755311951</v>
      </c>
      <c r="F11" s="510">
        <f>+Report1!R16</f>
        <v>90.966999999999999</v>
      </c>
      <c r="G11" s="510">
        <f>+Report1!S16</f>
        <v>495.21800000000002</v>
      </c>
      <c r="H11" s="510">
        <f>+Report1!X16</f>
        <v>1.6259742543999471</v>
      </c>
      <c r="I11" s="510">
        <f>+Report1!Y16</f>
        <v>2.1033867912717228</v>
      </c>
      <c r="J11" s="510">
        <f>+Report1!AD16</f>
        <v>625.83552277201534</v>
      </c>
      <c r="K11" s="511">
        <f>+Report1!AE16</f>
        <v>823.6063309491974</v>
      </c>
      <c r="L11" s="512">
        <f>+[1]Report1!J16</f>
        <v>0.88884951274430912</v>
      </c>
      <c r="M11" s="513">
        <f>+[1]Report1!K16</f>
        <v>0.667532310503268</v>
      </c>
      <c r="N11" s="513">
        <f>+[1]Report1!BJ16</f>
        <v>0.88884951274430912</v>
      </c>
      <c r="O11" s="513">
        <f>+[1]Report1!BK16</f>
        <v>0.77739062473179688</v>
      </c>
      <c r="P11" s="510">
        <f>+[1]Report1!R16</f>
        <v>45.993000000000002</v>
      </c>
      <c r="Q11" s="510">
        <f>+[1]Report1!S16</f>
        <v>320.45100000000002</v>
      </c>
      <c r="R11" s="510">
        <f>+[1]Report1!AL16</f>
        <v>2.5711303894070836</v>
      </c>
      <c r="S11" s="510">
        <f>+[1]Report1!AM16</f>
        <v>2.5383256722556644</v>
      </c>
      <c r="T11" s="510">
        <f>+[1]Report1!AR16</f>
        <v>0.17176526862783467</v>
      </c>
      <c r="U11" s="510">
        <f>+[1]Report1!AS16</f>
        <v>0.24621549004371962</v>
      </c>
      <c r="V11" s="510">
        <f>+[1]Report1!AX16</f>
        <v>746.71515230578643</v>
      </c>
      <c r="W11" s="510">
        <f>+[1]Report1!AY16</f>
        <v>734.47772046272678</v>
      </c>
      <c r="X11" s="510">
        <f>+[1]Report1!BD16</f>
        <v>465.36646881047255</v>
      </c>
      <c r="Y11" s="569">
        <f>+[1]Report1!BE16</f>
        <v>421.07248846157466</v>
      </c>
      <c r="Z11" s="512">
        <f>+[2]Report1!J16</f>
        <v>0.85490801596503918</v>
      </c>
      <c r="AA11" s="513">
        <f>+[2]Report1!K16</f>
        <v>0.87750063269069101</v>
      </c>
      <c r="AB11" s="513">
        <f>+[2]Report1!BC16</f>
        <v>0.85490801596503918</v>
      </c>
      <c r="AC11" s="513">
        <f>+[2]Report1!BD16</f>
        <v>0.87750063269069101</v>
      </c>
      <c r="AD11" s="510">
        <f>+[2]Report1!R16</f>
        <v>37.368000000000002</v>
      </c>
      <c r="AE11" s="510">
        <f>+[2]Report1!S16</f>
        <v>312.43299999999999</v>
      </c>
      <c r="AF11" s="510">
        <f>+[2]Report1!X16</f>
        <v>135.31266952218166</v>
      </c>
      <c r="AG11" s="510">
        <f>+[2]Report1!Y16</f>
        <v>116.92193436009892</v>
      </c>
      <c r="AH11" s="510">
        <f>+[2]Report1!AD16</f>
        <v>1.5253692999357737</v>
      </c>
      <c r="AI11" s="510">
        <f>+[2]Report1!AE16</f>
        <v>1.3318055391075847</v>
      </c>
      <c r="AJ11" s="510">
        <f>+[2]Report1!AJ16</f>
        <v>979.19021622779815</v>
      </c>
      <c r="AK11" s="510">
        <f>+[2]Report1!AK16</f>
        <v>920.50033127102222</v>
      </c>
      <c r="AL11" s="576"/>
      <c r="AM11" s="576"/>
      <c r="AN11" s="512">
        <f>+[3]Report1!J16</f>
        <v>0.98960421759223338</v>
      </c>
      <c r="AO11" s="513">
        <f>+[3]Report1!K16</f>
        <v>0.90246520123224694</v>
      </c>
      <c r="AP11" s="513">
        <f>+[3]Report1!BN16</f>
        <v>0.98960421759223338</v>
      </c>
      <c r="AQ11" s="513">
        <f>+[3]Report1!BO16</f>
        <v>0.90246520123224694</v>
      </c>
      <c r="AR11" s="510">
        <f>+[3]Report1!R16</f>
        <v>54.488999999999997</v>
      </c>
      <c r="AS11" s="510">
        <f>+[3]Report1!S16</f>
        <v>389.86299999999994</v>
      </c>
      <c r="AT11" s="514">
        <f>+[3]Report1!AF16</f>
        <v>94.14958851077246</v>
      </c>
      <c r="AU11" s="514">
        <f>+[3]Report1!AG16</f>
        <v>104.33866653849428</v>
      </c>
      <c r="AV11" s="510">
        <f>+[3]Report1!AL16</f>
        <v>1.2791572610985704</v>
      </c>
      <c r="AW11" s="510">
        <f>+[3]Report1!AM16</f>
        <v>1.3840759446267024</v>
      </c>
      <c r="AX11" s="510">
        <f>+[3]Report1!AR16</f>
        <v>0.16884141753381415</v>
      </c>
      <c r="AY11" s="510">
        <f>+[3]Report1!AS16</f>
        <v>0.19391427244955284</v>
      </c>
      <c r="AZ11" s="510">
        <f>+[3]Report1!AX16</f>
        <v>689.32041329442518</v>
      </c>
      <c r="BA11" s="510">
        <f>+[3]Report1!AY16</f>
        <v>880.52644133965032</v>
      </c>
      <c r="BB11" s="510">
        <f>+[3]Report1!BD16</f>
        <v>433.67285140120157</v>
      </c>
      <c r="BC11" s="510">
        <f>+[3]Report1!BE16</f>
        <v>475.17002895889146</v>
      </c>
      <c r="BD11" s="510">
        <f>+[3]Report1!BJ16</f>
        <v>2.3876378718641527</v>
      </c>
      <c r="BE11" s="510">
        <f>+[3]Report1!BK16</f>
        <v>4.2140444207324714</v>
      </c>
      <c r="BF11" s="512">
        <f>+[4]Report1!J16</f>
        <v>1.0523192281298483</v>
      </c>
      <c r="BG11" s="513">
        <f>+[4]Report1!K16</f>
        <v>0.94775256835594213</v>
      </c>
      <c r="BH11" s="513">
        <f>+[4]Report1!AN16</f>
        <v>1.0523192281298483</v>
      </c>
      <c r="BI11" s="513">
        <f>+[4]Report1!AO16</f>
        <v>0.94775256835594213</v>
      </c>
      <c r="BJ11" s="510">
        <f>+[4]Report1!R16</f>
        <v>54.173999999999999</v>
      </c>
      <c r="BK11" s="510">
        <f>+[4]Report1!S16</f>
        <v>403.78699999999998</v>
      </c>
      <c r="BL11" s="510">
        <f>+[4]Report1!AD16</f>
        <v>2.2833831727396907</v>
      </c>
      <c r="BM11" s="510">
        <f>+[4]Report1!AE16</f>
        <v>2.5052812497678234</v>
      </c>
      <c r="BN11" s="514">
        <v>0</v>
      </c>
      <c r="BO11" s="514">
        <v>0</v>
      </c>
      <c r="BP11" s="514">
        <f>+[4]Report1!AJ16</f>
        <v>950.1172683161127</v>
      </c>
      <c r="BQ11" s="514">
        <f>+[4]Report1!AK16</f>
        <v>800.57047138213284</v>
      </c>
      <c r="BR11" s="514">
        <v>0</v>
      </c>
      <c r="BS11" s="515">
        <v>0</v>
      </c>
      <c r="BT11" s="512">
        <f>+[5]Report1!J16</f>
        <v>0.91403027039714446</v>
      </c>
      <c r="BU11" s="513">
        <f>+[5]Report1!K16</f>
        <v>0.75472288689927114</v>
      </c>
      <c r="BV11" s="513">
        <f>+[5]Report1!BA16</f>
        <v>0.91403027039714446</v>
      </c>
      <c r="BW11" s="513">
        <f>+[5]Report1!BB16</f>
        <v>0.79157309670382903</v>
      </c>
      <c r="BX11" s="510">
        <f>+[5]Report1!R16</f>
        <v>42.164999999999999</v>
      </c>
      <c r="BY11" s="510">
        <f>+[5]Report1!S16</f>
        <v>311.87400000000002</v>
      </c>
      <c r="BZ11" s="514">
        <f>+[5]Report1!X16</f>
        <v>89.019785057076646</v>
      </c>
      <c r="CA11" s="514">
        <f>+[5]Report1!Y16</f>
        <v>88.724753359928144</v>
      </c>
      <c r="CB11" s="510">
        <f>+[5]Report1!AD16</f>
        <v>2.110755365824736</v>
      </c>
      <c r="CC11" s="510">
        <f>+[5]Report1!AE16</f>
        <v>2.2406484670091129</v>
      </c>
      <c r="CD11" s="514">
        <f>+[5]Report1!AJ16</f>
        <v>0</v>
      </c>
      <c r="CE11" s="514">
        <f>+[5]Report1!AK16</f>
        <v>0.13242527430949677</v>
      </c>
      <c r="CF11" s="514">
        <f>+[5]Report1!AP16</f>
        <v>949.82775065202429</v>
      </c>
      <c r="CG11" s="514">
        <f>+[5]Report1!AQ16</f>
        <v>1114.4269514997186</v>
      </c>
      <c r="CH11" s="514">
        <f>+[5]Report1!AV16</f>
        <v>0</v>
      </c>
      <c r="CI11" s="514">
        <f>+[5]Report1!AW16</f>
        <v>324.9193167753653</v>
      </c>
      <c r="CJ11" s="514"/>
      <c r="CK11" s="515"/>
    </row>
    <row r="12" spans="1:89" ht="12.75" customHeight="1">
      <c r="A12" s="560">
        <f t="shared" si="0"/>
        <v>46000</v>
      </c>
      <c r="B12" s="512">
        <f>+Report1!J17</f>
        <v>0.82735467819314412</v>
      </c>
      <c r="C12" s="513">
        <f>+Report1!K17</f>
        <v>0.80826481866394417</v>
      </c>
      <c r="D12" s="513">
        <f>+Report1!AJ17</f>
        <v>0.82735467819314412</v>
      </c>
      <c r="E12" s="513">
        <f>+Report1!AK17</f>
        <v>0.80826481866394417</v>
      </c>
      <c r="F12" s="510">
        <f>+Report1!R17</f>
        <v>54.371000000000002</v>
      </c>
      <c r="G12" s="510">
        <f>+Report1!S17</f>
        <v>549.58900000000006</v>
      </c>
      <c r="H12" s="510">
        <f>+Report1!X17</f>
        <v>2.4790605285906087</v>
      </c>
      <c r="I12" s="510">
        <f>+Report1!Y17</f>
        <v>2.140552303630531</v>
      </c>
      <c r="J12" s="510">
        <f>+Report1!AD17</f>
        <v>1040.292435305581</v>
      </c>
      <c r="K12" s="511">
        <f>+Report1!AE17</f>
        <v>845.0431504269543</v>
      </c>
      <c r="L12" s="512">
        <f>+[1]Report1!J17</f>
        <v>0.90604789250483486</v>
      </c>
      <c r="M12" s="513">
        <f>+[1]Report1!K17</f>
        <v>0.69265777118224325</v>
      </c>
      <c r="N12" s="513">
        <f>+[1]Report1!BJ17</f>
        <v>0.90604789250483486</v>
      </c>
      <c r="O12" s="513">
        <f>+[1]Report1!BK17</f>
        <v>0.79290499105628998</v>
      </c>
      <c r="P12" s="510">
        <f>+[1]Report1!R17</f>
        <v>51.213000000000001</v>
      </c>
      <c r="Q12" s="510">
        <f>+[1]Report1!S17</f>
        <v>371.66400000000004</v>
      </c>
      <c r="R12" s="510">
        <f>+[1]Report1!AL17</f>
        <v>2.6473942163122643</v>
      </c>
      <c r="S12" s="510">
        <f>+[1]Report1!AM17</f>
        <v>2.5533546429032672</v>
      </c>
      <c r="T12" s="510">
        <f>+[1]Report1!AR17</f>
        <v>0.18354714623240193</v>
      </c>
      <c r="U12" s="510">
        <f>+[1]Report1!AS17</f>
        <v>0.23758017994747946</v>
      </c>
      <c r="V12" s="510">
        <f>+[1]Report1!AX17</f>
        <v>675.54292855328629</v>
      </c>
      <c r="W12" s="510">
        <f>+[1]Report1!AY17</f>
        <v>726.35687072194423</v>
      </c>
      <c r="X12" s="510">
        <f>+[1]Report1!BD17</f>
        <v>565.39159978911573</v>
      </c>
      <c r="Y12" s="569">
        <f>+[1]Report1!BE17</f>
        <v>440.95876921090024</v>
      </c>
      <c r="Z12" s="512">
        <f>+[2]Report1!J17</f>
        <v>0.90977724576767383</v>
      </c>
      <c r="AA12" s="513">
        <f>+[2]Report1!K17</f>
        <v>0.88082372821397759</v>
      </c>
      <c r="AB12" s="513">
        <f>+[2]Report1!BC17</f>
        <v>0.90977724576767383</v>
      </c>
      <c r="AC12" s="513">
        <f>+[2]Report1!BD17</f>
        <v>0.88082372821397759</v>
      </c>
      <c r="AD12" s="510">
        <f>+[2]Report1!R17</f>
        <v>37.177999999999997</v>
      </c>
      <c r="AE12" s="510">
        <f>+[2]Report1!S17</f>
        <v>349.61099999999999</v>
      </c>
      <c r="AF12" s="510">
        <f>+[2]Report1!X17</f>
        <v>141.9313729807341</v>
      </c>
      <c r="AG12" s="510">
        <f>+[2]Report1!Y17</f>
        <v>119.58146426344284</v>
      </c>
      <c r="AH12" s="510">
        <f>+[2]Report1!AD17</f>
        <v>1.4551616547420518</v>
      </c>
      <c r="AI12" s="510">
        <f>+[2]Report1!AE17</f>
        <v>1.3449233576746729</v>
      </c>
      <c r="AJ12" s="510">
        <f>+[2]Report1!AJ17</f>
        <v>1069.4044865242984</v>
      </c>
      <c r="AK12" s="510">
        <f>+[2]Report1!AK17</f>
        <v>936.33495513585001</v>
      </c>
      <c r="AL12" s="576"/>
      <c r="AM12" s="576"/>
      <c r="AN12" s="512">
        <f>+[3]Report1!J17</f>
        <v>0.8489579855137741</v>
      </c>
      <c r="AO12" s="513">
        <f>+[3]Report1!K17</f>
        <v>0.89652289475720748</v>
      </c>
      <c r="AP12" s="513">
        <f>+[3]Report1!BN17</f>
        <v>0.8489579855137741</v>
      </c>
      <c r="AQ12" s="513">
        <f>+[3]Report1!BO17</f>
        <v>0.89652289475720748</v>
      </c>
      <c r="AR12" s="510">
        <f>+[3]Report1!R17</f>
        <v>45.817999999999998</v>
      </c>
      <c r="AS12" s="510">
        <f>+[3]Report1!S17</f>
        <v>435.68099999999993</v>
      </c>
      <c r="AT12" s="514">
        <f>+[3]Report1!AF17</f>
        <v>100.40254314082699</v>
      </c>
      <c r="AU12" s="514">
        <f>+[3]Report1!AG17</f>
        <v>103.92472766616723</v>
      </c>
      <c r="AV12" s="510">
        <f>+[3]Report1!AL17</f>
        <v>1.3859181980880877</v>
      </c>
      <c r="AW12" s="510">
        <f>+[3]Report1!AM17</f>
        <v>1.3842696835528749</v>
      </c>
      <c r="AX12" s="510">
        <f>+[3]Report1!AR17</f>
        <v>0.1789689641625562</v>
      </c>
      <c r="AY12" s="510">
        <f>+[3]Report1!AS17</f>
        <v>0.19234256256297619</v>
      </c>
      <c r="AZ12" s="510">
        <f>+[3]Report1!AX17</f>
        <v>936.71308219477044</v>
      </c>
      <c r="BA12" s="510">
        <f>+[3]Report1!AY17</f>
        <v>886.43525882469078</v>
      </c>
      <c r="BB12" s="510">
        <f>+[3]Report1!BD17</f>
        <v>535.26125103670995</v>
      </c>
      <c r="BC12" s="510">
        <f>+[3]Report1!BE17</f>
        <v>481.48946821183455</v>
      </c>
      <c r="BD12" s="510">
        <f>+[3]Report1!BJ17</f>
        <v>1.7482212231002188</v>
      </c>
      <c r="BE12" s="510">
        <f>+[3]Report1!BK17</f>
        <v>3.954728344821163</v>
      </c>
      <c r="BF12" s="512">
        <f>+[4]Report1!J17</f>
        <v>0.95636070583204047</v>
      </c>
      <c r="BG12" s="513">
        <f>+[4]Report1!K17</f>
        <v>0.94868058180152104</v>
      </c>
      <c r="BH12" s="513">
        <f>+[4]Report1!AN17</f>
        <v>0.95636070583204047</v>
      </c>
      <c r="BI12" s="513">
        <f>+[4]Report1!AO17</f>
        <v>0.94868058180152104</v>
      </c>
      <c r="BJ12" s="510">
        <f>+[4]Report1!R17</f>
        <v>49.234000000000002</v>
      </c>
      <c r="BK12" s="510">
        <f>+[4]Report1!S17</f>
        <v>453.02099999999996</v>
      </c>
      <c r="BL12" s="510">
        <f>+[4]Report1!AD17</f>
        <v>2.4617134500548401</v>
      </c>
      <c r="BM12" s="510">
        <f>+[4]Report1!AE17</f>
        <v>2.5005463322892321</v>
      </c>
      <c r="BN12" s="514">
        <v>0</v>
      </c>
      <c r="BO12" s="514">
        <v>0</v>
      </c>
      <c r="BP12" s="514">
        <f>+[4]Report1!AJ17</f>
        <v>1045.9562132827602</v>
      </c>
      <c r="BQ12" s="514">
        <f>+[4]Report1!AK17</f>
        <v>827.2388192440103</v>
      </c>
      <c r="BR12" s="514">
        <v>0</v>
      </c>
      <c r="BS12" s="515">
        <v>0</v>
      </c>
      <c r="BT12" s="512">
        <f>+[5]Report1!J17</f>
        <v>0.94053099548992869</v>
      </c>
      <c r="BU12" s="513">
        <f>+[5]Report1!K17</f>
        <v>0.77351643472933829</v>
      </c>
      <c r="BV12" s="513">
        <f>+[5]Report1!BA17</f>
        <v>0.94053099548992869</v>
      </c>
      <c r="BW12" s="513">
        <f>+[5]Report1!BB17</f>
        <v>0.80729740903930103</v>
      </c>
      <c r="BX12" s="510">
        <f>+[5]Report1!R17</f>
        <v>43.734000000000002</v>
      </c>
      <c r="BY12" s="510">
        <f>+[5]Report1!S17</f>
        <v>355.608</v>
      </c>
      <c r="BZ12" s="514">
        <f>+[5]Report1!X17</f>
        <v>86.958240583890245</v>
      </c>
      <c r="CA12" s="514">
        <f>+[5]Report1!Y17</f>
        <v>88.507501020984023</v>
      </c>
      <c r="CB12" s="510">
        <f>+[5]Report1!AD17</f>
        <v>2.0716147619700918</v>
      </c>
      <c r="CC12" s="510">
        <f>+[5]Report1!AE17</f>
        <v>2.219860070639581</v>
      </c>
      <c r="CD12" s="514">
        <f>+[5]Report1!AJ17</f>
        <v>0</v>
      </c>
      <c r="CE12" s="514">
        <f>+[5]Report1!AK17</f>
        <v>0.11613911947987671</v>
      </c>
      <c r="CF12" s="514">
        <f>+[5]Report1!AP17</f>
        <v>1083.7872546585368</v>
      </c>
      <c r="CG12" s="514">
        <f>+[5]Report1!AQ17</f>
        <v>1110.658767146014</v>
      </c>
      <c r="CH12" s="514">
        <f>+[5]Report1!AV17</f>
        <v>0</v>
      </c>
      <c r="CI12" s="514">
        <f>+[5]Report1!AW17</f>
        <v>284.95952565746632</v>
      </c>
      <c r="CJ12" s="514"/>
      <c r="CK12" s="515"/>
    </row>
    <row r="13" spans="1:89" ht="12.75" customHeight="1">
      <c r="A13" s="560">
        <f t="shared" si="0"/>
        <v>46001</v>
      </c>
      <c r="B13" s="512">
        <f>+Report1!J18</f>
        <v>0.94746434440753069</v>
      </c>
      <c r="C13" s="513">
        <f>+Report1!K18</f>
        <v>0.81993913584404143</v>
      </c>
      <c r="D13" s="513">
        <f>+Report1!AJ18</f>
        <v>0.94746434440753069</v>
      </c>
      <c r="E13" s="513">
        <f>+Report1!AK18</f>
        <v>0.81993913584404143</v>
      </c>
      <c r="F13" s="510">
        <f>+Report1!R18</f>
        <v>58.976999999999997</v>
      </c>
      <c r="G13" s="510">
        <f>+Report1!S18</f>
        <v>608.56600000000003</v>
      </c>
      <c r="H13" s="510">
        <f>+Report1!X18</f>
        <v>2.1234888176746867</v>
      </c>
      <c r="I13" s="510">
        <f>+Report1!Y18</f>
        <v>2.1388986568424788</v>
      </c>
      <c r="J13" s="510">
        <f>+Report1!AD18</f>
        <v>961.71694050219435</v>
      </c>
      <c r="K13" s="511">
        <f>+Report1!AE18</f>
        <v>856.35017401563232</v>
      </c>
      <c r="L13" s="512">
        <f>+[1]Report1!J18</f>
        <v>0.83809515723217043</v>
      </c>
      <c r="M13" s="513">
        <f>+[1]Report1!K18</f>
        <v>0.70898163338493203</v>
      </c>
      <c r="N13" s="513">
        <f>+[1]Report1!BJ18</f>
        <v>0.83809515723217043</v>
      </c>
      <c r="O13" s="513">
        <f>+[1]Report1!BK18</f>
        <v>0.79861839754997743</v>
      </c>
      <c r="P13" s="510">
        <f>+[1]Report1!R18</f>
        <v>56.856000000000002</v>
      </c>
      <c r="Q13" s="510">
        <f>+[1]Report1!S18</f>
        <v>428.52000000000004</v>
      </c>
      <c r="R13" s="510">
        <f>+[1]Report1!AL18</f>
        <v>2.2436858027297033</v>
      </c>
      <c r="S13" s="510">
        <f>+[1]Report1!AM18</f>
        <v>2.5122678054699894</v>
      </c>
      <c r="T13" s="510">
        <f>+[1]Report1!AR18</f>
        <v>0.19698888419867736</v>
      </c>
      <c r="U13" s="510">
        <f>+[1]Report1!AS18</f>
        <v>0.23219453001026791</v>
      </c>
      <c r="V13" s="510">
        <f>+[1]Report1!AX18</f>
        <v>396.42254115661723</v>
      </c>
      <c r="W13" s="510">
        <f>+[1]Report1!AY18</f>
        <v>682.58120974517249</v>
      </c>
      <c r="X13" s="510">
        <f>+[1]Report1!BD18</f>
        <v>595.31236808780147</v>
      </c>
      <c r="Y13" s="569">
        <f>+[1]Report1!BE18</f>
        <v>461.43839260711303</v>
      </c>
      <c r="Z13" s="512">
        <f>+[2]Report1!J18</f>
        <v>0.92095307955743766</v>
      </c>
      <c r="AA13" s="513">
        <f>+[2]Report1!K18</f>
        <v>0.88456868281122991</v>
      </c>
      <c r="AB13" s="513">
        <f>+[2]Report1!BC18</f>
        <v>0.92095307955743766</v>
      </c>
      <c r="AC13" s="513">
        <f>+[2]Report1!BD18</f>
        <v>0.88456868281122991</v>
      </c>
      <c r="AD13" s="510">
        <f>+[2]Report1!R18</f>
        <v>37.624000000000002</v>
      </c>
      <c r="AE13" s="510">
        <f>+[2]Report1!S18</f>
        <v>387.23500000000001</v>
      </c>
      <c r="AF13" s="510">
        <f>+[2]Report1!X18</f>
        <v>136.5391690206703</v>
      </c>
      <c r="AG13" s="510">
        <f>+[2]Report1!Y18</f>
        <v>121.22908569173811</v>
      </c>
      <c r="AH13" s="510">
        <f>+[2]Report1!AD18</f>
        <v>1.4299383372315542</v>
      </c>
      <c r="AI13" s="510">
        <f>+[2]Report1!AE18</f>
        <v>1.3531834674035146</v>
      </c>
      <c r="AJ13" s="510">
        <f>+[2]Report1!AJ18</f>
        <v>1036.9072932170664</v>
      </c>
      <c r="AK13" s="510">
        <f>+[2]Report1!AK18</f>
        <v>946.1066277583343</v>
      </c>
      <c r="AL13" s="576"/>
      <c r="AM13" s="576"/>
      <c r="AN13" s="512">
        <f>+[3]Report1!J18</f>
        <v>0.95105315700520177</v>
      </c>
      <c r="AO13" s="513">
        <f>+[3]Report1!K18</f>
        <v>0.90190956125055355</v>
      </c>
      <c r="AP13" s="513">
        <f>+[3]Report1!BN18</f>
        <v>0.95105315700520177</v>
      </c>
      <c r="AQ13" s="513">
        <f>+[3]Report1!BO18</f>
        <v>0.90190956125055355</v>
      </c>
      <c r="AR13" s="510">
        <f>+[3]Report1!R18</f>
        <v>50.66</v>
      </c>
      <c r="AS13" s="510">
        <f>+[3]Report1!S18</f>
        <v>486.34099999999989</v>
      </c>
      <c r="AT13" s="514">
        <f>+[3]Report1!AF18</f>
        <v>95.929540177847841</v>
      </c>
      <c r="AU13" s="514">
        <f>+[3]Report1!AG18</f>
        <v>103.09190419835707</v>
      </c>
      <c r="AV13" s="510">
        <f>+[3]Report1!AL18</f>
        <v>1.3541255428345835</v>
      </c>
      <c r="AW13" s="510">
        <f>+[3]Report1!AM18</f>
        <v>1.3811297011767467</v>
      </c>
      <c r="AX13" s="510">
        <f>+[3]Report1!AR18</f>
        <v>0.19147256217923411</v>
      </c>
      <c r="AY13" s="510">
        <f>+[3]Report1!AS18</f>
        <v>0.19225193845470573</v>
      </c>
      <c r="AZ13" s="510">
        <f>+[3]Report1!AX18</f>
        <v>744.42558231346175</v>
      </c>
      <c r="BA13" s="510">
        <f>+[3]Report1!AY18</f>
        <v>871.64273626940792</v>
      </c>
      <c r="BB13" s="510">
        <f>+[3]Report1!BD18</f>
        <v>283.29885511251564</v>
      </c>
      <c r="BC13" s="510">
        <f>+[3]Report1!BE18</f>
        <v>460.84482492736652</v>
      </c>
      <c r="BD13" s="510">
        <f>+[3]Report1!BJ18</f>
        <v>3.9439399921039939</v>
      </c>
      <c r="BE13" s="510">
        <f>+[3]Report1!BK18</f>
        <v>3.9536045696332773</v>
      </c>
      <c r="BF13" s="512">
        <f>+[4]Report1!J18</f>
        <v>0.96135287996777663</v>
      </c>
      <c r="BG13" s="513">
        <f>+[4]Report1!K18</f>
        <v>0.94991379037605561</v>
      </c>
      <c r="BH13" s="513">
        <f>+[4]Report1!AN18</f>
        <v>0.96135287996777663</v>
      </c>
      <c r="BI13" s="513">
        <f>+[4]Report1!AO18</f>
        <v>0.94991379037605561</v>
      </c>
      <c r="BJ13" s="510">
        <f>+[4]Report1!R18</f>
        <v>49.491</v>
      </c>
      <c r="BK13" s="510">
        <f>+[4]Report1!S18</f>
        <v>502.51199999999994</v>
      </c>
      <c r="BL13" s="510">
        <f>+[4]Report1!AD18</f>
        <v>2.4044775817825466</v>
      </c>
      <c r="BM13" s="510">
        <f>+[4]Report1!AE18</f>
        <v>2.4910847900149653</v>
      </c>
      <c r="BN13" s="514">
        <v>0</v>
      </c>
      <c r="BO13" s="514">
        <v>0</v>
      </c>
      <c r="BP13" s="514">
        <f>+[4]Report1!AJ18</f>
        <v>1102.8663641522148</v>
      </c>
      <c r="BQ13" s="514">
        <f>+[4]Report1!AK18</f>
        <v>854.38460446914314</v>
      </c>
      <c r="BR13" s="514">
        <v>0</v>
      </c>
      <c r="BS13" s="515">
        <v>0</v>
      </c>
      <c r="BT13" s="512">
        <f>+[5]Report1!J18</f>
        <v>0.78936587024865967</v>
      </c>
      <c r="BU13" s="513">
        <f>+[5]Report1!K18</f>
        <v>0.77510966560218963</v>
      </c>
      <c r="BV13" s="513">
        <f>+[5]Report1!BA18</f>
        <v>0.78936587024865967</v>
      </c>
      <c r="BW13" s="513">
        <f>+[5]Report1!BB18</f>
        <v>0.80542438179749365</v>
      </c>
      <c r="BX13" s="510">
        <f>+[5]Report1!R18</f>
        <v>40.555999999999997</v>
      </c>
      <c r="BY13" s="510">
        <f>+[5]Report1!S18</f>
        <v>396.16399999999999</v>
      </c>
      <c r="BZ13" s="514">
        <f>+[5]Report1!X18</f>
        <v>99.740107489804927</v>
      </c>
      <c r="CA13" s="514">
        <f>+[5]Report1!Y18</f>
        <v>89.657402546487361</v>
      </c>
      <c r="CB13" s="510">
        <f>+[5]Report1!AD18</f>
        <v>2.3449058092514057</v>
      </c>
      <c r="CC13" s="510">
        <f>+[5]Report1!AE18</f>
        <v>2.2326612211104497</v>
      </c>
      <c r="CD13" s="514">
        <f>+[5]Report1!AJ18</f>
        <v>0</v>
      </c>
      <c r="CE13" s="514">
        <f>+[5]Report1!AK18</f>
        <v>0.10424975515190678</v>
      </c>
      <c r="CF13" s="514">
        <f>+[5]Report1!AP18</f>
        <v>1096.8991215046517</v>
      </c>
      <c r="CG13" s="514">
        <f>+[5]Report1!AQ18</f>
        <v>1109.2501682106461</v>
      </c>
      <c r="CH13" s="514">
        <f>+[5]Report1!AV18</f>
        <v>0</v>
      </c>
      <c r="CI13" s="514">
        <f>+[5]Report1!AW18</f>
        <v>255.78772175159853</v>
      </c>
      <c r="CJ13" s="514"/>
      <c r="CK13" s="515"/>
    </row>
    <row r="14" spans="1:89" ht="12.75" customHeight="1">
      <c r="A14" s="560">
        <f t="shared" si="0"/>
        <v>46002</v>
      </c>
      <c r="B14" s="512">
        <f>+Report1!J19</f>
        <v>0.89446437914319621</v>
      </c>
      <c r="C14" s="513">
        <f>+Report1!K19</f>
        <v>0.82495234634853098</v>
      </c>
      <c r="D14" s="513">
        <f>+Report1!AJ19</f>
        <v>0.93299368008277594</v>
      </c>
      <c r="E14" s="513">
        <f>+Report1!AK19</f>
        <v>0.82725040948787143</v>
      </c>
      <c r="F14" s="510">
        <f>+Report1!R19</f>
        <v>47.878999999999998</v>
      </c>
      <c r="G14" s="510">
        <f>+Report1!S19</f>
        <v>656.44500000000005</v>
      </c>
      <c r="H14" s="510">
        <f>+Report1!X19</f>
        <v>2.6365838885523925</v>
      </c>
      <c r="I14" s="510">
        <f>+Report1!Y19</f>
        <v>2.1751982268126042</v>
      </c>
      <c r="J14" s="510">
        <f>+Report1!AD19</f>
        <v>1159.9081016730049</v>
      </c>
      <c r="K14" s="511">
        <f>+Report1!AE19</f>
        <v>878.49071894827318</v>
      </c>
      <c r="L14" s="512">
        <f>+[1]Report1!J19</f>
        <v>0.69310599220938263</v>
      </c>
      <c r="M14" s="513">
        <f>+[1]Report1!K19</f>
        <v>0.7073795699628922</v>
      </c>
      <c r="N14" s="513">
        <f>+[1]Report1!BJ19</f>
        <v>0.69310599220938263</v>
      </c>
      <c r="O14" s="513">
        <f>+[1]Report1!BK19</f>
        <v>0.78677570694453114</v>
      </c>
      <c r="P14" s="510">
        <f>+[1]Report1!R19</f>
        <v>47.02</v>
      </c>
      <c r="Q14" s="510">
        <f>+[1]Report1!S19</f>
        <v>475.54</v>
      </c>
      <c r="R14" s="510">
        <f>+[1]Report1!AL19</f>
        <v>2.0714164185452995</v>
      </c>
      <c r="S14" s="510">
        <f>+[1]Report1!AM19</f>
        <v>2.4686777137569917</v>
      </c>
      <c r="T14" s="510">
        <f>+[1]Report1!AR19</f>
        <v>0.22756273925988937</v>
      </c>
      <c r="U14" s="510">
        <f>+[1]Report1!AS19</f>
        <v>0.23173655213020988</v>
      </c>
      <c r="V14" s="510">
        <f>+[1]Report1!AX19</f>
        <v>745.69247128881148</v>
      </c>
      <c r="W14" s="510">
        <f>+[1]Report1!AY19</f>
        <v>688.82146612272629</v>
      </c>
      <c r="X14" s="510">
        <f>+[1]Report1!BD19</f>
        <v>626.65418970650637</v>
      </c>
      <c r="Y14" s="569">
        <f>+[1]Report1!BE19</f>
        <v>477.77444589309005</v>
      </c>
      <c r="Z14" s="512">
        <f>+[2]Report1!J19</f>
        <v>0.89961008897425399</v>
      </c>
      <c r="AA14" s="513">
        <f>+[2]Report1!K19</f>
        <v>0.88584767118144381</v>
      </c>
      <c r="AB14" s="513">
        <f>+[2]Report1!BC19</f>
        <v>0.89961008897425399</v>
      </c>
      <c r="AC14" s="513">
        <f>+[2]Report1!BD19</f>
        <v>0.88584767118144381</v>
      </c>
      <c r="AD14" s="510">
        <f>+[2]Report1!R19</f>
        <v>36.598999999999997</v>
      </c>
      <c r="AE14" s="510">
        <f>+[2]Report1!S19</f>
        <v>423.834</v>
      </c>
      <c r="AF14" s="510">
        <f>+[2]Report1!X19</f>
        <v>141.06170020434578</v>
      </c>
      <c r="AG14" s="510">
        <f>+[2]Report1!Y19</f>
        <v>122.94167566457401</v>
      </c>
      <c r="AH14" s="510">
        <f>+[2]Report1!AD19</f>
        <v>1.4426623678242576</v>
      </c>
      <c r="AI14" s="510">
        <f>+[2]Report1!AE19</f>
        <v>1.36091016765998</v>
      </c>
      <c r="AJ14" s="510">
        <f>+[2]Report1!AJ19</f>
        <v>952.6282138856451</v>
      </c>
      <c r="AK14" s="510">
        <f>+[2]Report1!AK19</f>
        <v>946.66978109353977</v>
      </c>
      <c r="AL14" s="576"/>
      <c r="AM14" s="576"/>
      <c r="AN14" s="512">
        <f>+[3]Report1!J19</f>
        <v>0.81937936252009747</v>
      </c>
      <c r="AO14" s="513">
        <f>+[3]Report1!K19</f>
        <v>0.89437407040189398</v>
      </c>
      <c r="AP14" s="513">
        <f>+[3]Report1!BN19</f>
        <v>0.81937936252009747</v>
      </c>
      <c r="AQ14" s="513">
        <f>+[3]Report1!BO19</f>
        <v>0.89437407040189398</v>
      </c>
      <c r="AR14" s="510">
        <f>+[3]Report1!R19</f>
        <v>44.396000000000001</v>
      </c>
      <c r="AS14" s="510">
        <f>+[3]Report1!S19</f>
        <v>530.73699999999985</v>
      </c>
      <c r="AT14" s="514">
        <f>+[3]Report1!AF19</f>
        <v>92.971037350277896</v>
      </c>
      <c r="AU14" s="514">
        <f>+[3]Report1!AG19</f>
        <v>102.24529654788741</v>
      </c>
      <c r="AV14" s="510">
        <f>+[3]Report1!AL19</f>
        <v>1.3717452022704748</v>
      </c>
      <c r="AW14" s="510">
        <f>+[3]Report1!AM19</f>
        <v>1.3803446904964234</v>
      </c>
      <c r="AX14" s="510">
        <f>+[3]Report1!AR19</f>
        <v>0.22524551761419948</v>
      </c>
      <c r="AY14" s="510">
        <f>+[3]Report1!AS19</f>
        <v>0.19501184202345048</v>
      </c>
      <c r="AZ14" s="510">
        <f>+[3]Report1!AX19</f>
        <v>850.87034868006151</v>
      </c>
      <c r="BA14" s="510">
        <f>+[3]Report1!AY19</f>
        <v>869.90513192032995</v>
      </c>
      <c r="BB14" s="510">
        <f>+[3]Report1!BD19</f>
        <v>500.73700333363212</v>
      </c>
      <c r="BC14" s="510">
        <f>+[3]Report1!BE19</f>
        <v>464.1817943727313</v>
      </c>
      <c r="BD14" s="510">
        <f>+[3]Report1!BJ19</f>
        <v>3.1556897017750658</v>
      </c>
      <c r="BE14" s="510">
        <f>+[3]Report1!BK19</f>
        <v>3.886859216523483</v>
      </c>
      <c r="BF14" s="512">
        <f>+[4]Report1!J19</f>
        <v>0.8181920886044477</v>
      </c>
      <c r="BG14" s="513">
        <f>+[4]Report1!K19</f>
        <v>0.93823206348144661</v>
      </c>
      <c r="BH14" s="513">
        <f>+[4]Report1!AN19</f>
        <v>0.8181920886044477</v>
      </c>
      <c r="BI14" s="513">
        <f>+[4]Report1!AO19</f>
        <v>0.93823206348144661</v>
      </c>
      <c r="BJ14" s="510">
        <f>+[4]Report1!R19</f>
        <v>42.121000000000002</v>
      </c>
      <c r="BK14" s="510">
        <f>+[4]Report1!S19</f>
        <v>544.63299999999992</v>
      </c>
      <c r="BL14" s="510">
        <f>+[4]Report1!AD19</f>
        <v>2.8536834358158636</v>
      </c>
      <c r="BM14" s="510">
        <f>+[4]Report1!AE19</f>
        <v>2.5191275592922215</v>
      </c>
      <c r="BN14" s="514">
        <v>0</v>
      </c>
      <c r="BO14" s="514">
        <v>0</v>
      </c>
      <c r="BP14" s="514">
        <f>+[4]Report1!AJ19</f>
        <v>1153.5239797393826</v>
      </c>
      <c r="BQ14" s="514">
        <f>+[4]Report1!AK19</f>
        <v>877.51954051921325</v>
      </c>
      <c r="BR14" s="514">
        <v>0</v>
      </c>
      <c r="BS14" s="515">
        <v>0</v>
      </c>
      <c r="BT14" s="512">
        <f>+[5]Report1!J19</f>
        <v>0.93024437331707566</v>
      </c>
      <c r="BU14" s="513">
        <f>+[5]Report1!K19</f>
        <v>0.78922914842343683</v>
      </c>
      <c r="BV14" s="513">
        <f>+[5]Report1!BA19</f>
        <v>0.93024437331707566</v>
      </c>
      <c r="BW14" s="513">
        <f>+[5]Report1!BB19</f>
        <v>0.81718722803674237</v>
      </c>
      <c r="BX14" s="510">
        <f>+[5]Report1!R19</f>
        <v>47.606000000000002</v>
      </c>
      <c r="BY14" s="510">
        <f>+[5]Report1!S19</f>
        <v>443.77</v>
      </c>
      <c r="BZ14" s="514">
        <f>+[5]Report1!X19</f>
        <v>84.206626476036845</v>
      </c>
      <c r="CA14" s="514">
        <f>+[5]Report1!Y19</f>
        <v>89.0726635023657</v>
      </c>
      <c r="CB14" s="510">
        <f>+[5]Report1!AD19</f>
        <v>1.99554677981767</v>
      </c>
      <c r="CC14" s="510">
        <f>+[5]Report1!AE19</f>
        <v>2.2072244631227891</v>
      </c>
      <c r="CD14" s="514">
        <f>+[5]Report1!AJ19</f>
        <v>0</v>
      </c>
      <c r="CE14" s="514">
        <f>+[5]Report1!AK19</f>
        <v>9.3066228000991499E-2</v>
      </c>
      <c r="CF14" s="514">
        <f>+[5]Report1!AP19</f>
        <v>865.81809959664326</v>
      </c>
      <c r="CG14" s="514">
        <f>+[5]Report1!AQ19</f>
        <v>1083.1356785911626</v>
      </c>
      <c r="CH14" s="514">
        <f>+[5]Report1!AV19</f>
        <v>0</v>
      </c>
      <c r="CI14" s="514">
        <f>+[5]Report1!AW19</f>
        <v>228.34776348108318</v>
      </c>
      <c r="CJ14" s="514"/>
      <c r="CK14" s="515"/>
    </row>
    <row r="15" spans="1:89" ht="12.75" customHeight="1">
      <c r="A15" s="560">
        <f t="shared" si="0"/>
        <v>46003</v>
      </c>
      <c r="B15" s="512">
        <f>+Report1!J20</f>
        <v>1.031466072468493</v>
      </c>
      <c r="C15" s="513">
        <f>+Report1!K20</f>
        <v>0.83777021138643337</v>
      </c>
      <c r="D15" s="513">
        <f>+Report1!AJ20</f>
        <v>1.031466072468493</v>
      </c>
      <c r="E15" s="513">
        <f>+Report1!AK20</f>
        <v>0.83995875065208803</v>
      </c>
      <c r="F15" s="510">
        <f>+Report1!R20</f>
        <v>54.314999999999998</v>
      </c>
      <c r="G15" s="510">
        <f>+Report1!S20</f>
        <v>710.76</v>
      </c>
      <c r="H15" s="510">
        <f>+Report1!X20</f>
        <v>2.2876185215870386</v>
      </c>
      <c r="I15" s="510">
        <f>+Report1!Y20</f>
        <v>2.1837891834093086</v>
      </c>
      <c r="J15" s="510">
        <f>+Report1!AD20</f>
        <v>1102.7981220657246</v>
      </c>
      <c r="K15" s="511">
        <f>+Report1!AE20</f>
        <v>895.63188699420209</v>
      </c>
      <c r="L15" s="512">
        <f>+[1]Report1!J20</f>
        <v>0.88654408163706211</v>
      </c>
      <c r="M15" s="513">
        <f>+[1]Report1!K20</f>
        <v>0.72360625201752005</v>
      </c>
      <c r="N15" s="513">
        <f>+[1]Report1!BJ20</f>
        <v>0.88654408163706211</v>
      </c>
      <c r="O15" s="513">
        <f>+[1]Report1!BK20</f>
        <v>0.79672464146734856</v>
      </c>
      <c r="P15" s="510">
        <f>+[1]Report1!R20</f>
        <v>59.353000000000002</v>
      </c>
      <c r="Q15" s="510">
        <f>+[1]Report1!S20</f>
        <v>534.89300000000003</v>
      </c>
      <c r="R15" s="510">
        <f>+[1]Report1!AL20</f>
        <v>2.1571445419776589</v>
      </c>
      <c r="S15" s="510">
        <f>+[1]Report1!AM20</f>
        <v>2.434109251756893</v>
      </c>
      <c r="T15" s="510">
        <f>+[1]Report1!AR20</f>
        <v>0.21565885464930165</v>
      </c>
      <c r="U15" s="510">
        <f>+[1]Report1!AS20</f>
        <v>0.2299525325625873</v>
      </c>
      <c r="V15" s="510">
        <f>+[1]Report1!AX20</f>
        <v>711.37128704529675</v>
      </c>
      <c r="W15" s="510">
        <f>+[1]Report1!AY20</f>
        <v>691.32364790715292</v>
      </c>
      <c r="X15" s="510">
        <f>+[1]Report1!BD20</f>
        <v>480.07345879736539</v>
      </c>
      <c r="Y15" s="569">
        <f>+[1]Report1!BE20</f>
        <v>478.02954983520078</v>
      </c>
      <c r="Z15" s="512">
        <f>+[2]Report1!J20</f>
        <v>0.96351061102185942</v>
      </c>
      <c r="AA15" s="513">
        <f>+[2]Report1!K20</f>
        <v>0.89226272197643275</v>
      </c>
      <c r="AB15" s="513">
        <f>+[2]Report1!BC20</f>
        <v>0.96351061102185942</v>
      </c>
      <c r="AC15" s="513">
        <f>+[2]Report1!BD20</f>
        <v>0.89226272197643275</v>
      </c>
      <c r="AD15" s="510">
        <f>+[2]Report1!R20</f>
        <v>41.506999999999998</v>
      </c>
      <c r="AE15" s="510">
        <f>+[2]Report1!S20</f>
        <v>465.34100000000001</v>
      </c>
      <c r="AF15" s="510">
        <f>+[2]Report1!X20</f>
        <v>127.02779674382217</v>
      </c>
      <c r="AG15" s="510">
        <f>+[2]Report1!Y20</f>
        <v>123.30614522052619</v>
      </c>
      <c r="AH15" s="510">
        <f>+[2]Report1!AD20</f>
        <v>1.2528007324065822</v>
      </c>
      <c r="AI15" s="510">
        <f>+[2]Report1!AE20</f>
        <v>1.3512671352835877</v>
      </c>
      <c r="AJ15" s="510">
        <f>+[2]Report1!AJ20</f>
        <v>1010.3953550003702</v>
      </c>
      <c r="AK15" s="510">
        <f>+[2]Report1!AK20</f>
        <v>952.35390820924817</v>
      </c>
      <c r="AL15" s="576"/>
      <c r="AM15" s="576"/>
      <c r="AN15" s="512">
        <f>+[3]Report1!J20</f>
        <v>0.87376279379422117</v>
      </c>
      <c r="AO15" s="513">
        <f>+[3]Report1!K20</f>
        <v>0.89265970127742722</v>
      </c>
      <c r="AP15" s="513">
        <f>+[3]Report1!BN20</f>
        <v>0.87376279379422117</v>
      </c>
      <c r="AQ15" s="513">
        <f>+[3]Report1!BO20</f>
        <v>0.89265970127742722</v>
      </c>
      <c r="AR15" s="510">
        <f>+[3]Report1!R20</f>
        <v>47.04</v>
      </c>
      <c r="AS15" s="510">
        <f>+[3]Report1!S20</f>
        <v>577.77699999999982</v>
      </c>
      <c r="AT15" s="514">
        <f>+[3]Report1!AF20</f>
        <v>104.04620224760514</v>
      </c>
      <c r="AU15" s="514">
        <f>+[3]Report1!AG20</f>
        <v>102.39191817546123</v>
      </c>
      <c r="AV15" s="510">
        <f>+[3]Report1!AL20</f>
        <v>1.4413265306122449</v>
      </c>
      <c r="AW15" s="510">
        <f>+[3]Report1!AM20</f>
        <v>1.3853095571474812</v>
      </c>
      <c r="AX15" s="510">
        <f>+[3]Report1!AR20</f>
        <v>0.21258503401360546</v>
      </c>
      <c r="AY15" s="510">
        <f>+[3]Report1!AS20</f>
        <v>0.1964425721342318</v>
      </c>
      <c r="AZ15" s="510">
        <f>+[3]Report1!AX20</f>
        <v>849.03231292517057</v>
      </c>
      <c r="BA15" s="510">
        <f>+[3]Report1!AY20</f>
        <v>868.20576104621728</v>
      </c>
      <c r="BB15" s="510">
        <f>+[3]Report1!BD20</f>
        <v>416.52210884353775</v>
      </c>
      <c r="BC15" s="510">
        <f>+[3]Report1!BE20</f>
        <v>460.30155752132811</v>
      </c>
      <c r="BD15" s="510">
        <f>+[3]Report1!BJ20</f>
        <v>2.7657312925171307</v>
      </c>
      <c r="BE15" s="510">
        <f>+[3]Report1!BK20</f>
        <v>3.7955820325143264</v>
      </c>
      <c r="BF15" s="512">
        <f>+[4]Report1!J20</f>
        <v>0.83132325481362135</v>
      </c>
      <c r="BG15" s="513">
        <f>+[4]Report1!K20</f>
        <v>0.92952320960604584</v>
      </c>
      <c r="BH15" s="513">
        <f>+[4]Report1!AN20</f>
        <v>0.83132325481362135</v>
      </c>
      <c r="BI15" s="513">
        <f>+[4]Report1!AO20</f>
        <v>0.92952320960604584</v>
      </c>
      <c r="BJ15" s="510">
        <f>+[4]Report1!R20</f>
        <v>42.796999999999997</v>
      </c>
      <c r="BK15" s="510">
        <f>+[4]Report1!S20</f>
        <v>587.42999999999995</v>
      </c>
      <c r="BL15" s="510">
        <f>+[4]Report1!AD20</f>
        <v>2.7992616304881186</v>
      </c>
      <c r="BM15" s="510">
        <f>+[4]Report1!AE20</f>
        <v>2.5395366256405025</v>
      </c>
      <c r="BN15" s="514">
        <v>0</v>
      </c>
      <c r="BO15" s="514">
        <v>0</v>
      </c>
      <c r="BP15" s="514">
        <f>+[4]Report1!AJ20</f>
        <v>1248.4561488442096</v>
      </c>
      <c r="BQ15" s="514">
        <f>+[4]Report1!AK20</f>
        <v>904.54399283946384</v>
      </c>
      <c r="BR15" s="514">
        <v>0</v>
      </c>
      <c r="BS15" s="515">
        <v>0</v>
      </c>
      <c r="BT15" s="512">
        <f>+[5]Report1!J20</f>
        <v>0.90534700770610221</v>
      </c>
      <c r="BU15" s="513">
        <f>+[5]Report1!K20</f>
        <v>0.79846658234212742</v>
      </c>
      <c r="BV15" s="513">
        <f>+[5]Report1!BA20</f>
        <v>0.90534700770610221</v>
      </c>
      <c r="BW15" s="513">
        <f>+[5]Report1!BB20</f>
        <v>0.82442857087424792</v>
      </c>
      <c r="BX15" s="510">
        <f>+[5]Report1!R20</f>
        <v>43.997</v>
      </c>
      <c r="BY15" s="510">
        <f>+[5]Report1!S20</f>
        <v>487.767</v>
      </c>
      <c r="BZ15" s="514">
        <f>+[5]Report1!X20</f>
        <v>90.190783163098118</v>
      </c>
      <c r="CA15" s="514">
        <f>+[5]Report1!Y20</f>
        <v>89.173518850745651</v>
      </c>
      <c r="CB15" s="510">
        <f>+[5]Report1!AD20</f>
        <v>2.1569652476305206</v>
      </c>
      <c r="CC15" s="510">
        <f>+[5]Report1!AE20</f>
        <v>2.2026910389591752</v>
      </c>
      <c r="CD15" s="514">
        <f>+[5]Report1!AJ20</f>
        <v>0</v>
      </c>
      <c r="CE15" s="514">
        <f>+[5]Report1!AK20</f>
        <v>8.4671574747779157E-2</v>
      </c>
      <c r="CF15" s="514">
        <f>+[5]Report1!AP20</f>
        <v>1039.2813645910846</v>
      </c>
      <c r="CG15" s="514">
        <f>+[5]Report1!AQ20</f>
        <v>1079.1799820125475</v>
      </c>
      <c r="CH15" s="514">
        <f>+[5]Report1!AV20</f>
        <v>0</v>
      </c>
      <c r="CI15" s="514">
        <f>+[5]Report1!AW20</f>
        <v>207.75060018410488</v>
      </c>
      <c r="CJ15" s="514"/>
      <c r="CK15" s="515"/>
    </row>
    <row r="16" spans="1:89" ht="12.75" customHeight="1">
      <c r="A16" s="560">
        <f t="shared" si="0"/>
        <v>46004</v>
      </c>
      <c r="B16" s="512">
        <f>+Report1!J21</f>
        <v>0.88974941535176078</v>
      </c>
      <c r="C16" s="513">
        <f>+Report1!K21</f>
        <v>0.84101050222435614</v>
      </c>
      <c r="D16" s="513">
        <f>+Report1!AJ21</f>
        <v>0.88974941535176078</v>
      </c>
      <c r="E16" s="513">
        <f>+Report1!AK21</f>
        <v>0.84307021349542488</v>
      </c>
      <c r="F16" s="510">
        <f>+Report1!R21</f>
        <v>50.185000000000002</v>
      </c>
      <c r="G16" s="510">
        <f>+Report1!S21</f>
        <v>760.94499999999994</v>
      </c>
      <c r="H16" s="510">
        <f>+Report1!X21</f>
        <v>2.4976586629470958</v>
      </c>
      <c r="I16" s="510">
        <f>+Report1!Y21</f>
        <v>2.2044891549323542</v>
      </c>
      <c r="J16" s="510">
        <f>+Report1!AD21</f>
        <v>1139.2013549865428</v>
      </c>
      <c r="K16" s="511">
        <f>+Report1!AE21</f>
        <v>911.69551018798825</v>
      </c>
      <c r="L16" s="512">
        <f>+[1]Report1!J21</f>
        <v>0.83773580124916069</v>
      </c>
      <c r="M16" s="513">
        <f>+[1]Report1!K21</f>
        <v>0.73324632455994976</v>
      </c>
      <c r="N16" s="513">
        <f>+[1]Report1!BJ21</f>
        <v>0.83773580124916069</v>
      </c>
      <c r="O16" s="513">
        <f>+[1]Report1!BK21</f>
        <v>0.80050644697847173</v>
      </c>
      <c r="P16" s="510">
        <f>+[1]Report1!R21</f>
        <v>57.131999999999998</v>
      </c>
      <c r="Q16" s="510">
        <f>+[1]Report1!S21</f>
        <v>592.02499999999998</v>
      </c>
      <c r="R16" s="510">
        <f>+[1]Report1!AL21</f>
        <v>2.3341209829867671</v>
      </c>
      <c r="S16" s="510">
        <f>+[1]Report1!AM21</f>
        <v>2.4244601157045733</v>
      </c>
      <c r="T16" s="510">
        <f>+[1]Report1!AR21</f>
        <v>0.18028425400826159</v>
      </c>
      <c r="U16" s="510">
        <f>+[1]Report1!AS21</f>
        <v>0.22515941049786753</v>
      </c>
      <c r="V16" s="510">
        <f>+[1]Report1!AX21</f>
        <v>713.83690401177284</v>
      </c>
      <c r="W16" s="510">
        <f>+[1]Report1!AY21</f>
        <v>693.49623748997328</v>
      </c>
      <c r="X16" s="510">
        <f>+[1]Report1!BD21</f>
        <v>427.62724917734334</v>
      </c>
      <c r="Y16" s="569">
        <f>+[1]Report1!BE21</f>
        <v>473.1655926692286</v>
      </c>
      <c r="Z16" s="512">
        <f>+[2]Report1!J21</f>
        <v>0.81833416852695751</v>
      </c>
      <c r="AA16" s="513">
        <f>+[2]Report1!K21</f>
        <v>0.88679942717942883</v>
      </c>
      <c r="AB16" s="513">
        <f>+[2]Report1!BC21</f>
        <v>0.81833416852695751</v>
      </c>
      <c r="AC16" s="513">
        <f>+[2]Report1!BD21</f>
        <v>0.88679942717942883</v>
      </c>
      <c r="AD16" s="510">
        <f>+[2]Report1!R21</f>
        <v>34.055999999999997</v>
      </c>
      <c r="AE16" s="510">
        <f>+[2]Report1!S21</f>
        <v>499.39699999999999</v>
      </c>
      <c r="AF16" s="510">
        <f>+[2]Report1!X21</f>
        <v>145.30130014253885</v>
      </c>
      <c r="AG16" s="510">
        <f>+[2]Report1!Y21</f>
        <v>124.80608814373973</v>
      </c>
      <c r="AH16" s="510">
        <f>+[2]Report1!AD21</f>
        <v>1.5063424947145878</v>
      </c>
      <c r="AI16" s="510">
        <f>+[2]Report1!AE21</f>
        <v>1.3618423819125864</v>
      </c>
      <c r="AJ16" s="510">
        <f>+[2]Report1!AJ21</f>
        <v>1203.0426356588825</v>
      </c>
      <c r="AK16" s="510">
        <f>+[2]Report1!AK21</f>
        <v>969.44943601983709</v>
      </c>
      <c r="AL16" s="576"/>
      <c r="AM16" s="576"/>
      <c r="AN16" s="512">
        <f>+[3]Report1!J21</f>
        <v>0.95742328806677512</v>
      </c>
      <c r="AO16" s="513">
        <f>+[3]Report1!K21</f>
        <v>0.89776891404059367</v>
      </c>
      <c r="AP16" s="513">
        <f>+[3]Report1!BN21</f>
        <v>0.95742328806677512</v>
      </c>
      <c r="AQ16" s="513">
        <f>+[3]Report1!BO21</f>
        <v>0.89776891404059367</v>
      </c>
      <c r="AR16" s="510">
        <f>+[3]Report1!R21</f>
        <v>53.075000000000003</v>
      </c>
      <c r="AS16" s="510">
        <f>+[3]Report1!S21</f>
        <v>630.85199999999986</v>
      </c>
      <c r="AT16" s="514">
        <f>+[3]Report1!AF21</f>
        <v>86.589780024553988</v>
      </c>
      <c r="AU16" s="514">
        <f>+[3]Report1!AG21</f>
        <v>101.06244869235044</v>
      </c>
      <c r="AV16" s="510">
        <f>+[3]Report1!AL21</f>
        <v>1.2962788506829956</v>
      </c>
      <c r="AW16" s="510">
        <f>+[3]Report1!AM21</f>
        <v>1.3778192032362584</v>
      </c>
      <c r="AX16" s="510">
        <f>+[3]Report1!AR21</f>
        <v>0.17899199246349504</v>
      </c>
      <c r="AY16" s="510">
        <f>+[3]Report1!AS21</f>
        <v>0.19497441555230077</v>
      </c>
      <c r="AZ16" s="510">
        <f>+[3]Report1!AX21</f>
        <v>780.23212435233131</v>
      </c>
      <c r="BA16" s="510">
        <f>+[3]Report1!AY21</f>
        <v>860.80434079625672</v>
      </c>
      <c r="BB16" s="510">
        <f>+[3]Report1!BD21</f>
        <v>399.82666038624546</v>
      </c>
      <c r="BC16" s="510">
        <f>+[3]Report1!BE21</f>
        <v>455.2136681820781</v>
      </c>
      <c r="BD16" s="510">
        <f>+[3]Report1!BJ21</f>
        <v>2.2628356099854301</v>
      </c>
      <c r="BE16" s="510">
        <f>+[3]Report1!BK21</f>
        <v>3.6666286228782763</v>
      </c>
      <c r="BF16" s="512">
        <f>+[4]Report1!J21</f>
        <v>0.94639578236265265</v>
      </c>
      <c r="BG16" s="513">
        <f>+[4]Report1!K21</f>
        <v>0.93079412935487238</v>
      </c>
      <c r="BH16" s="513">
        <f>+[4]Report1!AN21</f>
        <v>0.94639578236265265</v>
      </c>
      <c r="BI16" s="513">
        <f>+[4]Report1!AO21</f>
        <v>0.93079412935487238</v>
      </c>
      <c r="BJ16" s="510">
        <f>+[4]Report1!R21</f>
        <v>48.720999999999997</v>
      </c>
      <c r="BK16" s="510">
        <f>+[4]Report1!S21</f>
        <v>636.15099999999995</v>
      </c>
      <c r="BL16" s="510">
        <f>+[4]Report1!AD21</f>
        <v>2.3891135239424481</v>
      </c>
      <c r="BM16" s="510">
        <f>+[4]Report1!AE21</f>
        <v>2.5280161471097276</v>
      </c>
      <c r="BN16" s="514">
        <v>0</v>
      </c>
      <c r="BO16" s="514">
        <v>0</v>
      </c>
      <c r="BP16" s="514">
        <f>+[4]Report1!AJ21</f>
        <v>1102.545672394235</v>
      </c>
      <c r="BQ16" s="514">
        <f>+[4]Report1!AK21</f>
        <v>919.70837964320697</v>
      </c>
      <c r="BR16" s="514">
        <v>0</v>
      </c>
      <c r="BS16" s="515">
        <v>0</v>
      </c>
      <c r="BT16" s="512">
        <f>+[5]Report1!J21</f>
        <v>1.0551091950268905</v>
      </c>
      <c r="BU16" s="513">
        <f>+[5]Report1!K21</f>
        <v>0.81641223646448435</v>
      </c>
      <c r="BV16" s="513">
        <f>+[5]Report1!BA21</f>
        <v>1.0551091950268905</v>
      </c>
      <c r="BW16" s="513">
        <f>+[5]Report1!BB21</f>
        <v>0.84104553363254941</v>
      </c>
      <c r="BX16" s="510">
        <f>+[5]Report1!R21</f>
        <v>48.457999999999998</v>
      </c>
      <c r="BY16" s="510">
        <f>+[5]Report1!S21</f>
        <v>536.22500000000002</v>
      </c>
      <c r="BZ16" s="514">
        <f>+[5]Report1!X21</f>
        <v>74.205834899139376</v>
      </c>
      <c r="CA16" s="514">
        <f>+[5]Report1!Y21</f>
        <v>87.820907486249524</v>
      </c>
      <c r="CB16" s="510">
        <f>+[5]Report1!AD21</f>
        <v>1.9233150357010196</v>
      </c>
      <c r="CC16" s="510">
        <f>+[5]Report1!AE21</f>
        <v>2.1774441698913702</v>
      </c>
      <c r="CD16" s="514">
        <f>+[5]Report1!AJ21</f>
        <v>0</v>
      </c>
      <c r="CE16" s="514">
        <f>+[5]Report1!AK21</f>
        <v>7.7019907688004097E-2</v>
      </c>
      <c r="CF16" s="514">
        <f>+[5]Report1!AP21</f>
        <v>990.65855576541946</v>
      </c>
      <c r="CG16" s="514">
        <f>+[5]Report1!AQ21</f>
        <v>1071.1804085628139</v>
      </c>
      <c r="CH16" s="514">
        <f>+[5]Report1!AV21</f>
        <v>0</v>
      </c>
      <c r="CI16" s="514">
        <f>+[5]Report1!AW21</f>
        <v>188.97643153527022</v>
      </c>
      <c r="CJ16" s="514"/>
      <c r="CK16" s="515"/>
    </row>
    <row r="17" spans="1:89" ht="12.75" customHeight="1">
      <c r="A17" s="560">
        <f t="shared" si="0"/>
        <v>46005</v>
      </c>
      <c r="B17" s="512">
        <f>+Report1!J22</f>
        <v>0.80756556321839434</v>
      </c>
      <c r="C17" s="513">
        <f>+Report1!K22</f>
        <v>0.83896193759277349</v>
      </c>
      <c r="D17" s="513">
        <f>+Report1!AJ22</f>
        <v>0.80756556321839434</v>
      </c>
      <c r="E17" s="513">
        <f>+Report1!AK22</f>
        <v>0.84089048860513538</v>
      </c>
      <c r="F17" s="510">
        <f>+Report1!R22</f>
        <v>47.676000000000002</v>
      </c>
      <c r="G17" s="510">
        <f>+Report1!S22</f>
        <v>808.62099999999998</v>
      </c>
      <c r="H17" s="510">
        <f>+Report1!X22</f>
        <v>2.7414422350868359</v>
      </c>
      <c r="I17" s="510">
        <f>+Report1!Y22</f>
        <v>2.2361477132055687</v>
      </c>
      <c r="J17" s="510">
        <f>+Report1!AD22</f>
        <v>1089.37033308163</v>
      </c>
      <c r="K17" s="511">
        <f>+Report1!AE22</f>
        <v>922.17115311128259</v>
      </c>
      <c r="L17" s="512">
        <f>+[1]Report1!J22</f>
        <v>0.97024599524167254</v>
      </c>
      <c r="M17" s="513">
        <f>+[1]Report1!K22</f>
        <v>0.75180329436010729</v>
      </c>
      <c r="N17" s="513">
        <f>+[1]Report1!BJ22</f>
        <v>0.97024599524167254</v>
      </c>
      <c r="O17" s="513">
        <f>+[1]Report1!BK22</f>
        <v>0.8149126386756832</v>
      </c>
      <c r="P17" s="510">
        <f>+[1]Report1!R22</f>
        <v>66.549000000000007</v>
      </c>
      <c r="Q17" s="510">
        <f>+[1]Report1!S22</f>
        <v>658.57399999999996</v>
      </c>
      <c r="R17" s="510">
        <f>+[1]Report1!AL22</f>
        <v>1.9913296969150551</v>
      </c>
      <c r="S17" s="510">
        <f>+[1]Report1!AM22</f>
        <v>2.3806922228937069</v>
      </c>
      <c r="T17" s="510">
        <f>+[1]Report1!AR22</f>
        <v>0.16979969646425941</v>
      </c>
      <c r="U17" s="510">
        <f>+[1]Report1!AS22</f>
        <v>0.21956530321573586</v>
      </c>
      <c r="V17" s="510">
        <f>+[1]Report1!AX22</f>
        <v>569.59578656328586</v>
      </c>
      <c r="W17" s="510">
        <f>+[1]Report1!AY22</f>
        <v>680.97607861835036</v>
      </c>
      <c r="X17" s="510">
        <f>+[1]Report1!BD22</f>
        <v>531.77207771717406</v>
      </c>
      <c r="Y17" s="569">
        <f>+[1]Report1!BE22</f>
        <v>479.08778664204823</v>
      </c>
      <c r="Z17" s="512">
        <f>+[2]Report1!J22</f>
        <v>0.80178174319073592</v>
      </c>
      <c r="AA17" s="513">
        <f>+[2]Report1!K22</f>
        <v>0.88095179460081008</v>
      </c>
      <c r="AB17" s="513">
        <f>+[2]Report1!BC22</f>
        <v>0.80178174319073592</v>
      </c>
      <c r="AC17" s="513">
        <f>+[2]Report1!BD22</f>
        <v>0.88095179460081008</v>
      </c>
      <c r="AD17" s="510">
        <f>+[2]Report1!R22</f>
        <v>33.35</v>
      </c>
      <c r="AE17" s="510">
        <f>+[2]Report1!S22</f>
        <v>532.74699999999996</v>
      </c>
      <c r="AF17" s="510">
        <f>+[2]Report1!X22</f>
        <v>149.73463218496084</v>
      </c>
      <c r="AG17" s="510">
        <f>+[2]Report1!Y22</f>
        <v>126.36661676947526</v>
      </c>
      <c r="AH17" s="510">
        <f>+[2]Report1!AD22</f>
        <v>1.6581709145427286</v>
      </c>
      <c r="AI17" s="510">
        <f>+[2]Report1!AE22</f>
        <v>1.3803925690806329</v>
      </c>
      <c r="AJ17" s="510">
        <f>+[2]Report1!AJ22</f>
        <v>1045.4818590704758</v>
      </c>
      <c r="AK17" s="510">
        <f>+[2]Report1!AK22</f>
        <v>974.20907109753591</v>
      </c>
      <c r="AL17" s="576"/>
      <c r="AM17" s="576"/>
      <c r="AN17" s="512">
        <f>+[3]Report1!J22</f>
        <v>0.81539002625679891</v>
      </c>
      <c r="AO17" s="513">
        <f>+[3]Report1!K22</f>
        <v>0.89176022777829023</v>
      </c>
      <c r="AP17" s="513">
        <f>+[3]Report1!BN22</f>
        <v>0.81539002625679891</v>
      </c>
      <c r="AQ17" s="513">
        <f>+[3]Report1!BO22</f>
        <v>0.89176022777829023</v>
      </c>
      <c r="AR17" s="510">
        <f>+[3]Report1!R22</f>
        <v>45.08</v>
      </c>
      <c r="AS17" s="510">
        <f>+[3]Report1!S22</f>
        <v>675.9319999999999</v>
      </c>
      <c r="AT17" s="514">
        <f>+[3]Report1!AF22</f>
        <v>103.70533448414581</v>
      </c>
      <c r="AU17" s="514">
        <f>+[3]Report1!AG22</f>
        <v>101.23871093691666</v>
      </c>
      <c r="AV17" s="510">
        <f>+[3]Report1!AL22</f>
        <v>1.3753327417923691</v>
      </c>
      <c r="AW17" s="510">
        <f>+[3]Report1!AM22</f>
        <v>1.3776533734162608</v>
      </c>
      <c r="AX17" s="510">
        <f>+[3]Report1!AR22</f>
        <v>0.17080745341614909</v>
      </c>
      <c r="AY17" s="510">
        <f>+[3]Report1!AS22</f>
        <v>0.19336264594663374</v>
      </c>
      <c r="AZ17" s="510">
        <f>+[3]Report1!AX22</f>
        <v>844.20629991127066</v>
      </c>
      <c r="BA17" s="510">
        <f>+[3]Report1!AY22</f>
        <v>859.69736600723184</v>
      </c>
      <c r="BB17" s="510">
        <f>+[3]Report1!BD22</f>
        <v>445.74312333629439</v>
      </c>
      <c r="BC17" s="510">
        <f>+[3]Report1!BE22</f>
        <v>454.58204819419774</v>
      </c>
      <c r="BD17" s="510">
        <f>+[3]Report1!BJ22</f>
        <v>2.8859804791483104</v>
      </c>
      <c r="BE17" s="510">
        <f>+[3]Report1!BK22</f>
        <v>3.6145647787055681</v>
      </c>
      <c r="BF17" s="512">
        <f>+[4]Report1!J22</f>
        <v>0.89421581623734758</v>
      </c>
      <c r="BG17" s="513">
        <f>+[4]Report1!K22</f>
        <v>0.92819769059162349</v>
      </c>
      <c r="BH17" s="513">
        <f>+[4]Report1!AN22</f>
        <v>0.89421581623734758</v>
      </c>
      <c r="BI17" s="513">
        <f>+[4]Report1!AO22</f>
        <v>0.92819769059162349</v>
      </c>
      <c r="BJ17" s="510">
        <f>+[4]Report1!R22</f>
        <v>46.695999999999998</v>
      </c>
      <c r="BK17" s="510">
        <f>+[4]Report1!S22</f>
        <v>682.84699999999998</v>
      </c>
      <c r="BL17" s="510">
        <f>+[4]Report1!AD22</f>
        <v>2.4927188624293302</v>
      </c>
      <c r="BM17" s="510">
        <f>+[4]Report1!AE22</f>
        <v>2.5256023677339146</v>
      </c>
      <c r="BN17" s="514">
        <v>0</v>
      </c>
      <c r="BO17" s="514">
        <v>0</v>
      </c>
      <c r="BP17" s="514">
        <f>+[4]Report1!AJ22</f>
        <v>1009.9216265384567</v>
      </c>
      <c r="BQ17" s="514">
        <f>+[4]Report1!AK22</f>
        <v>925.87754751978923</v>
      </c>
      <c r="BR17" s="514">
        <v>0</v>
      </c>
      <c r="BS17" s="515">
        <v>0</v>
      </c>
      <c r="BT17" s="512">
        <f>+[5]Report1!J22</f>
        <v>0.92668800487730529</v>
      </c>
      <c r="BU17" s="513">
        <f>+[5]Report1!K22</f>
        <v>0.82361928438763432</v>
      </c>
      <c r="BV17" s="513">
        <f>+[5]Report1!BA22</f>
        <v>0.92668800487730529</v>
      </c>
      <c r="BW17" s="513">
        <f>+[5]Report1!BB22</f>
        <v>0.84680021071201284</v>
      </c>
      <c r="BX17" s="510">
        <f>+[5]Report1!R22</f>
        <v>42.56</v>
      </c>
      <c r="BY17" s="510">
        <f>+[5]Report1!S22</f>
        <v>578.78500000000008</v>
      </c>
      <c r="BZ17" s="514">
        <f>+[5]Report1!X22</f>
        <v>102.28650230465843</v>
      </c>
      <c r="CA17" s="514">
        <f>+[5]Report1!Y22</f>
        <v>88.884611133495866</v>
      </c>
      <c r="CB17" s="510">
        <f>+[5]Report1!AD22</f>
        <v>2.1945488721804511</v>
      </c>
      <c r="CC17" s="510">
        <f>+[5]Report1!AE22</f>
        <v>2.1787019359520374</v>
      </c>
      <c r="CD17" s="514">
        <f>+[5]Report1!AJ22</f>
        <v>0</v>
      </c>
      <c r="CE17" s="514">
        <f>+[5]Report1!AK22</f>
        <v>7.1356375856319695E-2</v>
      </c>
      <c r="CF17" s="514">
        <f>+[5]Report1!AP22</f>
        <v>979.11559509305482</v>
      </c>
      <c r="CG17" s="514">
        <f>+[5]Report1!AQ22</f>
        <v>1064.4105744080359</v>
      </c>
      <c r="CH17" s="514">
        <f>+[5]Report1!AV22</f>
        <v>0</v>
      </c>
      <c r="CI17" s="514">
        <f>+[5]Report1!AW22</f>
        <v>175.08036144682441</v>
      </c>
      <c r="CJ17" s="514"/>
      <c r="CK17" s="515"/>
    </row>
    <row r="18" spans="1:89" ht="12.75" customHeight="1">
      <c r="A18" s="560">
        <f t="shared" si="0"/>
        <v>46006</v>
      </c>
      <c r="B18" s="512">
        <f>+Report1!J23</f>
        <v>1.1224372084168608</v>
      </c>
      <c r="C18" s="513">
        <f>+Report1!K23</f>
        <v>0.85487759370032201</v>
      </c>
      <c r="D18" s="513">
        <f>+Report1!AJ23</f>
        <v>1.1224372084168608</v>
      </c>
      <c r="E18" s="513">
        <f>+Report1!AK23</f>
        <v>0.85673215905774369</v>
      </c>
      <c r="F18" s="510">
        <f>+Report1!R23</f>
        <v>64.352999999999994</v>
      </c>
      <c r="G18" s="510">
        <f>+Report1!S23</f>
        <v>872.97399999999993</v>
      </c>
      <c r="H18" s="510">
        <f>+Report1!X23</f>
        <v>1.8706975587773689</v>
      </c>
      <c r="I18" s="510">
        <f>+Report1!Y23</f>
        <v>2.2092078343684922</v>
      </c>
      <c r="J18" s="510">
        <f>+Report1!AD23</f>
        <v>858.4075334483548</v>
      </c>
      <c r="K18" s="511">
        <f>+Report1!AE23</f>
        <v>917.47069213974351</v>
      </c>
      <c r="L18" s="512">
        <f>+[1]Report1!J23</f>
        <v>0.96773971894017297</v>
      </c>
      <c r="M18" s="513">
        <f>+[1]Report1!K23</f>
        <v>0.76762818527660659</v>
      </c>
      <c r="N18" s="513">
        <f>+[1]Report1!BJ23</f>
        <v>0.96773971894017297</v>
      </c>
      <c r="O18" s="513">
        <f>+[1]Report1!BK23</f>
        <v>0.82697850314876253</v>
      </c>
      <c r="P18" s="510">
        <f>+[1]Report1!R23</f>
        <v>67.039000000000001</v>
      </c>
      <c r="Q18" s="510">
        <f>+[1]Report1!S23</f>
        <v>725.61299999999994</v>
      </c>
      <c r="R18" s="510">
        <f>+[1]Report1!AL23</f>
        <v>1.9975834961738688</v>
      </c>
      <c r="S18" s="510">
        <f>+[1]Report1!AM23</f>
        <v>2.3452970109410938</v>
      </c>
      <c r="T18" s="510">
        <f>+[1]Report1!AR23</f>
        <v>0.20435865690120675</v>
      </c>
      <c r="U18" s="510">
        <f>+[1]Report1!AS23</f>
        <v>0.21816036923263507</v>
      </c>
      <c r="V18" s="510">
        <f>+[1]Report1!AX23</f>
        <v>615.53349542801379</v>
      </c>
      <c r="W18" s="510">
        <f>+[1]Report1!AY23</f>
        <v>674.92987308661804</v>
      </c>
      <c r="X18" s="510">
        <f>+[1]Report1!BD23</f>
        <v>455.40058771759448</v>
      </c>
      <c r="Y18" s="569">
        <f>+[1]Report1!BE23</f>
        <v>476.89933890379587</v>
      </c>
      <c r="Z18" s="512">
        <f>+[2]Report1!J23</f>
        <v>0.83392234525081543</v>
      </c>
      <c r="AA18" s="513">
        <f>+[2]Report1!K23</f>
        <v>0.87772318475468825</v>
      </c>
      <c r="AB18" s="513">
        <f>+[2]Report1!BC23</f>
        <v>0.83392234525081543</v>
      </c>
      <c r="AC18" s="513">
        <f>+[2]Report1!BD23</f>
        <v>0.87772318475468825</v>
      </c>
      <c r="AD18" s="510">
        <f>+[2]Report1!R23</f>
        <v>37.173000000000002</v>
      </c>
      <c r="AE18" s="510">
        <f>+[2]Report1!S23</f>
        <v>569.91999999999996</v>
      </c>
      <c r="AF18" s="510">
        <f>+[2]Report1!X23</f>
        <v>135.37065291579393</v>
      </c>
      <c r="AG18" s="510">
        <f>+[2]Report1!Y23</f>
        <v>126.95390452155819</v>
      </c>
      <c r="AH18" s="510">
        <f>+[2]Report1!AD23</f>
        <v>1.3719635219110644</v>
      </c>
      <c r="AI18" s="510">
        <f>+[2]Report1!AE23</f>
        <v>1.3798427849522739</v>
      </c>
      <c r="AJ18" s="510">
        <f>+[2]Report1!AJ23</f>
        <v>1001.2939499098808</v>
      </c>
      <c r="AK18" s="510">
        <f>+[2]Report1!AK23</f>
        <v>975.97568079730308</v>
      </c>
      <c r="AL18" s="576"/>
      <c r="AM18" s="576"/>
      <c r="AN18" s="512">
        <f>+[3]Report1!J23</f>
        <v>0.83399186914965528</v>
      </c>
      <c r="AO18" s="513">
        <f>+[3]Report1!K23</f>
        <v>0.88793124036916971</v>
      </c>
      <c r="AP18" s="513">
        <f>+[3]Report1!BN23</f>
        <v>0.83399186914965528</v>
      </c>
      <c r="AQ18" s="513">
        <f>+[3]Report1!BO23</f>
        <v>0.88793124036916971</v>
      </c>
      <c r="AR18" s="510">
        <f>+[3]Report1!R23</f>
        <v>44.874000000000002</v>
      </c>
      <c r="AS18" s="510">
        <f>+[3]Report1!S23</f>
        <v>720.80599999999993</v>
      </c>
      <c r="AT18" s="514">
        <f>+[3]Report1!AF23</f>
        <v>109.3152780697442</v>
      </c>
      <c r="AU18" s="514">
        <f>+[3]Report1!AG23</f>
        <v>101.7415201165274</v>
      </c>
      <c r="AV18" s="510">
        <f>+[3]Report1!AL23</f>
        <v>1.4707848642866692</v>
      </c>
      <c r="AW18" s="510">
        <f>+[3]Report1!AM23</f>
        <v>1.3834513031245579</v>
      </c>
      <c r="AX18" s="510">
        <f>+[3]Report1!AR23</f>
        <v>0.21616080581182864</v>
      </c>
      <c r="AY18" s="510">
        <f>+[3]Report1!AS23</f>
        <v>0.19478195242547927</v>
      </c>
      <c r="AZ18" s="510">
        <f>+[3]Report1!AX23</f>
        <v>942.21821099077295</v>
      </c>
      <c r="BA18" s="510">
        <f>+[3]Report1!AY23</f>
        <v>864.83472668096567</v>
      </c>
      <c r="BB18" s="510">
        <f>+[3]Report1!BD23</f>
        <v>407.7951597807164</v>
      </c>
      <c r="BC18" s="510">
        <f>+[3]Report1!BE23</f>
        <v>451.66931601568291</v>
      </c>
      <c r="BD18" s="510">
        <f>+[3]Report1!BJ23</f>
        <v>2.6652404510408214</v>
      </c>
      <c r="BE18" s="510">
        <f>+[3]Report1!BK23</f>
        <v>3.5554642996867645</v>
      </c>
      <c r="BF18" s="512">
        <f>+[4]Report1!J23</f>
        <v>0.78871719635613302</v>
      </c>
      <c r="BG18" s="513">
        <f>+[4]Report1!K23</f>
        <v>0.91947136292681908</v>
      </c>
      <c r="BH18" s="513">
        <f>+[4]Report1!AN23</f>
        <v>0.78871719635613302</v>
      </c>
      <c r="BI18" s="513">
        <f>+[4]Report1!AO23</f>
        <v>0.91947136292681908</v>
      </c>
      <c r="BJ18" s="510">
        <f>+[4]Report1!R23</f>
        <v>38.723999999999997</v>
      </c>
      <c r="BK18" s="510">
        <f>+[4]Report1!S23</f>
        <v>721.57100000000003</v>
      </c>
      <c r="BL18" s="510">
        <f>+[4]Report1!AD23</f>
        <v>2.9800640429707679</v>
      </c>
      <c r="BM18" s="510">
        <f>+[4]Report1!AE23</f>
        <v>2.5499916155166997</v>
      </c>
      <c r="BN18" s="514">
        <v>0</v>
      </c>
      <c r="BO18" s="514">
        <v>0</v>
      </c>
      <c r="BP18" s="514">
        <f>+[4]Report1!AJ23</f>
        <v>1213.2267440131088</v>
      </c>
      <c r="BQ18" s="514">
        <f>+[4]Report1!AK23</f>
        <v>941.29849748175729</v>
      </c>
      <c r="BR18" s="514">
        <v>0</v>
      </c>
      <c r="BS18" s="515">
        <v>0</v>
      </c>
      <c r="BT18" s="512">
        <f>+[5]Report1!J23</f>
        <v>0.95005116815816415</v>
      </c>
      <c r="BU18" s="513">
        <f>+[5]Report1!K23</f>
        <v>0.83137531776993379</v>
      </c>
      <c r="BV18" s="513">
        <f>+[5]Report1!BA23</f>
        <v>0.95005116815816415</v>
      </c>
      <c r="BW18" s="513">
        <f>+[5]Report1!BB23</f>
        <v>0.85330124415936126</v>
      </c>
      <c r="BX18" s="510">
        <f>+[5]Report1!R23</f>
        <v>43.633000000000003</v>
      </c>
      <c r="BY18" s="510">
        <f>+[5]Report1!S23</f>
        <v>622.41800000000012</v>
      </c>
      <c r="BZ18" s="514">
        <f>+[5]Report1!X23</f>
        <v>92.234156052975777</v>
      </c>
      <c r="CA18" s="514">
        <f>+[5]Report1!Y23</f>
        <v>89.119422294920611</v>
      </c>
      <c r="CB18" s="510">
        <f>+[5]Report1!AD23</f>
        <v>2.1222469232003296</v>
      </c>
      <c r="CC18" s="510">
        <f>+[5]Report1!AE23</f>
        <v>2.17474430366731</v>
      </c>
      <c r="CD18" s="514">
        <f>+[5]Report1!AJ23</f>
        <v>0</v>
      </c>
      <c r="CE18" s="514">
        <f>+[5]Report1!AK23</f>
        <v>6.6354122149423683E-2</v>
      </c>
      <c r="CF18" s="514">
        <f>+[5]Report1!AP23</f>
        <v>1019.4647987724086</v>
      </c>
      <c r="CG18" s="514">
        <f>+[5]Report1!AQ23</f>
        <v>1061.2597673486171</v>
      </c>
      <c r="CH18" s="514">
        <f>+[5]Report1!AV23</f>
        <v>0</v>
      </c>
      <c r="CI18" s="514">
        <f>+[5]Report1!AW23</f>
        <v>162.80680667975582</v>
      </c>
      <c r="CJ18" s="514"/>
      <c r="CK18" s="515"/>
    </row>
    <row r="19" spans="1:89" ht="12.75" customHeight="1">
      <c r="A19" s="560">
        <f t="shared" si="0"/>
        <v>46007</v>
      </c>
      <c r="B19" s="512">
        <f>+Report1!J24</f>
        <v>1.0111705652838401</v>
      </c>
      <c r="C19" s="513">
        <f>+Report1!K24</f>
        <v>0.86326403331834189</v>
      </c>
      <c r="D19" s="513">
        <f>+Report1!AJ24</f>
        <v>1.0111705652838401</v>
      </c>
      <c r="E19" s="513">
        <f>+Report1!AK24</f>
        <v>0.86503609653006075</v>
      </c>
      <c r="F19" s="510">
        <f>+Report1!R24</f>
        <v>58.548000000000002</v>
      </c>
      <c r="G19" s="510">
        <f>+Report1!S24</f>
        <v>931.52199999999993</v>
      </c>
      <c r="H19" s="510">
        <f>+Report1!X24</f>
        <v>2.0891917742706836</v>
      </c>
      <c r="I19" s="510">
        <f>+Report1!Y24</f>
        <v>2.2016645876318548</v>
      </c>
      <c r="J19" s="510">
        <f>+Report1!AD24</f>
        <v>933.99501263918933</v>
      </c>
      <c r="K19" s="511">
        <f>+Report1!AE24</f>
        <v>918.50927836379572</v>
      </c>
      <c r="L19" s="512">
        <f>+[1]Report1!J24</f>
        <v>0.98089677729809377</v>
      </c>
      <c r="M19" s="513">
        <f>+[1]Report1!K24</f>
        <v>0.78116105943058656</v>
      </c>
      <c r="N19" s="513">
        <f>+[1]Report1!BJ24</f>
        <v>0.98089677729809377</v>
      </c>
      <c r="O19" s="513">
        <f>+[1]Report1!BK24</f>
        <v>0.8374490932279619</v>
      </c>
      <c r="P19" s="510">
        <f>+[1]Report1!R24</f>
        <v>62.822000000000003</v>
      </c>
      <c r="Q19" s="510">
        <f>+[1]Report1!S24</f>
        <v>788.43499999999995</v>
      </c>
      <c r="R19" s="510">
        <f>+[1]Report1!AL24</f>
        <v>1.9810416732991625</v>
      </c>
      <c r="S19" s="510">
        <f>+[1]Report1!AM24</f>
        <v>2.3162733770063477</v>
      </c>
      <c r="T19" s="510">
        <f>+[1]Report1!AR24</f>
        <v>0.18783228805195631</v>
      </c>
      <c r="U19" s="510">
        <f>+[1]Report1!AS24</f>
        <v>0.21574384698802063</v>
      </c>
      <c r="V19" s="510">
        <f>+[1]Report1!AX24</f>
        <v>571.80143898634117</v>
      </c>
      <c r="W19" s="510">
        <f>+[1]Report1!AY24</f>
        <v>666.71266496286967</v>
      </c>
      <c r="X19" s="510">
        <f>+[1]Report1!BD24</f>
        <v>490.78348349304457</v>
      </c>
      <c r="Y19" s="569">
        <f>+[1]Report1!BE24</f>
        <v>478.00561872570358</v>
      </c>
      <c r="Z19" s="512">
        <f>+[2]Report1!J24</f>
        <v>0.71544699401876755</v>
      </c>
      <c r="AA19" s="513">
        <f>+[2]Report1!K24</f>
        <v>0.86770078317840027</v>
      </c>
      <c r="AB19" s="513">
        <f>+[2]Report1!BC24</f>
        <v>0.71544699401876755</v>
      </c>
      <c r="AC19" s="513">
        <f>+[2]Report1!BD24</f>
        <v>0.86770078317840027</v>
      </c>
      <c r="AD19" s="510">
        <f>+[2]Report1!R24</f>
        <v>30.58</v>
      </c>
      <c r="AE19" s="510">
        <f>+[2]Report1!S24</f>
        <v>600.5</v>
      </c>
      <c r="AF19" s="510">
        <f>+[2]Report1!X24</f>
        <v>133.36879994995681</v>
      </c>
      <c r="AG19" s="510">
        <f>+[2]Report1!Y24</f>
        <v>127.2805781305514</v>
      </c>
      <c r="AH19" s="510">
        <f>+[2]Report1!AD24</f>
        <v>1.4748201438848922</v>
      </c>
      <c r="AI19" s="510">
        <f>+[2]Report1!AE24</f>
        <v>1.3846794338051622</v>
      </c>
      <c r="AJ19" s="510">
        <f>+[2]Report1!AJ24</f>
        <v>1211.6919555265235</v>
      </c>
      <c r="AK19" s="510">
        <f>+[2]Report1!AK24</f>
        <v>987.97935054121581</v>
      </c>
      <c r="AL19" s="576"/>
      <c r="AM19" s="576"/>
      <c r="AN19" s="512">
        <f>+[3]Report1!J24</f>
        <v>0.85614896966605891</v>
      </c>
      <c r="AO19" s="513">
        <f>+[3]Report1!K24</f>
        <v>0.88603457371467431</v>
      </c>
      <c r="AP19" s="513">
        <f>+[3]Report1!BN24</f>
        <v>0.85614896966605891</v>
      </c>
      <c r="AQ19" s="513">
        <f>+[3]Report1!BO24</f>
        <v>0.88603457371467431</v>
      </c>
      <c r="AR19" s="510">
        <f>+[3]Report1!R24</f>
        <v>44.107999999999997</v>
      </c>
      <c r="AS19" s="510">
        <f>+[3]Report1!S24</f>
        <v>764.91399999999987</v>
      </c>
      <c r="AT19" s="514">
        <f>+[3]Report1!AF24</f>
        <v>86.858118096449985</v>
      </c>
      <c r="AU19" s="514">
        <f>+[3]Report1!AG24</f>
        <v>100.88328363987567</v>
      </c>
      <c r="AV19" s="510">
        <f>+[3]Report1!AL24</f>
        <v>1.4464496236510385</v>
      </c>
      <c r="AW19" s="510">
        <f>+[3]Report1!AM24</f>
        <v>1.3870840382056024</v>
      </c>
      <c r="AX19" s="510">
        <f>+[3]Report1!AR24</f>
        <v>0.20177745533690036</v>
      </c>
      <c r="AY19" s="510">
        <f>+[3]Report1!AS24</f>
        <v>0.19518534109716915</v>
      </c>
      <c r="AZ19" s="510">
        <f>+[3]Report1!AX24</f>
        <v>949.56787884284006</v>
      </c>
      <c r="BA19" s="510">
        <f>+[3]Report1!AY24</f>
        <v>869.72077906797392</v>
      </c>
      <c r="BB19" s="510">
        <f>+[3]Report1!BD24</f>
        <v>411.83005350503402</v>
      </c>
      <c r="BC19" s="510">
        <f>+[3]Report1!BE24</f>
        <v>449.37202482893554</v>
      </c>
      <c r="BD19" s="510">
        <f>+[3]Report1!BJ24</f>
        <v>2.7228620658385285</v>
      </c>
      <c r="BE19" s="510">
        <f>+[3]Report1!BK24</f>
        <v>3.5074531254494281</v>
      </c>
      <c r="BF19" s="512">
        <f>+[4]Report1!J24</f>
        <v>0.91847634085043084</v>
      </c>
      <c r="BG19" s="513">
        <f>+[4]Report1!K24</f>
        <v>0.91941177613019831</v>
      </c>
      <c r="BH19" s="513">
        <f>+[4]Report1!AN24</f>
        <v>0.91847634085043084</v>
      </c>
      <c r="BI19" s="513">
        <f>+[4]Report1!AO24</f>
        <v>0.91941177613019831</v>
      </c>
      <c r="BJ19" s="510">
        <f>+[4]Report1!R24</f>
        <v>45.914000000000001</v>
      </c>
      <c r="BK19" s="510">
        <f>+[4]Report1!S24</f>
        <v>767.48500000000001</v>
      </c>
      <c r="BL19" s="510">
        <f>+[4]Report1!AD24</f>
        <v>2.5417084113777935</v>
      </c>
      <c r="BM19" s="510">
        <f>+[4]Report1!AE24</f>
        <v>2.5494960813566396</v>
      </c>
      <c r="BN19" s="514">
        <v>0</v>
      </c>
      <c r="BO19" s="514">
        <v>0</v>
      </c>
      <c r="BP19" s="514">
        <f>+[4]Report1!AJ24</f>
        <v>1012.0785492217568</v>
      </c>
      <c r="BQ19" s="514">
        <f>+[4]Report1!AK24</f>
        <v>945.53284120911383</v>
      </c>
      <c r="BR19" s="514">
        <v>0</v>
      </c>
      <c r="BS19" s="515">
        <v>0</v>
      </c>
      <c r="BT19" s="512">
        <f>+[5]Report1!J24</f>
        <v>0.86440311721396379</v>
      </c>
      <c r="BU19" s="513">
        <f>+[5]Report1!K24</f>
        <v>0.83327632153088027</v>
      </c>
      <c r="BV19" s="513">
        <f>+[5]Report1!BA24</f>
        <v>0.86440311721396379</v>
      </c>
      <c r="BW19" s="513">
        <f>+[5]Report1!BB24</f>
        <v>0.85395610059325844</v>
      </c>
      <c r="BX19" s="510">
        <f>+[5]Report1!R24</f>
        <v>39.523000000000003</v>
      </c>
      <c r="BY19" s="510">
        <f>+[5]Report1!S24</f>
        <v>661.94100000000014</v>
      </c>
      <c r="BZ19" s="514">
        <f>+[5]Report1!X24</f>
        <v>83.86114982496531</v>
      </c>
      <c r="CA19" s="514">
        <f>+[5]Report1!Y24</f>
        <v>88.805462738358855</v>
      </c>
      <c r="CB19" s="510">
        <f>+[5]Report1!AD24</f>
        <v>2.3252283480505023</v>
      </c>
      <c r="CC19" s="510">
        <f>+[5]Report1!AE24</f>
        <v>2.1837293656081131</v>
      </c>
      <c r="CD19" s="514">
        <f>+[5]Report1!AJ24</f>
        <v>0</v>
      </c>
      <c r="CE19" s="514">
        <f>+[5]Report1!AK24</f>
        <v>6.2392267588803216E-2</v>
      </c>
      <c r="CF19" s="514">
        <f>+[5]Report1!AP24</f>
        <v>1112.0624823781454</v>
      </c>
      <c r="CG19" s="514">
        <f>+[5]Report1!AQ24</f>
        <v>1064.29308256268</v>
      </c>
      <c r="CH19" s="514">
        <f>+[5]Report1!AV24</f>
        <v>0</v>
      </c>
      <c r="CI19" s="514">
        <f>+[5]Report1!AW24</f>
        <v>153.08598047258027</v>
      </c>
      <c r="CJ19" s="514"/>
      <c r="CK19" s="515"/>
    </row>
    <row r="20" spans="1:89" ht="12.75" customHeight="1">
      <c r="A20" s="560">
        <f t="shared" si="0"/>
        <v>46008</v>
      </c>
      <c r="B20" s="512">
        <f>+Report1!J25</f>
        <v>0.86017552809803766</v>
      </c>
      <c r="C20" s="513">
        <f>+Report1!K25</f>
        <v>0.86308655934979239</v>
      </c>
      <c r="D20" s="513">
        <f>+Report1!AJ25</f>
        <v>0.86017552809803766</v>
      </c>
      <c r="E20" s="513">
        <f>+Report1!AK25</f>
        <v>0.86475625462968142</v>
      </c>
      <c r="F20" s="510">
        <f>+Report1!R25</f>
        <v>56.588000000000001</v>
      </c>
      <c r="G20" s="510">
        <f>+Report1!S25</f>
        <v>988.1099999999999</v>
      </c>
      <c r="H20" s="510">
        <f>+Report1!X25</f>
        <v>2.220753516646639</v>
      </c>
      <c r="I20" s="510">
        <f>+Report1!Y25</f>
        <v>2.2027577901245818</v>
      </c>
      <c r="J20" s="510">
        <f>+Report1!AD25</f>
        <v>894.97985438608578</v>
      </c>
      <c r="K20" s="511">
        <f>+Report1!AE25</f>
        <v>917.16177348675717</v>
      </c>
      <c r="L20" s="512">
        <f>+[1]Report1!J25</f>
        <v>0.9745832458766398</v>
      </c>
      <c r="M20" s="513">
        <f>+[1]Report1!K25</f>
        <v>0.79148001649358601</v>
      </c>
      <c r="N20" s="513">
        <f>+[1]Report1!BJ25</f>
        <v>0.9745832458766398</v>
      </c>
      <c r="O20" s="513">
        <f>+[1]Report1!BK25</f>
        <v>0.84526225227468477</v>
      </c>
      <c r="P20" s="510">
        <f>+[1]Report1!R25</f>
        <v>55.435000000000002</v>
      </c>
      <c r="Q20" s="510">
        <f>+[1]Report1!S25</f>
        <v>843.86999999999989</v>
      </c>
      <c r="R20" s="510">
        <f>+[1]Report1!AL25</f>
        <v>2.0978804004690179</v>
      </c>
      <c r="S20" s="510">
        <f>+[1]Report1!AM25</f>
        <v>2.3019268370720609</v>
      </c>
      <c r="T20" s="510">
        <f>+[1]Report1!AR25</f>
        <v>0.19843059438982591</v>
      </c>
      <c r="U20" s="510">
        <f>+[1]Report1!AS25</f>
        <v>0.21460651522153892</v>
      </c>
      <c r="V20" s="510">
        <f>+[1]Report1!AX25</f>
        <v>656.45133940653977</v>
      </c>
      <c r="W20" s="510">
        <f>+[1]Report1!AY25</f>
        <v>666.03858414210913</v>
      </c>
      <c r="X20" s="510">
        <f>+[1]Report1!BD25</f>
        <v>542.48218634436728</v>
      </c>
      <c r="Y20" s="569">
        <f>+[1]Report1!BE25</f>
        <v>482.24117458850316</v>
      </c>
      <c r="Z20" s="512">
        <f>+[2]Report1!J25</f>
        <v>0.8328829355437859</v>
      </c>
      <c r="AA20" s="513">
        <f>+[2]Report1!K25</f>
        <v>0.86574272070870828</v>
      </c>
      <c r="AB20" s="513">
        <f>+[2]Report1!BC25</f>
        <v>0.8328829355437859</v>
      </c>
      <c r="AC20" s="513">
        <f>+[2]Report1!BD25</f>
        <v>0.86574272070870828</v>
      </c>
      <c r="AD20" s="510">
        <f>+[2]Report1!R25</f>
        <v>34.347000000000001</v>
      </c>
      <c r="AE20" s="510">
        <f>+[2]Report1!S25</f>
        <v>634.84699999999998</v>
      </c>
      <c r="AF20" s="510">
        <f>+[2]Report1!X25</f>
        <v>145.91799304133056</v>
      </c>
      <c r="AG20" s="510">
        <f>+[2]Report1!Y25</f>
        <v>128.28891445401285</v>
      </c>
      <c r="AH20" s="510">
        <f>+[2]Report1!AD25</f>
        <v>1.3480071039683232</v>
      </c>
      <c r="AI20" s="510">
        <f>+[2]Report1!AE25</f>
        <v>1.3826953580941548</v>
      </c>
      <c r="AJ20" s="510">
        <f>+[2]Report1!AJ25</f>
        <v>1139.6954610300756</v>
      </c>
      <c r="AK20" s="510">
        <f>+[2]Report1!AK25</f>
        <v>996.18761685886534</v>
      </c>
      <c r="AL20" s="576"/>
      <c r="AM20" s="576"/>
      <c r="AN20" s="512">
        <f>+[3]Report1!J25</f>
        <v>0.84987944674046412</v>
      </c>
      <c r="AO20" s="513">
        <f>+[3]Report1!K25</f>
        <v>0.88399845769970331</v>
      </c>
      <c r="AP20" s="513">
        <f>+[3]Report1!BN25</f>
        <v>0.84987944674046412</v>
      </c>
      <c r="AQ20" s="513">
        <f>+[3]Report1!BO25</f>
        <v>0.88399845769970331</v>
      </c>
      <c r="AR20" s="510">
        <f>+[3]Report1!R25</f>
        <v>43.784999999999997</v>
      </c>
      <c r="AS20" s="510">
        <f>+[3]Report1!S25</f>
        <v>808.69899999999984</v>
      </c>
      <c r="AT20" s="514">
        <f>+[3]Report1!AF25</f>
        <v>108.00933817895569</v>
      </c>
      <c r="AU20" s="514">
        <f>+[3]Report1!AG25</f>
        <v>101.26910617458094</v>
      </c>
      <c r="AV20" s="510">
        <f>+[3]Report1!AL25</f>
        <v>1.4639716797990179</v>
      </c>
      <c r="AW20" s="510">
        <f>+[3]Report1!AM25</f>
        <v>1.3912469287089513</v>
      </c>
      <c r="AX20" s="510">
        <f>+[3]Report1!AR25</f>
        <v>0.20098207148566863</v>
      </c>
      <c r="AY20" s="510">
        <f>+[3]Report1!AS25</f>
        <v>0.19549919067539351</v>
      </c>
      <c r="AZ20" s="510">
        <f>+[3]Report1!AX25</f>
        <v>894.4871531346347</v>
      </c>
      <c r="BA20" s="510">
        <f>+[3]Report1!AY25</f>
        <v>871.06169291664776</v>
      </c>
      <c r="BB20" s="510">
        <f>+[3]Report1!BD25</f>
        <v>458.06783144912634</v>
      </c>
      <c r="BC20" s="510">
        <f>+[3]Report1!BE25</f>
        <v>449.84283769362935</v>
      </c>
      <c r="BD20" s="510">
        <f>+[3]Report1!BJ25</f>
        <v>3.195158159186803</v>
      </c>
      <c r="BE20" s="510">
        <f>+[3]Report1!BK25</f>
        <v>3.4905446896806076</v>
      </c>
      <c r="BF20" s="512">
        <f>+[4]Report1!J25</f>
        <v>1.0083279460209369</v>
      </c>
      <c r="BG20" s="513">
        <f>+[4]Report1!K25</f>
        <v>0.92472900158344773</v>
      </c>
      <c r="BH20" s="513">
        <f>+[4]Report1!AN25</f>
        <v>1.0083279460209369</v>
      </c>
      <c r="BI20" s="513">
        <f>+[4]Report1!AO25</f>
        <v>0.92472900158344773</v>
      </c>
      <c r="BJ20" s="510">
        <f>+[4]Report1!R25</f>
        <v>53.536000000000001</v>
      </c>
      <c r="BK20" s="510">
        <f>+[4]Report1!S25</f>
        <v>821.02099999999996</v>
      </c>
      <c r="BL20" s="510">
        <f>+[4]Report1!AD25</f>
        <v>2.2620292887029287</v>
      </c>
      <c r="BM20" s="510">
        <f>+[4]Report1!AE25</f>
        <v>2.5307513449716885</v>
      </c>
      <c r="BN20" s="514">
        <v>0</v>
      </c>
      <c r="BO20" s="514">
        <v>0</v>
      </c>
      <c r="BP20" s="514">
        <f>+[4]Report1!AJ25</f>
        <v>819.2756095129954</v>
      </c>
      <c r="BQ20" s="514">
        <f>+[4]Report1!AK25</f>
        <v>937.30003454998655</v>
      </c>
      <c r="BR20" s="514">
        <v>0</v>
      </c>
      <c r="BS20" s="515">
        <v>0</v>
      </c>
      <c r="BT20" s="512">
        <f>+[5]Report1!J25</f>
        <v>0.95695342608922862</v>
      </c>
      <c r="BU20" s="513">
        <f>+[5]Report1!K25</f>
        <v>0.84003586822555465</v>
      </c>
      <c r="BV20" s="513">
        <f>+[5]Report1!BA25</f>
        <v>0.95695342608922862</v>
      </c>
      <c r="BW20" s="513">
        <f>+[5]Report1!BB25</f>
        <v>0.85971728850740914</v>
      </c>
      <c r="BX20" s="510">
        <f>+[5]Report1!R25</f>
        <v>43.95</v>
      </c>
      <c r="BY20" s="510">
        <f>+[5]Report1!S25</f>
        <v>705.89100000000019</v>
      </c>
      <c r="BZ20" s="514">
        <f>+[5]Report1!X25</f>
        <v>87.621520383250143</v>
      </c>
      <c r="CA20" s="514">
        <f>+[5]Report1!Y25</f>
        <v>88.73174843047417</v>
      </c>
      <c r="CB20" s="510">
        <f>+[5]Report1!AD25</f>
        <v>2.1069397042093283</v>
      </c>
      <c r="CC20" s="510">
        <f>+[5]Report1!AE25</f>
        <v>2.1789483078832279</v>
      </c>
      <c r="CD20" s="514">
        <f>+[5]Report1!AJ25</f>
        <v>0</v>
      </c>
      <c r="CE20" s="514">
        <f>+[5]Report1!AK25</f>
        <v>5.8507616615029782E-2</v>
      </c>
      <c r="CF20" s="514">
        <f>+[5]Report1!AP25</f>
        <v>1053.5749936089253</v>
      </c>
      <c r="CG20" s="514">
        <f>+[5]Report1!AQ25</f>
        <v>1063.6257557239505</v>
      </c>
      <c r="CH20" s="514">
        <f>+[5]Report1!AV25</f>
        <v>0</v>
      </c>
      <c r="CI20" s="514">
        <f>+[5]Report1!AW25</f>
        <v>143.55458137304518</v>
      </c>
      <c r="CJ20" s="514"/>
      <c r="CK20" s="515"/>
    </row>
    <row r="21" spans="1:89" ht="12.75" customHeight="1">
      <c r="A21" s="560">
        <f t="shared" si="0"/>
        <v>46009</v>
      </c>
      <c r="B21" s="512">
        <f>+Report1!J26</f>
        <v>0.9023961760704744</v>
      </c>
      <c r="C21" s="513">
        <f>+Report1!K26</f>
        <v>0.86521051560164397</v>
      </c>
      <c r="D21" s="513">
        <f>+Report1!AJ26</f>
        <v>0.9023961760704744</v>
      </c>
      <c r="E21" s="513">
        <f>+Report1!AK26</f>
        <v>0.86679371622447476</v>
      </c>
      <c r="F21" s="510">
        <f>+Report1!R26</f>
        <v>59.009</v>
      </c>
      <c r="G21" s="510">
        <f>+Report1!S26</f>
        <v>1047.1189999999999</v>
      </c>
      <c r="H21" s="510">
        <f>+Report1!X26</f>
        <v>2.1196766594926197</v>
      </c>
      <c r="I21" s="510">
        <f>+Report1!Y26</f>
        <v>2.1980758633927953</v>
      </c>
      <c r="J21" s="510">
        <f>+Report1!AD26</f>
        <v>1012.5879103187585</v>
      </c>
      <c r="K21" s="511">
        <f>+Report1!AE26</f>
        <v>922.53938664086809</v>
      </c>
      <c r="L21" s="512">
        <f>+[1]Report1!J26</f>
        <v>0.83650676823668035</v>
      </c>
      <c r="M21" s="513">
        <f>+[1]Report1!K26</f>
        <v>0.79367898803254511</v>
      </c>
      <c r="N21" s="513">
        <f>+[1]Report1!BJ26</f>
        <v>0.84073810964757945</v>
      </c>
      <c r="O21" s="513">
        <f>+[1]Report1!BK26</f>
        <v>0.8450281959823297</v>
      </c>
      <c r="P21" s="510">
        <f>+[1]Report1!R26</f>
        <v>45.792999999999999</v>
      </c>
      <c r="Q21" s="510">
        <f>+[1]Report1!S26</f>
        <v>889.6629999999999</v>
      </c>
      <c r="R21" s="510">
        <f>+[1]Report1!AL26</f>
        <v>2.4301967549625489</v>
      </c>
      <c r="S21" s="510">
        <f>+[1]Report1!AM26</f>
        <v>2.308529184646321</v>
      </c>
      <c r="T21" s="510">
        <f>+[1]Report1!AR26</f>
        <v>0.24021138601969733</v>
      </c>
      <c r="U21" s="510">
        <f>+[1]Report1!AS26</f>
        <v>0.21592445678869421</v>
      </c>
      <c r="V21" s="510">
        <f>+[1]Report1!AX26</f>
        <v>856.70517327972709</v>
      </c>
      <c r="W21" s="510">
        <f>+[1]Report1!AY26</f>
        <v>675.85263183924724</v>
      </c>
      <c r="X21" s="510">
        <f>+[1]Report1!BD26</f>
        <v>631.72974035332766</v>
      </c>
      <c r="Y21" s="569">
        <f>+[1]Report1!BE26</f>
        <v>489.93569475183307</v>
      </c>
      <c r="Z21" s="512">
        <f>+[2]Report1!J26</f>
        <v>0.86103724153012806</v>
      </c>
      <c r="AA21" s="513">
        <f>+[2]Report1!K26</f>
        <v>0.86549075777960993</v>
      </c>
      <c r="AB21" s="513">
        <f>+[2]Report1!BC26</f>
        <v>0.86103724153012806</v>
      </c>
      <c r="AC21" s="513">
        <f>+[2]Report1!BD26</f>
        <v>0.86549075777960993</v>
      </c>
      <c r="AD21" s="510">
        <f>+[2]Report1!R26</f>
        <v>35.722000000000001</v>
      </c>
      <c r="AE21" s="510">
        <f>+[2]Report1!S26</f>
        <v>670.56899999999996</v>
      </c>
      <c r="AF21" s="510">
        <f>+[2]Report1!X26</f>
        <v>141.32646079348521</v>
      </c>
      <c r="AG21" s="510">
        <f>+[2]Report1!Y26</f>
        <v>128.98343989485286</v>
      </c>
      <c r="AH21" s="510">
        <f>+[2]Report1!AD26</f>
        <v>1.3241139913778623</v>
      </c>
      <c r="AI21" s="510">
        <f>+[2]Report1!AE26</f>
        <v>1.3795746597292744</v>
      </c>
      <c r="AJ21" s="510">
        <f>+[2]Report1!AJ26</f>
        <v>1082.0166843961604</v>
      </c>
      <c r="AK21" s="510">
        <f>+[2]Report1!AK26</f>
        <v>1000.7598323215057</v>
      </c>
      <c r="AL21" s="576"/>
      <c r="AM21" s="576"/>
      <c r="AN21" s="512">
        <f>+[3]Report1!J26</f>
        <v>0.82486484810878857</v>
      </c>
      <c r="AO21" s="513">
        <f>+[3]Report1!K26</f>
        <v>0.88066230406156598</v>
      </c>
      <c r="AP21" s="513">
        <f>+[3]Report1!BN26</f>
        <v>0.82486484810878857</v>
      </c>
      <c r="AQ21" s="513">
        <f>+[3]Report1!BO26</f>
        <v>0.88066230406156598</v>
      </c>
      <c r="AR21" s="510">
        <f>+[3]Report1!R26</f>
        <v>45.118000000000002</v>
      </c>
      <c r="AS21" s="510">
        <f>+[3]Report1!S26</f>
        <v>853.81699999999989</v>
      </c>
      <c r="AT21" s="514">
        <f>+[3]Report1!AF26</f>
        <v>98.123151014916502</v>
      </c>
      <c r="AU21" s="514">
        <f>+[3]Report1!AG26</f>
        <v>101.10286539360125</v>
      </c>
      <c r="AV21" s="510">
        <f>+[3]Report1!AL26</f>
        <v>1.4052041313888026</v>
      </c>
      <c r="AW21" s="510">
        <f>+[3]Report1!AM26</f>
        <v>1.3919844650551583</v>
      </c>
      <c r="AX21" s="510">
        <f>+[3]Report1!AR26</f>
        <v>0.21942461988563322</v>
      </c>
      <c r="AY21" s="510">
        <f>+[3]Report1!AS26</f>
        <v>0.19676347507721215</v>
      </c>
      <c r="AZ21" s="510">
        <f>+[3]Report1!AX26</f>
        <v>959.74555609734625</v>
      </c>
      <c r="BA21" s="510">
        <f>+[3]Report1!AY26</f>
        <v>875.74798815202814</v>
      </c>
      <c r="BB21" s="510">
        <f>+[3]Report1!BD26</f>
        <v>481.82986834522654</v>
      </c>
      <c r="BC21" s="510">
        <f>+[3]Report1!BE26</f>
        <v>451.53311892361046</v>
      </c>
      <c r="BD21" s="510">
        <f>+[3]Report1!BJ26</f>
        <v>3.326831863114629</v>
      </c>
      <c r="BE21" s="510">
        <f>+[3]Report1!BK26</f>
        <v>3.4818936610538604</v>
      </c>
      <c r="BF21" s="512">
        <f>+[4]Report1!J26</f>
        <v>0.84485677508294987</v>
      </c>
      <c r="BG21" s="513">
        <f>+[4]Report1!K26</f>
        <v>0.91962616633220351</v>
      </c>
      <c r="BH21" s="513">
        <f>+[4]Report1!AN26</f>
        <v>0.84485677508294987</v>
      </c>
      <c r="BI21" s="513">
        <f>+[4]Report1!AO26</f>
        <v>0.91962616633220351</v>
      </c>
      <c r="BJ21" s="510">
        <f>+[4]Report1!R26</f>
        <v>51.192999999999998</v>
      </c>
      <c r="BK21" s="510">
        <f>+[4]Report1!S26</f>
        <v>872.21399999999994</v>
      </c>
      <c r="BL21" s="510">
        <f>+[4]Report1!AD26</f>
        <v>2.3518840466470028</v>
      </c>
      <c r="BM21" s="510">
        <f>+[4]Report1!AE26</f>
        <v>2.5202530571625781</v>
      </c>
      <c r="BN21" s="514">
        <v>0</v>
      </c>
      <c r="BO21" s="514">
        <v>0</v>
      </c>
      <c r="BP21" s="514">
        <f>+[4]Report1!AJ26</f>
        <v>797.57045237090836</v>
      </c>
      <c r="BQ21" s="514">
        <f>+[4]Report1!AK26</f>
        <v>929.09886316258212</v>
      </c>
      <c r="BR21" s="514">
        <v>0</v>
      </c>
      <c r="BS21" s="515">
        <v>0</v>
      </c>
      <c r="BT21" s="512">
        <f>+[5]Report1!J26</f>
        <v>0.77353482480778901</v>
      </c>
      <c r="BU21" s="513">
        <f>+[5]Report1!K26</f>
        <v>0.83633396137619764</v>
      </c>
      <c r="BV21" s="513">
        <f>+[5]Report1!BA26</f>
        <v>0.77353482480778901</v>
      </c>
      <c r="BW21" s="513">
        <f>+[5]Report1!BB26</f>
        <v>0.85481377123497571</v>
      </c>
      <c r="BX21" s="510">
        <f>+[5]Report1!R26</f>
        <v>38.317</v>
      </c>
      <c r="BY21" s="510">
        <f>+[5]Report1!S26</f>
        <v>744.2080000000002</v>
      </c>
      <c r="BZ21" s="514">
        <f>+[5]Report1!X26</f>
        <v>105.99514158321678</v>
      </c>
      <c r="CA21" s="514">
        <f>+[5]Report1!Y26</f>
        <v>89.620587888574107</v>
      </c>
      <c r="CB21" s="510">
        <f>+[5]Report1!AD26</f>
        <v>2.5236840044888691</v>
      </c>
      <c r="CC21" s="510">
        <f>+[5]Report1!AE26</f>
        <v>2.196697697417926</v>
      </c>
      <c r="CD21" s="514">
        <f>+[5]Report1!AJ26</f>
        <v>0</v>
      </c>
      <c r="CE21" s="514">
        <f>+[5]Report1!AK26</f>
        <v>5.5495237890482212E-2</v>
      </c>
      <c r="CF21" s="514">
        <f>+[5]Report1!AP26</f>
        <v>1068.3345729513426</v>
      </c>
      <c r="CG21" s="514">
        <f>+[5]Report1!AQ26</f>
        <v>1063.868198360555</v>
      </c>
      <c r="CH21" s="514">
        <f>+[5]Report1!AV26</f>
        <v>0</v>
      </c>
      <c r="CI21" s="514">
        <f>+[5]Report1!AW26</f>
        <v>136.16339383613214</v>
      </c>
      <c r="CJ21" s="514"/>
      <c r="CK21" s="515"/>
    </row>
    <row r="22" spans="1:89" ht="12.75" customHeight="1">
      <c r="A22" s="560">
        <f t="shared" si="0"/>
        <v>46010</v>
      </c>
      <c r="B22" s="512">
        <f>+Report1!J27</f>
        <v>0.78447446008401678</v>
      </c>
      <c r="C22" s="513">
        <f>+Report1!K27</f>
        <v>0.86045629100169141</v>
      </c>
      <c r="D22" s="513">
        <f>+Report1!AJ27</f>
        <v>0.78447446008401678</v>
      </c>
      <c r="E22" s="513">
        <f>+Report1!AK27</f>
        <v>0.86193791638705441</v>
      </c>
      <c r="F22" s="510">
        <f>+Report1!R27</f>
        <v>59.405000000000001</v>
      </c>
      <c r="G22" s="510">
        <f>+Report1!S27</f>
        <v>1106.5239999999999</v>
      </c>
      <c r="H22" s="510">
        <f>+Report1!X27</f>
        <v>2.6345930477232558</v>
      </c>
      <c r="I22" s="510">
        <f>+Report1!Y27</f>
        <v>2.2215107851253117</v>
      </c>
      <c r="J22" s="510">
        <f>+Report1!AD27</f>
        <v>947.48691187609279</v>
      </c>
      <c r="K22" s="511">
        <f>+Report1!AE27</f>
        <v>923.87872291970018</v>
      </c>
      <c r="L22" s="512">
        <f>+[1]Report1!J27</f>
        <v>0.97205498475353191</v>
      </c>
      <c r="M22" s="513">
        <f>+[1]Report1!K27</f>
        <v>0.80414142587918669</v>
      </c>
      <c r="N22" s="513">
        <f>+[1]Report1!BJ27</f>
        <v>0.94601799680450205</v>
      </c>
      <c r="O22" s="513">
        <f>+[1]Report1!BK27</f>
        <v>0.85147291263609015</v>
      </c>
      <c r="P22" s="510">
        <f>+[1]Report1!R27</f>
        <v>67.891999999999996</v>
      </c>
      <c r="Q22" s="510">
        <f>+[1]Report1!S27</f>
        <v>957.55499999999984</v>
      </c>
      <c r="R22" s="510">
        <f>+[1]Report1!AL27</f>
        <v>1.9491250810110179</v>
      </c>
      <c r="S22" s="510">
        <f>+[1]Report1!AM27</f>
        <v>2.2830469268083817</v>
      </c>
      <c r="T22" s="510">
        <f>+[1]Report1!AR27</f>
        <v>0.17527838331467627</v>
      </c>
      <c r="U22" s="510">
        <f>+[1]Report1!AS27</f>
        <v>0.21304259285367427</v>
      </c>
      <c r="V22" s="510">
        <f>+[1]Report1!AX27</f>
        <v>573.64770517881777</v>
      </c>
      <c r="W22" s="510">
        <f>+[1]Report1!AY27</f>
        <v>668.60615839299112</v>
      </c>
      <c r="X22" s="510">
        <f>+[1]Report1!BD27</f>
        <v>519.47946738938276</v>
      </c>
      <c r="Y22" s="569">
        <f>+[1]Report1!BE27</f>
        <v>492.03038989927484</v>
      </c>
      <c r="Z22" s="512">
        <f>+[2]Report1!J27</f>
        <v>0.87083435591564096</v>
      </c>
      <c r="AA22" s="513">
        <f>+[2]Report1!K27</f>
        <v>0.86577013790386059</v>
      </c>
      <c r="AB22" s="513">
        <f>+[2]Report1!BC27</f>
        <v>0.87083435591564096</v>
      </c>
      <c r="AC22" s="513">
        <f>+[2]Report1!BD27</f>
        <v>0.86577013790386059</v>
      </c>
      <c r="AD22" s="510">
        <f>+[2]Report1!R27</f>
        <v>37.222000000000001</v>
      </c>
      <c r="AE22" s="510">
        <f>+[2]Report1!S27</f>
        <v>707.79099999999994</v>
      </c>
      <c r="AF22" s="510">
        <f>+[2]Report1!X27</f>
        <v>141.03374829451505</v>
      </c>
      <c r="AG22" s="510">
        <f>+[2]Report1!Y27</f>
        <v>129.61715320747231</v>
      </c>
      <c r="AH22" s="510">
        <f>+[2]Report1!AD27</f>
        <v>1.3620976841652785</v>
      </c>
      <c r="AI22" s="510">
        <f>+[2]Report1!AE27</f>
        <v>1.3786555635773836</v>
      </c>
      <c r="AJ22" s="510">
        <f>+[2]Report1!AJ27</f>
        <v>1071.0187523507407</v>
      </c>
      <c r="AK22" s="510">
        <f>+[2]Report1!AK27</f>
        <v>1004.4546765923827</v>
      </c>
      <c r="AL22" s="576"/>
      <c r="AM22" s="576"/>
      <c r="AN22" s="512">
        <f>+[3]Report1!J27</f>
        <v>0.96295634616895498</v>
      </c>
      <c r="AO22" s="513">
        <f>+[3]Report1!K27</f>
        <v>0.88508240589321208</v>
      </c>
      <c r="AP22" s="513">
        <f>+[3]Report1!BN27</f>
        <v>0.96295634616895498</v>
      </c>
      <c r="AQ22" s="513">
        <f>+[3]Report1!BO27</f>
        <v>0.88508240589321208</v>
      </c>
      <c r="AR22" s="510">
        <f>+[3]Report1!R27</f>
        <v>52.991</v>
      </c>
      <c r="AS22" s="510">
        <f>+[3]Report1!S27</f>
        <v>906.80799999999988</v>
      </c>
      <c r="AT22" s="514">
        <f>+[3]Report1!AF27</f>
        <v>95.468915991002021</v>
      </c>
      <c r="AU22" s="514">
        <f>+[3]Report1!AG27</f>
        <v>100.77363515655753</v>
      </c>
      <c r="AV22" s="510">
        <f>+[3]Report1!AL27</f>
        <v>1.279462550244381</v>
      </c>
      <c r="AW22" s="510">
        <f>+[3]Report1!AM27</f>
        <v>1.3854090391791869</v>
      </c>
      <c r="AX22" s="510">
        <f>+[3]Report1!AR27</f>
        <v>0.18304995187862089</v>
      </c>
      <c r="AY22" s="510">
        <f>+[3]Report1!AS27</f>
        <v>0.19596210002558428</v>
      </c>
      <c r="AZ22" s="510">
        <f>+[3]Report1!AX27</f>
        <v>822.8842633654765</v>
      </c>
      <c r="BA22" s="510">
        <f>+[3]Report1!AY27</f>
        <v>872.65879877548525</v>
      </c>
      <c r="BB22" s="510">
        <f>+[3]Report1!BD27</f>
        <v>467.48504463021982</v>
      </c>
      <c r="BC22" s="510">
        <f>+[3]Report1!BE27</f>
        <v>452.46529915924913</v>
      </c>
      <c r="BD22" s="510">
        <f>+[3]Report1!BJ27</f>
        <v>2.8325564718538208</v>
      </c>
      <c r="BE22" s="510">
        <f>+[3]Report1!BK27</f>
        <v>3.4439484433309251</v>
      </c>
      <c r="BF22" s="512">
        <f>+[4]Report1!J27</f>
        <v>0.95346614836609511</v>
      </c>
      <c r="BG22" s="513">
        <f>+[4]Report1!K27</f>
        <v>0.92159780378183076</v>
      </c>
      <c r="BH22" s="513">
        <f>+[4]Report1!AN27</f>
        <v>0.95346614836609511</v>
      </c>
      <c r="BI22" s="513">
        <f>+[4]Report1!AO27</f>
        <v>0.92159780378183076</v>
      </c>
      <c r="BJ22" s="510">
        <f>+[4]Report1!R27</f>
        <v>55.948</v>
      </c>
      <c r="BK22" s="510">
        <f>+[4]Report1!S27</f>
        <v>928.16199999999992</v>
      </c>
      <c r="BL22" s="510">
        <f>+[4]Report1!AD27</f>
        <v>2.1716593980124399</v>
      </c>
      <c r="BM22" s="510">
        <f>+[4]Report1!AE27</f>
        <v>2.499240434320734</v>
      </c>
      <c r="BN22" s="514">
        <v>0</v>
      </c>
      <c r="BO22" s="514">
        <v>0</v>
      </c>
      <c r="BP22" s="514">
        <f>+[4]Report1!AJ27</f>
        <v>795.52121841966186</v>
      </c>
      <c r="BQ22" s="514">
        <f>+[4]Report1!AK27</f>
        <v>921.04703377495719</v>
      </c>
      <c r="BR22" s="514">
        <v>0</v>
      </c>
      <c r="BS22" s="515">
        <v>0</v>
      </c>
      <c r="BT22" s="512">
        <f>+[5]Report1!J27</f>
        <v>0.91505343039225628</v>
      </c>
      <c r="BU22" s="513">
        <f>+[5]Report1!K27</f>
        <v>0.84070671146745823</v>
      </c>
      <c r="BV22" s="513">
        <f>+[5]Report1!BA27</f>
        <v>0.91505343039225628</v>
      </c>
      <c r="BW22" s="513">
        <f>+[5]Report1!BB27</f>
        <v>0.85822974127925344</v>
      </c>
      <c r="BX22" s="510">
        <f>+[5]Report1!R27</f>
        <v>47.890999999999998</v>
      </c>
      <c r="BY22" s="510">
        <f>+[5]Report1!S27</f>
        <v>792.09900000000016</v>
      </c>
      <c r="BZ22" s="514">
        <f>+[5]Report1!X27</f>
        <v>86.184220285698203</v>
      </c>
      <c r="CA22" s="514">
        <f>+[5]Report1!Y27</f>
        <v>89.412822090524458</v>
      </c>
      <c r="CB22" s="510">
        <f>+[5]Report1!AD27</f>
        <v>2.0964273036687482</v>
      </c>
      <c r="CC22" s="510">
        <f>+[5]Report1!AE27</f>
        <v>2.1906352615014031</v>
      </c>
      <c r="CD22" s="514">
        <f>+[5]Report1!AJ27</f>
        <v>0</v>
      </c>
      <c r="CE22" s="514">
        <f>+[5]Report1!AK27</f>
        <v>5.21399471530705E-2</v>
      </c>
      <c r="CF22" s="514">
        <f>+[5]Report1!AP27</f>
        <v>925.61355728335525</v>
      </c>
      <c r="CG22" s="514">
        <f>+[5]Report1!AQ27</f>
        <v>1055.5092015485045</v>
      </c>
      <c r="CH22" s="514">
        <f>+[5]Report1!AV27</f>
        <v>0</v>
      </c>
      <c r="CI22" s="514">
        <f>+[5]Report1!AW27</f>
        <v>127.93083566574414</v>
      </c>
      <c r="CJ22" s="514"/>
      <c r="CK22" s="515"/>
    </row>
    <row r="23" spans="1:89" ht="12.75" customHeight="1">
      <c r="A23" s="560">
        <f t="shared" si="0"/>
        <v>46011</v>
      </c>
      <c r="B23" s="512">
        <f>+Report1!J28</f>
        <v>0.82633525617302994</v>
      </c>
      <c r="C23" s="513">
        <f>+Report1!K28</f>
        <v>0.85840299874247694</v>
      </c>
      <c r="D23" s="513">
        <f>+Report1!AJ28</f>
        <v>0.82633525617302994</v>
      </c>
      <c r="E23" s="513">
        <f>+Report1!AK28</f>
        <v>0.85979199801448669</v>
      </c>
      <c r="F23" s="510">
        <f>+Report1!R28</f>
        <v>68.040999999999997</v>
      </c>
      <c r="G23" s="510">
        <f>+Report1!S28</f>
        <v>1174.5649999999998</v>
      </c>
      <c r="H23" s="510">
        <f>+Report1!X28</f>
        <v>2.4034479211063915</v>
      </c>
      <c r="I23" s="510">
        <f>+Report1!Y28</f>
        <v>2.2320501632519276</v>
      </c>
      <c r="J23" s="510">
        <f>+Report1!AD28</f>
        <v>755.18760747195199</v>
      </c>
      <c r="K23" s="511">
        <f>+Report1!AE28</f>
        <v>914.1066692775604</v>
      </c>
      <c r="L23" s="512">
        <f>+[1]Report1!J28</f>
        <v>0.96876695342168484</v>
      </c>
      <c r="M23" s="513">
        <f>+[1]Report1!K28</f>
        <v>0.81322984627694539</v>
      </c>
      <c r="N23" s="513">
        <f>+[1]Report1!BJ28</f>
        <v>0.96876695342168484</v>
      </c>
      <c r="O23" s="513">
        <f>+[1]Report1!BK28</f>
        <v>0.85830725372268457</v>
      </c>
      <c r="P23" s="510">
        <f>+[1]Report1!R28</f>
        <v>67.406999999999996</v>
      </c>
      <c r="Q23" s="510">
        <f>+[1]Report1!S28</f>
        <v>1024.9619999999998</v>
      </c>
      <c r="R23" s="510">
        <f>+[1]Report1!AL28</f>
        <v>1.8931119913362113</v>
      </c>
      <c r="S23" s="510">
        <f>+[1]Report1!AM28</f>
        <v>2.2574027134664507</v>
      </c>
      <c r="T23" s="510">
        <f>+[1]Report1!AR28</f>
        <v>0.18544068123488661</v>
      </c>
      <c r="U23" s="510">
        <f>+[1]Report1!AS28</f>
        <v>0.21122734306247459</v>
      </c>
      <c r="V23" s="510">
        <f>+[1]Report1!AX28</f>
        <v>509.68415743171613</v>
      </c>
      <c r="W23" s="510">
        <f>+[1]Report1!AY28</f>
        <v>658.1545949996198</v>
      </c>
      <c r="X23" s="510">
        <f>+[1]Report1!BD28</f>
        <v>451.82844511697675</v>
      </c>
      <c r="Y23" s="569">
        <f>+[1]Report1!BE28</f>
        <v>489.38649432857039</v>
      </c>
      <c r="Z23" s="512">
        <f>+[2]Report1!J28</f>
        <v>0.95259631828556668</v>
      </c>
      <c r="AA23" s="513">
        <f>+[2]Report1!K28</f>
        <v>0.86997981726285112</v>
      </c>
      <c r="AB23" s="513">
        <f>+[2]Report1!BC28</f>
        <v>0.95259631828556668</v>
      </c>
      <c r="AC23" s="513">
        <f>+[2]Report1!BD28</f>
        <v>0.86997981726285112</v>
      </c>
      <c r="AD23" s="510">
        <f>+[2]Report1!R28</f>
        <v>39.682000000000002</v>
      </c>
      <c r="AE23" s="510">
        <f>+[2]Report1!S28</f>
        <v>747.47299999999996</v>
      </c>
      <c r="AF23" s="510">
        <f>+[2]Report1!X28</f>
        <v>130.10046139811632</v>
      </c>
      <c r="AG23" s="510">
        <f>+[2]Report1!Y28</f>
        <v>129.64281117186852</v>
      </c>
      <c r="AH23" s="510">
        <f>+[2]Report1!AD28</f>
        <v>1.270097273322917</v>
      </c>
      <c r="AI23" s="510">
        <f>+[2]Report1!AE28</f>
        <v>1.3728923987889863</v>
      </c>
      <c r="AJ23" s="510">
        <f>+[2]Report1!AJ28</f>
        <v>954.93473111237074</v>
      </c>
      <c r="AK23" s="510">
        <f>+[2]Report1!AK28</f>
        <v>1001.8257515656086</v>
      </c>
      <c r="AL23" s="576"/>
      <c r="AM23" s="576"/>
      <c r="AN23" s="512">
        <f>+[3]Report1!J28</f>
        <v>0.94586471291287932</v>
      </c>
      <c r="AO23" s="513">
        <f>+[3]Report1!K28</f>
        <v>0.88804078257875918</v>
      </c>
      <c r="AP23" s="513">
        <f>+[3]Report1!BN28</f>
        <v>0.94586471291287932</v>
      </c>
      <c r="AQ23" s="513">
        <f>+[3]Report1!BO28</f>
        <v>0.88804078257875918</v>
      </c>
      <c r="AR23" s="510">
        <f>+[3]Report1!R28</f>
        <v>49.58</v>
      </c>
      <c r="AS23" s="510">
        <f>+[3]Report1!S28</f>
        <v>956.38799999999992</v>
      </c>
      <c r="AT23" s="514">
        <f>+[3]Report1!AF28</f>
        <v>101.42594926443854</v>
      </c>
      <c r="AU23" s="514">
        <f>+[3]Report1!AG28</f>
        <v>100.8074516969875</v>
      </c>
      <c r="AV23" s="510">
        <f>+[3]Report1!AL28</f>
        <v>1.3634530052440499</v>
      </c>
      <c r="AW23" s="510">
        <f>+[3]Report1!AM28</f>
        <v>1.3842708189563231</v>
      </c>
      <c r="AX23" s="510">
        <f>+[3]Report1!AR28</f>
        <v>0.18354175070592982</v>
      </c>
      <c r="AY23" s="510">
        <f>+[3]Report1!AS28</f>
        <v>0.1953182181290439</v>
      </c>
      <c r="AZ23" s="510">
        <f>+[3]Report1!AX28</f>
        <v>800.80112948769704</v>
      </c>
      <c r="BA23" s="510">
        <f>+[3]Report1!AY28</f>
        <v>868.93363362986588</v>
      </c>
      <c r="BB23" s="510">
        <f>+[3]Report1!BD28</f>
        <v>367.0552642194441</v>
      </c>
      <c r="BC23" s="510">
        <f>+[3]Report1!BE28</f>
        <v>448.03756738896806</v>
      </c>
      <c r="BD23" s="510">
        <f>+[3]Report1!BJ28</f>
        <v>2.4223477208547139</v>
      </c>
      <c r="BE23" s="510">
        <f>+[3]Report1!BK28</f>
        <v>3.3909877581065491</v>
      </c>
      <c r="BF23" s="512">
        <f>+[4]Report1!J28</f>
        <v>1.0968476462605015</v>
      </c>
      <c r="BG23" s="513">
        <f>+[4]Report1!K28</f>
        <v>0.93083101835980253</v>
      </c>
      <c r="BH23" s="513">
        <f>+[4]Report1!AN28</f>
        <v>1.0968476462605015</v>
      </c>
      <c r="BI23" s="513">
        <f>+[4]Report1!AO28</f>
        <v>0.93083101835980253</v>
      </c>
      <c r="BJ23" s="510">
        <f>+[4]Report1!R28</f>
        <v>61.436999999999998</v>
      </c>
      <c r="BK23" s="510">
        <f>+[4]Report1!S28</f>
        <v>989.59899999999993</v>
      </c>
      <c r="BL23" s="510">
        <f>+[4]Report1!AD28</f>
        <v>1.9418265865846314</v>
      </c>
      <c r="BM23" s="510">
        <f>+[4]Report1!AE28</f>
        <v>2.4646346651522495</v>
      </c>
      <c r="BN23" s="514">
        <v>0</v>
      </c>
      <c r="BO23" s="514">
        <v>0</v>
      </c>
      <c r="BP23" s="514">
        <f>+[4]Report1!AJ28</f>
        <v>727.04593208126744</v>
      </c>
      <c r="BQ23" s="514">
        <f>+[4]Report1!AK28</f>
        <v>909.00291723406008</v>
      </c>
      <c r="BR23" s="514">
        <v>0</v>
      </c>
      <c r="BS23" s="515">
        <v>0</v>
      </c>
      <c r="BT23" s="512">
        <f>+[5]Report1!J28</f>
        <v>0.91841626273547394</v>
      </c>
      <c r="BU23" s="513">
        <f>+[5]Report1!K28</f>
        <v>0.8447961972345932</v>
      </c>
      <c r="BV23" s="513">
        <f>+[5]Report1!BA28</f>
        <v>0.91841626273547394</v>
      </c>
      <c r="BW23" s="513">
        <f>+[5]Report1!BB28</f>
        <v>0.86145954761284149</v>
      </c>
      <c r="BX23" s="510">
        <f>+[5]Report1!R28</f>
        <v>48.067</v>
      </c>
      <c r="BY23" s="510">
        <f>+[5]Report1!S28</f>
        <v>840.16600000000017</v>
      </c>
      <c r="BZ23" s="514">
        <f>+[5]Report1!X28</f>
        <v>83.334822773817478</v>
      </c>
      <c r="CA23" s="514">
        <f>+[5]Report1!Y28</f>
        <v>89.065091769187774</v>
      </c>
      <c r="CB23" s="510">
        <f>+[5]Report1!AD28</f>
        <v>2.0575446772213786</v>
      </c>
      <c r="CC23" s="510">
        <f>+[5]Report1!AE28</f>
        <v>2.1830209744264826</v>
      </c>
      <c r="CD23" s="514">
        <f>+[5]Report1!AJ28</f>
        <v>0</v>
      </c>
      <c r="CE23" s="514">
        <f>+[5]Report1!AK28</f>
        <v>4.9156952316565999E-2</v>
      </c>
      <c r="CF23" s="514">
        <f>+[5]Report1!AP28</f>
        <v>876.35257184185718</v>
      </c>
      <c r="CG23" s="514">
        <f>+[5]Report1!AQ28</f>
        <v>1045.2594155298971</v>
      </c>
      <c r="CH23" s="514">
        <f>+[5]Report1!AV28</f>
        <v>0</v>
      </c>
      <c r="CI23" s="514">
        <f>+[5]Report1!AW28</f>
        <v>120.61174458380876</v>
      </c>
      <c r="CJ23" s="514"/>
      <c r="CK23" s="515"/>
    </row>
    <row r="24" spans="1:89" ht="12.75" customHeight="1">
      <c r="A24" s="560">
        <f t="shared" si="0"/>
        <v>46012</v>
      </c>
      <c r="B24" s="512">
        <f>+Report1!J29</f>
        <v>0.82681471258816286</v>
      </c>
      <c r="C24" s="513">
        <f>+Report1!K29</f>
        <v>0.85665757445578172</v>
      </c>
      <c r="D24" s="513">
        <f>+Report1!AJ29</f>
        <v>0.82681471258816286</v>
      </c>
      <c r="E24" s="513">
        <f>+Report1!AK29</f>
        <v>0.8579670386506284</v>
      </c>
      <c r="F24" s="510">
        <f>+Report1!R29</f>
        <v>66.168999999999997</v>
      </c>
      <c r="G24" s="510">
        <f>+Report1!S29</f>
        <v>1240.7339999999999</v>
      </c>
      <c r="H24" s="510">
        <f>+Report1!X29</f>
        <v>2.4086354637367955</v>
      </c>
      <c r="I24" s="510">
        <f>+Report1!Y29</f>
        <v>2.2414675506595292</v>
      </c>
      <c r="J24" s="510">
        <f>+Report1!AD29</f>
        <v>861.11593042061713</v>
      </c>
      <c r="K24" s="511">
        <f>+Report1!AE29</f>
        <v>911.28064516648953</v>
      </c>
      <c r="L24" s="512">
        <f>+[1]Report1!J29</f>
        <v>0.94964560424087108</v>
      </c>
      <c r="M24" s="513">
        <f>+[1]Report1!K29</f>
        <v>0.82051927389665946</v>
      </c>
      <c r="N24" s="513">
        <f>+[1]Report1!BJ29</f>
        <v>0.94964560424087108</v>
      </c>
      <c r="O24" s="513">
        <f>+[1]Report1!BK29</f>
        <v>0.863443278117211</v>
      </c>
      <c r="P24" s="510">
        <f>+[1]Report1!R29</f>
        <v>67.566999999999993</v>
      </c>
      <c r="Q24" s="510">
        <f>+[1]Report1!S29</f>
        <v>1092.5289999999998</v>
      </c>
      <c r="R24" s="510">
        <f>+[1]Report1!AL29</f>
        <v>1.8387526455222225</v>
      </c>
      <c r="S24" s="510">
        <f>+[1]Report1!AM29</f>
        <v>2.2315114747526152</v>
      </c>
      <c r="T24" s="510">
        <f>+[1]Report1!AR29</f>
        <v>0.17760149185253157</v>
      </c>
      <c r="U24" s="510">
        <f>+[1]Report1!AS29</f>
        <v>0.20914776632931489</v>
      </c>
      <c r="V24" s="510">
        <f>+[1]Report1!AX29</f>
        <v>521.62697766662143</v>
      </c>
      <c r="W24" s="510">
        <f>+[1]Report1!AY29</f>
        <v>649.71110149021308</v>
      </c>
      <c r="X24" s="510">
        <f>+[1]Report1!BD29</f>
        <v>520.07755265144442</v>
      </c>
      <c r="Y24" s="569">
        <f>+[1]Report1!BE29</f>
        <v>491.28457002056729</v>
      </c>
      <c r="Z24" s="512">
        <f>+[2]Report1!J29</f>
        <v>0.91135443343060463</v>
      </c>
      <c r="AA24" s="513">
        <f>+[2]Report1!K29</f>
        <v>0.87189306186957694</v>
      </c>
      <c r="AB24" s="513">
        <f>+[2]Report1!BC29</f>
        <v>0.91135443343060463</v>
      </c>
      <c r="AC24" s="513">
        <f>+[2]Report1!BD29</f>
        <v>0.87189306186957694</v>
      </c>
      <c r="AD24" s="510">
        <f>+[2]Report1!R29</f>
        <v>37.963999999999999</v>
      </c>
      <c r="AE24" s="510">
        <f>+[2]Report1!S29</f>
        <v>785.4369999999999</v>
      </c>
      <c r="AF24" s="510">
        <f>+[2]Report1!X29</f>
        <v>144.95248869497246</v>
      </c>
      <c r="AG24" s="510">
        <f>+[2]Report1!Y29</f>
        <v>130.38280253653193</v>
      </c>
      <c r="AH24" s="510">
        <f>+[2]Report1!AD29</f>
        <v>1.2643557054051207</v>
      </c>
      <c r="AI24" s="510">
        <f>+[2]Report1!AE29</f>
        <v>1.3676462911729392</v>
      </c>
      <c r="AJ24" s="510">
        <f>+[2]Report1!AJ29</f>
        <v>1015.1506690548846</v>
      </c>
      <c r="AK24" s="510">
        <f>+[2]Report1!AK29</f>
        <v>1002.4698098001494</v>
      </c>
      <c r="AL24" s="576"/>
      <c r="AM24" s="576"/>
      <c r="AN24" s="512">
        <f>+[3]Report1!J29</f>
        <v>0.84525319637554264</v>
      </c>
      <c r="AO24" s="513">
        <f>+[3]Report1!K29</f>
        <v>0.88612237545705885</v>
      </c>
      <c r="AP24" s="513">
        <f>+[3]Report1!BN29</f>
        <v>0.84525319637554264</v>
      </c>
      <c r="AQ24" s="513">
        <f>+[3]Report1!BO29</f>
        <v>0.88612237545705885</v>
      </c>
      <c r="AR24" s="510">
        <f>+[3]Report1!R29</f>
        <v>42.73</v>
      </c>
      <c r="AS24" s="510">
        <f>+[3]Report1!S29</f>
        <v>999.11799999999994</v>
      </c>
      <c r="AT24" s="514">
        <f>+[3]Report1!AF29</f>
        <v>111.10621172194313</v>
      </c>
      <c r="AU24" s="514">
        <f>+[3]Report1!AG29</f>
        <v>101.24790619371996</v>
      </c>
      <c r="AV24" s="510">
        <f>+[3]Report1!AL29</f>
        <v>1.5235197753334893</v>
      </c>
      <c r="AW24" s="510">
        <f>+[3]Report1!AM29</f>
        <v>1.3902261794903104</v>
      </c>
      <c r="AX24" s="510">
        <f>+[3]Report1!AR29</f>
        <v>0.18254153990170841</v>
      </c>
      <c r="AY24" s="510">
        <f>+[3]Report1!AS29</f>
        <v>0.194771788717649</v>
      </c>
      <c r="AZ24" s="510">
        <f>+[3]Report1!AX29</f>
        <v>938.43154692253495</v>
      </c>
      <c r="BA24" s="510">
        <f>+[3]Report1!AY29</f>
        <v>871.90590100468626</v>
      </c>
      <c r="BB24" s="510">
        <f>+[3]Report1!BD29</f>
        <v>438.60332319213904</v>
      </c>
      <c r="BC24" s="510">
        <f>+[3]Report1!BE29</f>
        <v>447.63408626408534</v>
      </c>
      <c r="BD24" s="510">
        <f>+[3]Report1!BJ29</f>
        <v>2.6608939854898792</v>
      </c>
      <c r="BE24" s="510">
        <f>+[3]Report1!BK29</f>
        <v>3.3597633112405028</v>
      </c>
      <c r="BF24" s="512">
        <f>+[4]Report1!J29</f>
        <v>0.87446798618771693</v>
      </c>
      <c r="BG24" s="513">
        <f>+[4]Report1!K29</f>
        <v>0.92797319438623194</v>
      </c>
      <c r="BH24" s="513">
        <f>+[4]Report1!AN29</f>
        <v>0.87446798618771693</v>
      </c>
      <c r="BI24" s="513">
        <f>+[4]Report1!AO29</f>
        <v>0.92797319438623194</v>
      </c>
      <c r="BJ24" s="510">
        <f>+[4]Report1!R29</f>
        <v>49.655999999999999</v>
      </c>
      <c r="BK24" s="510">
        <f>+[4]Report1!S29</f>
        <v>1039.2549999999999</v>
      </c>
      <c r="BL24" s="510">
        <f>+[4]Report1!AD29</f>
        <v>2.5273884324150155</v>
      </c>
      <c r="BM24" s="510">
        <f>+[4]Report1!AE29</f>
        <v>2.4676330640699358</v>
      </c>
      <c r="BN24" s="514">
        <v>0</v>
      </c>
      <c r="BO24" s="514">
        <v>0</v>
      </c>
      <c r="BP24" s="514">
        <f>+[4]Report1!AJ29</f>
        <v>910.0751007380012</v>
      </c>
      <c r="BQ24" s="514">
        <f>+[4]Report1!AK29</f>
        <v>909.05414657052859</v>
      </c>
      <c r="BR24" s="514">
        <v>0</v>
      </c>
      <c r="BS24" s="515">
        <v>0</v>
      </c>
      <c r="BT24" s="512">
        <f>+[5]Report1!J29</f>
        <v>0.85437919916357374</v>
      </c>
      <c r="BU24" s="513">
        <f>+[5]Report1!K29</f>
        <v>0.84527246724736205</v>
      </c>
      <c r="BV24" s="513">
        <f>+[5]Report1!BA29</f>
        <v>0.85437919916357374</v>
      </c>
      <c r="BW24" s="513">
        <f>+[5]Report1!BB29</f>
        <v>0.86110106862971914</v>
      </c>
      <c r="BX24" s="510">
        <f>+[5]Report1!R29</f>
        <v>44.438000000000002</v>
      </c>
      <c r="BY24" s="510">
        <f>+[5]Report1!S29</f>
        <v>884.60400000000016</v>
      </c>
      <c r="BZ24" s="514">
        <f>+[5]Report1!X29</f>
        <v>97.966949284518535</v>
      </c>
      <c r="CA24" s="514">
        <f>+[5]Report1!Y29</f>
        <v>89.512275756900081</v>
      </c>
      <c r="CB24" s="510">
        <f>+[5]Report1!AD29</f>
        <v>2.1715648769071514</v>
      </c>
      <c r="CC24" s="510">
        <f>+[5]Report1!AE29</f>
        <v>2.1824454784287659</v>
      </c>
      <c r="CD24" s="514">
        <f>+[5]Report1!AJ29</f>
        <v>0</v>
      </c>
      <c r="CE24" s="514">
        <f>+[5]Report1!AK29</f>
        <v>4.6687557370303535E-2</v>
      </c>
      <c r="CF24" s="514">
        <f>+[5]Report1!AP29</f>
        <v>1005.1633916412293</v>
      </c>
      <c r="CG24" s="514">
        <f>+[5]Report1!AQ29</f>
        <v>1043.2451954839053</v>
      </c>
      <c r="CH24" s="514">
        <f>+[5]Report1!AV29</f>
        <v>0</v>
      </c>
      <c r="CI24" s="514">
        <f>+[5]Report1!AW29</f>
        <v>114.5528247667886</v>
      </c>
      <c r="CJ24" s="514"/>
      <c r="CK24" s="515"/>
    </row>
    <row r="25" spans="1:89" ht="12.75" customHeight="1">
      <c r="A25" s="560">
        <f t="shared" si="0"/>
        <v>46013</v>
      </c>
      <c r="B25" s="512">
        <f>+Report1!J30</f>
        <v>0.92336353733412557</v>
      </c>
      <c r="C25" s="513">
        <f>+Report1!K30</f>
        <v>0.86018166010122443</v>
      </c>
      <c r="D25" s="513">
        <f>+Report1!AJ30</f>
        <v>0.92336353733412557</v>
      </c>
      <c r="E25" s="513">
        <f>+Report1!AK30</f>
        <v>0.86142694678859055</v>
      </c>
      <c r="F25" s="510">
        <f>+Report1!R30</f>
        <v>74.593000000000004</v>
      </c>
      <c r="G25" s="510">
        <f>+Report1!S30</f>
        <v>1315.327</v>
      </c>
      <c r="H25" s="510">
        <f>+Report1!X30</f>
        <v>2.1539152467389702</v>
      </c>
      <c r="I25" s="510">
        <f>+Report1!Y30</f>
        <v>2.2365024058656138</v>
      </c>
      <c r="J25" s="510">
        <f>+Report1!AD30</f>
        <v>728.09486144812718</v>
      </c>
      <c r="K25" s="511">
        <f>+Report1!AE30</f>
        <v>900.89206714375928</v>
      </c>
      <c r="L25" s="512">
        <f>+[1]Report1!J30</f>
        <v>0.96153220552770924</v>
      </c>
      <c r="M25" s="513">
        <f>+[1]Report1!K30</f>
        <v>0.82810172921338687</v>
      </c>
      <c r="N25" s="513">
        <f>+[1]Report1!BJ30</f>
        <v>0.96153220552770924</v>
      </c>
      <c r="O25" s="513">
        <f>+[1]Report1!BK30</f>
        <v>0.86897800245039447</v>
      </c>
      <c r="P25" s="510">
        <f>+[1]Report1!R30</f>
        <v>72.754999999999995</v>
      </c>
      <c r="Q25" s="510">
        <f>+[1]Report1!S30</f>
        <v>1165.2839999999997</v>
      </c>
      <c r="R25" s="510">
        <f>+[1]Report1!AL30</f>
        <v>1.7328568483265756</v>
      </c>
      <c r="S25" s="510">
        <f>+[1]Report1!AM30</f>
        <v>2.2003777619876361</v>
      </c>
      <c r="T25" s="510">
        <f>+[1]Report1!AR30</f>
        <v>0.18005635351522234</v>
      </c>
      <c r="U25" s="510">
        <f>+[1]Report1!AS30</f>
        <v>0.20733143165099674</v>
      </c>
      <c r="V25" s="510">
        <f>+[1]Report1!AX30</f>
        <v>431.60841179299916</v>
      </c>
      <c r="W25" s="510">
        <f>+[1]Report1!AY30</f>
        <v>636.09376769954861</v>
      </c>
      <c r="X25" s="510">
        <f>+[1]Report1!BD30</f>
        <v>495.31821867912339</v>
      </c>
      <c r="Y25" s="569">
        <f>+[1]Report1!BE30</f>
        <v>491.53641258268385</v>
      </c>
      <c r="Z25" s="512">
        <f>+[2]Report1!J30</f>
        <v>0.92596175841528305</v>
      </c>
      <c r="AA25" s="513">
        <f>+[2]Report1!K30</f>
        <v>0.87437651721669352</v>
      </c>
      <c r="AB25" s="513">
        <f>+[2]Report1!BC30</f>
        <v>0.92596175841528305</v>
      </c>
      <c r="AC25" s="513">
        <f>+[2]Report1!BD30</f>
        <v>0.87437651721669352</v>
      </c>
      <c r="AD25" s="510">
        <f>+[2]Report1!R30</f>
        <v>40.158000000000001</v>
      </c>
      <c r="AE25" s="510">
        <f>+[2]Report1!S30</f>
        <v>825.59499999999991</v>
      </c>
      <c r="AF25" s="510">
        <f>+[2]Report1!X30</f>
        <v>134.66348333099398</v>
      </c>
      <c r="AG25" s="510">
        <f>+[2]Report1!Y30</f>
        <v>130.59102034228897</v>
      </c>
      <c r="AH25" s="510">
        <f>+[2]Report1!AD30</f>
        <v>1.232631107126849</v>
      </c>
      <c r="AI25" s="510">
        <f>+[2]Report1!AE30</f>
        <v>1.3610789794027338</v>
      </c>
      <c r="AJ25" s="510">
        <f>+[2]Report1!AJ30</f>
        <v>884.5256237860541</v>
      </c>
      <c r="AK25" s="510">
        <f>+[2]Report1!AK30</f>
        <v>996.73285327551673</v>
      </c>
      <c r="AL25" s="576"/>
      <c r="AM25" s="576"/>
      <c r="AN25" s="512">
        <f>+[3]Report1!J30</f>
        <v>0.85108470083753118</v>
      </c>
      <c r="AO25" s="513">
        <f>+[3]Report1!K30</f>
        <v>0.88467288017912271</v>
      </c>
      <c r="AP25" s="513">
        <f>+[3]Report1!BN30</f>
        <v>0.85108470083753118</v>
      </c>
      <c r="AQ25" s="513">
        <f>+[3]Report1!BO30</f>
        <v>0.88467288017912271</v>
      </c>
      <c r="AR25" s="510">
        <f>+[3]Report1!R30</f>
        <v>41.411999999999999</v>
      </c>
      <c r="AS25" s="510">
        <f>+[3]Report1!S30</f>
        <v>1040.53</v>
      </c>
      <c r="AT25" s="514">
        <f>+[3]Report1!AF30</f>
        <v>108.34160041243787</v>
      </c>
      <c r="AU25" s="514">
        <f>+[3]Report1!AG30</f>
        <v>101.5302277654051</v>
      </c>
      <c r="AV25" s="510">
        <f>+[3]Report1!AL30</f>
        <v>1.4923210663575774</v>
      </c>
      <c r="AW25" s="510">
        <f>+[3]Report1!AM30</f>
        <v>1.3942894486463626</v>
      </c>
      <c r="AX25" s="510">
        <f>+[3]Report1!AR30</f>
        <v>0.18352168453588333</v>
      </c>
      <c r="AY25" s="510">
        <f>+[3]Report1!AS30</f>
        <v>0.19432404639943107</v>
      </c>
      <c r="AZ25" s="510">
        <f>+[3]Report1!AX30</f>
        <v>975.09852216748845</v>
      </c>
      <c r="BA25" s="510">
        <f>+[3]Report1!AY30</f>
        <v>876.01285883155697</v>
      </c>
      <c r="BB25" s="510">
        <f>+[3]Report1!BD30</f>
        <v>457.79056795131299</v>
      </c>
      <c r="BC25" s="510">
        <f>+[3]Report1!BE30</f>
        <v>448.03830355684136</v>
      </c>
      <c r="BD25" s="510">
        <f>+[3]Report1!BJ30</f>
        <v>2.9749830966879345</v>
      </c>
      <c r="BE25" s="510">
        <f>+[3]Report1!BK30</f>
        <v>3.3444494632543309</v>
      </c>
      <c r="BF25" s="512">
        <f>+[4]Report1!J30</f>
        <v>0.98380912574033363</v>
      </c>
      <c r="BG25" s="513">
        <f>+[4]Report1!K30</f>
        <v>0.93065307694206434</v>
      </c>
      <c r="BH25" s="513">
        <f>+[4]Report1!AN30</f>
        <v>0.98380912574033363</v>
      </c>
      <c r="BI25" s="513">
        <f>+[4]Report1!AO30</f>
        <v>0.93065307694206434</v>
      </c>
      <c r="BJ25" s="510">
        <f>+[4]Report1!R30</f>
        <v>55.546999999999997</v>
      </c>
      <c r="BK25" s="510">
        <f>+[4]Report1!S30</f>
        <v>1094.8019999999999</v>
      </c>
      <c r="BL25" s="510">
        <f>+[4]Report1!AD30</f>
        <v>2.2341440581849605</v>
      </c>
      <c r="BM25" s="510">
        <f>+[4]Report1!AE30</f>
        <v>2.4557865257827451</v>
      </c>
      <c r="BN25" s="514">
        <v>0</v>
      </c>
      <c r="BO25" s="514">
        <v>0</v>
      </c>
      <c r="BP25" s="514">
        <f>+[4]Report1!AJ30</f>
        <v>812.89258058288465</v>
      </c>
      <c r="BQ25" s="514">
        <f>+[4]Report1!AK30</f>
        <v>904.17519448063865</v>
      </c>
      <c r="BR25" s="514">
        <v>0</v>
      </c>
      <c r="BS25" s="515">
        <v>0</v>
      </c>
      <c r="BT25" s="512">
        <f>+[5]Report1!J30</f>
        <v>0.93738745950643332</v>
      </c>
      <c r="BU25" s="513">
        <f>+[5]Report1!K30</f>
        <v>0.84927943027529973</v>
      </c>
      <c r="BV25" s="513">
        <f>+[5]Report1!BA30</f>
        <v>0.93738745950643332</v>
      </c>
      <c r="BW25" s="513">
        <f>+[5]Report1!BB30</f>
        <v>0.86447888369231451</v>
      </c>
      <c r="BX25" s="510">
        <f>+[5]Report1!R30</f>
        <v>44.613999999999997</v>
      </c>
      <c r="BY25" s="510">
        <f>+[5]Report1!S30</f>
        <v>929.21800000000019</v>
      </c>
      <c r="BZ25" s="514">
        <f>+[5]Report1!X30</f>
        <v>93.39089703039555</v>
      </c>
      <c r="CA25" s="514">
        <f>+[5]Report1!Y30</f>
        <v>89.698497730103071</v>
      </c>
      <c r="CB25" s="510">
        <f>+[5]Report1!AD30</f>
        <v>2.1809297529923342</v>
      </c>
      <c r="CC25" s="510">
        <f>+[5]Report1!AE30</f>
        <v>2.1823727047904797</v>
      </c>
      <c r="CD25" s="514">
        <f>+[5]Report1!AJ30</f>
        <v>0</v>
      </c>
      <c r="CE25" s="514">
        <f>+[5]Report1!AK30</f>
        <v>4.4445975002636612E-2</v>
      </c>
      <c r="CF25" s="514">
        <f>+[5]Report1!AP30</f>
        <v>931.19190896049099</v>
      </c>
      <c r="CG25" s="514">
        <f>+[5]Report1!AQ30</f>
        <v>1037.8652466183476</v>
      </c>
      <c r="CH25" s="514">
        <f>+[5]Report1!AV30</f>
        <v>0</v>
      </c>
      <c r="CI25" s="514">
        <f>+[5]Report1!AW30</f>
        <v>109.05286703443137</v>
      </c>
      <c r="CJ25" s="514"/>
      <c r="CK25" s="515"/>
    </row>
    <row r="26" spans="1:89" ht="12.75" customHeight="1">
      <c r="A26" s="560">
        <f t="shared" si="0"/>
        <v>46014</v>
      </c>
      <c r="B26" s="512">
        <f>+Report1!J31</f>
        <v>0.99405536486462198</v>
      </c>
      <c r="C26" s="513">
        <f>+Report1!K31</f>
        <v>0.86689386739944474</v>
      </c>
      <c r="D26" s="513">
        <f>+Report1!AJ31</f>
        <v>0.99405536486462198</v>
      </c>
      <c r="E26" s="513">
        <f>+Report1!AK31</f>
        <v>0.8680858610073513</v>
      </c>
      <c r="F26" s="510">
        <f>+Report1!R31</f>
        <v>80.234999999999999</v>
      </c>
      <c r="G26" s="510">
        <f>+Report1!S31</f>
        <v>1395.5619999999999</v>
      </c>
      <c r="H26" s="510">
        <f>+Report1!X31</f>
        <v>2.1354271826509628</v>
      </c>
      <c r="I26" s="510">
        <f>+Report1!Y31</f>
        <v>2.2306912913937182</v>
      </c>
      <c r="J26" s="510">
        <f>+Report1!AD31</f>
        <v>695.23773914125763</v>
      </c>
      <c r="K26" s="511">
        <f>+Report1!AE31</f>
        <v>889.06838965233942</v>
      </c>
      <c r="L26" s="512">
        <f>+[1]Report1!J31</f>
        <v>0.96970947490796799</v>
      </c>
      <c r="M26" s="513">
        <f>+[1]Report1!K31</f>
        <v>0.83554951687588874</v>
      </c>
      <c r="N26" s="513">
        <f>+[1]Report1!BJ31</f>
        <v>0.96970947490796799</v>
      </c>
      <c r="O26" s="513">
        <f>+[1]Report1!BK31</f>
        <v>0.87452304040478135</v>
      </c>
      <c r="P26" s="510">
        <f>+[1]Report1!R31</f>
        <v>75.751999999999995</v>
      </c>
      <c r="Q26" s="510">
        <f>+[1]Report1!S31</f>
        <v>1241.0359999999996</v>
      </c>
      <c r="R26" s="510">
        <f>+[1]Report1!AL31</f>
        <v>1.5401177526665963</v>
      </c>
      <c r="S26" s="510">
        <f>+[1]Report1!AM31</f>
        <v>2.1600759365562325</v>
      </c>
      <c r="T26" s="510">
        <f>+[1]Report1!AR31</f>
        <v>0.17908029098000314</v>
      </c>
      <c r="U26" s="510">
        <f>+[1]Report1!AS31</f>
        <v>0.20560700108805652</v>
      </c>
      <c r="V26" s="510">
        <f>+[1]Report1!AX31</f>
        <v>441.79427605872087</v>
      </c>
      <c r="W26" s="510">
        <f>+[1]Report1!AY31</f>
        <v>624.23385784135269</v>
      </c>
      <c r="X26" s="510">
        <f>+[1]Report1!BD31</f>
        <v>481.9485690146837</v>
      </c>
      <c r="Y26" s="569">
        <f>+[1]Report1!BE31</f>
        <v>490.95117708108421</v>
      </c>
      <c r="Z26" s="512">
        <f>+[2]Report1!J31</f>
        <v>0.9327958207639484</v>
      </c>
      <c r="AA26" s="513">
        <f>+[2]Report1!K31</f>
        <v>0.87700632056768146</v>
      </c>
      <c r="AB26" s="513">
        <f>+[2]Report1!BC31</f>
        <v>0.9327958207639484</v>
      </c>
      <c r="AC26" s="513">
        <f>+[2]Report1!BD31</f>
        <v>0.87700632056768146</v>
      </c>
      <c r="AD26" s="510">
        <f>+[2]Report1!R31</f>
        <v>41.517000000000003</v>
      </c>
      <c r="AE26" s="510">
        <f>+[2]Report1!S31</f>
        <v>867.11199999999997</v>
      </c>
      <c r="AF26" s="510">
        <f>+[2]Report1!X31</f>
        <v>123.82933128353861</v>
      </c>
      <c r="AG26" s="510">
        <f>+[2]Report1!Y31</f>
        <v>130.26727318546017</v>
      </c>
      <c r="AH26" s="510">
        <f>+[2]Report1!AD31</f>
        <v>1.2139605462822458</v>
      </c>
      <c r="AI26" s="510">
        <f>+[2]Report1!AE31</f>
        <v>1.354035003552021</v>
      </c>
      <c r="AJ26" s="510">
        <f>+[2]Report1!AJ31</f>
        <v>923.53493749546635</v>
      </c>
      <c r="AK26" s="510">
        <f>+[2]Report1!AK31</f>
        <v>993.22816429711452</v>
      </c>
      <c r="AL26" s="576"/>
      <c r="AM26" s="576"/>
      <c r="AN26" s="512">
        <f>+[3]Report1!J31</f>
        <v>0.86732740169197031</v>
      </c>
      <c r="AO26" s="513">
        <f>+[3]Report1!K31</f>
        <v>0.88396161276908025</v>
      </c>
      <c r="AP26" s="513">
        <f>+[3]Report1!BN31</f>
        <v>0.86732740169197031</v>
      </c>
      <c r="AQ26" s="513">
        <f>+[3]Report1!BO31</f>
        <v>0.88396161276908025</v>
      </c>
      <c r="AR26" s="510">
        <f>+[3]Report1!R31</f>
        <v>43.62</v>
      </c>
      <c r="AS26" s="510">
        <f>+[3]Report1!S31</f>
        <v>1084.1499999999999</v>
      </c>
      <c r="AT26" s="514">
        <f>+[3]Report1!AF31</f>
        <v>108.83369691706015</v>
      </c>
      <c r="AU26" s="514">
        <f>+[3]Report1!AG31</f>
        <v>101.82407762418406</v>
      </c>
      <c r="AV26" s="510">
        <f>+[3]Report1!AL31</f>
        <v>1.4695093993580925</v>
      </c>
      <c r="AW26" s="510">
        <f>+[3]Report1!AM31</f>
        <v>1.397315869575243</v>
      </c>
      <c r="AX26" s="510">
        <f>+[3]Report1!AR31</f>
        <v>0.17731109118942703</v>
      </c>
      <c r="AY26" s="510">
        <f>+[3]Report1!AS31</f>
        <v>0.19363954231211811</v>
      </c>
      <c r="AZ26" s="510">
        <f>+[3]Report1!AX31</f>
        <v>919.12883998166126</v>
      </c>
      <c r="BA26" s="510">
        <f>+[3]Report1!AY31</f>
        <v>877.74759950191412</v>
      </c>
      <c r="BB26" s="510">
        <f>+[3]Report1!BD31</f>
        <v>420.97964236589144</v>
      </c>
      <c r="BC26" s="510">
        <f>+[3]Report1!BE31</f>
        <v>446.94961767283166</v>
      </c>
      <c r="BD26" s="510">
        <f>+[3]Report1!BJ31</f>
        <v>2.7556166895921974</v>
      </c>
      <c r="BE26" s="510">
        <f>+[3]Report1!BK31</f>
        <v>3.3207581976664127</v>
      </c>
      <c r="BF26" s="512">
        <f>+[4]Report1!J31</f>
        <v>0.91998201433801985</v>
      </c>
      <c r="BG26" s="513">
        <f>+[4]Report1!K31</f>
        <v>0.93017522688382825</v>
      </c>
      <c r="BH26" s="513">
        <f>+[4]Report1!AN31</f>
        <v>0.91998201433801985</v>
      </c>
      <c r="BI26" s="513">
        <f>+[4]Report1!AO31</f>
        <v>0.93017522688382825</v>
      </c>
      <c r="BJ26" s="510">
        <f>+[4]Report1!R31</f>
        <v>50.734999999999999</v>
      </c>
      <c r="BK26" s="510">
        <f>+[4]Report1!S31</f>
        <v>1145.5369999999998</v>
      </c>
      <c r="BL26" s="510">
        <f>+[4]Report1!AD31</f>
        <v>2.3672021287079925</v>
      </c>
      <c r="BM26" s="510">
        <f>+[4]Report1!AE31</f>
        <v>2.4518631873086605</v>
      </c>
      <c r="BN26" s="514">
        <v>0</v>
      </c>
      <c r="BO26" s="514">
        <v>0</v>
      </c>
      <c r="BP26" s="514">
        <f>+[4]Report1!AJ31</f>
        <v>944.1266200315697</v>
      </c>
      <c r="BQ26" s="514">
        <f>+[4]Report1!AK31</f>
        <v>905.944614041357</v>
      </c>
      <c r="BR26" s="514">
        <v>0</v>
      </c>
      <c r="BS26" s="515">
        <v>0</v>
      </c>
      <c r="BT26" s="512">
        <f>+[5]Report1!J31</f>
        <v>0.81035246290498875</v>
      </c>
      <c r="BU26" s="513">
        <f>+[5]Report1!K31</f>
        <v>0.84751807858967432</v>
      </c>
      <c r="BV26" s="513">
        <f>+[5]Report1!BA31</f>
        <v>0.81035246290498875</v>
      </c>
      <c r="BW26" s="513">
        <f>+[5]Report1!BB31</f>
        <v>0.86198797931245286</v>
      </c>
      <c r="BX26" s="510">
        <f>+[5]Report1!R31</f>
        <v>42.018999999999998</v>
      </c>
      <c r="BY26" s="510">
        <f>+[5]Report1!S31</f>
        <v>971.23700000000019</v>
      </c>
      <c r="BZ26" s="514">
        <f>+[5]Report1!X31</f>
        <v>99.399124052908505</v>
      </c>
      <c r="CA26" s="514">
        <f>+[5]Report1!Y31</f>
        <v>90.11817965887839</v>
      </c>
      <c r="CB26" s="510">
        <f>+[5]Report1!AD31</f>
        <v>2.3798757704847806</v>
      </c>
      <c r="CC26" s="510">
        <f>+[5]Report1!AE31</f>
        <v>2.1909173559079815</v>
      </c>
      <c r="CD26" s="514">
        <f>+[5]Report1!AJ31</f>
        <v>0</v>
      </c>
      <c r="CE26" s="514">
        <f>+[5]Report1!AK31</f>
        <v>4.2523091686169273E-2</v>
      </c>
      <c r="CF26" s="514">
        <f>+[5]Report1!AP31</f>
        <v>1020.3440332397078</v>
      </c>
      <c r="CG26" s="514">
        <f>+[5]Report1!AQ31</f>
        <v>1037.1072196229209</v>
      </c>
      <c r="CH26" s="514">
        <f>+[5]Report1!AV31</f>
        <v>0</v>
      </c>
      <c r="CI26" s="514">
        <f>+[5]Report1!AW31</f>
        <v>104.33487089145106</v>
      </c>
      <c r="CJ26" s="514"/>
      <c r="CK26" s="515"/>
    </row>
    <row r="27" spans="1:89" ht="12.75" customHeight="1">
      <c r="A27" s="560">
        <f t="shared" si="0"/>
        <v>46015</v>
      </c>
      <c r="B27" s="512">
        <f>+Report1!J32</f>
        <v>0.96728505708302903</v>
      </c>
      <c r="C27" s="513">
        <f>+Report1!K32</f>
        <v>0.87158702735168514</v>
      </c>
      <c r="D27" s="513">
        <f>+Report1!AJ32</f>
        <v>0.96728505708302903</v>
      </c>
      <c r="E27" s="513">
        <f>+Report1!AK32</f>
        <v>0.87272937484580004</v>
      </c>
      <c r="F27" s="510">
        <f>+Report1!R32</f>
        <v>76.366</v>
      </c>
      <c r="G27" s="510">
        <f>+Report1!S32</f>
        <v>1471.9279999999999</v>
      </c>
      <c r="H27" s="510">
        <f>+Report1!X32</f>
        <v>2.2506612890553388</v>
      </c>
      <c r="I27" s="510">
        <f>+Report1!Y32</f>
        <v>2.2317273670994777</v>
      </c>
      <c r="J27" s="510">
        <f>+Report1!AD32</f>
        <v>713.26742267499992</v>
      </c>
      <c r="K27" s="511">
        <f>+Report1!AE32</f>
        <v>879.94755178242224</v>
      </c>
      <c r="L27" s="512">
        <f>+[1]Report1!J32</f>
        <v>0.98974383239487862</v>
      </c>
      <c r="M27" s="513">
        <f>+[1]Report1!K32</f>
        <v>0.84304872492235639</v>
      </c>
      <c r="N27" s="513">
        <f>+[1]Report1!BJ32</f>
        <v>0.98974383239487862</v>
      </c>
      <c r="O27" s="513">
        <f>+[1]Report1!BK32</f>
        <v>0.88037488607665659</v>
      </c>
      <c r="P27" s="510">
        <f>+[1]Report1!R32</f>
        <v>75.150999999999996</v>
      </c>
      <c r="Q27" s="510">
        <f>+[1]Report1!S32</f>
        <v>1316.1869999999997</v>
      </c>
      <c r="R27" s="510">
        <f>+[1]Report1!AL32</f>
        <v>1.5275112772950461</v>
      </c>
      <c r="S27" s="510">
        <f>+[1]Report1!AM32</f>
        <v>2.1239580697879559</v>
      </c>
      <c r="T27" s="510">
        <f>+[1]Report1!AR32</f>
        <v>7.9676901119081586E-2</v>
      </c>
      <c r="U27" s="510">
        <f>+[1]Report1!AS32</f>
        <v>0.19841670598350947</v>
      </c>
      <c r="V27" s="510">
        <f>+[1]Report1!AX32</f>
        <v>418.83900413833385</v>
      </c>
      <c r="W27" s="510">
        <f>+[1]Report1!AY32</f>
        <v>612.50632318963847</v>
      </c>
      <c r="X27" s="510">
        <f>+[1]Report1!BD32</f>
        <v>482.31073438810364</v>
      </c>
      <c r="Y27" s="569">
        <f>+[1]Report1!BE32</f>
        <v>490.45782932060621</v>
      </c>
      <c r="Z27" s="512">
        <f>+[2]Report1!J32</f>
        <v>0.91794846007087327</v>
      </c>
      <c r="AA27" s="513">
        <f>+[2]Report1!K32</f>
        <v>0.87874062132154951</v>
      </c>
      <c r="AB27" s="513">
        <f>+[2]Report1!BC32</f>
        <v>0.91794846007087327</v>
      </c>
      <c r="AC27" s="513">
        <f>+[2]Report1!BD32</f>
        <v>0.87874062132154951</v>
      </c>
      <c r="AD27" s="510">
        <f>+[2]Report1!R32</f>
        <v>40.146000000000001</v>
      </c>
      <c r="AE27" s="510">
        <f>+[2]Report1!S32</f>
        <v>907.25799999999992</v>
      </c>
      <c r="AF27" s="510">
        <f>+[2]Report1!X32</f>
        <v>131.92624060226851</v>
      </c>
      <c r="AG27" s="510">
        <f>+[2]Report1!Y32</f>
        <v>130.34068218920021</v>
      </c>
      <c r="AH27" s="510">
        <f>+[2]Report1!AD32</f>
        <v>1.2454540925621482</v>
      </c>
      <c r="AI27" s="510">
        <f>+[2]Report1!AE32</f>
        <v>1.3492303181674894</v>
      </c>
      <c r="AJ27" s="510">
        <f>+[2]Report1!AJ32</f>
        <v>979.90783639716847</v>
      </c>
      <c r="AK27" s="510">
        <f>+[2]Report1!AK32</f>
        <v>992.6387422320887</v>
      </c>
      <c r="AL27" s="576">
        <f>+[6]Report1!AP32</f>
        <v>0</v>
      </c>
      <c r="AM27" s="577">
        <f>+[6]Report1!AQ32</f>
        <v>0</v>
      </c>
      <c r="AN27" s="512">
        <f>+[3]Report1!J32</f>
        <v>0.82813258940849088</v>
      </c>
      <c r="AO27" s="513">
        <f>+[3]Report1!K32</f>
        <v>0.88170368638550889</v>
      </c>
      <c r="AP27" s="513">
        <f>+[3]Report1!BN32</f>
        <v>0.82813258940849088</v>
      </c>
      <c r="AQ27" s="513">
        <f>+[3]Report1!BO32</f>
        <v>0.88170368638550889</v>
      </c>
      <c r="AR27" s="510">
        <f>+[3]Report1!R32</f>
        <v>42.808999999999997</v>
      </c>
      <c r="AS27" s="510">
        <f>+[3]Report1!S32</f>
        <v>1126.9589999999998</v>
      </c>
      <c r="AT27" s="514">
        <f>+[3]Report1!AF32</f>
        <v>108.9372952708086</v>
      </c>
      <c r="AU27" s="514">
        <f>+[3]Report1!AG32</f>
        <v>102.09428242687373</v>
      </c>
      <c r="AV27" s="510">
        <f>+[3]Report1!AL32</f>
        <v>1.5066925179284731</v>
      </c>
      <c r="AW27" s="510">
        <f>+[3]Report1!AM32</f>
        <v>1.401470683494253</v>
      </c>
      <c r="AX27" s="510">
        <f>+[3]Report1!AR32</f>
        <v>8.4379481043703408E-2</v>
      </c>
      <c r="AY27" s="510">
        <f>+[3]Report1!AS32</f>
        <v>0.18948915710481282</v>
      </c>
      <c r="AZ27" s="510">
        <f>+[3]Report1!AX32</f>
        <v>962.16636688546703</v>
      </c>
      <c r="BA27" s="510">
        <f>+[3]Report1!AY32</f>
        <v>880.95435592599222</v>
      </c>
      <c r="BB27" s="510">
        <f>+[3]Report1!BD32</f>
        <v>492.97030998155134</v>
      </c>
      <c r="BC27" s="510">
        <f>+[3]Report1!BE32</f>
        <v>448.69777338838469</v>
      </c>
      <c r="BD27" s="510">
        <f>+[3]Report1!BJ32</f>
        <v>2.9222826975630523</v>
      </c>
      <c r="BE27" s="510">
        <f>+[3]Report1!BK32</f>
        <v>3.305621588717973</v>
      </c>
      <c r="BF27" s="512">
        <f>+[4]Report1!J32</f>
        <v>0.99410496777728441</v>
      </c>
      <c r="BG27" s="513">
        <f>+[4]Report1!K32</f>
        <v>0.932786356503988</v>
      </c>
      <c r="BH27" s="513">
        <f>+[4]Report1!AN32</f>
        <v>0.99410496777728441</v>
      </c>
      <c r="BI27" s="513">
        <f>+[4]Report1!AO32</f>
        <v>0.932786356503988</v>
      </c>
      <c r="BJ27" s="510">
        <f>+[4]Report1!R32</f>
        <v>52.133000000000003</v>
      </c>
      <c r="BK27" s="510">
        <f>+[4]Report1!S32</f>
        <v>1197.6699999999998</v>
      </c>
      <c r="BL27" s="510">
        <f>+[4]Report1!AD32</f>
        <v>2.3113958529146603</v>
      </c>
      <c r="BM27" s="510">
        <f>+[4]Report1!AE32</f>
        <v>2.4457488289762632</v>
      </c>
      <c r="BN27" s="514">
        <v>0</v>
      </c>
      <c r="BO27" s="514">
        <v>0</v>
      </c>
      <c r="BP27" s="514">
        <f>+[4]Report1!AJ32</f>
        <v>931.33655772030932</v>
      </c>
      <c r="BQ27" s="514">
        <f>+[4]Report1!AK32</f>
        <v>907.04989195581982</v>
      </c>
      <c r="BR27" s="514">
        <v>0</v>
      </c>
      <c r="BS27" s="515">
        <v>0</v>
      </c>
      <c r="BT27" s="512">
        <f>+[5]Report1!J32</f>
        <v>0.97226641879368469</v>
      </c>
      <c r="BU27" s="513">
        <f>+[5]Report1!K32</f>
        <v>0.85289188133234284</v>
      </c>
      <c r="BV27" s="513">
        <f>+[5]Report1!BA32</f>
        <v>0.97226641879368469</v>
      </c>
      <c r="BW27" s="513">
        <f>+[5]Report1!BB32</f>
        <v>0.86681601534833119</v>
      </c>
      <c r="BX27" s="510">
        <f>+[5]Report1!R32</f>
        <v>50.156999999999996</v>
      </c>
      <c r="BY27" s="510">
        <f>+[5]Report1!S32</f>
        <v>1021.3940000000002</v>
      </c>
      <c r="BZ27" s="514">
        <f>+[5]Report1!X32</f>
        <v>83.840589978134275</v>
      </c>
      <c r="CA27" s="514">
        <f>+[5]Report1!Y32</f>
        <v>89.809909720326687</v>
      </c>
      <c r="CB27" s="510">
        <f>+[5]Report1!AD32</f>
        <v>2.0535518471997927</v>
      </c>
      <c r="CC27" s="510">
        <f>+[5]Report1!AE32</f>
        <v>2.184171827913616</v>
      </c>
      <c r="CD27" s="514">
        <f>+[5]Report1!AJ32</f>
        <v>0</v>
      </c>
      <c r="CE27" s="514">
        <f>+[5]Report1!AK32</f>
        <v>4.0434935000597208E-2</v>
      </c>
      <c r="CF27" s="514">
        <f>+[5]Report1!AP32</f>
        <v>828.35040445736422</v>
      </c>
      <c r="CG27" s="514">
        <f>+[5]Report1!AQ32</f>
        <v>1026.8559203414891</v>
      </c>
      <c r="CH27" s="514">
        <f>+[5]Report1!AV32</f>
        <v>0</v>
      </c>
      <c r="CI27" s="514">
        <f>+[5]Report1!AW32</f>
        <v>99.211359181667646</v>
      </c>
      <c r="CJ27" s="514"/>
      <c r="CK27" s="515"/>
    </row>
    <row r="28" spans="1:89" ht="12.75" customHeight="1">
      <c r="A28" s="560">
        <f t="shared" si="0"/>
        <v>46016</v>
      </c>
      <c r="B28" s="512">
        <f>+Report1!J33</f>
        <v>0.98312552354156779</v>
      </c>
      <c r="C28" s="513">
        <f>+Report1!K33</f>
        <v>0.87655846557348249</v>
      </c>
      <c r="D28" s="513">
        <f>+Report1!AJ33</f>
        <v>0.98312552354156779</v>
      </c>
      <c r="E28" s="513">
        <f>+Report1!AK33</f>
        <v>0.87765605821245174</v>
      </c>
      <c r="F28" s="510">
        <f>+Report1!R33</f>
        <v>77.453999999999994</v>
      </c>
      <c r="G28" s="510">
        <f>+Report1!S33</f>
        <v>1549.3819999999998</v>
      </c>
      <c r="H28" s="510">
        <f>+Report1!X33</f>
        <v>2.1978981072636663</v>
      </c>
      <c r="I28" s="510">
        <f>+Report1!Y33</f>
        <v>2.2300362338016058</v>
      </c>
      <c r="J28" s="510">
        <f>+Report1!AD33</f>
        <v>682.02881710435588</v>
      </c>
      <c r="K28" s="511">
        <f>+Report1!AE33</f>
        <v>870.0535439291267</v>
      </c>
      <c r="L28" s="512">
        <f>+[1]Report1!J33</f>
        <v>0.9541471716249299</v>
      </c>
      <c r="M28" s="513">
        <f>+[1]Report1!K33</f>
        <v>0.84823865558831446</v>
      </c>
      <c r="N28" s="513">
        <f>+[1]Report1!BJ33</f>
        <v>0.9541471716249299</v>
      </c>
      <c r="O28" s="513">
        <f>+[1]Report1!BK33</f>
        <v>0.88396629164672369</v>
      </c>
      <c r="P28" s="510">
        <f>+[1]Report1!R33</f>
        <v>72.998000000000005</v>
      </c>
      <c r="Q28" s="510">
        <f>+[1]Report1!S33</f>
        <v>1389.1849999999997</v>
      </c>
      <c r="R28" s="510">
        <f>+[1]Report1!AL33</f>
        <v>1.5763308583796816</v>
      </c>
      <c r="S28" s="510">
        <f>+[1]Report1!AM33</f>
        <v>2.0951817072600121</v>
      </c>
      <c r="T28" s="510">
        <f>+[1]Report1!AR33</f>
        <v>8.8197797413995943E-2</v>
      </c>
      <c r="U28" s="510">
        <f>+[1]Report1!AS33</f>
        <v>0.19262499365739211</v>
      </c>
      <c r="V28" s="510">
        <f>+[1]Report1!AX33</f>
        <v>412.38376393874887</v>
      </c>
      <c r="W28" s="510">
        <f>+[1]Report1!AY33</f>
        <v>601.99041164423852</v>
      </c>
      <c r="X28" s="510">
        <f>+[1]Report1!BD33</f>
        <v>553.69106002904186</v>
      </c>
      <c r="Y28" s="569">
        <f>+[1]Report1!BE33</f>
        <v>493.78056846280424</v>
      </c>
      <c r="Z28" s="512">
        <f>+[2]Report1!J33</f>
        <v>0.93150628866277796</v>
      </c>
      <c r="AA28" s="513">
        <f>+[2]Report1!K33</f>
        <v>0.88087735897547703</v>
      </c>
      <c r="AB28" s="513">
        <f>+[2]Report1!BC33</f>
        <v>0.93150628866277796</v>
      </c>
      <c r="AC28" s="513">
        <f>+[2]Report1!BD33</f>
        <v>0.88087735897547703</v>
      </c>
      <c r="AD28" s="510">
        <f>+[2]Report1!R33</f>
        <v>40.588999999999999</v>
      </c>
      <c r="AE28" s="510">
        <f>+[2]Report1!S33</f>
        <v>947.84699999999998</v>
      </c>
      <c r="AF28" s="510">
        <f>+[2]Report1!X33</f>
        <v>125.33919119980014</v>
      </c>
      <c r="AG28" s="510">
        <f>+[2]Report1!Y33</f>
        <v>130.1265067813878</v>
      </c>
      <c r="AH28" s="510">
        <f>+[2]Report1!AD33</f>
        <v>1.2885264480524279</v>
      </c>
      <c r="AI28" s="510">
        <f>+[2]Report1!AE33</f>
        <v>1.3466308380993979</v>
      </c>
      <c r="AJ28" s="510">
        <f>+[2]Report1!AJ33</f>
        <v>947.93811131092843</v>
      </c>
      <c r="AK28" s="510">
        <f>+[2]Report1!AK33</f>
        <v>990.72455786640614</v>
      </c>
      <c r="AL28" s="576">
        <f>+[6]Report1!AP33</f>
        <v>0</v>
      </c>
      <c r="AM28" s="577">
        <f>+[6]Report1!AQ33</f>
        <v>0</v>
      </c>
      <c r="AN28" s="512">
        <f>+[3]Report1!J33</f>
        <v>0.91819997147339893</v>
      </c>
      <c r="AO28" s="513">
        <f>+[3]Report1!K33</f>
        <v>0.88314357091555773</v>
      </c>
      <c r="AP28" s="513">
        <f>+[3]Report1!BN33</f>
        <v>0.91819997147339893</v>
      </c>
      <c r="AQ28" s="513">
        <f>+[3]Report1!BO33</f>
        <v>0.88314357091555773</v>
      </c>
      <c r="AR28" s="510">
        <f>+[3]Report1!R33</f>
        <v>48.204000000000001</v>
      </c>
      <c r="AS28" s="510">
        <f>+[3]Report1!S33</f>
        <v>1175.1629999999998</v>
      </c>
      <c r="AT28" s="514">
        <f>+[3]Report1!AF33</f>
        <v>102.39054530805242</v>
      </c>
      <c r="AU28" s="514">
        <f>+[3]Report1!AG33</f>
        <v>102.10643483119921</v>
      </c>
      <c r="AV28" s="510">
        <f>+[3]Report1!AL33</f>
        <v>1.3795535640195835</v>
      </c>
      <c r="AW28" s="510">
        <f>+[3]Report1!AM33</f>
        <v>1.4005716653774838</v>
      </c>
      <c r="AX28" s="510">
        <f>+[3]Report1!AR33</f>
        <v>9.0484963579228375E-2</v>
      </c>
      <c r="AY28" s="510">
        <f>+[3]Report1!AS33</f>
        <v>0.18542810502547805</v>
      </c>
      <c r="AZ28" s="510">
        <f>+[3]Report1!AX33</f>
        <v>792.37947058335374</v>
      </c>
      <c r="BA28" s="510">
        <f>+[3]Report1!AY33</f>
        <v>877.32110354053043</v>
      </c>
      <c r="BB28" s="510">
        <f>+[3]Report1!BD33</f>
        <v>485.96713965646018</v>
      </c>
      <c r="BC28" s="510">
        <f>+[3]Report1!BE33</f>
        <v>450.22652517140233</v>
      </c>
      <c r="BD28" s="510">
        <f>+[3]Report1!BJ33</f>
        <v>2.7736287445027727</v>
      </c>
      <c r="BE28" s="510">
        <f>+[3]Report1!BK33</f>
        <v>3.2837997792646894</v>
      </c>
      <c r="BF28" s="512">
        <f>+[4]Report1!J33</f>
        <v>0.90277428859927344</v>
      </c>
      <c r="BG28" s="513">
        <f>+[4]Report1!K33</f>
        <v>0.93162193375672953</v>
      </c>
      <c r="BH28" s="513">
        <f>+[4]Report1!AN33</f>
        <v>0.90277428859927344</v>
      </c>
      <c r="BI28" s="513">
        <f>+[4]Report1!AO33</f>
        <v>0.93162193375672953</v>
      </c>
      <c r="BJ28" s="510">
        <f>+[4]Report1!R33</f>
        <v>46.787999999999997</v>
      </c>
      <c r="BK28" s="510">
        <f>+[4]Report1!S33</f>
        <v>1244.4579999999999</v>
      </c>
      <c r="BL28" s="510">
        <f>+[4]Report1!AD33</f>
        <v>2.6459776010942977</v>
      </c>
      <c r="BM28" s="510">
        <f>+[4]Report1!AE33</f>
        <v>2.4532768482343328</v>
      </c>
      <c r="BN28" s="514">
        <v>0</v>
      </c>
      <c r="BO28" s="514">
        <v>0</v>
      </c>
      <c r="BP28" s="514">
        <f>+[4]Report1!AJ33</f>
        <v>1098.9319912435785</v>
      </c>
      <c r="BQ28" s="514">
        <f>+[4]Report1!AK33</f>
        <v>914.26410060044714</v>
      </c>
      <c r="BR28" s="514">
        <v>0</v>
      </c>
      <c r="BS28" s="515">
        <v>0</v>
      </c>
      <c r="BT28" s="512">
        <f>+[5]Report1!J33</f>
        <v>0.95994035625201501</v>
      </c>
      <c r="BU28" s="513">
        <f>+[5]Report1!K33</f>
        <v>0.85734836516136104</v>
      </c>
      <c r="BV28" s="513">
        <f>+[5]Report1!BA33</f>
        <v>0.95994035625201501</v>
      </c>
      <c r="BW28" s="513">
        <f>+[5]Report1!BB33</f>
        <v>0.87075344620501161</v>
      </c>
      <c r="BX28" s="510">
        <f>+[5]Report1!R33</f>
        <v>49.936999999999998</v>
      </c>
      <c r="BY28" s="510">
        <f>+[5]Report1!S33</f>
        <v>1071.3310000000001</v>
      </c>
      <c r="BZ28" s="514">
        <f>+[5]Report1!X33</f>
        <v>86.348273271561212</v>
      </c>
      <c r="CA28" s="514">
        <f>+[5]Report1!Y33</f>
        <v>89.64855553628648</v>
      </c>
      <c r="CB28" s="510">
        <f>+[5]Report1!AD33</f>
        <v>2.0445761659691213</v>
      </c>
      <c r="CC28" s="510">
        <f>+[5]Report1!AE33</f>
        <v>2.1776649793574538</v>
      </c>
      <c r="CD28" s="514">
        <f>+[5]Report1!AJ33</f>
        <v>0</v>
      </c>
      <c r="CE28" s="514">
        <f>+[5]Report1!AK33</f>
        <v>3.8550177302813037E-2</v>
      </c>
      <c r="CF28" s="514">
        <f>+[5]Report1!AP33</f>
        <v>900.63179593675216</v>
      </c>
      <c r="CG28" s="514">
        <f>+[5]Report1!AQ33</f>
        <v>1020.9723473837391</v>
      </c>
      <c r="CH28" s="514">
        <f>+[5]Report1!AV33</f>
        <v>0</v>
      </c>
      <c r="CI28" s="514">
        <f>+[5]Report1!AW33</f>
        <v>94.586908247777998</v>
      </c>
      <c r="CJ28" s="514"/>
      <c r="CK28" s="515"/>
    </row>
    <row r="29" spans="1:89" ht="12.75" customHeight="1">
      <c r="A29" s="560">
        <f t="shared" si="0"/>
        <v>46017</v>
      </c>
      <c r="B29" s="512">
        <f>+Report1!J34</f>
        <v>0.91172477344274316</v>
      </c>
      <c r="C29" s="513">
        <f>+Report1!K34</f>
        <v>0.87797148085260224</v>
      </c>
      <c r="D29" s="513">
        <f>+Report1!AJ34</f>
        <v>0.91172477344274316</v>
      </c>
      <c r="E29" s="513">
        <f>+Report1!AK34</f>
        <v>0.87902661633146995</v>
      </c>
      <c r="F29" s="510">
        <f>+Report1!R34</f>
        <v>67.463999999999999</v>
      </c>
      <c r="G29" s="510">
        <f>+Report1!S34</f>
        <v>1616.8459999999998</v>
      </c>
      <c r="H29" s="510">
        <f>+Report1!X34</f>
        <v>2.3086535040910707</v>
      </c>
      <c r="I29" s="510">
        <f>+Report1!Y34</f>
        <v>2.2333165929222698</v>
      </c>
      <c r="J29" s="510">
        <f>+Report1!AD34</f>
        <v>845.98244989921523</v>
      </c>
      <c r="K29" s="511">
        <f>+Report1!AE34</f>
        <v>869.04916114459797</v>
      </c>
      <c r="L29" s="512">
        <f>+[1]Report1!J34</f>
        <v>0.9786274103675231</v>
      </c>
      <c r="M29" s="513">
        <f>+[1]Report1!K34</f>
        <v>0.85433860930445271</v>
      </c>
      <c r="N29" s="513">
        <f>+[1]Report1!BJ34</f>
        <v>0.9786274103675231</v>
      </c>
      <c r="O29" s="513">
        <f>+[1]Report1!BK34</f>
        <v>0.88857225789551197</v>
      </c>
      <c r="P29" s="510">
        <f>+[1]Report1!R34</f>
        <v>78.66</v>
      </c>
      <c r="Q29" s="510">
        <f>+[1]Report1!S34</f>
        <v>1467.8449999999998</v>
      </c>
      <c r="R29" s="510">
        <f>+[1]Report1!AL34</f>
        <v>1.5057971014492755</v>
      </c>
      <c r="S29" s="510">
        <f>+[1]Report1!AM34</f>
        <v>2.0635973144303383</v>
      </c>
      <c r="T29" s="510">
        <f>+[1]Report1!AR34</f>
        <v>8.7719298245614044E-2</v>
      </c>
      <c r="U29" s="510">
        <f>+[1]Report1!AS34</f>
        <v>0.18700322705322717</v>
      </c>
      <c r="V29" s="510">
        <f>+[1]Report1!AX34</f>
        <v>434.63056191201179</v>
      </c>
      <c r="W29" s="510">
        <f>+[1]Report1!AY34</f>
        <v>593.02180407331866</v>
      </c>
      <c r="X29" s="510">
        <f>+[1]Report1!BD34</f>
        <v>477.85914060513039</v>
      </c>
      <c r="Y29" s="569">
        <f>+[1]Report1!BE34</f>
        <v>492.92735881513397</v>
      </c>
      <c r="Z29" s="512">
        <f>+[2]Report1!J34</f>
        <v>0.88724324755610506</v>
      </c>
      <c r="AA29" s="513">
        <f>+[2]Report1!K34</f>
        <v>0.88112626775556913</v>
      </c>
      <c r="AB29" s="513">
        <f>+[2]Report1!BC34</f>
        <v>0.88724324755610506</v>
      </c>
      <c r="AC29" s="513">
        <f>+[2]Report1!BD34</f>
        <v>0.88112626775556913</v>
      </c>
      <c r="AD29" s="510">
        <f>+[2]Report1!R34</f>
        <v>38.847999999999999</v>
      </c>
      <c r="AE29" s="510">
        <f>+[2]Report1!S34</f>
        <v>986.69499999999994</v>
      </c>
      <c r="AF29" s="510">
        <f>+[2]Report1!X34</f>
        <v>139.66253515753257</v>
      </c>
      <c r="AG29" s="510">
        <f>+[2]Report1!Y34</f>
        <v>130.50195778737901</v>
      </c>
      <c r="AH29" s="510">
        <f>+[2]Report1!AD34</f>
        <v>1.3153830313014827</v>
      </c>
      <c r="AI29" s="510">
        <f>+[2]Report1!AE34</f>
        <v>1.3454005543759722</v>
      </c>
      <c r="AJ29" s="510">
        <f>+[2]Report1!AJ34</f>
        <v>1042.6112026359331</v>
      </c>
      <c r="AK29" s="510">
        <f>+[2]Report1!AK34</f>
        <v>992.76743066499807</v>
      </c>
      <c r="AL29" s="576">
        <f>+[6]Report1!AP34</f>
        <v>0</v>
      </c>
      <c r="AM29" s="577">
        <f>+[6]Report1!AQ34</f>
        <v>0</v>
      </c>
      <c r="AN29" s="512">
        <f>+[3]Report1!J34</f>
        <v>0.87025555818718103</v>
      </c>
      <c r="AO29" s="513">
        <f>+[3]Report1!K34</f>
        <v>0.88265313366450304</v>
      </c>
      <c r="AP29" s="513">
        <f>+[3]Report1!BN34</f>
        <v>0.87025555818718103</v>
      </c>
      <c r="AQ29" s="513">
        <f>+[3]Report1!BO34</f>
        <v>0.88265313366450304</v>
      </c>
      <c r="AR29" s="510">
        <f>+[3]Report1!R34</f>
        <v>45.81</v>
      </c>
      <c r="AS29" s="510">
        <f>+[3]Report1!S34</f>
        <v>1220.9729999999997</v>
      </c>
      <c r="AT29" s="514">
        <f>+[3]Report1!AF34</f>
        <v>100.1602643817676</v>
      </c>
      <c r="AU29" s="514">
        <f>+[3]Report1!AG34</f>
        <v>102.03341596158583</v>
      </c>
      <c r="AV29" s="510">
        <f>+[3]Report1!AL34</f>
        <v>1.4145383104125735</v>
      </c>
      <c r="AW29" s="510">
        <f>+[3]Report1!AM34</f>
        <v>1.4010956835245332</v>
      </c>
      <c r="AX29" s="510">
        <f>+[3]Report1!AR34</f>
        <v>8.5134250163719699E-2</v>
      </c>
      <c r="AY29" s="510">
        <f>+[3]Report1!AS34</f>
        <v>0.18166515409108627</v>
      </c>
      <c r="AZ29" s="510">
        <f>+[3]Report1!AX34</f>
        <v>881.32198209997921</v>
      </c>
      <c r="BA29" s="510">
        <f>+[3]Report1!AY34</f>
        <v>877.47121353215857</v>
      </c>
      <c r="BB29" s="510">
        <f>+[3]Report1!BD34</f>
        <v>401.65029469547596</v>
      </c>
      <c r="BC29" s="510">
        <f>+[3]Report1!BE34</f>
        <v>448.40398108721524</v>
      </c>
      <c r="BD29" s="510">
        <f>+[3]Report1!BJ34</f>
        <v>2.9207596594627452</v>
      </c>
      <c r="BE29" s="510">
        <f>+[3]Report1!BK34</f>
        <v>3.2701787836422413</v>
      </c>
      <c r="BF29" s="512">
        <f>+[4]Report1!J34</f>
        <v>0.88392484186657128</v>
      </c>
      <c r="BG29" s="513">
        <f>+[4]Report1!K34</f>
        <v>0.92978103614607244</v>
      </c>
      <c r="BH29" s="513">
        <f>+[4]Report1!AN34</f>
        <v>0.88392484186657128</v>
      </c>
      <c r="BI29" s="513">
        <f>+[4]Report1!AO34</f>
        <v>0.92978103614607244</v>
      </c>
      <c r="BJ29" s="510">
        <f>+[4]Report1!R34</f>
        <v>47.401000000000003</v>
      </c>
      <c r="BK29" s="510">
        <f>+[4]Report1!S34</f>
        <v>1291.8589999999999</v>
      </c>
      <c r="BL29" s="510">
        <f>+[4]Report1!AD34</f>
        <v>2.5041665787641612</v>
      </c>
      <c r="BM29" s="510">
        <f>+[4]Report1!AE34</f>
        <v>2.4551440985432627</v>
      </c>
      <c r="BN29" s="514">
        <v>0</v>
      </c>
      <c r="BO29" s="514">
        <v>0</v>
      </c>
      <c r="BP29" s="514">
        <f>+[4]Report1!AJ34</f>
        <v>1051.1748635159142</v>
      </c>
      <c r="BQ29" s="514">
        <f>+[4]Report1!AK34</f>
        <v>919.2876419257434</v>
      </c>
      <c r="BR29" s="514">
        <v>0</v>
      </c>
      <c r="BS29" s="515">
        <v>0</v>
      </c>
      <c r="BT29" s="512">
        <f>+[5]Report1!J34</f>
        <v>0.91392530244806736</v>
      </c>
      <c r="BU29" s="513">
        <f>+[5]Report1!K34</f>
        <v>0.85954888796260909</v>
      </c>
      <c r="BV29" s="513">
        <f>+[5]Report1!BA34</f>
        <v>0.91392530244806736</v>
      </c>
      <c r="BW29" s="513">
        <f>+[5]Report1!BB34</f>
        <v>0.87245780494000658</v>
      </c>
      <c r="BX29" s="510">
        <f>+[5]Report1!R34</f>
        <v>46.216000000000001</v>
      </c>
      <c r="BY29" s="510">
        <f>+[5]Report1!S34</f>
        <v>1117.547</v>
      </c>
      <c r="BZ29" s="514">
        <f>+[5]Report1!X34</f>
        <v>95.83365334237925</v>
      </c>
      <c r="CA29" s="514">
        <f>+[5]Report1!Y34</f>
        <v>89.904339391646829</v>
      </c>
      <c r="CB29" s="510">
        <f>+[5]Report1!AD34</f>
        <v>2.1875540938203217</v>
      </c>
      <c r="CC29" s="510">
        <f>+[5]Report1!AE34</f>
        <v>2.178073942303993</v>
      </c>
      <c r="CD29" s="514">
        <f>+[5]Report1!AJ34</f>
        <v>0</v>
      </c>
      <c r="CE29" s="514">
        <f>+[5]Report1!AK34</f>
        <v>3.6955940108111783E-2</v>
      </c>
      <c r="CF29" s="514">
        <f>+[5]Report1!AP34</f>
        <v>981.11780107499817</v>
      </c>
      <c r="CG29" s="514">
        <f>+[5]Report1!AQ34</f>
        <v>1019.3241681910928</v>
      </c>
      <c r="CH29" s="514">
        <f>+[5]Report1!AV34</f>
        <v>0</v>
      </c>
      <c r="CI29" s="514">
        <f>+[5]Report1!AW34</f>
        <v>90.675279876372329</v>
      </c>
      <c r="CJ29" s="514"/>
      <c r="CK29" s="515"/>
    </row>
    <row r="30" spans="1:89" ht="12.75" customHeight="1">
      <c r="A30" s="560">
        <f t="shared" si="0"/>
        <v>46018</v>
      </c>
      <c r="B30" s="512">
        <f>+Report1!J35</f>
        <v>0.84346900457667495</v>
      </c>
      <c r="C30" s="513">
        <f>+Report1!K35</f>
        <v>0.87673656266640099</v>
      </c>
      <c r="D30" s="513">
        <f>+Report1!AJ35</f>
        <v>0.84346900457667495</v>
      </c>
      <c r="E30" s="513">
        <f>+Report1!AK35</f>
        <v>0.87775245787780043</v>
      </c>
      <c r="F30" s="510">
        <f>+Report1!R35</f>
        <v>57.66</v>
      </c>
      <c r="G30" s="510">
        <f>+Report1!S35</f>
        <v>1674.5059999999999</v>
      </c>
      <c r="H30" s="510">
        <f>+Report1!X35</f>
        <v>2.4779916753381896</v>
      </c>
      <c r="I30" s="510">
        <f>+Report1!Y35</f>
        <v>2.2417417435351084</v>
      </c>
      <c r="J30" s="510">
        <f>+Report1!AD35</f>
        <v>950.13978494625655</v>
      </c>
      <c r="K30" s="511">
        <f>+Report1!AE35</f>
        <v>871.84143860935706</v>
      </c>
      <c r="L30" s="512">
        <f>+[1]Report1!J35</f>
        <v>0.93182345350540607</v>
      </c>
      <c r="M30" s="513">
        <f>+[1]Report1!K35</f>
        <v>0.85783365939917677</v>
      </c>
      <c r="N30" s="513">
        <f>+[1]Report1!BJ35</f>
        <v>0.93182345350540607</v>
      </c>
      <c r="O30" s="513">
        <f>+[1]Report1!BK35</f>
        <v>0.89059766919885741</v>
      </c>
      <c r="P30" s="510">
        <f>+[1]Report1!R35</f>
        <v>75.625</v>
      </c>
      <c r="Q30" s="510">
        <f>+[1]Report1!S35</f>
        <v>1543.4699999999998</v>
      </c>
      <c r="R30" s="510">
        <f>+[1]Report1!AL35</f>
        <v>1.612628099173554</v>
      </c>
      <c r="S30" s="510">
        <f>+[1]Report1!AM35</f>
        <v>2.041501292542129</v>
      </c>
      <c r="T30" s="510">
        <f>+[1]Report1!AR35</f>
        <v>8.4628099173553725E-2</v>
      </c>
      <c r="U30" s="510">
        <f>+[1]Report1!AS35</f>
        <v>0.18198717941647338</v>
      </c>
      <c r="V30" s="510">
        <f>+[1]Report1!AX35</f>
        <v>422.10234710744282</v>
      </c>
      <c r="W30" s="510">
        <f>+[1]Report1!AY35</f>
        <v>584.64730768981622</v>
      </c>
      <c r="X30" s="510">
        <f>+[1]Report1!BD35</f>
        <v>532.31999999999857</v>
      </c>
      <c r="Y30" s="569">
        <f>+[1]Report1!BE35</f>
        <v>494.85746985688098</v>
      </c>
      <c r="Z30" s="512">
        <f>+[2]Report1!J35</f>
        <v>0.97340971071727711</v>
      </c>
      <c r="AA30" s="513">
        <f>+[2]Report1!K35</f>
        <v>0.88461575796637981</v>
      </c>
      <c r="AB30" s="513">
        <f>+[2]Report1!BC35</f>
        <v>0.97340971071727711</v>
      </c>
      <c r="AC30" s="513">
        <f>+[2]Report1!BD35</f>
        <v>0.88461575796637981</v>
      </c>
      <c r="AD30" s="510">
        <f>+[2]Report1!R35</f>
        <v>42.837000000000003</v>
      </c>
      <c r="AE30" s="510">
        <f>+[2]Report1!S35</f>
        <v>1029.5319999999999</v>
      </c>
      <c r="AF30" s="510">
        <f>+[2]Report1!X35</f>
        <v>122.70769083289176</v>
      </c>
      <c r="AG30" s="510">
        <f>+[2]Report1!Y35</f>
        <v>130.1776521674183</v>
      </c>
      <c r="AH30" s="510">
        <f>+[2]Report1!AD35</f>
        <v>1.2302448817610943</v>
      </c>
      <c r="AI30" s="510">
        <f>+[2]Report1!AE35</f>
        <v>1.3406091311391972</v>
      </c>
      <c r="AJ30" s="510">
        <f>+[2]Report1!AJ35</f>
        <v>953.73298783761697</v>
      </c>
      <c r="AK30" s="510">
        <f>+[2]Report1!AK35</f>
        <v>991.14327675099014</v>
      </c>
      <c r="AL30" s="576">
        <f>+[6]Report1!AP35</f>
        <v>0</v>
      </c>
      <c r="AM30" s="577">
        <f>+[6]Report1!AQ35</f>
        <v>0</v>
      </c>
      <c r="AN30" s="512">
        <f>+[3]Report1!J35</f>
        <v>0.96192326362964453</v>
      </c>
      <c r="AO30" s="513">
        <f>+[3]Report1!K35</f>
        <v>0.88562434950461599</v>
      </c>
      <c r="AP30" s="513">
        <f>+[3]Report1!BN35</f>
        <v>0.96192326362964453</v>
      </c>
      <c r="AQ30" s="513">
        <f>+[3]Report1!BO35</f>
        <v>0.88562434950461599</v>
      </c>
      <c r="AR30" s="510">
        <f>+[3]Report1!R35</f>
        <v>51.817</v>
      </c>
      <c r="AS30" s="510">
        <f>+[3]Report1!S35</f>
        <v>1272.7899999999997</v>
      </c>
      <c r="AT30" s="514">
        <f>+[3]Report1!AF35</f>
        <v>93.803587921238375</v>
      </c>
      <c r="AU30" s="514">
        <f>+[3]Report1!AG35</f>
        <v>101.69836854640604</v>
      </c>
      <c r="AV30" s="510">
        <f>+[3]Report1!AL35</f>
        <v>1.2872223401586353</v>
      </c>
      <c r="AW30" s="510">
        <f>+[3]Report1!AM35</f>
        <v>1.396459745912523</v>
      </c>
      <c r="AX30" s="510">
        <f>+[3]Report1!AR35</f>
        <v>8.4914217341799034E-2</v>
      </c>
      <c r="AY30" s="510">
        <f>+[3]Report1!AS35</f>
        <v>0.17772629277889981</v>
      </c>
      <c r="AZ30" s="510">
        <f>+[3]Report1!AX35</f>
        <v>818.36192755273271</v>
      </c>
      <c r="BA30" s="510">
        <f>+[3]Report1!AY35</f>
        <v>875.06479466369194</v>
      </c>
      <c r="BB30" s="510">
        <f>+[3]Report1!BD35</f>
        <v>434.63149159542093</v>
      </c>
      <c r="BC30" s="510">
        <f>+[3]Report1!BE35</f>
        <v>447.84328443812444</v>
      </c>
      <c r="BD30" s="510">
        <f>+[3]Report1!BJ35</f>
        <v>2.5107590173110332</v>
      </c>
      <c r="BE30" s="510">
        <f>+[3]Report1!BK35</f>
        <v>3.2392617792408989</v>
      </c>
      <c r="BF30" s="512">
        <f>+[4]Report1!J35</f>
        <v>0.95056340827815344</v>
      </c>
      <c r="BG30" s="513">
        <f>+[4]Report1!K35</f>
        <v>0.93053969477279619</v>
      </c>
      <c r="BH30" s="513">
        <f>+[4]Report1!AN35</f>
        <v>0.95056340827815344</v>
      </c>
      <c r="BI30" s="513">
        <f>+[4]Report1!AO35</f>
        <v>0.93053969477279619</v>
      </c>
      <c r="BJ30" s="510">
        <f>+[4]Report1!R35</f>
        <v>50.04</v>
      </c>
      <c r="BK30" s="510">
        <f>+[4]Report1!S35</f>
        <v>1341.8989999999999</v>
      </c>
      <c r="BL30" s="510">
        <f>+[4]Report1!AD35</f>
        <v>2.3441247002398082</v>
      </c>
      <c r="BM30" s="510">
        <f>+[4]Report1!AE35</f>
        <v>2.4510041366749666</v>
      </c>
      <c r="BN30" s="514">
        <v>0</v>
      </c>
      <c r="BO30" s="514">
        <v>0</v>
      </c>
      <c r="BP30" s="514">
        <f>+[4]Report1!AJ35</f>
        <v>987.6744504140687</v>
      </c>
      <c r="BQ30" s="514">
        <f>+[4]Report1!AK35</f>
        <v>921.83781589319983</v>
      </c>
      <c r="BR30" s="514">
        <v>0</v>
      </c>
      <c r="BS30" s="515">
        <v>0</v>
      </c>
      <c r="BT30" s="512">
        <f>+[5]Report1!J35</f>
        <v>0.8475079869602582</v>
      </c>
      <c r="BU30" s="513">
        <f>+[5]Report1!K35</f>
        <v>0.85912346875974666</v>
      </c>
      <c r="BV30" s="513">
        <f>+[5]Report1!BA35</f>
        <v>0.8475079869602582</v>
      </c>
      <c r="BW30" s="513">
        <f>+[5]Report1!BB35</f>
        <v>0.87156353433856937</v>
      </c>
      <c r="BX30" s="510">
        <f>+[5]Report1!R35</f>
        <v>40.356999999999999</v>
      </c>
      <c r="BY30" s="510">
        <f>+[5]Report1!S35</f>
        <v>1157.904</v>
      </c>
      <c r="BZ30" s="514">
        <f>+[5]Report1!X35</f>
        <v>104.21860228650812</v>
      </c>
      <c r="CA30" s="514">
        <f>+[5]Report1!Y35</f>
        <v>90.403241466126161</v>
      </c>
      <c r="CB30" s="510">
        <f>+[5]Report1!AD35</f>
        <v>2.4927521867334042</v>
      </c>
      <c r="CC30" s="510">
        <f>+[5]Report1!AE35</f>
        <v>2.1890415785764628</v>
      </c>
      <c r="CD30" s="514">
        <f>+[5]Report1!AJ35</f>
        <v>0</v>
      </c>
      <c r="CE30" s="514">
        <f>+[5]Report1!AK35</f>
        <v>3.5667896475010015E-2</v>
      </c>
      <c r="CF30" s="514">
        <f>+[5]Report1!AP35</f>
        <v>1056.8662314166252</v>
      </c>
      <c r="CG30" s="514">
        <f>+[5]Report1!AQ35</f>
        <v>1020.6326402626918</v>
      </c>
      <c r="CH30" s="514">
        <f>+[5]Report1!AV35</f>
        <v>0</v>
      </c>
      <c r="CI30" s="514">
        <f>+[5]Report1!AW35</f>
        <v>87.514929562381923</v>
      </c>
      <c r="CJ30" s="514"/>
      <c r="CK30" s="515"/>
    </row>
    <row r="31" spans="1:89" ht="12.75" customHeight="1">
      <c r="A31" s="560">
        <f t="shared" si="0"/>
        <v>46019</v>
      </c>
      <c r="B31" s="512">
        <f>+Report1!J36</f>
        <v>0.98046323329434015</v>
      </c>
      <c r="C31" s="513">
        <f>+Report1!K36</f>
        <v>0.88032087411049098</v>
      </c>
      <c r="D31" s="513">
        <f>+Report1!AJ36</f>
        <v>0.98046323329434015</v>
      </c>
      <c r="E31" s="513">
        <f>+Report1!AK36</f>
        <v>0.88130563498656356</v>
      </c>
      <c r="F31" s="510">
        <f>+Report1!R36</f>
        <v>67.025000000000006</v>
      </c>
      <c r="G31" s="510">
        <f>+Report1!S36</f>
        <v>1741.5309999999999</v>
      </c>
      <c r="H31" s="510">
        <f>+Report1!X36</f>
        <v>2.1153748601268179</v>
      </c>
      <c r="I31" s="510">
        <f>+Report1!Y36</f>
        <v>2.2368783558834151</v>
      </c>
      <c r="J31" s="510">
        <f>+Report1!AD36</f>
        <v>870.7148079074916</v>
      </c>
      <c r="K31" s="511">
        <f>+Report1!AE36</f>
        <v>871.79807881685679</v>
      </c>
      <c r="L31" s="512">
        <f>+[1]Report1!J36</f>
        <v>0.95027087455278569</v>
      </c>
      <c r="M31" s="513">
        <f>+[1]Report1!K36</f>
        <v>0.86148806789491394</v>
      </c>
      <c r="N31" s="513">
        <f>+[1]Report1!BJ36</f>
        <v>0.95027087455278569</v>
      </c>
      <c r="O31" s="513">
        <f>+[1]Report1!BK36</f>
        <v>0.89304319813508282</v>
      </c>
      <c r="P31" s="510">
        <f>+[1]Report1!R36</f>
        <v>70.376999999999995</v>
      </c>
      <c r="Q31" s="510">
        <f>+[1]Report1!S36</f>
        <v>1613.8469999999998</v>
      </c>
      <c r="R31" s="510">
        <f>+[1]Report1!AL36</f>
        <v>1.5481620415760833</v>
      </c>
      <c r="S31" s="510">
        <f>+[1]Report1!AM36</f>
        <v>2.019987644429738</v>
      </c>
      <c r="T31" s="510">
        <f>+[1]Report1!AR36</f>
        <v>9.9464313625190051E-2</v>
      </c>
      <c r="U31" s="510">
        <f>+[1]Report1!AS36</f>
        <v>0.17838850387548769</v>
      </c>
      <c r="V31" s="510">
        <f>+[1]Report1!AX36</f>
        <v>480.98228114297876</v>
      </c>
      <c r="W31" s="510">
        <f>+[1]Report1!AY36</f>
        <v>580.12666008611723</v>
      </c>
      <c r="X31" s="510">
        <f>+[1]Report1!BD36</f>
        <v>597.79189223752121</v>
      </c>
      <c r="Y31" s="569">
        <f>+[1]Report1!BE36</f>
        <v>499.34625711111408</v>
      </c>
      <c r="Z31" s="512">
        <f>+[2]Report1!J36</f>
        <v>0.88688930805291077</v>
      </c>
      <c r="AA31" s="513">
        <f>+[2]Report1!K36</f>
        <v>0.88469897213370752</v>
      </c>
      <c r="AB31" s="513">
        <f>+[2]Report1!BC36</f>
        <v>0.88688930805291077</v>
      </c>
      <c r="AC31" s="513">
        <f>+[2]Report1!BD36</f>
        <v>0.88469897213370752</v>
      </c>
      <c r="AD31" s="510">
        <f>+[2]Report1!R36</f>
        <v>39.213999999999999</v>
      </c>
      <c r="AE31" s="510">
        <f>+[2]Report1!S36</f>
        <v>1068.7459999999999</v>
      </c>
      <c r="AF31" s="510">
        <f>+[2]Report1!X36</f>
        <v>143.50991062193532</v>
      </c>
      <c r="AG31" s="510">
        <f>+[2]Report1!Y36</f>
        <v>130.66683405257663</v>
      </c>
      <c r="AH31" s="510">
        <f>+[2]Report1!AD36</f>
        <v>1.3439077880348855</v>
      </c>
      <c r="AI31" s="510">
        <f>+[2]Report1!AE36</f>
        <v>1.3407301641362868</v>
      </c>
      <c r="AJ31" s="510">
        <f>+[2]Report1!AJ36</f>
        <v>1006.5196103432263</v>
      </c>
      <c r="AK31" s="510">
        <f>+[2]Report1!AK36</f>
        <v>991.70745902206863</v>
      </c>
      <c r="AL31" s="576">
        <f>+[6]Report1!AP36</f>
        <v>0</v>
      </c>
      <c r="AM31" s="577">
        <f>+[6]Report1!AQ36</f>
        <v>0</v>
      </c>
      <c r="AN31" s="512">
        <f>+[3]Report1!J36</f>
        <v>0.97389646568783927</v>
      </c>
      <c r="AO31" s="513">
        <f>+[3]Report1!K36</f>
        <v>0.88881754786143585</v>
      </c>
      <c r="AP31" s="513">
        <f>+[3]Report1!BN36</f>
        <v>0.97389646568783927</v>
      </c>
      <c r="AQ31" s="513">
        <f>+[3]Report1!BO36</f>
        <v>0.88881754786143585</v>
      </c>
      <c r="AR31" s="510">
        <f>+[3]Report1!R36</f>
        <v>52.531999999999996</v>
      </c>
      <c r="AS31" s="510">
        <f>+[3]Report1!S36</f>
        <v>1325.3219999999997</v>
      </c>
      <c r="AT31" s="514">
        <f>+[3]Report1!AF36</f>
        <v>99.169504670121398</v>
      </c>
      <c r="AU31" s="514">
        <f>+[3]Report1!AG36</f>
        <v>101.59813156463936</v>
      </c>
      <c r="AV31" s="510">
        <f>+[3]Report1!AL36</f>
        <v>1.2754130815502933</v>
      </c>
      <c r="AW31" s="510">
        <f>+[3]Report1!AM36</f>
        <v>1.3916617999248486</v>
      </c>
      <c r="AX31" s="510">
        <f>+[3]Report1!AR36</f>
        <v>9.8987283941216794E-2</v>
      </c>
      <c r="AY31" s="510">
        <f>+[3]Report1!AS36</f>
        <v>0.17460530209719291</v>
      </c>
      <c r="AZ31" s="510">
        <f>+[3]Report1!AX36</f>
        <v>804.64593009974919</v>
      </c>
      <c r="BA31" s="510">
        <f>+[3]Report1!AY36</f>
        <v>872.27359087074706</v>
      </c>
      <c r="BB31" s="510">
        <f>+[3]Report1!BD36</f>
        <v>276.99687809335302</v>
      </c>
      <c r="BC31" s="510">
        <f>+[3]Report1!BE36</f>
        <v>441.07141811574877</v>
      </c>
      <c r="BD31" s="510">
        <f>+[3]Report1!BJ36</f>
        <v>3.2342191426177225</v>
      </c>
      <c r="BE31" s="510">
        <f>+[3]Report1!BK36</f>
        <v>3.2390619034468742</v>
      </c>
      <c r="BF31" s="512">
        <f>+[4]Report1!J36</f>
        <v>0.93341553824155654</v>
      </c>
      <c r="BG31" s="513">
        <f>+[4]Report1!K36</f>
        <v>0.93063742487207612</v>
      </c>
      <c r="BH31" s="513">
        <f>+[4]Report1!AN36</f>
        <v>0.93341553824155654</v>
      </c>
      <c r="BI31" s="513">
        <f>+[4]Report1!AO36</f>
        <v>0.93063742487207612</v>
      </c>
      <c r="BJ31" s="510">
        <f>+[4]Report1!R36</f>
        <v>47.351999999999997</v>
      </c>
      <c r="BK31" s="510">
        <f>+[4]Report1!S36</f>
        <v>1389.251</v>
      </c>
      <c r="BL31" s="510">
        <f>+[4]Report1!AD36</f>
        <v>2.4961986822098328</v>
      </c>
      <c r="BM31" s="510">
        <f>+[4]Report1!AE36</f>
        <v>2.4525445725790376</v>
      </c>
      <c r="BN31" s="514">
        <v>0</v>
      </c>
      <c r="BO31" s="514">
        <v>0</v>
      </c>
      <c r="BP31" s="514">
        <f>+[4]Report1!AJ36</f>
        <v>1132.2956178667921</v>
      </c>
      <c r="BQ31" s="514">
        <f>+[4]Report1!AK36</f>
        <v>929.01117609884557</v>
      </c>
      <c r="BR31" s="514">
        <v>0</v>
      </c>
      <c r="BS31" s="515">
        <v>0</v>
      </c>
      <c r="BT31" s="512">
        <f>+[5]Report1!J36</f>
        <v>0.99501161038361963</v>
      </c>
      <c r="BU31" s="513">
        <f>+[5]Report1!K36</f>
        <v>0.86362067126807562</v>
      </c>
      <c r="BV31" s="513">
        <f>+[5]Report1!BA36</f>
        <v>0.99501161038361963</v>
      </c>
      <c r="BW31" s="513">
        <f>+[5]Report1!BB36</f>
        <v>0.87570620691787282</v>
      </c>
      <c r="BX31" s="510">
        <f>+[5]Report1!R36</f>
        <v>45.901000000000003</v>
      </c>
      <c r="BY31" s="510">
        <f>+[5]Report1!S36</f>
        <v>1203.8050000000001</v>
      </c>
      <c r="BZ31" s="514">
        <f>+[5]Report1!X36</f>
        <v>97.00943215922554</v>
      </c>
      <c r="CA31" s="514">
        <f>+[5]Report1!Y36</f>
        <v>90.655135052715309</v>
      </c>
      <c r="CB31" s="510">
        <f>+[5]Report1!AD36</f>
        <v>2.1633515609681706</v>
      </c>
      <c r="CC31" s="510">
        <f>+[5]Report1!AE36</f>
        <v>2.188062020011547</v>
      </c>
      <c r="CD31" s="514">
        <f>+[5]Report1!AJ36</f>
        <v>0</v>
      </c>
      <c r="CE31" s="514">
        <f>+[5]Report1!AK36</f>
        <v>3.4307882090537915E-2</v>
      </c>
      <c r="CF31" s="514">
        <f>+[5]Report1!AP36</f>
        <v>1009.1831965048965</v>
      </c>
      <c r="CG31" s="514">
        <f>+[5]Report1!AQ36</f>
        <v>1020.196073777317</v>
      </c>
      <c r="CH31" s="514">
        <f>+[5]Report1!AV36</f>
        <v>0</v>
      </c>
      <c r="CI31" s="514">
        <f>+[5]Report1!AW36</f>
        <v>84.17799145210418</v>
      </c>
      <c r="CJ31" s="514"/>
      <c r="CK31" s="515"/>
    </row>
    <row r="32" spans="1:89" ht="12.75" customHeight="1">
      <c r="A32" s="560">
        <f t="shared" si="0"/>
        <v>46020</v>
      </c>
      <c r="B32" s="512">
        <f>+Report1!J37</f>
        <v>0.9089063643531452</v>
      </c>
      <c r="C32" s="513">
        <f>+Report1!K37</f>
        <v>0.88133061017275727</v>
      </c>
      <c r="D32" s="513">
        <f>+Report1!AJ37</f>
        <v>0.9089063643531452</v>
      </c>
      <c r="E32" s="513">
        <f>+Report1!AK37</f>
        <v>0.8822816380205678</v>
      </c>
      <c r="F32" s="510">
        <f>+Report1!R37</f>
        <v>65.84</v>
      </c>
      <c r="G32" s="510">
        <f>+Report1!S37</f>
        <v>1807.3709999999999</v>
      </c>
      <c r="H32" s="510">
        <f>+Report1!X37</f>
        <v>2.3532654921020653</v>
      </c>
      <c r="I32" s="510">
        <f>+Report1!Y37</f>
        <v>2.2411181766222872</v>
      </c>
      <c r="J32" s="510">
        <f>+Report1!AD37</f>
        <v>828.53888213851121</v>
      </c>
      <c r="K32" s="511">
        <f>+Report1!AE37</f>
        <v>870.22220673010645</v>
      </c>
      <c r="L32" s="512">
        <f>+[1]Report1!J37</f>
        <v>0.92274352011113803</v>
      </c>
      <c r="M32" s="513">
        <f>+[1]Report1!K37</f>
        <v>0.86321312845085363</v>
      </c>
      <c r="N32" s="513">
        <f>+[1]Report1!BJ37</f>
        <v>0.96221890045814207</v>
      </c>
      <c r="O32" s="513">
        <f>+[1]Report1!BK37</f>
        <v>0.89498013583364144</v>
      </c>
      <c r="P32" s="510">
        <f>+[1]Report1!R37</f>
        <v>50.091000000000001</v>
      </c>
      <c r="Q32" s="510">
        <f>+[1]Report1!S37</f>
        <v>1663.9379999999996</v>
      </c>
      <c r="R32" s="510">
        <f>+[1]Report1!AL37</f>
        <v>1.9789383322353316</v>
      </c>
      <c r="S32" s="510">
        <f>+[1]Report1!AM37</f>
        <v>2.0187519006116812</v>
      </c>
      <c r="T32" s="510">
        <f>+[1]Report1!AR37</f>
        <v>0.22159669401688925</v>
      </c>
      <c r="U32" s="510">
        <f>+[1]Report1!AS37</f>
        <v>0.17968923830932657</v>
      </c>
      <c r="V32" s="510">
        <f>+[1]Report1!AX37</f>
        <v>680.89876424909266</v>
      </c>
      <c r="W32" s="510">
        <f>+[1]Report1!AY37</f>
        <v>583.1602920301126</v>
      </c>
      <c r="X32" s="510">
        <f>+[1]Report1!BD37</f>
        <v>553.14327923179826</v>
      </c>
      <c r="Y32" s="569">
        <f>+[1]Report1!BE37</f>
        <v>500.96575653660193</v>
      </c>
      <c r="Z32" s="512">
        <f>+[2]Report1!J37</f>
        <v>0.92305602365425232</v>
      </c>
      <c r="AA32" s="513">
        <f>+[2]Report1!K37</f>
        <v>0.88605211959328889</v>
      </c>
      <c r="AB32" s="513">
        <f>+[2]Report1!BC37</f>
        <v>0.92305602365425232</v>
      </c>
      <c r="AC32" s="513">
        <f>+[2]Report1!BD37</f>
        <v>0.88605211959328889</v>
      </c>
      <c r="AD32" s="510">
        <f>+[2]Report1!R37</f>
        <v>40.776000000000003</v>
      </c>
      <c r="AE32" s="510">
        <f>+[2]Report1!S37</f>
        <v>1109.5219999999999</v>
      </c>
      <c r="AF32" s="510">
        <f>+[2]Report1!X37</f>
        <v>130.27414510958315</v>
      </c>
      <c r="AG32" s="510">
        <f>+[2]Report1!Y37</f>
        <v>130.65240235645931</v>
      </c>
      <c r="AH32" s="510">
        <f>+[2]Report1!AD37</f>
        <v>1.2973317637826172</v>
      </c>
      <c r="AI32" s="510">
        <f>+[2]Report1!AE37</f>
        <v>1.3391352312076732</v>
      </c>
      <c r="AJ32" s="510">
        <f>+[2]Report1!AJ37</f>
        <v>964.56248773787615</v>
      </c>
      <c r="AK32" s="510">
        <f>+[2]Report1!AK37</f>
        <v>990.70985523495619</v>
      </c>
      <c r="AL32" s="576">
        <f>+[6]Report1!AP37</f>
        <v>0</v>
      </c>
      <c r="AM32" s="577">
        <f>+[6]Report1!AQ37</f>
        <v>0</v>
      </c>
      <c r="AN32" s="512">
        <f>+[3]Report1!J37</f>
        <v>0.93959460515479354</v>
      </c>
      <c r="AO32" s="513">
        <f>+[3]Report1!K37</f>
        <v>0.89056395308741298</v>
      </c>
      <c r="AP32" s="513">
        <f>+[3]Report1!BN37</f>
        <v>0.93959460515479354</v>
      </c>
      <c r="AQ32" s="513">
        <f>+[3]Report1!BO37</f>
        <v>0.89056395308741298</v>
      </c>
      <c r="AR32" s="510">
        <f>+[3]Report1!R37</f>
        <v>49.902999999999999</v>
      </c>
      <c r="AS32" s="510">
        <f>+[3]Report1!S37</f>
        <v>1375.2249999999997</v>
      </c>
      <c r="AT32" s="514">
        <f>+[3]Report1!AF37</f>
        <v>100.02040017076732</v>
      </c>
      <c r="AU32" s="514">
        <f>+[3]Report1!AG37</f>
        <v>101.54088018413914</v>
      </c>
      <c r="AV32" s="510">
        <f>+[3]Report1!AL37</f>
        <v>1.3927018415726511</v>
      </c>
      <c r="AW32" s="510">
        <f>+[3]Report1!AM37</f>
        <v>1.3916995400752605</v>
      </c>
      <c r="AX32" s="510">
        <f>+[3]Report1!AR37</f>
        <v>0.118229364968038</v>
      </c>
      <c r="AY32" s="510">
        <f>+[3]Report1!AS37</f>
        <v>0.17255957984043038</v>
      </c>
      <c r="AZ32" s="510">
        <f>+[3]Report1!AX37</f>
        <v>802.57699937879499</v>
      </c>
      <c r="BA32" s="510">
        <f>+[3]Report1!AY37</f>
        <v>869.74449999091087</v>
      </c>
      <c r="BB32" s="510">
        <f>+[3]Report1!BD37</f>
        <v>389.54571869426763</v>
      </c>
      <c r="BC32" s="510">
        <f>+[3]Report1!BE37</f>
        <v>439.20169717682592</v>
      </c>
      <c r="BD32" s="510">
        <f>+[3]Report1!BJ37</f>
        <v>2.807446446105561</v>
      </c>
      <c r="BE32" s="510">
        <f>+[3]Report1!BK37</f>
        <v>3.2233998073042769</v>
      </c>
      <c r="BF32" s="512">
        <f>+[4]Report1!J37</f>
        <v>0.92427297750432902</v>
      </c>
      <c r="BG32" s="513">
        <f>+[4]Report1!K37</f>
        <v>0.9304355290360723</v>
      </c>
      <c r="BH32" s="513">
        <f>+[4]Report1!AN37</f>
        <v>0.92427297750432902</v>
      </c>
      <c r="BI32" s="513">
        <f>+[4]Report1!AO37</f>
        <v>0.9304355290360723</v>
      </c>
      <c r="BJ32" s="510">
        <f>+[4]Report1!R37</f>
        <v>45.203000000000003</v>
      </c>
      <c r="BK32" s="510">
        <f>+[4]Report1!S37</f>
        <v>1434.454</v>
      </c>
      <c r="BL32" s="510">
        <f>+[4]Report1!AD37</f>
        <v>2.5662013583169259</v>
      </c>
      <c r="BM32" s="510">
        <f>+[4]Report1!AE37</f>
        <v>2.4561261636831859</v>
      </c>
      <c r="BN32" s="514">
        <v>0</v>
      </c>
      <c r="BO32" s="514">
        <v>0</v>
      </c>
      <c r="BP32" s="514">
        <f>+[4]Report1!AJ37</f>
        <v>1001.7250970317626</v>
      </c>
      <c r="BQ32" s="514">
        <f>+[4]Report1!AK37</f>
        <v>931.30256178840455</v>
      </c>
      <c r="BR32" s="514">
        <v>0</v>
      </c>
      <c r="BS32" s="515">
        <v>0</v>
      </c>
      <c r="BT32" s="512">
        <f>+[5]Report1!J37</f>
        <v>0.96241117196282877</v>
      </c>
      <c r="BU32" s="513">
        <f>+[5]Report1!K37</f>
        <v>0.86681249695671492</v>
      </c>
      <c r="BV32" s="513">
        <f>+[5]Report1!BA37</f>
        <v>0.96241117196282877</v>
      </c>
      <c r="BW32" s="513">
        <f>+[5]Report1!BB37</f>
        <v>0.87854547912292313</v>
      </c>
      <c r="BX32" s="510">
        <f>+[5]Report1!R37</f>
        <v>44.79</v>
      </c>
      <c r="BY32" s="510">
        <f>+[5]Report1!S37</f>
        <v>1248.595</v>
      </c>
      <c r="BZ32" s="514">
        <f>+[5]Report1!X37</f>
        <v>96.352387347395322</v>
      </c>
      <c r="CA32" s="514">
        <f>+[5]Report1!Y37</f>
        <v>90.859508712932367</v>
      </c>
      <c r="CB32" s="510">
        <f>+[5]Report1!AD37</f>
        <v>2.2036168787675821</v>
      </c>
      <c r="CC32" s="510">
        <f>+[5]Report1!AE37</f>
        <v>2.1886200088899925</v>
      </c>
      <c r="CD32" s="514">
        <f>+[5]Report1!AJ37</f>
        <v>0</v>
      </c>
      <c r="CE32" s="514">
        <f>+[5]Report1!AK37</f>
        <v>3.3077178748913777E-2</v>
      </c>
      <c r="CF32" s="514">
        <f>+[5]Report1!AP37</f>
        <v>941.10338108668964</v>
      </c>
      <c r="CG32" s="514">
        <f>+[5]Report1!AQ37</f>
        <v>1017.3588353568417</v>
      </c>
      <c r="CH32" s="514">
        <f>+[5]Report1!AV37</f>
        <v>0</v>
      </c>
      <c r="CI32" s="514">
        <f>+[5]Report1!AW37</f>
        <v>81.158331564678932</v>
      </c>
      <c r="CJ32" s="514"/>
      <c r="CK32" s="515"/>
    </row>
    <row r="33" spans="1:89" ht="12.75" customHeight="1">
      <c r="A33" s="560">
        <f t="shared" si="0"/>
        <v>46021</v>
      </c>
      <c r="B33" s="512">
        <f>+Report1!J38</f>
        <v>1.0057022728067084</v>
      </c>
      <c r="C33" s="513">
        <f>+Report1!K38</f>
        <v>0.88603217968436698</v>
      </c>
      <c r="D33" s="513">
        <f>+Report1!AJ38</f>
        <v>1.0057022728067084</v>
      </c>
      <c r="E33" s="513">
        <f>+Report1!AK38</f>
        <v>0.88695210029350602</v>
      </c>
      <c r="F33" s="510">
        <f>+Report1!R38</f>
        <v>81.028000000000006</v>
      </c>
      <c r="G33" s="510">
        <f>+Report1!S38</f>
        <v>1888.3989999999999</v>
      </c>
      <c r="H33" s="510">
        <f>+Report1!X38</f>
        <v>2.0987436441723846</v>
      </c>
      <c r="I33" s="510">
        <f>+Report1!Y38</f>
        <v>2.2350091267788215</v>
      </c>
      <c r="J33" s="510">
        <f>+Report1!AD38</f>
        <v>666.67078047097152</v>
      </c>
      <c r="K33" s="511">
        <f>+Report1!AE38</f>
        <v>861.48816007634025</v>
      </c>
      <c r="L33" s="512">
        <f>+[1]Report1!J38</f>
        <v>0.97153986567971995</v>
      </c>
      <c r="M33" s="513">
        <f>+[1]Report1!K38</f>
        <v>0.86617044943061416</v>
      </c>
      <c r="N33" s="513">
        <f>+[1]Report1!BJ38</f>
        <v>0.97153986567971995</v>
      </c>
      <c r="O33" s="513">
        <f>+[1]Report1!BK38</f>
        <v>0.89714495912663239</v>
      </c>
      <c r="P33" s="510">
        <f>+[1]Report1!R38</f>
        <v>52.561</v>
      </c>
      <c r="Q33" s="510">
        <f>+[1]Report1!S38</f>
        <v>1716.4989999999996</v>
      </c>
      <c r="R33" s="510">
        <f>+[1]Report1!AL38</f>
        <v>2.0031392096801812</v>
      </c>
      <c r="S33" s="510">
        <f>+[1]Report1!AM38</f>
        <v>2.0182738236375317</v>
      </c>
      <c r="T33" s="510">
        <f>+[1]Report1!AR38</f>
        <v>0.24733167177184603</v>
      </c>
      <c r="U33" s="510">
        <f>+[1]Report1!AS38</f>
        <v>0.18176052057935616</v>
      </c>
      <c r="V33" s="510">
        <f>+[1]Report1!AX38</f>
        <v>668.93514202544191</v>
      </c>
      <c r="W33" s="510">
        <f>+[1]Report1!AY38</f>
        <v>585.78680791541422</v>
      </c>
      <c r="X33" s="510">
        <f>+[1]Report1!BD38</f>
        <v>465.47820627461431</v>
      </c>
      <c r="Y33" s="569">
        <f>+[1]Report1!BE38</f>
        <v>499.87909052088014</v>
      </c>
      <c r="Z33" s="512">
        <f>+[2]Report1!J38</f>
        <v>0.90385657836075861</v>
      </c>
      <c r="AA33" s="513">
        <f>+[2]Report1!K38</f>
        <v>0.88664737754182976</v>
      </c>
      <c r="AB33" s="513">
        <f>+[2]Report1!BC38</f>
        <v>0.90385657836075861</v>
      </c>
      <c r="AC33" s="513">
        <f>+[2]Report1!BD38</f>
        <v>0.88664737754182976</v>
      </c>
      <c r="AD33" s="510">
        <f>+[2]Report1!R38</f>
        <v>39.149000000000001</v>
      </c>
      <c r="AE33" s="510">
        <f>+[2]Report1!S38</f>
        <v>1148.6709999999998</v>
      </c>
      <c r="AF33" s="510">
        <f>+[2]Report1!X38</f>
        <v>137.46595443964645</v>
      </c>
      <c r="AG33" s="510">
        <f>+[2]Report1!Y38</f>
        <v>130.88462180876959</v>
      </c>
      <c r="AH33" s="510">
        <f>+[2]Report1!AD38</f>
        <v>1.3129326419576488</v>
      </c>
      <c r="AI33" s="510">
        <f>+[2]Report1!AE38</f>
        <v>1.3382421946754122</v>
      </c>
      <c r="AJ33" s="510">
        <f>+[2]Report1!AJ38</f>
        <v>970.36961352783192</v>
      </c>
      <c r="AK33" s="510">
        <f>+[2]Report1!AK38</f>
        <v>990.01661920602191</v>
      </c>
      <c r="AL33" s="576">
        <f>+[6]Report1!AP38</f>
        <v>0</v>
      </c>
      <c r="AM33" s="577">
        <f>+[6]Report1!AQ38</f>
        <v>0</v>
      </c>
      <c r="AN33" s="512">
        <f>+[3]Report1!J38</f>
        <v>0.86059861078040767</v>
      </c>
      <c r="AO33" s="513">
        <f>+[3]Report1!K38</f>
        <v>0.88958977970591924</v>
      </c>
      <c r="AP33" s="513">
        <f>+[3]Report1!BN38</f>
        <v>0.86059861078040767</v>
      </c>
      <c r="AQ33" s="513">
        <f>+[3]Report1!BO38</f>
        <v>0.88958977970591924</v>
      </c>
      <c r="AR33" s="510">
        <f>+[3]Report1!R38</f>
        <v>44.655999999999999</v>
      </c>
      <c r="AS33" s="510">
        <f>+[3]Report1!S38</f>
        <v>1419.8809999999996</v>
      </c>
      <c r="AT33" s="514">
        <f>+[3]Report1!AF38</f>
        <v>108.6102108728205</v>
      </c>
      <c r="AU33" s="514">
        <f>+[3]Report1!AG38</f>
        <v>101.76321433132033</v>
      </c>
      <c r="AV33" s="510">
        <f>+[3]Report1!AL38</f>
        <v>1.4578108204944464</v>
      </c>
      <c r="AW33" s="510">
        <f>+[3]Report1!AM38</f>
        <v>1.3937787744184196</v>
      </c>
      <c r="AX33" s="510">
        <f>+[3]Report1!AR38</f>
        <v>8.0616266571121462E-2</v>
      </c>
      <c r="AY33" s="510">
        <f>+[3]Report1!AS38</f>
        <v>0.16966791455485064</v>
      </c>
      <c r="AZ33" s="510">
        <f>+[3]Report1!AX38</f>
        <v>935.12629881762666</v>
      </c>
      <c r="BA33" s="510">
        <f>+[3]Report1!AY38</f>
        <v>871.80079175649257</v>
      </c>
      <c r="BB33" s="510">
        <f>+[3]Report1!BD38</f>
        <v>624.32819777857401</v>
      </c>
      <c r="BC33" s="510">
        <f>+[3]Report1!BE38</f>
        <v>445.02402243568332</v>
      </c>
      <c r="BD33" s="510">
        <f>+[3]Report1!BJ38</f>
        <v>3.1373163740596075</v>
      </c>
      <c r="BE33" s="510">
        <f>+[3]Report1!BK38</f>
        <v>3.2206924383099929</v>
      </c>
      <c r="BF33" s="512">
        <f>+[4]Report1!J38</f>
        <v>0.92063882874565606</v>
      </c>
      <c r="BG33" s="513">
        <f>+[4]Report1!K38</f>
        <v>0.93012187083680486</v>
      </c>
      <c r="BH33" s="513">
        <f>+[4]Report1!AN38</f>
        <v>0.92063882874565606</v>
      </c>
      <c r="BI33" s="513">
        <f>+[4]Report1!AO38</f>
        <v>0.93012187083680486</v>
      </c>
      <c r="BJ33" s="510">
        <f>+[4]Report1!R38</f>
        <v>46.945999999999998</v>
      </c>
      <c r="BK33" s="510">
        <f>+[4]Report1!S38</f>
        <v>1481.3999999999999</v>
      </c>
      <c r="BL33" s="510">
        <f>+[4]Report1!AD38</f>
        <v>2.6136412047884807</v>
      </c>
      <c r="BM33" s="510">
        <f>+[4]Report1!AE38</f>
        <v>2.4611178614823821</v>
      </c>
      <c r="BN33" s="514">
        <v>0</v>
      </c>
      <c r="BO33" s="514">
        <v>0</v>
      </c>
      <c r="BP33" s="514">
        <f>+[4]Report1!AJ38</f>
        <v>948.43335709071391</v>
      </c>
      <c r="BQ33" s="514">
        <f>+[4]Report1!AK38</f>
        <v>931.84544171027733</v>
      </c>
      <c r="BR33" s="514">
        <v>0</v>
      </c>
      <c r="BS33" s="515">
        <v>0</v>
      </c>
      <c r="BT33" s="512">
        <f>+[5]Report1!J38</f>
        <v>0.91086257529179593</v>
      </c>
      <c r="BU33" s="513">
        <f>+[5]Report1!K38</f>
        <v>0.86819394236436098</v>
      </c>
      <c r="BV33" s="513">
        <f>+[5]Report1!BA38</f>
        <v>0.91086257529179593</v>
      </c>
      <c r="BW33" s="513">
        <f>+[5]Report1!BB38</f>
        <v>0.87957225141640494</v>
      </c>
      <c r="BX33" s="510">
        <f>+[5]Report1!R38</f>
        <v>42.478999999999999</v>
      </c>
      <c r="BY33" s="510">
        <f>+[5]Report1!S38</f>
        <v>1291.0740000000001</v>
      </c>
      <c r="BZ33" s="514">
        <f>+[5]Report1!X38</f>
        <v>102.55061966867413</v>
      </c>
      <c r="CA33" s="514">
        <f>+[5]Report1!Y38</f>
        <v>91.244170399473148</v>
      </c>
      <c r="CB33" s="510">
        <f>+[5]Report1!AD38</f>
        <v>2.3211469196544172</v>
      </c>
      <c r="CC33" s="510">
        <f>+[5]Report1!AE38</f>
        <v>2.1929804178536632</v>
      </c>
      <c r="CD33" s="514">
        <f>+[5]Report1!AJ38</f>
        <v>0</v>
      </c>
      <c r="CE33" s="514">
        <f>+[5]Report1!AK38</f>
        <v>3.1988871280809614E-2</v>
      </c>
      <c r="CF33" s="514">
        <f>+[5]Report1!AP38</f>
        <v>1048.3261757108194</v>
      </c>
      <c r="CG33" s="514">
        <f>+[5]Report1!AQ38</f>
        <v>1018.3777247860276</v>
      </c>
      <c r="CH33" s="514">
        <f>+[5]Report1!AV38</f>
        <v>0</v>
      </c>
      <c r="CI33" s="514">
        <f>+[5]Report1!AW38</f>
        <v>78.488054906225585</v>
      </c>
      <c r="CJ33" s="514"/>
      <c r="CK33" s="515"/>
    </row>
    <row r="34" spans="1:89" ht="12.75" customHeight="1">
      <c r="A34" s="560">
        <f t="shared" si="0"/>
        <v>46022</v>
      </c>
      <c r="B34" s="512">
        <f>+Report1!J39</f>
        <v>0.97402681164769866</v>
      </c>
      <c r="C34" s="513">
        <f>+Report1!K39</f>
        <v>0.88892938553232526</v>
      </c>
      <c r="D34" s="513">
        <f>+Report1!AJ39</f>
        <v>0.97402681164769866</v>
      </c>
      <c r="E34" s="513">
        <f>+Report1!AK39</f>
        <v>0.8898218964058392</v>
      </c>
      <c r="F34" s="510">
        <f>+Report1!R39</f>
        <v>70.677000000000007</v>
      </c>
      <c r="G34" s="510">
        <f>+Report1!S39</f>
        <v>1959.0759999999998</v>
      </c>
      <c r="H34" s="510">
        <f>+Report1!X39</f>
        <v>2.0090411307780465</v>
      </c>
      <c r="I34" s="510">
        <f>+Report1!Y39</f>
        <v>2.2268569468463704</v>
      </c>
      <c r="J34" s="510">
        <f>+Report1!AD39</f>
        <v>746.90097202762706</v>
      </c>
      <c r="K34" s="511">
        <f>+Report1!AE39</f>
        <v>857.35423230134904</v>
      </c>
      <c r="L34" s="512">
        <f>+[1]Report1!J39</f>
        <v>1.0004635914833877</v>
      </c>
      <c r="M34" s="513">
        <f>+[1]Report1!K39</f>
        <v>0.86994909984288449</v>
      </c>
      <c r="N34" s="513">
        <f>+[1]Report1!BJ39</f>
        <v>1.0004635914833877</v>
      </c>
      <c r="O34" s="513">
        <f>+[1]Report1!BK39</f>
        <v>0.90015300198012216</v>
      </c>
      <c r="P34" s="510">
        <f>+[1]Report1!R39</f>
        <v>57.401000000000003</v>
      </c>
      <c r="Q34" s="510">
        <f>+[1]Report1!S39</f>
        <v>1773.8999999999996</v>
      </c>
      <c r="R34" s="510">
        <f>+[1]Report1!AL39</f>
        <v>1.8770404696782286</v>
      </c>
      <c r="S34" s="510">
        <f>+[1]Report1!AM39</f>
        <v>2.0137037037037038</v>
      </c>
      <c r="T34" s="510">
        <f>+[1]Report1!AR39</f>
        <v>0.23170328043065452</v>
      </c>
      <c r="U34" s="510">
        <f>+[1]Report1!AS39</f>
        <v>0.18337660060541419</v>
      </c>
      <c r="V34" s="510">
        <f>+[1]Report1!AX39</f>
        <v>606.60406613126838</v>
      </c>
      <c r="W34" s="510">
        <f>+[1]Report1!AY39</f>
        <v>586.46042617960529</v>
      </c>
      <c r="X34" s="510">
        <f>+[1]Report1!BD39</f>
        <v>508.33609170571935</v>
      </c>
      <c r="Y34" s="569">
        <f>+[1]Report1!BE39</f>
        <v>500.15274761824247</v>
      </c>
      <c r="Z34" s="512">
        <f>+[2]Report1!J39</f>
        <v>0.93457401478332747</v>
      </c>
      <c r="AA34" s="513">
        <f>+[2]Report1!K39</f>
        <v>0.88818847821278912</v>
      </c>
      <c r="AB34" s="513">
        <f>+[2]Report1!BC39</f>
        <v>0.93457401478332747</v>
      </c>
      <c r="AC34" s="513">
        <f>+[2]Report1!BD39</f>
        <v>0.88818847821278912</v>
      </c>
      <c r="AD34" s="510">
        <f>+[2]Report1!R39</f>
        <v>40.225999999999999</v>
      </c>
      <c r="AE34" s="510">
        <f>+[2]Report1!S39</f>
        <v>1188.8969999999999</v>
      </c>
      <c r="AF34" s="510">
        <f>+[2]Report1!X39</f>
        <v>130.96588945437796</v>
      </c>
      <c r="AG34" s="510">
        <f>+[2]Report1!Y39</f>
        <v>130.88737147700178</v>
      </c>
      <c r="AH34" s="510">
        <f>+[2]Report1!AD39</f>
        <v>1.2554069507283847</v>
      </c>
      <c r="AI34" s="510">
        <f>+[2]Report1!AE39</f>
        <v>1.3354394871885455</v>
      </c>
      <c r="AJ34" s="510">
        <f>+[2]Report1!AJ39</f>
        <v>975.9538606870907</v>
      </c>
      <c r="AK34" s="510">
        <f>+[2]Report1!AK39</f>
        <v>989.54080967484902</v>
      </c>
      <c r="AL34" s="576">
        <f>+[6]Report1!AP39</f>
        <v>0</v>
      </c>
      <c r="AM34" s="577">
        <f>+[6]Report1!AQ39</f>
        <v>0</v>
      </c>
      <c r="AN34" s="512">
        <f>+[3]Report1!J39</f>
        <v>0.87172394577134837</v>
      </c>
      <c r="AO34" s="513">
        <f>+[3]Report1!K39</f>
        <v>0.88900925267927799</v>
      </c>
      <c r="AP34" s="513">
        <f>+[3]Report1!BN39</f>
        <v>0.87172394577134837</v>
      </c>
      <c r="AQ34" s="513">
        <f>+[3]Report1!BO39</f>
        <v>0.88900925267927799</v>
      </c>
      <c r="AR34" s="510">
        <f>+[3]Report1!R39</f>
        <v>46.728999999999999</v>
      </c>
      <c r="AS34" s="510">
        <f>+[3]Report1!S39</f>
        <v>1466.6099999999997</v>
      </c>
      <c r="AT34" s="514">
        <f>+[3]Report1!AF39</f>
        <v>111.11291813735811</v>
      </c>
      <c r="AU34" s="514">
        <f>+[3]Report1!AG39</f>
        <v>102.06111377913014</v>
      </c>
      <c r="AV34" s="510">
        <f>+[3]Report1!AL39</f>
        <v>1.4188191487085107</v>
      </c>
      <c r="AW34" s="510">
        <f>+[3]Report1!AM39</f>
        <v>1.3945766086416975</v>
      </c>
      <c r="AX34" s="510">
        <f>+[3]Report1!AR39</f>
        <v>9.6299942220034671E-2</v>
      </c>
      <c r="AY34" s="510">
        <f>+[3]Report1!AS39</f>
        <v>0.16733027061458458</v>
      </c>
      <c r="AZ34" s="510">
        <f>+[3]Report1!AX39</f>
        <v>838.21010507393737</v>
      </c>
      <c r="BA34" s="510">
        <f>+[3]Report1!AY39</f>
        <v>870.73052822495436</v>
      </c>
      <c r="BB34" s="510">
        <f>+[3]Report1!BD39</f>
        <v>541.84767489139415</v>
      </c>
      <c r="BC34" s="510">
        <f>+[3]Report1!BE39</f>
        <v>448.10900921171987</v>
      </c>
      <c r="BD34" s="510">
        <f>+[3]Report1!BJ39</f>
        <v>2.9917182049688278</v>
      </c>
      <c r="BE34" s="510">
        <f>+[3]Report1!BK39</f>
        <v>3.2133968812431513</v>
      </c>
      <c r="BF34" s="512">
        <f>+[4]Report1!J39</f>
        <v>0.97243621500176503</v>
      </c>
      <c r="BG34" s="513">
        <f>+[4]Report1!K39</f>
        <v>0.93153026350351709</v>
      </c>
      <c r="BH34" s="513">
        <f>+[4]Report1!AN39</f>
        <v>0.97243621500176503</v>
      </c>
      <c r="BI34" s="513">
        <f>+[4]Report1!AO39</f>
        <v>0.93153026350351709</v>
      </c>
      <c r="BJ34" s="510">
        <f>+[4]Report1!R39</f>
        <v>53.325000000000003</v>
      </c>
      <c r="BK34" s="510">
        <f>+[4]Report1!S39</f>
        <v>1534.7249999999999</v>
      </c>
      <c r="BL34" s="510">
        <f>+[4]Report1!AD39</f>
        <v>2.4491326769807782</v>
      </c>
      <c r="BM34" s="510">
        <f>+[4]Report1!AE39</f>
        <v>2.4607014285947</v>
      </c>
      <c r="BN34" s="514">
        <v>0</v>
      </c>
      <c r="BO34" s="514">
        <v>0</v>
      </c>
      <c r="BP34" s="514">
        <f>+[4]Report1!AJ39</f>
        <v>782.71616872767027</v>
      </c>
      <c r="BQ34" s="514">
        <f>+[4]Report1!AK39</f>
        <v>926.66384990601421</v>
      </c>
      <c r="BR34" s="514">
        <v>0</v>
      </c>
      <c r="BS34" s="515">
        <v>0</v>
      </c>
      <c r="BT34" s="512">
        <f>+[5]Report1!J39</f>
        <v>0.90804973109499865</v>
      </c>
      <c r="BU34" s="513">
        <f>+[5]Report1!K39</f>
        <v>0.86938797252842825</v>
      </c>
      <c r="BV34" s="513">
        <f>+[5]Report1!BA39</f>
        <v>0.90804973109499865</v>
      </c>
      <c r="BW34" s="513">
        <f>+[5]Report1!BB39</f>
        <v>0.88043624342438931</v>
      </c>
      <c r="BX34" s="510">
        <f>+[5]Report1!R39</f>
        <v>41.704000000000001</v>
      </c>
      <c r="BY34" s="510">
        <f>+[5]Report1!S39</f>
        <v>1332.778</v>
      </c>
      <c r="BZ34" s="514">
        <f>+[5]Report1!X39</f>
        <v>99.740326567417597</v>
      </c>
      <c r="CA34" s="514">
        <f>+[5]Report1!Y39</f>
        <v>91.510023900077115</v>
      </c>
      <c r="CB34" s="510">
        <f>+[5]Report1!AD39</f>
        <v>2.3522923460579319</v>
      </c>
      <c r="CC34" s="510">
        <f>+[5]Report1!AE39</f>
        <v>2.1979654526110126</v>
      </c>
      <c r="CD34" s="514">
        <f>+[5]Report1!AJ39</f>
        <v>0</v>
      </c>
      <c r="CE34" s="514">
        <f>+[5]Report1!AK39</f>
        <v>3.0987906463041854E-2</v>
      </c>
      <c r="CF34" s="514">
        <f>+[5]Report1!AP39</f>
        <v>1270.329472055354</v>
      </c>
      <c r="CG34" s="514">
        <f>+[5]Report1!AQ39</f>
        <v>1026.2615551524652</v>
      </c>
      <c r="CH34" s="514">
        <f>+[5]Report1!AV39</f>
        <v>0</v>
      </c>
      <c r="CI34" s="514">
        <f>+[5]Report1!AW39</f>
        <v>76.032082612408274</v>
      </c>
      <c r="CJ34" s="514"/>
      <c r="CK34" s="515"/>
    </row>
    <row r="35" spans="1:89" ht="12.75" customHeight="1">
      <c r="A35" s="560"/>
      <c r="B35" s="512"/>
      <c r="C35" s="513"/>
      <c r="D35" s="513"/>
      <c r="E35" s="513"/>
      <c r="F35" s="510"/>
      <c r="G35" s="510"/>
      <c r="H35" s="510"/>
      <c r="I35" s="510"/>
      <c r="J35" s="510"/>
      <c r="K35" s="511"/>
      <c r="L35" s="512"/>
      <c r="M35" s="513"/>
      <c r="N35" s="513"/>
      <c r="O35" s="513"/>
      <c r="P35" s="510"/>
      <c r="Q35" s="510"/>
      <c r="R35" s="510"/>
      <c r="S35" s="510"/>
      <c r="T35" s="510"/>
      <c r="U35" s="510"/>
      <c r="V35" s="510"/>
      <c r="W35" s="510"/>
      <c r="X35" s="510"/>
      <c r="Y35" s="569"/>
      <c r="Z35" s="512"/>
      <c r="AA35" s="513"/>
      <c r="AB35" s="513"/>
      <c r="AC35" s="513"/>
      <c r="AD35" s="510"/>
      <c r="AE35" s="510"/>
      <c r="AF35" s="510"/>
      <c r="AG35" s="510"/>
      <c r="AH35" s="510"/>
      <c r="AI35" s="510"/>
      <c r="AJ35" s="510"/>
      <c r="AK35" s="510"/>
      <c r="AL35" s="576"/>
      <c r="AM35" s="577"/>
      <c r="AN35" s="512"/>
      <c r="AO35" s="513"/>
      <c r="AP35" s="513"/>
      <c r="AQ35" s="513"/>
      <c r="AR35" s="510"/>
      <c r="AS35" s="510"/>
      <c r="AT35" s="514"/>
      <c r="AU35" s="514"/>
      <c r="AV35" s="510"/>
      <c r="AW35" s="510"/>
      <c r="AX35" s="510"/>
      <c r="AY35" s="510"/>
      <c r="AZ35" s="510"/>
      <c r="BA35" s="510"/>
      <c r="BB35" s="510"/>
      <c r="BC35" s="510"/>
      <c r="BD35" s="510"/>
      <c r="BE35" s="510"/>
      <c r="BF35" s="512"/>
      <c r="BG35" s="513"/>
      <c r="BH35" s="513"/>
      <c r="BI35" s="513"/>
      <c r="BJ35" s="510"/>
      <c r="BK35" s="510"/>
      <c r="BL35" s="510"/>
      <c r="BM35" s="510"/>
      <c r="BN35" s="514"/>
      <c r="BO35" s="514"/>
      <c r="BP35" s="514"/>
      <c r="BQ35" s="514"/>
      <c r="BR35" s="514"/>
      <c r="BS35" s="515"/>
      <c r="BT35" s="512"/>
      <c r="BU35" s="513"/>
      <c r="BV35" s="513"/>
      <c r="BW35" s="513"/>
      <c r="BX35" s="510"/>
      <c r="BY35" s="510"/>
      <c r="BZ35" s="514"/>
      <c r="CA35" s="514"/>
      <c r="CB35" s="510"/>
      <c r="CC35" s="510"/>
      <c r="CD35" s="514"/>
      <c r="CE35" s="514"/>
      <c r="CF35" s="514"/>
      <c r="CG35" s="514"/>
      <c r="CH35" s="514"/>
      <c r="CI35" s="514"/>
      <c r="CJ35" s="514"/>
      <c r="CK35" s="515"/>
    </row>
    <row r="36" spans="1:89" ht="12.75" customHeight="1" thickBot="1">
      <c r="A36" s="561" t="s">
        <v>325</v>
      </c>
      <c r="B36" s="630">
        <f>+C34</f>
        <v>0.88892938553232526</v>
      </c>
      <c r="C36" s="631"/>
      <c r="D36" s="632">
        <f>+E34</f>
        <v>0.8898218964058392</v>
      </c>
      <c r="E36" s="631"/>
      <c r="F36" s="626">
        <f>+G34</f>
        <v>1959.0759999999998</v>
      </c>
      <c r="G36" s="627"/>
      <c r="H36" s="628">
        <f>+I34</f>
        <v>2.2268569468463704</v>
      </c>
      <c r="I36" s="629"/>
      <c r="J36" s="626">
        <f>+K34</f>
        <v>857.35423230134904</v>
      </c>
      <c r="K36" s="651"/>
      <c r="L36" s="630">
        <f>+M34</f>
        <v>0.86994909984288449</v>
      </c>
      <c r="M36" s="631"/>
      <c r="N36" s="632">
        <f>+O34</f>
        <v>0.90015300198012216</v>
      </c>
      <c r="O36" s="631"/>
      <c r="P36" s="626">
        <f>+Q34</f>
        <v>1773.8999999999996</v>
      </c>
      <c r="Q36" s="627"/>
      <c r="R36" s="628">
        <f>+S34</f>
        <v>2.0137037037037038</v>
      </c>
      <c r="S36" s="629"/>
      <c r="T36" s="628">
        <f>+U34</f>
        <v>0.18337660060541419</v>
      </c>
      <c r="U36" s="629"/>
      <c r="V36" s="626">
        <f>+W34</f>
        <v>586.46042617960529</v>
      </c>
      <c r="W36" s="627"/>
      <c r="X36" s="628">
        <f>+Y34</f>
        <v>500.15274761824247</v>
      </c>
      <c r="Y36" s="659"/>
      <c r="Z36" s="630">
        <f>+AA34</f>
        <v>0.88818847821278912</v>
      </c>
      <c r="AA36" s="631"/>
      <c r="AB36" s="632">
        <f>+AC34</f>
        <v>0.88818847821278912</v>
      </c>
      <c r="AC36" s="631"/>
      <c r="AD36" s="626">
        <f>+AE34</f>
        <v>1188.8969999999999</v>
      </c>
      <c r="AE36" s="627"/>
      <c r="AF36" s="628">
        <f>+AG34</f>
        <v>130.88737147700178</v>
      </c>
      <c r="AG36" s="629"/>
      <c r="AH36" s="628">
        <f>+AI34</f>
        <v>1.3354394871885455</v>
      </c>
      <c r="AI36" s="629"/>
      <c r="AJ36" s="628">
        <f>+AK34</f>
        <v>989.54080967484902</v>
      </c>
      <c r="AK36" s="629"/>
      <c r="AL36" s="626">
        <f>+AM34</f>
        <v>0</v>
      </c>
      <c r="AM36" s="651"/>
      <c r="AN36" s="630">
        <f>+AO34</f>
        <v>0.88900925267927799</v>
      </c>
      <c r="AO36" s="631"/>
      <c r="AP36" s="632">
        <f>+AQ34</f>
        <v>0.88900925267927799</v>
      </c>
      <c r="AQ36" s="631"/>
      <c r="AR36" s="657">
        <f>+AS34</f>
        <v>1466.6099999999997</v>
      </c>
      <c r="AS36" s="658"/>
      <c r="AT36" s="628">
        <f>+AU34</f>
        <v>102.06111377913014</v>
      </c>
      <c r="AU36" s="629"/>
      <c r="AV36" s="628">
        <f>+AW34</f>
        <v>1.3945766086416975</v>
      </c>
      <c r="AW36" s="629"/>
      <c r="AX36" s="628">
        <f>+AY34</f>
        <v>0.16733027061458458</v>
      </c>
      <c r="AY36" s="629"/>
      <c r="AZ36" s="626">
        <f>+BA34</f>
        <v>870.73052822495436</v>
      </c>
      <c r="BA36" s="627"/>
      <c r="BB36" s="626">
        <f>+BC34</f>
        <v>448.10900921171987</v>
      </c>
      <c r="BC36" s="627"/>
      <c r="BD36" s="626">
        <f>+BE34</f>
        <v>3.2133968812431513</v>
      </c>
      <c r="BE36" s="651"/>
      <c r="BF36" s="630">
        <f>+BG34</f>
        <v>0.93153026350351709</v>
      </c>
      <c r="BG36" s="631"/>
      <c r="BH36" s="632">
        <f>+BI34</f>
        <v>0.93153026350351709</v>
      </c>
      <c r="BI36" s="631"/>
      <c r="BJ36" s="626">
        <f>+BK34</f>
        <v>1534.7249999999999</v>
      </c>
      <c r="BK36" s="627"/>
      <c r="BL36" s="628">
        <f>+BM34</f>
        <v>2.4607014285947</v>
      </c>
      <c r="BM36" s="629"/>
      <c r="BN36" s="628">
        <f>+BO34</f>
        <v>0</v>
      </c>
      <c r="BO36" s="629"/>
      <c r="BP36" s="626">
        <f>+BQ34</f>
        <v>926.66384990601421</v>
      </c>
      <c r="BQ36" s="627"/>
      <c r="BR36" s="626">
        <f>+BS34</f>
        <v>0</v>
      </c>
      <c r="BS36" s="651"/>
      <c r="BT36" s="630">
        <f>+BU34</f>
        <v>0.86938797252842825</v>
      </c>
      <c r="BU36" s="631"/>
      <c r="BV36" s="632">
        <f>+BW34</f>
        <v>0.88043624342438931</v>
      </c>
      <c r="BW36" s="631"/>
      <c r="BX36" s="626">
        <f>+BY34</f>
        <v>1332.778</v>
      </c>
      <c r="BY36" s="627"/>
      <c r="BZ36" s="672">
        <f>+CA34</f>
        <v>91.510023900077115</v>
      </c>
      <c r="CA36" s="672"/>
      <c r="CB36" s="672">
        <f>+CC34</f>
        <v>2.1979654526110126</v>
      </c>
      <c r="CC36" s="672"/>
      <c r="CD36" s="672">
        <f>+CE34</f>
        <v>3.0987906463041854E-2</v>
      </c>
      <c r="CE36" s="672"/>
      <c r="CF36" s="626">
        <f>+CG34</f>
        <v>1026.2615551524652</v>
      </c>
      <c r="CG36" s="627"/>
      <c r="CH36" s="670">
        <f>+CI34</f>
        <v>76.032082612408274</v>
      </c>
      <c r="CI36" s="670"/>
      <c r="CJ36" s="670">
        <f>+CK34</f>
        <v>0</v>
      </c>
      <c r="CK36" s="803"/>
    </row>
    <row r="37" spans="1:89" ht="14.25" customHeight="1" thickTop="1">
      <c r="A37" s="559">
        <v>45962</v>
      </c>
      <c r="B37" s="518">
        <v>1.0026126095610461</v>
      </c>
      <c r="C37" s="519">
        <v>1.0026126095610461</v>
      </c>
      <c r="D37" s="519">
        <v>1.0026126095610461</v>
      </c>
      <c r="E37" s="519">
        <v>1.0026126095610461</v>
      </c>
      <c r="F37" s="520">
        <v>59.673000000000002</v>
      </c>
      <c r="G37" s="520">
        <v>59.673000000000002</v>
      </c>
      <c r="H37" s="520">
        <v>2.5626665326026843</v>
      </c>
      <c r="I37" s="520">
        <v>2.5626665326026843</v>
      </c>
      <c r="J37" s="520">
        <v>851.52916729511492</v>
      </c>
      <c r="K37" s="548">
        <v>851.52916729511492</v>
      </c>
      <c r="L37" s="1020">
        <v>0.82240430729560743</v>
      </c>
      <c r="M37" s="581">
        <v>0.82240430729560743</v>
      </c>
      <c r="N37" s="581">
        <v>0.82240430729560743</v>
      </c>
      <c r="O37" s="581">
        <v>0.82240430729560743</v>
      </c>
      <c r="P37" s="576">
        <v>43.186</v>
      </c>
      <c r="Q37" s="576">
        <v>43.186</v>
      </c>
      <c r="R37" s="576">
        <v>2.9519520214884456</v>
      </c>
      <c r="S37" s="576">
        <v>2.9519520214884456</v>
      </c>
      <c r="T37" s="576">
        <v>0.29639234937248182</v>
      </c>
      <c r="U37" s="576">
        <v>0.29639234937248182</v>
      </c>
      <c r="V37" s="576">
        <v>738.69425276708216</v>
      </c>
      <c r="W37" s="576">
        <v>738.69425276708216</v>
      </c>
      <c r="X37" s="576">
        <v>478.95151206409486</v>
      </c>
      <c r="Y37" s="577">
        <v>478.95151206409486</v>
      </c>
      <c r="Z37" s="1020">
        <v>0</v>
      </c>
      <c r="AA37" s="581">
        <v>0</v>
      </c>
      <c r="AB37" s="581" t="e">
        <v>#DIV/0!</v>
      </c>
      <c r="AC37" s="581" t="e">
        <v>#DIV/0!</v>
      </c>
      <c r="AD37" s="576">
        <v>0</v>
      </c>
      <c r="AE37" s="576">
        <v>0</v>
      </c>
      <c r="AF37" s="576">
        <v>0</v>
      </c>
      <c r="AG37" s="576">
        <v>0</v>
      </c>
      <c r="AH37" s="576">
        <v>0</v>
      </c>
      <c r="AI37" s="576">
        <v>0</v>
      </c>
      <c r="AJ37" s="576">
        <v>0</v>
      </c>
      <c r="AK37" s="576">
        <v>0</v>
      </c>
      <c r="AL37" s="576"/>
      <c r="AM37" s="576"/>
      <c r="AN37" s="1020">
        <v>0.72220006040347318</v>
      </c>
      <c r="AO37" s="581">
        <v>0.72220006040347318</v>
      </c>
      <c r="AP37" s="581">
        <v>0.72220006040347318</v>
      </c>
      <c r="AQ37" s="581">
        <v>0.72220006040347318</v>
      </c>
      <c r="AR37" s="576">
        <v>39.835000000000001</v>
      </c>
      <c r="AS37" s="576">
        <v>39.835000000000001</v>
      </c>
      <c r="AT37" s="582">
        <v>121.34643527811075</v>
      </c>
      <c r="AU37" s="582">
        <v>121.34643527811075</v>
      </c>
      <c r="AV37" s="576">
        <v>1.5790134304004015</v>
      </c>
      <c r="AW37" s="576">
        <v>1.5790134304004015</v>
      </c>
      <c r="AX37" s="576">
        <v>0.19831806200577382</v>
      </c>
      <c r="AY37" s="576">
        <v>0.19831806200577382</v>
      </c>
      <c r="AZ37" s="576">
        <v>913.55089745198973</v>
      </c>
      <c r="BA37" s="576">
        <v>913.55089745198973</v>
      </c>
      <c r="BB37" s="576">
        <v>563.58679553156765</v>
      </c>
      <c r="BC37" s="576">
        <v>563.58679553156765</v>
      </c>
      <c r="BD37" s="576">
        <v>7.832308271620434</v>
      </c>
      <c r="BE37" s="576">
        <v>7.832308271620434</v>
      </c>
      <c r="BF37" s="518">
        <v>0.94810263607529854</v>
      </c>
      <c r="BG37" s="519">
        <v>0.94810263607529854</v>
      </c>
      <c r="BH37" s="519">
        <v>0.94810263607529854</v>
      </c>
      <c r="BI37" s="519">
        <v>0.94810263607529854</v>
      </c>
      <c r="BJ37" s="520">
        <v>51.744</v>
      </c>
      <c r="BK37" s="520">
        <v>51.744</v>
      </c>
      <c r="BL37" s="520">
        <v>2.6611781076066787</v>
      </c>
      <c r="BM37" s="520">
        <v>2.6611781076066787</v>
      </c>
      <c r="BN37" s="521">
        <v>0</v>
      </c>
      <c r="BO37" s="521">
        <v>0</v>
      </c>
      <c r="BP37" s="521">
        <v>964.39393939393995</v>
      </c>
      <c r="BQ37" s="521">
        <v>964.39393939393995</v>
      </c>
      <c r="BR37" s="521">
        <v>0</v>
      </c>
      <c r="BS37" s="522">
        <v>0</v>
      </c>
      <c r="BT37" s="1020">
        <v>0.81787214045624401</v>
      </c>
      <c r="BU37" s="581">
        <v>0.81787214045624401</v>
      </c>
      <c r="BV37" s="581">
        <v>0.81787214045624401</v>
      </c>
      <c r="BW37" s="581">
        <v>0.81787214045624401</v>
      </c>
      <c r="BX37" s="576">
        <v>42.732999999999997</v>
      </c>
      <c r="BY37" s="576">
        <v>42.732999999999997</v>
      </c>
      <c r="BZ37" s="582">
        <v>76.829727627277691</v>
      </c>
      <c r="CA37" s="582">
        <v>76.829727627277705</v>
      </c>
      <c r="CB37" s="576">
        <v>2.0195165328902722</v>
      </c>
      <c r="CC37" s="576">
        <v>2.0195165328902722</v>
      </c>
      <c r="CD37" s="582">
        <v>0.17082816558631503</v>
      </c>
      <c r="CE37" s="582">
        <v>0.17082816558631503</v>
      </c>
      <c r="CF37" s="582">
        <v>545.97851777314884</v>
      </c>
      <c r="CG37" s="582">
        <v>545.97851777314884</v>
      </c>
      <c r="CH37" s="582">
        <v>484.95354877963166</v>
      </c>
      <c r="CI37" s="582">
        <v>484.95354877963166</v>
      </c>
      <c r="CJ37" s="582"/>
      <c r="CK37" s="583"/>
    </row>
    <row r="38" spans="1:89" ht="14.25" customHeight="1">
      <c r="A38" s="560">
        <v>45963</v>
      </c>
      <c r="B38" s="512">
        <v>0.85910238670422456</v>
      </c>
      <c r="C38" s="513">
        <v>0.92353920011123369</v>
      </c>
      <c r="D38" s="513">
        <v>0.85910238670422456</v>
      </c>
      <c r="E38" s="513">
        <v>0.92353920011123369</v>
      </c>
      <c r="F38" s="510">
        <v>62.746000000000002</v>
      </c>
      <c r="G38" s="510">
        <v>122.41900000000001</v>
      </c>
      <c r="H38" s="510">
        <v>2.5243840244796476</v>
      </c>
      <c r="I38" s="510">
        <v>2.5430447887991243</v>
      </c>
      <c r="J38" s="510">
        <v>938.61696363114004</v>
      </c>
      <c r="K38" s="511">
        <v>896.16611800456542</v>
      </c>
      <c r="L38" s="512">
        <v>0.92430698159177727</v>
      </c>
      <c r="M38" s="513">
        <v>0.87307588236638778</v>
      </c>
      <c r="N38" s="513">
        <v>0.92430698159177727</v>
      </c>
      <c r="O38" s="513">
        <v>0.87307588236638778</v>
      </c>
      <c r="P38" s="510">
        <v>48.006999999999998</v>
      </c>
      <c r="Q38" s="510">
        <v>91.192999999999998</v>
      </c>
      <c r="R38" s="510">
        <v>2.6909617347470163</v>
      </c>
      <c r="S38" s="510">
        <v>2.8145581349445683</v>
      </c>
      <c r="T38" s="510">
        <v>0.28329201991376257</v>
      </c>
      <c r="U38" s="510">
        <v>0.2894959042908995</v>
      </c>
      <c r="V38" s="510">
        <v>917.99716707979894</v>
      </c>
      <c r="W38" s="510">
        <v>833.08521487393887</v>
      </c>
      <c r="X38" s="510">
        <v>463.43241610598454</v>
      </c>
      <c r="Y38" s="569">
        <v>470.78174859912491</v>
      </c>
      <c r="Z38" s="1021">
        <v>0</v>
      </c>
      <c r="AA38" s="513">
        <v>0</v>
      </c>
      <c r="AB38" s="513" t="e">
        <v>#DIV/0!</v>
      </c>
      <c r="AC38" s="513" t="e">
        <v>#DIV/0!</v>
      </c>
      <c r="AD38" s="510">
        <v>0</v>
      </c>
      <c r="AE38" s="510">
        <v>0</v>
      </c>
      <c r="AF38" s="510">
        <v>0</v>
      </c>
      <c r="AG38" s="510">
        <v>0</v>
      </c>
      <c r="AH38" s="510">
        <v>0</v>
      </c>
      <c r="AI38" s="510">
        <v>0</v>
      </c>
      <c r="AJ38" s="510">
        <v>0</v>
      </c>
      <c r="AK38" s="510">
        <v>0</v>
      </c>
      <c r="AL38" s="576"/>
      <c r="AM38" s="576"/>
      <c r="AN38" s="1021">
        <v>0.89075190777271496</v>
      </c>
      <c r="AO38" s="513">
        <v>0.80644942556810795</v>
      </c>
      <c r="AP38" s="513">
        <v>0.89075190777271496</v>
      </c>
      <c r="AQ38" s="513">
        <v>0.80644942556810795</v>
      </c>
      <c r="AR38" s="510">
        <v>49.100999999999999</v>
      </c>
      <c r="AS38" s="510">
        <v>88.936000000000007</v>
      </c>
      <c r="AT38" s="514">
        <v>117.27096079252567</v>
      </c>
      <c r="AU38" s="514">
        <v>119.09639173312657</v>
      </c>
      <c r="AV38" s="510">
        <v>1.3808272743935968</v>
      </c>
      <c r="AW38" s="510">
        <v>1.4695961140595482</v>
      </c>
      <c r="AX38" s="510">
        <v>0.22199140547035703</v>
      </c>
      <c r="AY38" s="510">
        <v>0.21138796437887919</v>
      </c>
      <c r="AZ38" s="510">
        <v>910.49998981690749</v>
      </c>
      <c r="BA38" s="510">
        <v>911.86651074930273</v>
      </c>
      <c r="BB38" s="510">
        <v>490.00427689863744</v>
      </c>
      <c r="BC38" s="510">
        <v>522.96235495187534</v>
      </c>
      <c r="BD38" s="510">
        <v>4.6434899492882016</v>
      </c>
      <c r="BE38" s="510">
        <v>6.0717819555635515</v>
      </c>
      <c r="BF38" s="512">
        <v>1.0570737664457603</v>
      </c>
      <c r="BG38" s="513">
        <v>1.0034080766026876</v>
      </c>
      <c r="BH38" s="513">
        <v>1.0570737664457603</v>
      </c>
      <c r="BI38" s="513">
        <v>1.0034080766026876</v>
      </c>
      <c r="BJ38" s="510">
        <v>59.454000000000001</v>
      </c>
      <c r="BK38" s="510">
        <v>111.19800000000001</v>
      </c>
      <c r="BL38" s="510">
        <v>2.2740269788407841</v>
      </c>
      <c r="BM38" s="510">
        <v>2.4541808305904778</v>
      </c>
      <c r="BN38" s="514">
        <v>0</v>
      </c>
      <c r="BO38" s="514">
        <v>0</v>
      </c>
      <c r="BP38" s="514">
        <v>785.31166952602246</v>
      </c>
      <c r="BQ38" s="514">
        <v>868.64440007913947</v>
      </c>
      <c r="BR38" s="514">
        <v>0</v>
      </c>
      <c r="BS38" s="515">
        <v>0</v>
      </c>
      <c r="BT38" s="1021">
        <v>0.49042024775911752</v>
      </c>
      <c r="BU38" s="513">
        <v>0.65390364401457701</v>
      </c>
      <c r="BV38" s="513">
        <v>0.49042024775911752</v>
      </c>
      <c r="BW38" s="513">
        <v>0.65390364401457701</v>
      </c>
      <c r="BX38" s="510">
        <v>25.7</v>
      </c>
      <c r="BY38" s="510">
        <v>68.432999999999993</v>
      </c>
      <c r="BZ38" s="514">
        <v>113.7695935457664</v>
      </c>
      <c r="CA38" s="514">
        <v>90.70248717464753</v>
      </c>
      <c r="CB38" s="510">
        <v>2.8754863813229576</v>
      </c>
      <c r="CC38" s="510">
        <v>2.3409758449870677</v>
      </c>
      <c r="CD38" s="514">
        <v>0.31128404669260701</v>
      </c>
      <c r="CE38" s="514">
        <v>0.22357634474595595</v>
      </c>
      <c r="CF38" s="514">
        <v>789.74552529183018</v>
      </c>
      <c r="CG38" s="514">
        <v>637.52517060482523</v>
      </c>
      <c r="CH38" s="514">
        <v>706.23735408560322</v>
      </c>
      <c r="CI38" s="514">
        <v>568.05663934066911</v>
      </c>
      <c r="CJ38" s="514"/>
      <c r="CK38" s="515"/>
    </row>
    <row r="39" spans="1:89" ht="12.75" customHeight="1">
      <c r="A39" s="560">
        <v>45964</v>
      </c>
      <c r="B39" s="512">
        <v>0.87121677976786538</v>
      </c>
      <c r="C39" s="513">
        <v>0.90458062104850656</v>
      </c>
      <c r="D39" s="513">
        <v>0.87121677976786538</v>
      </c>
      <c r="E39" s="513">
        <v>0.90458062104850656</v>
      </c>
      <c r="F39" s="510">
        <v>65.622</v>
      </c>
      <c r="G39" s="510">
        <v>188.041</v>
      </c>
      <c r="H39" s="510">
        <v>2.5455030325195818</v>
      </c>
      <c r="I39" s="510">
        <v>2.5439026595263798</v>
      </c>
      <c r="J39" s="510">
        <v>748.8912255036505</v>
      </c>
      <c r="K39" s="511">
        <v>844.77055535761588</v>
      </c>
      <c r="L39" s="512">
        <v>0.93399153617216479</v>
      </c>
      <c r="M39" s="513">
        <v>0.89330663649175424</v>
      </c>
      <c r="N39" s="513">
        <v>0.93399153617216479</v>
      </c>
      <c r="O39" s="513">
        <v>0.89330663649175424</v>
      </c>
      <c r="P39" s="510">
        <v>48.51</v>
      </c>
      <c r="Q39" s="510">
        <v>139.703</v>
      </c>
      <c r="R39" s="510">
        <v>2.8287569573283862</v>
      </c>
      <c r="S39" s="510">
        <v>2.8194884862887699</v>
      </c>
      <c r="T39" s="510">
        <v>0.23088023088023088</v>
      </c>
      <c r="U39" s="510">
        <v>0.26914239493783237</v>
      </c>
      <c r="V39" s="510">
        <v>701.37724180582484</v>
      </c>
      <c r="W39" s="510">
        <v>787.3513811442823</v>
      </c>
      <c r="X39" s="510">
        <v>403.25706039991752</v>
      </c>
      <c r="Y39" s="569">
        <v>447.33470290544943</v>
      </c>
      <c r="Z39" s="1021">
        <v>0</v>
      </c>
      <c r="AA39" s="513">
        <v>0</v>
      </c>
      <c r="AB39" s="513" t="e">
        <v>#DIV/0!</v>
      </c>
      <c r="AC39" s="513" t="e">
        <v>#DIV/0!</v>
      </c>
      <c r="AD39" s="510">
        <v>0</v>
      </c>
      <c r="AE39" s="510">
        <v>0</v>
      </c>
      <c r="AF39" s="510">
        <v>0</v>
      </c>
      <c r="AG39" s="510">
        <v>0</v>
      </c>
      <c r="AH39" s="510">
        <v>0</v>
      </c>
      <c r="AI39" s="510">
        <v>0</v>
      </c>
      <c r="AJ39" s="510">
        <v>0</v>
      </c>
      <c r="AK39" s="510">
        <v>0</v>
      </c>
      <c r="AL39" s="576"/>
      <c r="AM39" s="576"/>
      <c r="AN39" s="1021">
        <v>0.88021327852624942</v>
      </c>
      <c r="AO39" s="513">
        <v>0.8308963504674044</v>
      </c>
      <c r="AP39" s="513">
        <v>0.88021327852624942</v>
      </c>
      <c r="AQ39" s="513">
        <v>0.8308963504674044</v>
      </c>
      <c r="AR39" s="510">
        <v>48.119</v>
      </c>
      <c r="AS39" s="510">
        <v>137.05500000000001</v>
      </c>
      <c r="AT39" s="514">
        <v>117.98355836916087</v>
      </c>
      <c r="AU39" s="514">
        <v>118.7056841439057</v>
      </c>
      <c r="AV39" s="510">
        <v>1.4339450113260874</v>
      </c>
      <c r="AW39" s="510">
        <v>1.4570792747437158</v>
      </c>
      <c r="AX39" s="510">
        <v>0.20573993640765603</v>
      </c>
      <c r="AY39" s="510">
        <v>0.2094049834008245</v>
      </c>
      <c r="AZ39" s="510">
        <v>886.83763170473196</v>
      </c>
      <c r="BA39" s="510">
        <v>903.07905585348919</v>
      </c>
      <c r="BB39" s="510">
        <v>434.52274569296992</v>
      </c>
      <c r="BC39" s="510">
        <v>491.9118602021087</v>
      </c>
      <c r="BD39" s="510">
        <v>6.0080217793394484</v>
      </c>
      <c r="BE39" s="510">
        <v>6.049396227792017</v>
      </c>
      <c r="BF39" s="512">
        <v>0.14596480492321981</v>
      </c>
      <c r="BG39" s="513">
        <v>0.73265597807757099</v>
      </c>
      <c r="BH39" s="513">
        <v>0.14596480492321981</v>
      </c>
      <c r="BI39" s="513">
        <v>0.73265597807757099</v>
      </c>
      <c r="BJ39" s="510">
        <v>7.4649999999999999</v>
      </c>
      <c r="BK39" s="510">
        <v>118.66300000000001</v>
      </c>
      <c r="BL39" s="510">
        <v>7.8097789685197583</v>
      </c>
      <c r="BM39" s="510">
        <v>2.7910974777310531</v>
      </c>
      <c r="BN39" s="514">
        <v>0</v>
      </c>
      <c r="BO39" s="514">
        <v>0</v>
      </c>
      <c r="BP39" s="514">
        <v>3258.0147354321466</v>
      </c>
      <c r="BQ39" s="514">
        <v>1018.9578891482698</v>
      </c>
      <c r="BR39" s="514">
        <v>0</v>
      </c>
      <c r="BS39" s="515">
        <v>0</v>
      </c>
      <c r="BT39" s="1021">
        <v>0.79433838368211329</v>
      </c>
      <c r="BU39" s="513">
        <v>0.7007332695173708</v>
      </c>
      <c r="BV39" s="513">
        <v>0.79433838368211329</v>
      </c>
      <c r="BW39" s="513">
        <v>0.7007332695173708</v>
      </c>
      <c r="BX39" s="510">
        <v>41.588999999999999</v>
      </c>
      <c r="BY39" s="510">
        <v>110.02199999999999</v>
      </c>
      <c r="BZ39" s="514">
        <v>82.467699507907085</v>
      </c>
      <c r="CA39" s="514">
        <v>87.58968624145173</v>
      </c>
      <c r="CB39" s="510">
        <v>2.113539637885018</v>
      </c>
      <c r="CC39" s="510">
        <v>2.2550035447455965</v>
      </c>
      <c r="CD39" s="514">
        <v>0.19476303830339753</v>
      </c>
      <c r="CE39" s="514">
        <v>0.21268473578011671</v>
      </c>
      <c r="CF39" s="514">
        <v>578.43997210801774</v>
      </c>
      <c r="CG39" s="514">
        <v>615.19059824399096</v>
      </c>
      <c r="CH39" s="514">
        <v>411.33953689677588</v>
      </c>
      <c r="CI39" s="514">
        <v>508.81660031630059</v>
      </c>
      <c r="CJ39" s="514"/>
      <c r="CK39" s="515"/>
    </row>
    <row r="40" spans="1:89" ht="12.75" customHeight="1">
      <c r="A40" s="560">
        <v>45965</v>
      </c>
      <c r="B40" s="512">
        <v>0.79021126921829088</v>
      </c>
      <c r="C40" s="513">
        <v>0.87411366645191357</v>
      </c>
      <c r="D40" s="513">
        <v>0.79021126921829088</v>
      </c>
      <c r="E40" s="513">
        <v>0.87411366645191357</v>
      </c>
      <c r="F40" s="510">
        <v>59.649000000000001</v>
      </c>
      <c r="G40" s="510">
        <v>247.69</v>
      </c>
      <c r="H40" s="510">
        <v>2.4652047813039619</v>
      </c>
      <c r="I40" s="510">
        <v>2.5249505430174812</v>
      </c>
      <c r="J40" s="510">
        <v>889.73394356984284</v>
      </c>
      <c r="K40" s="511">
        <v>855.59869191327459</v>
      </c>
      <c r="L40" s="512">
        <v>0.90803770004023165</v>
      </c>
      <c r="M40" s="513">
        <v>0.89697926393457683</v>
      </c>
      <c r="N40" s="513">
        <v>0.90803770004023165</v>
      </c>
      <c r="O40" s="513">
        <v>0.89697926393457683</v>
      </c>
      <c r="P40" s="510">
        <v>47.161999999999999</v>
      </c>
      <c r="Q40" s="510">
        <v>186.86500000000001</v>
      </c>
      <c r="R40" s="510">
        <v>2.9437046774945927</v>
      </c>
      <c r="S40" s="510">
        <v>2.8508388408744278</v>
      </c>
      <c r="T40" s="510">
        <v>0.32229337178236717</v>
      </c>
      <c r="U40" s="510">
        <v>0.28255692612313699</v>
      </c>
      <c r="V40" s="510">
        <v>793.8766379712456</v>
      </c>
      <c r="W40" s="510">
        <v>788.99826077649402</v>
      </c>
      <c r="X40" s="510">
        <v>507.82409567024303</v>
      </c>
      <c r="Y40" s="569">
        <v>462.60134321569046</v>
      </c>
      <c r="Z40" s="1021">
        <v>0</v>
      </c>
      <c r="AA40" s="513">
        <v>0</v>
      </c>
      <c r="AB40" s="513" t="e">
        <v>#DIV/0!</v>
      </c>
      <c r="AC40" s="513" t="e">
        <v>#DIV/0!</v>
      </c>
      <c r="AD40" s="510">
        <v>0</v>
      </c>
      <c r="AE40" s="510">
        <v>0</v>
      </c>
      <c r="AF40" s="510">
        <v>0</v>
      </c>
      <c r="AG40" s="510">
        <v>0</v>
      </c>
      <c r="AH40" s="510">
        <v>0</v>
      </c>
      <c r="AI40" s="510">
        <v>0</v>
      </c>
      <c r="AJ40" s="510">
        <v>0</v>
      </c>
      <c r="AK40" s="510">
        <v>0</v>
      </c>
      <c r="AL40" s="576"/>
      <c r="AM40" s="576"/>
      <c r="AN40" s="1021">
        <v>0.92179422004169198</v>
      </c>
      <c r="AO40" s="513">
        <v>0.85357949206054795</v>
      </c>
      <c r="AP40" s="513">
        <v>0.92179422004169198</v>
      </c>
      <c r="AQ40" s="513">
        <v>0.85357949206054795</v>
      </c>
      <c r="AR40" s="510">
        <v>50.56</v>
      </c>
      <c r="AS40" s="510">
        <v>187.61500000000001</v>
      </c>
      <c r="AT40" s="514">
        <v>114.65588258562465</v>
      </c>
      <c r="AU40" s="514">
        <v>117.61431102988662</v>
      </c>
      <c r="AV40" s="510">
        <v>1.3548259493670884</v>
      </c>
      <c r="AW40" s="510">
        <v>1.4295232257548702</v>
      </c>
      <c r="AX40" s="510">
        <v>0.21954113924050631</v>
      </c>
      <c r="AY40" s="510">
        <v>0.21213655624550276</v>
      </c>
      <c r="AZ40" s="510">
        <v>793.3492879746841</v>
      </c>
      <c r="BA40" s="510">
        <v>873.50819497374948</v>
      </c>
      <c r="BB40" s="510">
        <v>505.1582278481024</v>
      </c>
      <c r="BC40" s="510">
        <v>495.48159795325563</v>
      </c>
      <c r="BD40" s="510">
        <v>6.388449367088608</v>
      </c>
      <c r="BE40" s="510">
        <v>6.1407669962424913</v>
      </c>
      <c r="BF40" s="512">
        <v>0.84422829095726637</v>
      </c>
      <c r="BG40" s="513">
        <v>0.75989690323910153</v>
      </c>
      <c r="BH40" s="513">
        <v>0.84422829095726637</v>
      </c>
      <c r="BI40" s="513">
        <v>0.75989690323910153</v>
      </c>
      <c r="BJ40" s="510">
        <v>44.167999999999999</v>
      </c>
      <c r="BK40" s="510">
        <v>162.83100000000002</v>
      </c>
      <c r="BL40" s="510">
        <v>3.1583952182575623</v>
      </c>
      <c r="BM40" s="510">
        <v>2.8907271956814116</v>
      </c>
      <c r="BN40" s="514">
        <v>0</v>
      </c>
      <c r="BO40" s="514">
        <v>0</v>
      </c>
      <c r="BP40" s="514">
        <v>1129.8288353559064</v>
      </c>
      <c r="BQ40" s="514">
        <v>1049.031695438834</v>
      </c>
      <c r="BR40" s="514">
        <v>0</v>
      </c>
      <c r="BS40" s="515">
        <v>0</v>
      </c>
      <c r="BT40" s="1021">
        <v>0.87173046165176693</v>
      </c>
      <c r="BU40" s="513">
        <v>0.7434949260792022</v>
      </c>
      <c r="BV40" s="513">
        <v>0.87173046165176693</v>
      </c>
      <c r="BW40" s="513">
        <v>0.7434949260792022</v>
      </c>
      <c r="BX40" s="510">
        <v>45.640999999999998</v>
      </c>
      <c r="BY40" s="510">
        <v>155.66299999999998</v>
      </c>
      <c r="BZ40" s="514">
        <v>89.305636959549901</v>
      </c>
      <c r="CA40" s="514">
        <v>88.092809698694111</v>
      </c>
      <c r="CB40" s="510">
        <v>2.2085405665958238</v>
      </c>
      <c r="CC40" s="510">
        <v>2.2413804179541703</v>
      </c>
      <c r="CD40" s="514">
        <v>0.23005630902039834</v>
      </c>
      <c r="CE40" s="514">
        <v>0.21777814894997527</v>
      </c>
      <c r="CF40" s="514">
        <v>599.87160666945033</v>
      </c>
      <c r="CG40" s="514">
        <v>610.69901004092662</v>
      </c>
      <c r="CH40" s="514">
        <v>537.65693126793997</v>
      </c>
      <c r="CI40" s="514">
        <v>517.27269807211781</v>
      </c>
      <c r="CJ40" s="514"/>
      <c r="CK40" s="515"/>
    </row>
    <row r="41" spans="1:89" ht="12.75" customHeight="1">
      <c r="A41" s="560">
        <v>45966</v>
      </c>
      <c r="B41" s="512">
        <v>0.90111446399423623</v>
      </c>
      <c r="C41" s="513">
        <v>0.87891145882291766</v>
      </c>
      <c r="D41" s="513">
        <v>0.90111446399423623</v>
      </c>
      <c r="E41" s="513">
        <v>0.87891145882291766</v>
      </c>
      <c r="F41" s="510">
        <v>55.176000000000002</v>
      </c>
      <c r="G41" s="510">
        <v>302.86599999999999</v>
      </c>
      <c r="H41" s="510">
        <v>2.0944794838335508</v>
      </c>
      <c r="I41" s="510">
        <v>2.4465275072144119</v>
      </c>
      <c r="J41" s="510">
        <v>948.13977091489994</v>
      </c>
      <c r="K41" s="511">
        <v>872.45778661189945</v>
      </c>
      <c r="L41" s="512">
        <v>0.85890254439580027</v>
      </c>
      <c r="M41" s="513">
        <v>0.8893807009519189</v>
      </c>
      <c r="N41" s="513">
        <v>0.85890254439580027</v>
      </c>
      <c r="O41" s="513">
        <v>0.8893807009519189</v>
      </c>
      <c r="P41" s="510">
        <v>44.61</v>
      </c>
      <c r="Q41" s="510">
        <v>231.47500000000002</v>
      </c>
      <c r="R41" s="510">
        <v>3.1728312037659721</v>
      </c>
      <c r="S41" s="510">
        <v>2.9128934010152281</v>
      </c>
      <c r="T41" s="510">
        <v>0.34073077785249944</v>
      </c>
      <c r="U41" s="510">
        <v>0.29376822551031428</v>
      </c>
      <c r="V41" s="510">
        <v>943.20869760142</v>
      </c>
      <c r="W41" s="510">
        <v>818.71778809806199</v>
      </c>
      <c r="X41" s="510">
        <v>519.99551670029143</v>
      </c>
      <c r="Y41" s="569">
        <v>473.66238254671123</v>
      </c>
      <c r="Z41" s="1021">
        <v>0</v>
      </c>
      <c r="AA41" s="513">
        <v>0</v>
      </c>
      <c r="AB41" s="513" t="e">
        <v>#DIV/0!</v>
      </c>
      <c r="AC41" s="513" t="e">
        <v>#DIV/0!</v>
      </c>
      <c r="AD41" s="510">
        <v>0</v>
      </c>
      <c r="AE41" s="510">
        <v>0</v>
      </c>
      <c r="AF41" s="510">
        <v>0</v>
      </c>
      <c r="AG41" s="510">
        <v>0</v>
      </c>
      <c r="AH41" s="510">
        <v>0</v>
      </c>
      <c r="AI41" s="510">
        <v>0</v>
      </c>
      <c r="AJ41" s="510">
        <v>0</v>
      </c>
      <c r="AK41" s="510">
        <v>0</v>
      </c>
      <c r="AL41" s="576"/>
      <c r="AM41" s="576"/>
      <c r="AN41" s="1021">
        <v>0.54867609079830204</v>
      </c>
      <c r="AO41" s="513">
        <v>0.79449769110573631</v>
      </c>
      <c r="AP41" s="513">
        <v>0.54867609079830204</v>
      </c>
      <c r="AQ41" s="513">
        <v>0.79449769110573631</v>
      </c>
      <c r="AR41" s="510">
        <v>28.984999999999999</v>
      </c>
      <c r="AS41" s="510">
        <v>216.60000000000002</v>
      </c>
      <c r="AT41" s="514">
        <v>113.30276559865217</v>
      </c>
      <c r="AU41" s="514">
        <v>117.03734822137172</v>
      </c>
      <c r="AV41" s="510">
        <v>1.5732275314818009</v>
      </c>
      <c r="AW41" s="510">
        <v>1.4487534626038781</v>
      </c>
      <c r="AX41" s="510">
        <v>0.20700362256339486</v>
      </c>
      <c r="AY41" s="510">
        <v>0.21144967682363805</v>
      </c>
      <c r="AZ41" s="510">
        <v>903.38312920476153</v>
      </c>
      <c r="BA41" s="510">
        <v>877.50600184672192</v>
      </c>
      <c r="BB41" s="510">
        <v>479.6983957219241</v>
      </c>
      <c r="BC41" s="510">
        <v>493.36951985226227</v>
      </c>
      <c r="BD41" s="510">
        <v>7.4383301707771858</v>
      </c>
      <c r="BE41" s="510">
        <v>6.3144044321330171</v>
      </c>
      <c r="BF41" s="512">
        <v>0.90952180811088268</v>
      </c>
      <c r="BG41" s="513">
        <v>0.78934378315334375</v>
      </c>
      <c r="BH41" s="513">
        <v>0.90952180811088268</v>
      </c>
      <c r="BI41" s="513">
        <v>0.78934378315334375</v>
      </c>
      <c r="BJ41" s="510">
        <v>47.753999999999998</v>
      </c>
      <c r="BK41" s="510">
        <v>210.58500000000001</v>
      </c>
      <c r="BL41" s="510">
        <v>2.8186120534405497</v>
      </c>
      <c r="BM41" s="510">
        <v>2.8743737683120827</v>
      </c>
      <c r="BN41" s="514">
        <v>0</v>
      </c>
      <c r="BO41" s="514">
        <v>0</v>
      </c>
      <c r="BP41" s="514">
        <v>1148.7565439544164</v>
      </c>
      <c r="BQ41" s="514">
        <v>1071.6461286416413</v>
      </c>
      <c r="BR41" s="514">
        <v>0</v>
      </c>
      <c r="BS41" s="515">
        <v>0</v>
      </c>
      <c r="BT41" s="1021">
        <v>0.76888628188350272</v>
      </c>
      <c r="BU41" s="513">
        <v>0.74857271516126456</v>
      </c>
      <c r="BV41" s="513">
        <v>0.76888628188350272</v>
      </c>
      <c r="BW41" s="513">
        <v>0.74857271516126456</v>
      </c>
      <c r="BX41" s="510">
        <v>40.24</v>
      </c>
      <c r="BY41" s="510">
        <v>195.90299999999999</v>
      </c>
      <c r="BZ41" s="514">
        <v>89.461216180990732</v>
      </c>
      <c r="CA41" s="514">
        <v>88.37389103408772</v>
      </c>
      <c r="CB41" s="510">
        <v>2.1148111332007948</v>
      </c>
      <c r="CC41" s="510">
        <v>2.2153821023669877</v>
      </c>
      <c r="CD41" s="514">
        <v>0.2062624254473161</v>
      </c>
      <c r="CE41" s="514">
        <v>0.21541272976932463</v>
      </c>
      <c r="CF41" s="514">
        <v>626.35586481106736</v>
      </c>
      <c r="CG41" s="514">
        <v>613.91504979504202</v>
      </c>
      <c r="CH41" s="514">
        <v>477.1581013916491</v>
      </c>
      <c r="CI41" s="514">
        <v>509.0328478890064</v>
      </c>
      <c r="CJ41" s="514"/>
      <c r="CK41" s="515"/>
    </row>
    <row r="42" spans="1:89" ht="12.75" customHeight="1">
      <c r="A42" s="560">
        <v>45967</v>
      </c>
      <c r="B42" s="512">
        <v>0.74072481548311198</v>
      </c>
      <c r="C42" s="513">
        <v>0.85845427446079592</v>
      </c>
      <c r="D42" s="513">
        <v>0.74072481548311198</v>
      </c>
      <c r="E42" s="513">
        <v>0.85845427446079592</v>
      </c>
      <c r="F42" s="510">
        <v>44.353000000000002</v>
      </c>
      <c r="G42" s="510">
        <v>347.21899999999999</v>
      </c>
      <c r="H42" s="510">
        <v>2.6279394854913987</v>
      </c>
      <c r="I42" s="510">
        <v>2.4697006788222997</v>
      </c>
      <c r="J42" s="510">
        <v>1178.3441931774687</v>
      </c>
      <c r="K42" s="511">
        <v>911.53105100815276</v>
      </c>
      <c r="L42" s="512">
        <v>0.90230013092501193</v>
      </c>
      <c r="M42" s="513">
        <v>0.89152998382290105</v>
      </c>
      <c r="N42" s="513">
        <v>0.90230013092501193</v>
      </c>
      <c r="O42" s="513">
        <v>0.89152998382290105</v>
      </c>
      <c r="P42" s="510">
        <v>46.863999999999997</v>
      </c>
      <c r="Q42" s="510">
        <v>278.339</v>
      </c>
      <c r="R42" s="510">
        <v>3.0861002048480715</v>
      </c>
      <c r="S42" s="510">
        <v>2.9420562695130754</v>
      </c>
      <c r="T42" s="510">
        <v>0.30727210652099696</v>
      </c>
      <c r="U42" s="510">
        <v>0.29604187699172596</v>
      </c>
      <c r="V42" s="510">
        <v>795.12952372825214</v>
      </c>
      <c r="W42" s="510">
        <v>814.74622672352677</v>
      </c>
      <c r="X42" s="510">
        <v>453.69580061454423</v>
      </c>
      <c r="Y42" s="569">
        <v>470.30060465834828</v>
      </c>
      <c r="Z42" s="1021">
        <v>0</v>
      </c>
      <c r="AA42" s="513">
        <v>0</v>
      </c>
      <c r="AB42" s="513" t="e">
        <v>#DIV/0!</v>
      </c>
      <c r="AC42" s="513" t="e">
        <v>#DIV/0!</v>
      </c>
      <c r="AD42" s="510">
        <v>0</v>
      </c>
      <c r="AE42" s="510">
        <v>0</v>
      </c>
      <c r="AF42" s="510">
        <v>0</v>
      </c>
      <c r="AG42" s="510">
        <v>0</v>
      </c>
      <c r="AH42" s="510">
        <v>0</v>
      </c>
      <c r="AI42" s="510">
        <v>0</v>
      </c>
      <c r="AJ42" s="510">
        <v>0</v>
      </c>
      <c r="AK42" s="510">
        <v>0</v>
      </c>
      <c r="AL42" s="576"/>
      <c r="AM42" s="576"/>
      <c r="AN42" s="1021">
        <v>1.005139451875384</v>
      </c>
      <c r="AO42" s="513">
        <v>0.83030316087430944</v>
      </c>
      <c r="AP42" s="513">
        <v>1.005139451875384</v>
      </c>
      <c r="AQ42" s="513">
        <v>0.83030316087430944</v>
      </c>
      <c r="AR42" s="510">
        <v>56.119</v>
      </c>
      <c r="AS42" s="510">
        <v>272.71900000000005</v>
      </c>
      <c r="AT42" s="514">
        <v>98.465119333674537</v>
      </c>
      <c r="AU42" s="514">
        <v>113.21563094846927</v>
      </c>
      <c r="AV42" s="510">
        <v>1.2598228763876762</v>
      </c>
      <c r="AW42" s="510">
        <v>1.4098760995750201</v>
      </c>
      <c r="AX42" s="510">
        <v>0.19601204583118018</v>
      </c>
      <c r="AY42" s="510">
        <v>0.20827298428052315</v>
      </c>
      <c r="AZ42" s="510">
        <v>641.37101516420319</v>
      </c>
      <c r="BA42" s="510">
        <v>828.91511042501577</v>
      </c>
      <c r="BB42" s="510">
        <v>474.30520857462841</v>
      </c>
      <c r="BC42" s="510">
        <v>489.44654387849607</v>
      </c>
      <c r="BD42" s="510">
        <v>5.3778577665311085</v>
      </c>
      <c r="BE42" s="510">
        <v>6.121685691132523</v>
      </c>
      <c r="BF42" s="512">
        <v>0.84156915809877997</v>
      </c>
      <c r="BG42" s="513">
        <v>0.79786803317152288</v>
      </c>
      <c r="BH42" s="513">
        <v>0.84156915809877997</v>
      </c>
      <c r="BI42" s="513">
        <v>0.79786803317152288</v>
      </c>
      <c r="BJ42" s="510">
        <v>43.793999999999997</v>
      </c>
      <c r="BK42" s="510">
        <v>254.37900000000002</v>
      </c>
      <c r="BL42" s="510">
        <v>3.1282824131159521</v>
      </c>
      <c r="BM42" s="510">
        <v>2.9180867917556084</v>
      </c>
      <c r="BN42" s="514">
        <v>0</v>
      </c>
      <c r="BO42" s="514">
        <v>0</v>
      </c>
      <c r="BP42" s="514">
        <v>1183.6895465132432</v>
      </c>
      <c r="BQ42" s="514">
        <v>1090.935572511886</v>
      </c>
      <c r="BR42" s="514">
        <v>0</v>
      </c>
      <c r="BS42" s="515">
        <v>0</v>
      </c>
      <c r="BT42" s="1021">
        <v>0.70487071580568827</v>
      </c>
      <c r="BU42" s="513">
        <v>0.74129155272339509</v>
      </c>
      <c r="BV42" s="513">
        <v>0.70487071580568827</v>
      </c>
      <c r="BW42" s="513">
        <v>0.74129155272339509</v>
      </c>
      <c r="BX42" s="510">
        <v>36.878</v>
      </c>
      <c r="BY42" s="510">
        <v>232.78100000000001</v>
      </c>
      <c r="BZ42" s="514">
        <v>108.58061630548076</v>
      </c>
      <c r="CA42" s="514">
        <v>91.57511284582678</v>
      </c>
      <c r="CB42" s="510">
        <v>2.5245403763761591</v>
      </c>
      <c r="CC42" s="510">
        <v>2.2643600637509076</v>
      </c>
      <c r="CD42" s="514">
        <v>0.21421986007918001</v>
      </c>
      <c r="CE42" s="514">
        <v>0.21522375107934066</v>
      </c>
      <c r="CF42" s="514">
        <v>664.9791203428158</v>
      </c>
      <c r="CG42" s="514">
        <v>622.00480279748115</v>
      </c>
      <c r="CH42" s="514">
        <v>522.66299690871779</v>
      </c>
      <c r="CI42" s="514">
        <v>511.19218492918117</v>
      </c>
      <c r="CJ42" s="514"/>
      <c r="CK42" s="515"/>
    </row>
    <row r="43" spans="1:89" ht="12.75" customHeight="1">
      <c r="A43" s="560">
        <v>45968</v>
      </c>
      <c r="B43" s="512">
        <v>0.78018143522729932</v>
      </c>
      <c r="C43" s="513">
        <v>0.84799102031939744</v>
      </c>
      <c r="D43" s="513">
        <v>0.78018143522729932</v>
      </c>
      <c r="E43" s="513">
        <v>0.84799102031939744</v>
      </c>
      <c r="F43" s="510">
        <v>48.692</v>
      </c>
      <c r="G43" s="510">
        <v>395.911</v>
      </c>
      <c r="H43" s="510">
        <v>2.443645773433007</v>
      </c>
      <c r="I43" s="510">
        <v>2.4664962579973784</v>
      </c>
      <c r="J43" s="510">
        <v>1044.855417727774</v>
      </c>
      <c r="K43" s="511">
        <v>927.92824649984618</v>
      </c>
      <c r="L43" s="512">
        <v>0.90688637788022219</v>
      </c>
      <c r="M43" s="513">
        <v>0.89371789865876383</v>
      </c>
      <c r="N43" s="513">
        <v>0.90688637788022219</v>
      </c>
      <c r="O43" s="513">
        <v>0.89371789865876383</v>
      </c>
      <c r="P43" s="510">
        <v>47.042000000000002</v>
      </c>
      <c r="Q43" s="510">
        <v>325.38099999999997</v>
      </c>
      <c r="R43" s="510">
        <v>2.6742060286552443</v>
      </c>
      <c r="S43" s="510">
        <v>2.9033317864288324</v>
      </c>
      <c r="T43" s="510">
        <v>0.27209727477573231</v>
      </c>
      <c r="U43" s="510">
        <v>0.29258008304111183</v>
      </c>
      <c r="V43" s="510">
        <v>726.13940733812342</v>
      </c>
      <c r="W43" s="510">
        <v>801.9358843939865</v>
      </c>
      <c r="X43" s="510">
        <v>396.26291399175204</v>
      </c>
      <c r="Y43" s="569">
        <v>459.59659599054646</v>
      </c>
      <c r="Z43" s="1021">
        <v>0</v>
      </c>
      <c r="AA43" s="513">
        <v>0</v>
      </c>
      <c r="AB43" s="513" t="e">
        <v>#DIV/0!</v>
      </c>
      <c r="AC43" s="513" t="e">
        <v>#DIV/0!</v>
      </c>
      <c r="AD43" s="510">
        <v>0</v>
      </c>
      <c r="AE43" s="510">
        <v>0</v>
      </c>
      <c r="AF43" s="510">
        <v>0</v>
      </c>
      <c r="AG43" s="510">
        <v>0</v>
      </c>
      <c r="AH43" s="510">
        <v>0</v>
      </c>
      <c r="AI43" s="510">
        <v>0</v>
      </c>
      <c r="AJ43" s="510">
        <v>0</v>
      </c>
      <c r="AK43" s="510">
        <v>0</v>
      </c>
      <c r="AL43" s="576"/>
      <c r="AM43" s="576"/>
      <c r="AN43" s="1021">
        <v>0.95309107847395524</v>
      </c>
      <c r="AO43" s="513">
        <v>0.8491238885079474</v>
      </c>
      <c r="AP43" s="513">
        <v>0.95309107847395524</v>
      </c>
      <c r="AQ43" s="513">
        <v>0.8491238885079474</v>
      </c>
      <c r="AR43" s="510">
        <v>56.67</v>
      </c>
      <c r="AS43" s="510">
        <v>329.38900000000007</v>
      </c>
      <c r="AT43" s="514">
        <v>99.362510598630763</v>
      </c>
      <c r="AU43" s="514">
        <v>110.83225952372419</v>
      </c>
      <c r="AV43" s="510">
        <v>1.1664019763543321</v>
      </c>
      <c r="AW43" s="510">
        <v>1.3679873948431791</v>
      </c>
      <c r="AX43" s="510">
        <v>0.19057702488088937</v>
      </c>
      <c r="AY43" s="510">
        <v>0.20522846846737441</v>
      </c>
      <c r="AZ43" s="510">
        <v>660.77466031409972</v>
      </c>
      <c r="BA43" s="510">
        <v>799.98724911882266</v>
      </c>
      <c r="BB43" s="510">
        <v>468.73063349216079</v>
      </c>
      <c r="BC43" s="510">
        <v>485.88245812701797</v>
      </c>
      <c r="BD43" s="510">
        <v>5.7702488088935953</v>
      </c>
      <c r="BE43" s="510">
        <v>6.0612224451938914</v>
      </c>
      <c r="BF43" s="512">
        <v>0.89504878925804621</v>
      </c>
      <c r="BG43" s="513">
        <v>0.8115042171369935</v>
      </c>
      <c r="BH43" s="513">
        <v>0.89504878925804621</v>
      </c>
      <c r="BI43" s="513">
        <v>0.8115042171369935</v>
      </c>
      <c r="BJ43" s="510">
        <v>46.576999999999998</v>
      </c>
      <c r="BK43" s="510">
        <v>300.95600000000002</v>
      </c>
      <c r="BL43" s="510">
        <v>2.9284840157159113</v>
      </c>
      <c r="BM43" s="510">
        <v>2.9196959023910467</v>
      </c>
      <c r="BN43" s="514">
        <v>0</v>
      </c>
      <c r="BO43" s="514">
        <v>0</v>
      </c>
      <c r="BP43" s="514">
        <v>1096.7279987977042</v>
      </c>
      <c r="BQ43" s="514">
        <v>1091.8320286021933</v>
      </c>
      <c r="BR43" s="514">
        <v>0</v>
      </c>
      <c r="BS43" s="515">
        <v>0</v>
      </c>
      <c r="BT43" s="1021">
        <v>0.76548655387449294</v>
      </c>
      <c r="BU43" s="513">
        <v>0.7447432385429974</v>
      </c>
      <c r="BV43" s="513">
        <v>0.76548655387449294</v>
      </c>
      <c r="BW43" s="513">
        <v>0.7447432385429974</v>
      </c>
      <c r="BX43" s="510">
        <v>39.999000000000002</v>
      </c>
      <c r="BY43" s="510">
        <v>272.78000000000003</v>
      </c>
      <c r="BZ43" s="514">
        <v>108.05586450600251</v>
      </c>
      <c r="CA43" s="514">
        <v>93.991762107705839</v>
      </c>
      <c r="CB43" s="510">
        <v>2.4725618140453509</v>
      </c>
      <c r="CC43" s="510">
        <v>2.2948896546667643</v>
      </c>
      <c r="CD43" s="514">
        <v>0.2250056251406285</v>
      </c>
      <c r="CE43" s="514">
        <v>0.21665811276486543</v>
      </c>
      <c r="CF43" s="514">
        <v>671.16927923198</v>
      </c>
      <c r="CG43" s="514">
        <v>629.21401862306766</v>
      </c>
      <c r="CH43" s="514">
        <v>543.34695867398193</v>
      </c>
      <c r="CI43" s="514">
        <v>515.90718894347197</v>
      </c>
      <c r="CJ43" s="514"/>
      <c r="CK43" s="515"/>
    </row>
    <row r="44" spans="1:89" ht="12.75" customHeight="1">
      <c r="A44" s="560">
        <v>45969</v>
      </c>
      <c r="B44" s="512">
        <v>0.83272760619467912</v>
      </c>
      <c r="C44" s="513">
        <v>0.84632166230728612</v>
      </c>
      <c r="D44" s="513">
        <v>0.83272760619467912</v>
      </c>
      <c r="E44" s="513">
        <v>0.84632166230728612</v>
      </c>
      <c r="F44" s="510">
        <v>47.743000000000002</v>
      </c>
      <c r="G44" s="510">
        <v>443.654</v>
      </c>
      <c r="H44" s="510">
        <v>2.3708815952076741</v>
      </c>
      <c r="I44" s="510">
        <v>2.4562068639074597</v>
      </c>
      <c r="J44" s="510">
        <v>1165.9338541775414</v>
      </c>
      <c r="K44" s="511">
        <v>953.54077727237654</v>
      </c>
      <c r="L44" s="512">
        <v>0.82066147908044917</v>
      </c>
      <c r="M44" s="513">
        <v>0.88447992808400677</v>
      </c>
      <c r="N44" s="513">
        <v>0.82066147908044917</v>
      </c>
      <c r="O44" s="513">
        <v>0.88447992808400677</v>
      </c>
      <c r="P44" s="510">
        <v>43.25</v>
      </c>
      <c r="Q44" s="510">
        <v>368.63099999999997</v>
      </c>
      <c r="R44" s="510">
        <v>3.0312138728323696</v>
      </c>
      <c r="S44" s="510">
        <v>2.9183356798532945</v>
      </c>
      <c r="T44" s="510">
        <v>0.33294797687861272</v>
      </c>
      <c r="U44" s="510">
        <v>0.29731628647617814</v>
      </c>
      <c r="V44" s="510">
        <v>917.47445086704204</v>
      </c>
      <c r="W44" s="510">
        <v>815.49156202272536</v>
      </c>
      <c r="X44" s="510">
        <v>569.89595375722547</v>
      </c>
      <c r="Y44" s="569">
        <v>472.53757822863514</v>
      </c>
      <c r="Z44" s="1021">
        <v>0</v>
      </c>
      <c r="AA44" s="513">
        <v>0</v>
      </c>
      <c r="AB44" s="513" t="e">
        <v>#DIV/0!</v>
      </c>
      <c r="AC44" s="513" t="e">
        <v>#DIV/0!</v>
      </c>
      <c r="AD44" s="510">
        <v>0</v>
      </c>
      <c r="AE44" s="510">
        <v>0</v>
      </c>
      <c r="AF44" s="510">
        <v>0</v>
      </c>
      <c r="AG44" s="510">
        <v>0</v>
      </c>
      <c r="AH44" s="510">
        <v>0</v>
      </c>
      <c r="AI44" s="510">
        <v>0</v>
      </c>
      <c r="AJ44" s="510">
        <v>0</v>
      </c>
      <c r="AK44" s="510">
        <v>0</v>
      </c>
      <c r="AL44" s="576"/>
      <c r="AM44" s="576"/>
      <c r="AN44" s="1021">
        <v>0.97811112813571321</v>
      </c>
      <c r="AO44" s="513">
        <v>0.8645254838849219</v>
      </c>
      <c r="AP44" s="513">
        <v>0.97811112813571321</v>
      </c>
      <c r="AQ44" s="513">
        <v>0.8645254838849219</v>
      </c>
      <c r="AR44" s="510">
        <v>51.448</v>
      </c>
      <c r="AS44" s="510">
        <v>380.83700000000005</v>
      </c>
      <c r="AT44" s="514">
        <v>111.50918668756003</v>
      </c>
      <c r="AU44" s="514">
        <v>110.9237069112549</v>
      </c>
      <c r="AV44" s="510">
        <v>1.2945109625252682</v>
      </c>
      <c r="AW44" s="510">
        <v>1.35806132282315</v>
      </c>
      <c r="AX44" s="510">
        <v>0.2021458560099518</v>
      </c>
      <c r="AY44" s="510">
        <v>0.20481203244432658</v>
      </c>
      <c r="AZ44" s="510">
        <v>800.90926761001424</v>
      </c>
      <c r="BA44" s="510">
        <v>800.111806363352</v>
      </c>
      <c r="BB44" s="510">
        <v>542.95022158295149</v>
      </c>
      <c r="BC44" s="510">
        <v>493.59185163206308</v>
      </c>
      <c r="BD44" s="510">
        <v>5.7747628673618978</v>
      </c>
      <c r="BE44" s="510">
        <v>6.0225240719783146</v>
      </c>
      <c r="BF44" s="512">
        <v>1.0624654620762872</v>
      </c>
      <c r="BG44" s="513">
        <v>0.84366600924522017</v>
      </c>
      <c r="BH44" s="513">
        <v>1.0624654620762872</v>
      </c>
      <c r="BI44" s="513">
        <v>0.84366600924522017</v>
      </c>
      <c r="BJ44" s="510">
        <v>57.918999999999997</v>
      </c>
      <c r="BK44" s="510">
        <v>358.875</v>
      </c>
      <c r="BL44" s="510">
        <v>2.3791847234931547</v>
      </c>
      <c r="BM44" s="510">
        <v>2.8324625566004875</v>
      </c>
      <c r="BN44" s="514">
        <v>0</v>
      </c>
      <c r="BO44" s="514">
        <v>0</v>
      </c>
      <c r="BP44" s="514">
        <v>976.85319152606564</v>
      </c>
      <c r="BQ44" s="514">
        <v>1073.2755416231275</v>
      </c>
      <c r="BR44" s="514">
        <v>0</v>
      </c>
      <c r="BS44" s="515">
        <v>0</v>
      </c>
      <c r="BT44" s="1021">
        <v>0.69176021763603524</v>
      </c>
      <c r="BU44" s="513">
        <v>0.73811799850133242</v>
      </c>
      <c r="BV44" s="513">
        <v>0.69176021763603524</v>
      </c>
      <c r="BW44" s="513">
        <v>0.73811799850133242</v>
      </c>
      <c r="BX44" s="510">
        <v>36.210999999999999</v>
      </c>
      <c r="BY44" s="510">
        <v>308.99100000000004</v>
      </c>
      <c r="BZ44" s="514">
        <v>117.61827520086193</v>
      </c>
      <c r="CA44" s="514">
        <v>96.760579534803313</v>
      </c>
      <c r="CB44" s="510">
        <v>2.7477838225953439</v>
      </c>
      <c r="CC44" s="510">
        <v>2.3479648274545211</v>
      </c>
      <c r="CD44" s="514">
        <v>0.25958962746126868</v>
      </c>
      <c r="CE44" s="514">
        <v>0.22168930486648475</v>
      </c>
      <c r="CF44" s="514">
        <v>811.77487503799182</v>
      </c>
      <c r="CG44" s="514">
        <v>650.6085290510116</v>
      </c>
      <c r="CH44" s="514">
        <v>684.08486371543779</v>
      </c>
      <c r="CI44" s="514">
        <v>535.61611826881688</v>
      </c>
      <c r="CJ44" s="514"/>
      <c r="CK44" s="515"/>
    </row>
    <row r="45" spans="1:89" ht="12.75" customHeight="1">
      <c r="A45" s="560">
        <v>45970</v>
      </c>
      <c r="B45" s="512">
        <v>0.8952950192938236</v>
      </c>
      <c r="C45" s="513">
        <v>0.8513003779705649</v>
      </c>
      <c r="D45" s="513">
        <v>0.8952950192938236</v>
      </c>
      <c r="E45" s="513">
        <v>0.8513003779705649</v>
      </c>
      <c r="F45" s="510">
        <v>53.112000000000002</v>
      </c>
      <c r="G45" s="510">
        <v>496.76600000000002</v>
      </c>
      <c r="H45" s="510">
        <v>2.205452628407893</v>
      </c>
      <c r="I45" s="510">
        <v>2.4293973420081088</v>
      </c>
      <c r="J45" s="510">
        <v>1048.0610784756896</v>
      </c>
      <c r="K45" s="511">
        <v>963.64646533780444</v>
      </c>
      <c r="L45" s="512">
        <v>0.77458077103777667</v>
      </c>
      <c r="M45" s="513">
        <v>0.87142030531254722</v>
      </c>
      <c r="N45" s="513">
        <v>0.77458077103777667</v>
      </c>
      <c r="O45" s="513">
        <v>0.87142030531254722</v>
      </c>
      <c r="P45" s="510">
        <v>43.536000000000001</v>
      </c>
      <c r="Q45" s="510">
        <v>412.16699999999997</v>
      </c>
      <c r="R45" s="510">
        <v>2.9492833517089307</v>
      </c>
      <c r="S45" s="510">
        <v>2.9216045923133098</v>
      </c>
      <c r="T45" s="510">
        <v>0.34913634693127527</v>
      </c>
      <c r="U45" s="510">
        <v>0.30278988856458672</v>
      </c>
      <c r="V45" s="510">
        <v>848.95098309447246</v>
      </c>
      <c r="W45" s="510">
        <v>819.02578323834814</v>
      </c>
      <c r="X45" s="510">
        <v>555.21866960676221</v>
      </c>
      <c r="Y45" s="569">
        <v>481.27094114764162</v>
      </c>
      <c r="Z45" s="1021">
        <v>0</v>
      </c>
      <c r="AA45" s="513">
        <v>0</v>
      </c>
      <c r="AB45" s="513" t="e">
        <v>#DIV/0!</v>
      </c>
      <c r="AC45" s="513" t="e">
        <v>#DIV/0!</v>
      </c>
      <c r="AD45" s="510">
        <v>0</v>
      </c>
      <c r="AE45" s="510">
        <v>0</v>
      </c>
      <c r="AF45" s="510">
        <v>0</v>
      </c>
      <c r="AG45" s="510">
        <v>0</v>
      </c>
      <c r="AH45" s="510">
        <v>0</v>
      </c>
      <c r="AI45" s="510">
        <v>0</v>
      </c>
      <c r="AJ45" s="510">
        <v>0</v>
      </c>
      <c r="AK45" s="510">
        <v>0</v>
      </c>
      <c r="AL45" s="576"/>
      <c r="AM45" s="576"/>
      <c r="AN45" s="1021">
        <v>0.94802685303952994</v>
      </c>
      <c r="AO45" s="513">
        <v>0.87351674606644625</v>
      </c>
      <c r="AP45" s="513">
        <v>0.94802685303952994</v>
      </c>
      <c r="AQ45" s="513">
        <v>0.87351674606644625</v>
      </c>
      <c r="AR45" s="510">
        <v>50.395000000000003</v>
      </c>
      <c r="AS45" s="510">
        <v>431.23200000000003</v>
      </c>
      <c r="AT45" s="514">
        <v>102.75838502910234</v>
      </c>
      <c r="AU45" s="514">
        <v>109.96948413499739</v>
      </c>
      <c r="AV45" s="510">
        <v>1.3056850878063297</v>
      </c>
      <c r="AW45" s="510">
        <v>1.3519404867913327</v>
      </c>
      <c r="AX45" s="510">
        <v>0.21430697489830342</v>
      </c>
      <c r="AY45" s="510">
        <v>0.20592163846838826</v>
      </c>
      <c r="AZ45" s="510">
        <v>783.10586367695169</v>
      </c>
      <c r="BA45" s="510">
        <v>798.12444345503093</v>
      </c>
      <c r="BB45" s="510">
        <v>497.68230975295023</v>
      </c>
      <c r="BC45" s="510">
        <v>494.06987422083699</v>
      </c>
      <c r="BD45" s="510">
        <v>5.881535866653322</v>
      </c>
      <c r="BE45" s="510">
        <v>6.0060477886613244</v>
      </c>
      <c r="BF45" s="512">
        <v>0.96859019132047042</v>
      </c>
      <c r="BG45" s="513">
        <v>0.85823173414895437</v>
      </c>
      <c r="BH45" s="513">
        <v>0.96859019132047042</v>
      </c>
      <c r="BI45" s="513">
        <v>0.85823173414895437</v>
      </c>
      <c r="BJ45" s="510">
        <v>54.38</v>
      </c>
      <c r="BK45" s="510">
        <v>413.255</v>
      </c>
      <c r="BL45" s="510">
        <v>2.5468922397940417</v>
      </c>
      <c r="BM45" s="510">
        <v>2.7948845144039396</v>
      </c>
      <c r="BN45" s="514">
        <v>0</v>
      </c>
      <c r="BO45" s="514">
        <v>0</v>
      </c>
      <c r="BP45" s="514">
        <v>1007.3894814269914</v>
      </c>
      <c r="BQ45" s="514">
        <v>1064.6056309058565</v>
      </c>
      <c r="BR45" s="514">
        <v>0</v>
      </c>
      <c r="BS45" s="515">
        <v>0</v>
      </c>
      <c r="BT45" s="1021">
        <v>0.97367384977014959</v>
      </c>
      <c r="BU45" s="513">
        <v>0.76430277631737209</v>
      </c>
      <c r="BV45" s="513">
        <v>0.97367384977014959</v>
      </c>
      <c r="BW45" s="513">
        <v>0.76430277631737209</v>
      </c>
      <c r="BX45" s="510">
        <v>50.975999999999999</v>
      </c>
      <c r="BY45" s="510">
        <v>359.96700000000004</v>
      </c>
      <c r="BZ45" s="514">
        <v>73.534431623869821</v>
      </c>
      <c r="CA45" s="514">
        <v>93.471455487577458</v>
      </c>
      <c r="CB45" s="510">
        <v>1.9911330822347773</v>
      </c>
      <c r="CC45" s="510">
        <v>2.297432820230743</v>
      </c>
      <c r="CD45" s="514">
        <v>0.21186440677966104</v>
      </c>
      <c r="CE45" s="514">
        <v>0.22029797175852228</v>
      </c>
      <c r="CF45" s="514">
        <v>576.6364563716038</v>
      </c>
      <c r="CG45" s="514">
        <v>640.13312331408156</v>
      </c>
      <c r="CH45" s="514">
        <v>492.00996547394709</v>
      </c>
      <c r="CI45" s="514">
        <v>529.44092097331122</v>
      </c>
      <c r="CJ45" s="514"/>
      <c r="CK45" s="515"/>
    </row>
    <row r="46" spans="1:89" ht="12.75" customHeight="1">
      <c r="A46" s="560">
        <v>45971</v>
      </c>
      <c r="B46" s="512">
        <v>0.81277098610842591</v>
      </c>
      <c r="C46" s="513">
        <v>0.84807128359991757</v>
      </c>
      <c r="D46" s="513">
        <v>0.81277098610842591</v>
      </c>
      <c r="E46" s="513">
        <v>0.84807128359991757</v>
      </c>
      <c r="F46" s="510">
        <v>43.384999999999998</v>
      </c>
      <c r="G46" s="510">
        <v>540.15100000000007</v>
      </c>
      <c r="H46" s="510">
        <v>2.749590872421344</v>
      </c>
      <c r="I46" s="510">
        <v>2.4551153288617438</v>
      </c>
      <c r="J46" s="510">
        <v>1237.0381468249725</v>
      </c>
      <c r="K46" s="511">
        <v>985.60532147492302</v>
      </c>
      <c r="L46" s="512">
        <v>0.91681192106476606</v>
      </c>
      <c r="M46" s="513">
        <v>0.87633816279193999</v>
      </c>
      <c r="N46" s="513">
        <v>0.91681192106476606</v>
      </c>
      <c r="O46" s="513">
        <v>0.87633816279193999</v>
      </c>
      <c r="P46" s="510">
        <v>52.69</v>
      </c>
      <c r="Q46" s="510">
        <v>464.85699999999997</v>
      </c>
      <c r="R46" s="510">
        <v>2.4767508066046688</v>
      </c>
      <c r="S46" s="510">
        <v>2.8711818903447726</v>
      </c>
      <c r="T46" s="510">
        <v>0.25811349402163597</v>
      </c>
      <c r="U46" s="510">
        <v>0.297725967340494</v>
      </c>
      <c r="V46" s="510">
        <v>719.80546593279234</v>
      </c>
      <c r="W46" s="510">
        <v>807.77948917623928</v>
      </c>
      <c r="X46" s="510">
        <v>444.10704118428544</v>
      </c>
      <c r="Y46" s="569">
        <v>477.0585362810499</v>
      </c>
      <c r="Z46" s="1021">
        <v>0</v>
      </c>
      <c r="AA46" s="513">
        <v>0</v>
      </c>
      <c r="AB46" s="513" t="e">
        <v>#DIV/0!</v>
      </c>
      <c r="AC46" s="513" t="e">
        <v>#DIV/0!</v>
      </c>
      <c r="AD46" s="510">
        <v>0</v>
      </c>
      <c r="AE46" s="510">
        <v>0</v>
      </c>
      <c r="AF46" s="510">
        <v>0</v>
      </c>
      <c r="AG46" s="510">
        <v>0</v>
      </c>
      <c r="AH46" s="510">
        <v>0</v>
      </c>
      <c r="AI46" s="510">
        <v>0</v>
      </c>
      <c r="AJ46" s="510">
        <v>0</v>
      </c>
      <c r="AK46" s="510">
        <v>0</v>
      </c>
      <c r="AL46" s="576"/>
      <c r="AM46" s="576"/>
      <c r="AN46" s="1021">
        <v>0.92780651878810616</v>
      </c>
      <c r="AO46" s="513">
        <v>0.87897349197453722</v>
      </c>
      <c r="AP46" s="513">
        <v>0.92780651878810616</v>
      </c>
      <c r="AQ46" s="513">
        <v>0.87897349197453722</v>
      </c>
      <c r="AR46" s="510">
        <v>51.182000000000002</v>
      </c>
      <c r="AS46" s="510">
        <v>482.41400000000004</v>
      </c>
      <c r="AT46" s="514">
        <v>118.3468680564872</v>
      </c>
      <c r="AU46" s="514">
        <v>110.85828766032976</v>
      </c>
      <c r="AV46" s="510">
        <v>1.2875620335274121</v>
      </c>
      <c r="AW46" s="510">
        <v>1.3451102165360043</v>
      </c>
      <c r="AX46" s="510">
        <v>0.18756594115118594</v>
      </c>
      <c r="AY46" s="510">
        <v>0.20397417985381849</v>
      </c>
      <c r="AZ46" s="510">
        <v>828.0039857762489</v>
      </c>
      <c r="BA46" s="510">
        <v>801.29453125323857</v>
      </c>
      <c r="BB46" s="510">
        <v>487.46043530928853</v>
      </c>
      <c r="BC46" s="510">
        <v>493.36864187191901</v>
      </c>
      <c r="BD46" s="510">
        <v>6.0587706615608186</v>
      </c>
      <c r="BE46" s="510">
        <v>6.0116414531916682</v>
      </c>
      <c r="BF46" s="512">
        <v>0.95766094976188687</v>
      </c>
      <c r="BG46" s="513">
        <v>0.86817834130612714</v>
      </c>
      <c r="BH46" s="513">
        <v>0.95766094976188687</v>
      </c>
      <c r="BI46" s="513">
        <v>0.86817834130612714</v>
      </c>
      <c r="BJ46" s="510">
        <v>51.258000000000003</v>
      </c>
      <c r="BK46" s="510">
        <v>464.51299999999998</v>
      </c>
      <c r="BL46" s="510">
        <v>2.6590971165476609</v>
      </c>
      <c r="BM46" s="510">
        <v>2.7799006701642366</v>
      </c>
      <c r="BN46" s="514">
        <v>0</v>
      </c>
      <c r="BO46" s="514">
        <v>0</v>
      </c>
      <c r="BP46" s="514">
        <v>967.4158180186505</v>
      </c>
      <c r="BQ46" s="514">
        <v>1053.8809462813736</v>
      </c>
      <c r="BR46" s="514">
        <v>0</v>
      </c>
      <c r="BS46" s="515">
        <v>0</v>
      </c>
      <c r="BT46" s="1021">
        <v>0.88840862563773537</v>
      </c>
      <c r="BU46" s="513">
        <v>0.77671844178546057</v>
      </c>
      <c r="BV46" s="513">
        <v>0.88840862563773537</v>
      </c>
      <c r="BW46" s="513">
        <v>0.77671844178546057</v>
      </c>
      <c r="BX46" s="510">
        <v>46.512</v>
      </c>
      <c r="BY46" s="510">
        <v>406.47900000000004</v>
      </c>
      <c r="BZ46" s="514">
        <v>81.565415358033903</v>
      </c>
      <c r="CA46" s="514">
        <v>92.109088087280441</v>
      </c>
      <c r="CB46" s="510">
        <v>2.132782937736498</v>
      </c>
      <c r="CC46" s="510">
        <v>2.2785924980134276</v>
      </c>
      <c r="CD46" s="514">
        <v>0.19994840041279671</v>
      </c>
      <c r="CE46" s="514">
        <v>0.21796943999567009</v>
      </c>
      <c r="CF46" s="514">
        <v>583.0516855865153</v>
      </c>
      <c r="CG46" s="514">
        <v>633.60148986786521</v>
      </c>
      <c r="CH46" s="514">
        <v>515.36807705538354</v>
      </c>
      <c r="CI46" s="514">
        <v>527.8306136356365</v>
      </c>
      <c r="CJ46" s="514"/>
      <c r="CK46" s="515"/>
    </row>
    <row r="47" spans="1:89" ht="12.75" customHeight="1">
      <c r="A47" s="560">
        <v>45972</v>
      </c>
      <c r="B47" s="512">
        <v>0.97658627973798917</v>
      </c>
      <c r="C47" s="513">
        <v>0.85786919159736896</v>
      </c>
      <c r="D47" s="513">
        <v>0.97658627973798917</v>
      </c>
      <c r="E47" s="513">
        <v>0.85786919159736896</v>
      </c>
      <c r="F47" s="510">
        <v>51.335000000000001</v>
      </c>
      <c r="G47" s="510">
        <v>591.4860000000001</v>
      </c>
      <c r="H47" s="510">
        <v>2.383383656374793</v>
      </c>
      <c r="I47" s="510">
        <v>2.448889745488481</v>
      </c>
      <c r="J47" s="510">
        <v>1060.8563358332358</v>
      </c>
      <c r="K47" s="511">
        <v>992.13634811305803</v>
      </c>
      <c r="L47" s="512">
        <v>0.88547431867650184</v>
      </c>
      <c r="M47" s="513">
        <v>0.87723124136469599</v>
      </c>
      <c r="N47" s="513">
        <v>0.88547431867650184</v>
      </c>
      <c r="O47" s="513">
        <v>0.87723124136469599</v>
      </c>
      <c r="P47" s="510">
        <v>50.889000000000003</v>
      </c>
      <c r="Q47" s="510">
        <v>515.74599999999998</v>
      </c>
      <c r="R47" s="510">
        <v>2.6532256479789345</v>
      </c>
      <c r="S47" s="510">
        <v>2.8496760033039519</v>
      </c>
      <c r="T47" s="510">
        <v>0.28296881447857097</v>
      </c>
      <c r="U47" s="510">
        <v>0.29626986927673704</v>
      </c>
      <c r="V47" s="510">
        <v>753.98789522294612</v>
      </c>
      <c r="W47" s="510">
        <v>802.47183691196756</v>
      </c>
      <c r="X47" s="510">
        <v>453.65403132307569</v>
      </c>
      <c r="Y47" s="569">
        <v>474.74919824875036</v>
      </c>
      <c r="Z47" s="1021">
        <v>0</v>
      </c>
      <c r="AA47" s="513">
        <v>0</v>
      </c>
      <c r="AB47" s="513" t="e">
        <v>#DIV/0!</v>
      </c>
      <c r="AC47" s="513" t="e">
        <v>#DIV/0!</v>
      </c>
      <c r="AD47" s="510">
        <v>0</v>
      </c>
      <c r="AE47" s="510">
        <v>0</v>
      </c>
      <c r="AF47" s="510">
        <v>0</v>
      </c>
      <c r="AG47" s="510">
        <v>0</v>
      </c>
      <c r="AH47" s="510">
        <v>0</v>
      </c>
      <c r="AI47" s="510">
        <v>0</v>
      </c>
      <c r="AJ47" s="510">
        <v>0</v>
      </c>
      <c r="AK47" s="510">
        <v>0</v>
      </c>
      <c r="AL47" s="576"/>
      <c r="AM47" s="576"/>
      <c r="AN47" s="1021">
        <v>0.91821702153440543</v>
      </c>
      <c r="AO47" s="513">
        <v>0.882557666822814</v>
      </c>
      <c r="AP47" s="513">
        <v>0.91821702153440543</v>
      </c>
      <c r="AQ47" s="513">
        <v>0.882557666822814</v>
      </c>
      <c r="AR47" s="510">
        <v>50.652999999999999</v>
      </c>
      <c r="AS47" s="510">
        <v>533.06700000000001</v>
      </c>
      <c r="AT47" s="514">
        <v>108.98567754106628</v>
      </c>
      <c r="AU47" s="514">
        <v>110.68034882642887</v>
      </c>
      <c r="AV47" s="510">
        <v>1.3799774939292837</v>
      </c>
      <c r="AW47" s="510">
        <v>1.3484233689198541</v>
      </c>
      <c r="AX47" s="510">
        <v>0.19347323949223147</v>
      </c>
      <c r="AY47" s="510">
        <v>0.2029763613204344</v>
      </c>
      <c r="AZ47" s="510">
        <v>868.2419600023693</v>
      </c>
      <c r="BA47" s="510">
        <v>807.65599821410797</v>
      </c>
      <c r="BB47" s="510">
        <v>453.75397311116819</v>
      </c>
      <c r="BC47" s="510">
        <v>489.60438368910468</v>
      </c>
      <c r="BD47" s="510">
        <v>6.7103626636130969</v>
      </c>
      <c r="BE47" s="510">
        <v>6.0780352188374076</v>
      </c>
      <c r="BF47" s="512">
        <v>0.8956087067185422</v>
      </c>
      <c r="BG47" s="513">
        <v>0.87060046771438049</v>
      </c>
      <c r="BH47" s="513">
        <v>0.8956087067185422</v>
      </c>
      <c r="BI47" s="513">
        <v>0.87060046771438049</v>
      </c>
      <c r="BJ47" s="510">
        <v>46.411000000000001</v>
      </c>
      <c r="BK47" s="510">
        <v>510.92399999999998</v>
      </c>
      <c r="BL47" s="510">
        <v>2.7708948309667965</v>
      </c>
      <c r="BM47" s="510">
        <v>2.7790826032834626</v>
      </c>
      <c r="BN47" s="514">
        <v>0</v>
      </c>
      <c r="BO47" s="514">
        <v>0</v>
      </c>
      <c r="BP47" s="514">
        <v>1143.6538751589185</v>
      </c>
      <c r="BQ47" s="514">
        <v>1062.0356843679299</v>
      </c>
      <c r="BR47" s="514">
        <v>0</v>
      </c>
      <c r="BS47" s="515">
        <v>0</v>
      </c>
      <c r="BT47" s="1021">
        <v>0.919808342360943</v>
      </c>
      <c r="BU47" s="513">
        <v>0.78984707661358244</v>
      </c>
      <c r="BV47" s="513">
        <v>0.919808342360943</v>
      </c>
      <c r="BW47" s="513">
        <v>0.78984707661358244</v>
      </c>
      <c r="BX47" s="510">
        <v>48.627000000000002</v>
      </c>
      <c r="BY47" s="510">
        <v>455.10600000000005</v>
      </c>
      <c r="BZ47" s="514">
        <v>77.519659356167764</v>
      </c>
      <c r="CA47" s="514">
        <v>90.550242124125006</v>
      </c>
      <c r="CB47" s="510">
        <v>2.079091862545499</v>
      </c>
      <c r="CC47" s="510">
        <v>2.2572763268337481</v>
      </c>
      <c r="CD47" s="514">
        <v>0.18713883233594503</v>
      </c>
      <c r="CE47" s="514">
        <v>0.21467526246632648</v>
      </c>
      <c r="CF47" s="514">
        <v>591.21599111604598</v>
      </c>
      <c r="CG47" s="514">
        <v>629.07269954691867</v>
      </c>
      <c r="CH47" s="514">
        <v>436.30082053180342</v>
      </c>
      <c r="CI47" s="514">
        <v>518.05087166506246</v>
      </c>
      <c r="CJ47" s="514"/>
      <c r="CK47" s="515"/>
    </row>
    <row r="48" spans="1:89" ht="12.75" customHeight="1">
      <c r="A48" s="560">
        <v>45973</v>
      </c>
      <c r="B48" s="512">
        <v>0.84842955816779531</v>
      </c>
      <c r="C48" s="513">
        <v>0.85714462169701267</v>
      </c>
      <c r="D48" s="513">
        <v>0.84842955816779531</v>
      </c>
      <c r="E48" s="513">
        <v>0.85714462169701267</v>
      </c>
      <c r="F48" s="510">
        <v>48.634999999999998</v>
      </c>
      <c r="G48" s="510">
        <v>640.12100000000009</v>
      </c>
      <c r="H48" s="510">
        <v>2.5156985709879716</v>
      </c>
      <c r="I48" s="510">
        <v>2.4539657346033015</v>
      </c>
      <c r="J48" s="510">
        <v>1129.0017477125587</v>
      </c>
      <c r="K48" s="511">
        <v>1002.5350832108313</v>
      </c>
      <c r="L48" s="512">
        <v>0.88916361976760439</v>
      </c>
      <c r="M48" s="513">
        <v>0.87832425673850223</v>
      </c>
      <c r="N48" s="513">
        <v>0.88916361976760439</v>
      </c>
      <c r="O48" s="513">
        <v>0.87832425673850223</v>
      </c>
      <c r="P48" s="510">
        <v>52.713999999999999</v>
      </c>
      <c r="Q48" s="510">
        <v>568.46</v>
      </c>
      <c r="R48" s="510">
        <v>2.6122851614371894</v>
      </c>
      <c r="S48" s="510">
        <v>2.827662456461316</v>
      </c>
      <c r="T48" s="510">
        <v>0.25799597829798537</v>
      </c>
      <c r="U48" s="510">
        <v>0.29272068395313655</v>
      </c>
      <c r="V48" s="510">
        <v>759.11332852752298</v>
      </c>
      <c r="W48" s="510">
        <v>798.45114871758699</v>
      </c>
      <c r="X48" s="510">
        <v>419.0347915164852</v>
      </c>
      <c r="Y48" s="569">
        <v>469.58273229426874</v>
      </c>
      <c r="Z48" s="1021">
        <v>0</v>
      </c>
      <c r="AA48" s="513">
        <v>0</v>
      </c>
      <c r="AB48" s="513" t="e">
        <v>#DIV/0!</v>
      </c>
      <c r="AC48" s="513" t="e">
        <v>#DIV/0!</v>
      </c>
      <c r="AD48" s="510">
        <v>0</v>
      </c>
      <c r="AE48" s="510">
        <v>0</v>
      </c>
      <c r="AF48" s="510">
        <v>0</v>
      </c>
      <c r="AG48" s="510">
        <v>0</v>
      </c>
      <c r="AH48" s="510">
        <v>0</v>
      </c>
      <c r="AI48" s="510">
        <v>0</v>
      </c>
      <c r="AJ48" s="510">
        <v>0</v>
      </c>
      <c r="AK48" s="510">
        <v>0</v>
      </c>
      <c r="AL48" s="576"/>
      <c r="AM48" s="576"/>
      <c r="AN48" s="1021">
        <v>0.89060869579265478</v>
      </c>
      <c r="AO48" s="513">
        <v>0.88323144320040026</v>
      </c>
      <c r="AP48" s="513">
        <v>0.89060869579265478</v>
      </c>
      <c r="AQ48" s="513">
        <v>0.88323144320040026</v>
      </c>
      <c r="AR48" s="510">
        <v>49.13</v>
      </c>
      <c r="AS48" s="510">
        <v>582.197</v>
      </c>
      <c r="AT48" s="514">
        <v>105.90073876131082</v>
      </c>
      <c r="AU48" s="514">
        <v>110.2770107080613</v>
      </c>
      <c r="AV48" s="510">
        <v>1.457358029717077</v>
      </c>
      <c r="AW48" s="510">
        <v>1.3576160646653967</v>
      </c>
      <c r="AX48" s="510">
        <v>0.17504579686545896</v>
      </c>
      <c r="AY48" s="510">
        <v>0.20061937797687038</v>
      </c>
      <c r="AZ48" s="510">
        <v>873.34011805414332</v>
      </c>
      <c r="BA48" s="510">
        <v>813.19890002868431</v>
      </c>
      <c r="BB48" s="510">
        <v>479.51150010177082</v>
      </c>
      <c r="BC48" s="510">
        <v>488.75267306427202</v>
      </c>
      <c r="BD48" s="510">
        <v>6.9224506411562352</v>
      </c>
      <c r="BE48" s="510">
        <v>6.1492931086900242</v>
      </c>
      <c r="BF48" s="512">
        <v>0.90895124007706796</v>
      </c>
      <c r="BG48" s="513">
        <v>0.87370510733727258</v>
      </c>
      <c r="BH48" s="513">
        <v>0.90895124007706796</v>
      </c>
      <c r="BI48" s="513">
        <v>0.87370510733727258</v>
      </c>
      <c r="BJ48" s="510">
        <v>46.987000000000002</v>
      </c>
      <c r="BK48" s="510">
        <v>557.91099999999994</v>
      </c>
      <c r="BL48" s="510">
        <v>2.8199289165088213</v>
      </c>
      <c r="BM48" s="510">
        <v>2.7825226604243332</v>
      </c>
      <c r="BN48" s="514">
        <v>0</v>
      </c>
      <c r="BO48" s="514">
        <v>0</v>
      </c>
      <c r="BP48" s="514">
        <v>1231.7108987592194</v>
      </c>
      <c r="BQ48" s="514">
        <v>1076.3256505069801</v>
      </c>
      <c r="BR48" s="514">
        <v>0</v>
      </c>
      <c r="BS48" s="515">
        <v>0</v>
      </c>
      <c r="BT48" s="1021">
        <v>1.0184949579933031</v>
      </c>
      <c r="BU48" s="513">
        <v>0.80941277691873359</v>
      </c>
      <c r="BV48" s="513">
        <v>1.0184949579933031</v>
      </c>
      <c r="BW48" s="513">
        <v>0.80941277691873359</v>
      </c>
      <c r="BX48" s="510">
        <v>54.917000000000002</v>
      </c>
      <c r="BY48" s="510">
        <v>510.02300000000002</v>
      </c>
      <c r="BZ48" s="514">
        <v>72.656858616763458</v>
      </c>
      <c r="CA48" s="514">
        <v>88.623562460514194</v>
      </c>
      <c r="CB48" s="510">
        <v>1.8591692918404135</v>
      </c>
      <c r="CC48" s="510">
        <v>2.214409938375328</v>
      </c>
      <c r="CD48" s="514">
        <v>0.17116739807345629</v>
      </c>
      <c r="CE48" s="514">
        <v>0.20999052983885039</v>
      </c>
      <c r="CF48" s="514">
        <v>523.64841488063814</v>
      </c>
      <c r="CG48" s="514">
        <v>617.72108316683762</v>
      </c>
      <c r="CH48" s="514">
        <v>464.73041134803441</v>
      </c>
      <c r="CI48" s="514">
        <v>512.30956250992585</v>
      </c>
      <c r="CJ48" s="514"/>
      <c r="CK48" s="515"/>
    </row>
    <row r="49" spans="1:89" ht="12.75" customHeight="1">
      <c r="A49" s="560">
        <v>45974</v>
      </c>
      <c r="B49" s="512">
        <v>0.67228889269173642</v>
      </c>
      <c r="C49" s="513">
        <v>0.84227804902218284</v>
      </c>
      <c r="D49" s="513">
        <v>0.67228889269173642</v>
      </c>
      <c r="E49" s="513">
        <v>0.84227804902218284</v>
      </c>
      <c r="F49" s="510">
        <v>43.908999999999999</v>
      </c>
      <c r="G49" s="510">
        <v>684.03000000000009</v>
      </c>
      <c r="H49" s="510">
        <v>2.1818761529526975</v>
      </c>
      <c r="I49" s="510">
        <v>2.4364998611172024</v>
      </c>
      <c r="J49" s="510">
        <v>930.42793049258046</v>
      </c>
      <c r="K49" s="511">
        <v>997.90640761370025</v>
      </c>
      <c r="L49" s="512">
        <v>0.94029851898860628</v>
      </c>
      <c r="M49" s="513">
        <v>0.88380003097916349</v>
      </c>
      <c r="N49" s="513">
        <v>0.94029851898860628</v>
      </c>
      <c r="O49" s="513">
        <v>0.88380003097916349</v>
      </c>
      <c r="P49" s="510">
        <v>58.981999999999999</v>
      </c>
      <c r="Q49" s="510">
        <v>627.44200000000001</v>
      </c>
      <c r="R49" s="510">
        <v>2.3828964768912551</v>
      </c>
      <c r="S49" s="510">
        <v>2.785852716267001</v>
      </c>
      <c r="T49" s="510">
        <v>0.24414228069580551</v>
      </c>
      <c r="U49" s="510">
        <v>0.2881541242059027</v>
      </c>
      <c r="V49" s="510">
        <v>696.33006680003484</v>
      </c>
      <c r="W49" s="510">
        <v>788.85136793520212</v>
      </c>
      <c r="X49" s="510">
        <v>379.69210945712251</v>
      </c>
      <c r="Y49" s="569">
        <v>461.13266246123146</v>
      </c>
      <c r="Z49" s="1021">
        <v>0</v>
      </c>
      <c r="AA49" s="513">
        <v>0</v>
      </c>
      <c r="AB49" s="513" t="e">
        <v>#DIV/0!</v>
      </c>
      <c r="AC49" s="513" t="e">
        <v>#DIV/0!</v>
      </c>
      <c r="AD49" s="510">
        <v>0</v>
      </c>
      <c r="AE49" s="510">
        <v>0</v>
      </c>
      <c r="AF49" s="510">
        <v>0</v>
      </c>
      <c r="AG49" s="510">
        <v>0</v>
      </c>
      <c r="AH49" s="510">
        <v>0</v>
      </c>
      <c r="AI49" s="510">
        <v>0</v>
      </c>
      <c r="AJ49" s="510">
        <v>0</v>
      </c>
      <c r="AK49" s="510">
        <v>0</v>
      </c>
      <c r="AL49" s="576"/>
      <c r="AM49" s="576"/>
      <c r="AN49" s="1021">
        <v>0.53402079318859785</v>
      </c>
      <c r="AO49" s="513">
        <v>0.85626351928575861</v>
      </c>
      <c r="AP49" s="513">
        <v>0.53402079318859785</v>
      </c>
      <c r="AQ49" s="513">
        <v>0.85626351928575861</v>
      </c>
      <c r="AR49" s="510">
        <v>29.459</v>
      </c>
      <c r="AS49" s="510">
        <v>611.65599999999995</v>
      </c>
      <c r="AT49" s="514">
        <v>141.78211280135176</v>
      </c>
      <c r="AU49" s="514">
        <v>111.79438126040813</v>
      </c>
      <c r="AV49" s="510">
        <v>2.0876472385349127</v>
      </c>
      <c r="AW49" s="510">
        <v>1.392776331794342</v>
      </c>
      <c r="AX49" s="510">
        <v>0.27495841678264704</v>
      </c>
      <c r="AY49" s="510">
        <v>0.20419974626260512</v>
      </c>
      <c r="AZ49" s="510">
        <v>1345.8012831392775</v>
      </c>
      <c r="BA49" s="510">
        <v>838.85046496723635</v>
      </c>
      <c r="BB49" s="510">
        <v>678.44461794358278</v>
      </c>
      <c r="BC49" s="510">
        <v>497.88874792366943</v>
      </c>
      <c r="BD49" s="510">
        <v>7.8108557656405786</v>
      </c>
      <c r="BE49" s="510">
        <v>6.2293184404305881</v>
      </c>
      <c r="BF49" s="512">
        <v>1.0021619928880152</v>
      </c>
      <c r="BG49" s="513">
        <v>0.88342040720355175</v>
      </c>
      <c r="BH49" s="513">
        <v>1.0021619928880152</v>
      </c>
      <c r="BI49" s="513">
        <v>0.88342040720355175</v>
      </c>
      <c r="BJ49" s="510">
        <v>52.359000000000002</v>
      </c>
      <c r="BK49" s="510">
        <v>610.27</v>
      </c>
      <c r="BL49" s="510">
        <v>2.5191466605550143</v>
      </c>
      <c r="BM49" s="510">
        <v>2.7599259344224687</v>
      </c>
      <c r="BN49" s="514">
        <v>0</v>
      </c>
      <c r="BO49" s="514">
        <v>0</v>
      </c>
      <c r="BP49" s="514">
        <v>1168.5081838843366</v>
      </c>
      <c r="BQ49" s="514">
        <v>1084.2345846920209</v>
      </c>
      <c r="BR49" s="514">
        <v>0</v>
      </c>
      <c r="BS49" s="515">
        <v>0</v>
      </c>
      <c r="BT49" s="1021">
        <v>0.6423911493546498</v>
      </c>
      <c r="BU49" s="513">
        <v>0.79634962802127895</v>
      </c>
      <c r="BV49" s="513">
        <v>0.6423911493546498</v>
      </c>
      <c r="BW49" s="513">
        <v>0.79634962802127895</v>
      </c>
      <c r="BX49" s="510">
        <v>34.344999999999999</v>
      </c>
      <c r="BY49" s="510">
        <v>544.36800000000005</v>
      </c>
      <c r="BZ49" s="514">
        <v>86.948340049060391</v>
      </c>
      <c r="CA49" s="514">
        <v>88.517870146268351</v>
      </c>
      <c r="CB49" s="510">
        <v>2.0963750181976999</v>
      </c>
      <c r="CC49" s="510">
        <v>2.2069629368368453</v>
      </c>
      <c r="CD49" s="514">
        <v>0.20963750181977001</v>
      </c>
      <c r="CE49" s="514">
        <v>0.20996825676748079</v>
      </c>
      <c r="CF49" s="514">
        <v>653.54374727034542</v>
      </c>
      <c r="CG49" s="514">
        <v>619.98118919554429</v>
      </c>
      <c r="CH49" s="514">
        <v>516.04891541709128</v>
      </c>
      <c r="CI49" s="514">
        <v>512.54548393733637</v>
      </c>
      <c r="CJ49" s="514"/>
      <c r="CK49" s="515"/>
    </row>
    <row r="50" spans="1:89" ht="12.75" customHeight="1">
      <c r="A50" s="560">
        <v>45975</v>
      </c>
      <c r="B50" s="512">
        <v>0.76772461676314663</v>
      </c>
      <c r="C50" s="513">
        <v>0.83697366671648032</v>
      </c>
      <c r="D50" s="513">
        <v>0.76772461676314663</v>
      </c>
      <c r="E50" s="513">
        <v>0.83697366671648032</v>
      </c>
      <c r="F50" s="510">
        <v>47.758000000000003</v>
      </c>
      <c r="G50" s="510">
        <v>731.78800000000012</v>
      </c>
      <c r="H50" s="510">
        <v>2.41951086728925</v>
      </c>
      <c r="I50" s="510">
        <v>2.4353911242053705</v>
      </c>
      <c r="J50" s="510">
        <v>924.36952971229755</v>
      </c>
      <c r="K50" s="511">
        <v>993.10723870847744</v>
      </c>
      <c r="L50" s="512">
        <v>0.9246224666005588</v>
      </c>
      <c r="M50" s="513">
        <v>0.88711422668951212</v>
      </c>
      <c r="N50" s="513">
        <v>0.9246224666005588</v>
      </c>
      <c r="O50" s="513">
        <v>0.88711422668951212</v>
      </c>
      <c r="P50" s="510">
        <v>58.000999999999998</v>
      </c>
      <c r="Q50" s="510">
        <v>685.44299999999998</v>
      </c>
      <c r="R50" s="510">
        <v>2.4100446544025105</v>
      </c>
      <c r="S50" s="510">
        <v>2.7540524886825017</v>
      </c>
      <c r="T50" s="510">
        <v>0.2344787158842089</v>
      </c>
      <c r="U50" s="510">
        <v>0.28361220407823845</v>
      </c>
      <c r="V50" s="510">
        <v>606.35092498404913</v>
      </c>
      <c r="W50" s="510">
        <v>773.40849640305453</v>
      </c>
      <c r="X50" s="510">
        <v>384.734745952656</v>
      </c>
      <c r="Y50" s="569">
        <v>454.66800302869825</v>
      </c>
      <c r="Z50" s="1021">
        <v>0</v>
      </c>
      <c r="AA50" s="513">
        <v>0</v>
      </c>
      <c r="AB50" s="513" t="e">
        <v>#DIV/0!</v>
      </c>
      <c r="AC50" s="513" t="e">
        <v>#DIV/0!</v>
      </c>
      <c r="AD50" s="510">
        <v>0</v>
      </c>
      <c r="AE50" s="510">
        <v>0</v>
      </c>
      <c r="AF50" s="510">
        <v>0</v>
      </c>
      <c r="AG50" s="510">
        <v>0</v>
      </c>
      <c r="AH50" s="510">
        <v>0</v>
      </c>
      <c r="AI50" s="510">
        <v>0</v>
      </c>
      <c r="AJ50" s="510">
        <v>0</v>
      </c>
      <c r="AK50" s="510">
        <v>0</v>
      </c>
      <c r="AL50" s="576"/>
      <c r="AM50" s="576"/>
      <c r="AN50" s="1021">
        <v>0.98328789770011327</v>
      </c>
      <c r="AO50" s="513">
        <v>0.86525222698801574</v>
      </c>
      <c r="AP50" s="513">
        <v>0.98328789770011327</v>
      </c>
      <c r="AQ50" s="513">
        <v>0.86525222698801574</v>
      </c>
      <c r="AR50" s="510">
        <v>53.488999999999997</v>
      </c>
      <c r="AS50" s="510">
        <v>665.14499999999998</v>
      </c>
      <c r="AT50" s="514">
        <v>86.889978321074182</v>
      </c>
      <c r="AU50" s="514">
        <v>109.79164259617396</v>
      </c>
      <c r="AV50" s="510">
        <v>1.2862457701583503</v>
      </c>
      <c r="AW50" s="510">
        <v>1.3842094580880859</v>
      </c>
      <c r="AX50" s="510">
        <v>0.18134569724616276</v>
      </c>
      <c r="AY50" s="510">
        <v>0.20236189101624458</v>
      </c>
      <c r="AZ50" s="510">
        <v>686.9831180242669</v>
      </c>
      <c r="BA50" s="510">
        <v>826.63774064301765</v>
      </c>
      <c r="BB50" s="510">
        <v>438.0676400755288</v>
      </c>
      <c r="BC50" s="510">
        <v>493.07811078787324</v>
      </c>
      <c r="BD50" s="510">
        <v>5.9787993793114165</v>
      </c>
      <c r="BE50" s="510">
        <v>6.2091724360853648</v>
      </c>
      <c r="BF50" s="512">
        <v>0.86415376425704638</v>
      </c>
      <c r="BG50" s="513">
        <v>0.88208318076059211</v>
      </c>
      <c r="BH50" s="513">
        <v>0.86415376425704638</v>
      </c>
      <c r="BI50" s="513">
        <v>0.88208318076059211</v>
      </c>
      <c r="BJ50" s="510">
        <v>44.523000000000003</v>
      </c>
      <c r="BK50" s="510">
        <v>654.79300000000001</v>
      </c>
      <c r="BL50" s="510">
        <v>2.8412281292814949</v>
      </c>
      <c r="BM50" s="510">
        <v>2.7654541206152174</v>
      </c>
      <c r="BN50" s="514">
        <v>0</v>
      </c>
      <c r="BO50" s="514">
        <v>0</v>
      </c>
      <c r="BP50" s="514">
        <v>1167.5331850953562</v>
      </c>
      <c r="BQ50" s="514">
        <v>1089.8985175467669</v>
      </c>
      <c r="BR50" s="514">
        <v>0</v>
      </c>
      <c r="BS50" s="515">
        <v>0</v>
      </c>
      <c r="BT50" s="1021">
        <v>0.89551749342404974</v>
      </c>
      <c r="BU50" s="513">
        <v>0.80340286498487634</v>
      </c>
      <c r="BV50" s="513">
        <v>0.89551749342404974</v>
      </c>
      <c r="BW50" s="513">
        <v>0.80340286498487634</v>
      </c>
      <c r="BX50" s="510">
        <v>46.872999999999998</v>
      </c>
      <c r="BY50" s="510">
        <v>591.2410000000001</v>
      </c>
      <c r="BZ50" s="514">
        <v>77.279925534616154</v>
      </c>
      <c r="CA50" s="514">
        <v>87.62693704490701</v>
      </c>
      <c r="CB50" s="510">
        <v>2.1248906620015786</v>
      </c>
      <c r="CC50" s="510">
        <v>2.2004563282992882</v>
      </c>
      <c r="CD50" s="514">
        <v>0.21760928466281226</v>
      </c>
      <c r="CE50" s="514">
        <v>0.21057402987952456</v>
      </c>
      <c r="CF50" s="514">
        <v>504.25703496682695</v>
      </c>
      <c r="CG50" s="514">
        <v>610.80669304057062</v>
      </c>
      <c r="CH50" s="514">
        <v>520.30379962878339</v>
      </c>
      <c r="CI50" s="514">
        <v>513.16055550951273</v>
      </c>
      <c r="CJ50" s="514"/>
      <c r="CK50" s="515"/>
    </row>
    <row r="51" spans="1:89" ht="12.75" customHeight="1">
      <c r="A51" s="560">
        <v>45976</v>
      </c>
      <c r="B51" s="512">
        <v>0.78342130090007389</v>
      </c>
      <c r="C51" s="513">
        <v>0.83355544507008072</v>
      </c>
      <c r="D51" s="513">
        <v>0.78342130090007389</v>
      </c>
      <c r="E51" s="513">
        <v>0.83355544507008072</v>
      </c>
      <c r="F51" s="510">
        <v>46.701999999999998</v>
      </c>
      <c r="G51" s="510">
        <v>778.49000000000012</v>
      </c>
      <c r="H51" s="510">
        <v>2.5886257547856624</v>
      </c>
      <c r="I51" s="510">
        <v>2.4445837454559465</v>
      </c>
      <c r="J51" s="510">
        <v>1092.6624127446678</v>
      </c>
      <c r="K51" s="511">
        <v>999.0796028208465</v>
      </c>
      <c r="L51" s="512">
        <v>0.59369039719402683</v>
      </c>
      <c r="M51" s="513">
        <v>0.86090982356116108</v>
      </c>
      <c r="N51" s="513">
        <v>0.59369039719402683</v>
      </c>
      <c r="O51" s="513">
        <v>0.86090982356116108</v>
      </c>
      <c r="P51" s="510">
        <v>44.984000000000002</v>
      </c>
      <c r="Q51" s="510">
        <v>730.42700000000002</v>
      </c>
      <c r="R51" s="510">
        <v>2.8058643073092653</v>
      </c>
      <c r="S51" s="510">
        <v>2.7572433658668145</v>
      </c>
      <c r="T51" s="510">
        <v>0.39125022230126266</v>
      </c>
      <c r="U51" s="510">
        <v>0.29024118768884499</v>
      </c>
      <c r="V51" s="510">
        <v>823.99919971546478</v>
      </c>
      <c r="W51" s="510">
        <v>776.52417010871648</v>
      </c>
      <c r="X51" s="510">
        <v>605.92655166281338</v>
      </c>
      <c r="Y51" s="569">
        <v>463.98339601356463</v>
      </c>
      <c r="Z51" s="1021">
        <v>0</v>
      </c>
      <c r="AA51" s="513">
        <v>0</v>
      </c>
      <c r="AB51" s="513" t="e">
        <v>#DIV/0!</v>
      </c>
      <c r="AC51" s="513" t="e">
        <v>#DIV/0!</v>
      </c>
      <c r="AD51" s="510">
        <v>0</v>
      </c>
      <c r="AE51" s="510">
        <v>0</v>
      </c>
      <c r="AF51" s="510">
        <v>0</v>
      </c>
      <c r="AG51" s="510">
        <v>0</v>
      </c>
      <c r="AH51" s="510">
        <v>0</v>
      </c>
      <c r="AI51" s="510">
        <v>0</v>
      </c>
      <c r="AJ51" s="510">
        <v>0</v>
      </c>
      <c r="AK51" s="510">
        <v>0</v>
      </c>
      <c r="AL51" s="576"/>
      <c r="AM51" s="576"/>
      <c r="AN51" s="1021">
        <v>0.92907907059960848</v>
      </c>
      <c r="AO51" s="513">
        <v>0.86945537634644154</v>
      </c>
      <c r="AP51" s="513">
        <v>0.92907907059960848</v>
      </c>
      <c r="AQ51" s="513">
        <v>0.86945537634644154</v>
      </c>
      <c r="AR51" s="510">
        <v>50.347999999999999</v>
      </c>
      <c r="AS51" s="510">
        <v>715.49299999999994</v>
      </c>
      <c r="AT51" s="514">
        <v>103.35746713686945</v>
      </c>
      <c r="AU51" s="514">
        <v>109.33888084165636</v>
      </c>
      <c r="AV51" s="510">
        <v>1.4062127591959959</v>
      </c>
      <c r="AW51" s="510">
        <v>1.385757792179658</v>
      </c>
      <c r="AX51" s="510">
        <v>0.21450703106379601</v>
      </c>
      <c r="AY51" s="510">
        <v>0.20321652343209509</v>
      </c>
      <c r="AZ51" s="510">
        <v>723.15722570906337</v>
      </c>
      <c r="BA51" s="510">
        <v>819.35599649472454</v>
      </c>
      <c r="BB51" s="510">
        <v>531.88706602049911</v>
      </c>
      <c r="BC51" s="510">
        <v>495.809029578207</v>
      </c>
      <c r="BD51" s="510">
        <v>6.5563676809407685</v>
      </c>
      <c r="BE51" s="510">
        <v>6.2336039625824524</v>
      </c>
      <c r="BF51" s="512">
        <v>1.153796882512973</v>
      </c>
      <c r="BG51" s="513">
        <v>0.90013051200787531</v>
      </c>
      <c r="BH51" s="513">
        <v>1.153796882512973</v>
      </c>
      <c r="BI51" s="513">
        <v>0.90013051200787531</v>
      </c>
      <c r="BJ51" s="510">
        <v>60.936</v>
      </c>
      <c r="BK51" s="510">
        <v>715.72900000000004</v>
      </c>
      <c r="BL51" s="510">
        <v>2.0825128003150848</v>
      </c>
      <c r="BM51" s="510">
        <v>2.7073096102016265</v>
      </c>
      <c r="BN51" s="514">
        <v>0</v>
      </c>
      <c r="BO51" s="514">
        <v>0</v>
      </c>
      <c r="BP51" s="514">
        <v>941.79368517788907</v>
      </c>
      <c r="BQ51" s="514">
        <v>1077.2891136170256</v>
      </c>
      <c r="BR51" s="514">
        <v>0</v>
      </c>
      <c r="BS51" s="515">
        <v>0</v>
      </c>
      <c r="BT51" s="1021">
        <v>0.97048045164460228</v>
      </c>
      <c r="BU51" s="513">
        <v>0.81451098772071817</v>
      </c>
      <c r="BV51" s="513">
        <v>0.97048045164460228</v>
      </c>
      <c r="BW51" s="513">
        <v>0.81451098772071817</v>
      </c>
      <c r="BX51" s="510">
        <v>50.865000000000002</v>
      </c>
      <c r="BY51" s="510">
        <v>642.10600000000011</v>
      </c>
      <c r="BZ51" s="514">
        <v>77.74927837959487</v>
      </c>
      <c r="CA51" s="514">
        <v>86.844469495918062</v>
      </c>
      <c r="CB51" s="510">
        <v>2.0013761918804676</v>
      </c>
      <c r="CC51" s="510">
        <v>2.1846860175734215</v>
      </c>
      <c r="CD51" s="514">
        <v>0.21232674727219111</v>
      </c>
      <c r="CE51" s="514">
        <v>0.21071287295244084</v>
      </c>
      <c r="CF51" s="514">
        <v>570.52039712965291</v>
      </c>
      <c r="CG51" s="514">
        <v>607.61537814628718</v>
      </c>
      <c r="CH51" s="514">
        <v>526.48088076280521</v>
      </c>
      <c r="CI51" s="514">
        <v>514.21573696554753</v>
      </c>
      <c r="CJ51" s="514"/>
      <c r="CK51" s="515"/>
    </row>
    <row r="52" spans="1:89" ht="12.75" customHeight="1">
      <c r="A52" s="560">
        <v>45977</v>
      </c>
      <c r="B52" s="512">
        <v>0.85703249220818689</v>
      </c>
      <c r="C52" s="513">
        <v>0.83508227615301722</v>
      </c>
      <c r="D52" s="513">
        <v>0.85703249220818689</v>
      </c>
      <c r="E52" s="513">
        <v>0.83508227615301722</v>
      </c>
      <c r="F52" s="510">
        <v>55.676000000000002</v>
      </c>
      <c r="G52" s="510">
        <v>834.16600000000017</v>
      </c>
      <c r="H52" s="510">
        <v>2.2394568575328688</v>
      </c>
      <c r="I52" s="510">
        <v>2.4308926520620591</v>
      </c>
      <c r="J52" s="510">
        <v>810.72885983189974</v>
      </c>
      <c r="K52" s="511">
        <v>986.50822498160028</v>
      </c>
      <c r="L52" s="512">
        <v>0.98286428917415825</v>
      </c>
      <c r="M52" s="513">
        <v>0.87025822048997503</v>
      </c>
      <c r="N52" s="513">
        <v>0.98286428917415825</v>
      </c>
      <c r="O52" s="513">
        <v>0.87025822048997503</v>
      </c>
      <c r="P52" s="510">
        <v>69.228999999999999</v>
      </c>
      <c r="Q52" s="510">
        <v>799.65600000000006</v>
      </c>
      <c r="R52" s="510">
        <v>1.9554377500758351</v>
      </c>
      <c r="S52" s="510">
        <v>2.6878282661544457</v>
      </c>
      <c r="T52" s="510">
        <v>0.2325614987938581</v>
      </c>
      <c r="U52" s="510">
        <v>0.28524765649229167</v>
      </c>
      <c r="V52" s="510">
        <v>506.60864666541238</v>
      </c>
      <c r="W52" s="510">
        <v>753.15664485728757</v>
      </c>
      <c r="X52" s="510">
        <v>371.4917158994063</v>
      </c>
      <c r="Y52" s="569">
        <v>455.97606970997521</v>
      </c>
      <c r="Z52" s="1021">
        <v>0.52236410153560753</v>
      </c>
      <c r="AA52" s="513">
        <v>3.240951566510393E-2</v>
      </c>
      <c r="AB52" s="513">
        <v>0.58310411334207357</v>
      </c>
      <c r="AC52" s="513">
        <v>0.58310411334207357</v>
      </c>
      <c r="AD52" s="510">
        <v>22.440999999999999</v>
      </c>
      <c r="AE52" s="510">
        <v>22.440999999999999</v>
      </c>
      <c r="AF52" s="510">
        <v>129.86238221379963</v>
      </c>
      <c r="AG52" s="510">
        <v>139.77464992980171</v>
      </c>
      <c r="AH52" s="510">
        <v>2.4419589144868765</v>
      </c>
      <c r="AI52" s="510">
        <v>16.93329174279221</v>
      </c>
      <c r="AJ52" s="510">
        <v>1212.875540305723</v>
      </c>
      <c r="AK52" s="510">
        <v>4821.6042065861584</v>
      </c>
      <c r="AL52" s="576"/>
      <c r="AM52" s="576"/>
      <c r="AN52" s="1021">
        <v>0.96297080014302994</v>
      </c>
      <c r="AO52" s="513">
        <v>0.8752562039367513</v>
      </c>
      <c r="AP52" s="513">
        <v>0.96297080014302994</v>
      </c>
      <c r="AQ52" s="513">
        <v>0.8752562039367513</v>
      </c>
      <c r="AR52" s="510">
        <v>52.406999999999996</v>
      </c>
      <c r="AS52" s="510">
        <v>767.9</v>
      </c>
      <c r="AT52" s="514">
        <v>84.556596130012537</v>
      </c>
      <c r="AU52" s="514">
        <v>107.64756010343118</v>
      </c>
      <c r="AV52" s="510">
        <v>1.3643215600969336</v>
      </c>
      <c r="AW52" s="510">
        <v>1.384294830055997</v>
      </c>
      <c r="AX52" s="510">
        <v>0.22897704505123362</v>
      </c>
      <c r="AY52" s="510">
        <v>0.20497460606849852</v>
      </c>
      <c r="AZ52" s="510">
        <v>792.98834125212431</v>
      </c>
      <c r="BA52" s="510">
        <v>817.55647870816517</v>
      </c>
      <c r="BB52" s="510">
        <v>556.19379090579525</v>
      </c>
      <c r="BC52" s="510">
        <v>499.93011850501375</v>
      </c>
      <c r="BD52" s="510">
        <v>5.1538916556949612</v>
      </c>
      <c r="BE52" s="510">
        <v>6.1599166558145741</v>
      </c>
      <c r="BF52" s="512">
        <v>0.9281339315604259</v>
      </c>
      <c r="BG52" s="513">
        <v>0.90181771930010501</v>
      </c>
      <c r="BH52" s="513">
        <v>0.9281339315604259</v>
      </c>
      <c r="BI52" s="513">
        <v>0.90181771930010501</v>
      </c>
      <c r="BJ52" s="510">
        <v>47.314999999999998</v>
      </c>
      <c r="BK52" s="510">
        <v>763.0440000000001</v>
      </c>
      <c r="BL52" s="510">
        <v>2.616506393321357</v>
      </c>
      <c r="BM52" s="510">
        <v>2.701679064378987</v>
      </c>
      <c r="BN52" s="514">
        <v>0</v>
      </c>
      <c r="BO52" s="514">
        <v>0</v>
      </c>
      <c r="BP52" s="514">
        <v>964.10187044276904</v>
      </c>
      <c r="BQ52" s="514">
        <v>1070.2705741739658</v>
      </c>
      <c r="BR52" s="514">
        <v>0</v>
      </c>
      <c r="BS52" s="515">
        <v>0</v>
      </c>
      <c r="BT52" s="1021">
        <v>0.87368921468890781</v>
      </c>
      <c r="BU52" s="513">
        <v>0.81819473040335533</v>
      </c>
      <c r="BV52" s="513">
        <v>0.87368921468890781</v>
      </c>
      <c r="BW52" s="513">
        <v>0.81819473040335533</v>
      </c>
      <c r="BX52" s="510">
        <v>45.72</v>
      </c>
      <c r="BY52" s="510">
        <v>687.82600000000014</v>
      </c>
      <c r="BZ52" s="514">
        <v>62.804040843275452</v>
      </c>
      <c r="CA52" s="514">
        <v>85.246495011093671</v>
      </c>
      <c r="CB52" s="510">
        <v>1.8022747156605425</v>
      </c>
      <c r="CC52" s="510">
        <v>2.1592670239275624</v>
      </c>
      <c r="CD52" s="514">
        <v>0.20997375328083989</v>
      </c>
      <c r="CE52" s="514">
        <v>0.21066374344674377</v>
      </c>
      <c r="CF52" s="514">
        <v>434.34251968503935</v>
      </c>
      <c r="CG52" s="514">
        <v>596.09787940554713</v>
      </c>
      <c r="CH52" s="514">
        <v>500.92633420822409</v>
      </c>
      <c r="CI52" s="514">
        <v>513.33238638841783</v>
      </c>
      <c r="CJ52" s="514"/>
      <c r="CK52" s="515"/>
    </row>
    <row r="53" spans="1:89" ht="12.75" customHeight="1">
      <c r="A53" s="560">
        <v>45978</v>
      </c>
      <c r="B53" s="512">
        <v>0.7280433272742024</v>
      </c>
      <c r="C53" s="513">
        <v>0.82881022538247362</v>
      </c>
      <c r="D53" s="513">
        <v>0.7280433272742024</v>
      </c>
      <c r="E53" s="513">
        <v>0.82881022538247362</v>
      </c>
      <c r="F53" s="510">
        <v>45.265999999999998</v>
      </c>
      <c r="G53" s="510">
        <v>879.43200000000013</v>
      </c>
      <c r="H53" s="510">
        <v>2.4709494985198606</v>
      </c>
      <c r="I53" s="510">
        <v>2.4329544524192883</v>
      </c>
      <c r="J53" s="510">
        <v>1034.8985993902745</v>
      </c>
      <c r="K53" s="511">
        <v>988.99896751539836</v>
      </c>
      <c r="L53" s="512">
        <v>0.96618671979017001</v>
      </c>
      <c r="M53" s="513">
        <v>0.87713061192043962</v>
      </c>
      <c r="N53" s="513">
        <v>0.96618671979017001</v>
      </c>
      <c r="O53" s="513">
        <v>0.87713061192043962</v>
      </c>
      <c r="P53" s="510">
        <v>68.510999999999996</v>
      </c>
      <c r="Q53" s="510">
        <v>868.16700000000003</v>
      </c>
      <c r="R53" s="510">
        <v>1.9681948884120797</v>
      </c>
      <c r="S53" s="510">
        <v>2.6310387287238508</v>
      </c>
      <c r="T53" s="510">
        <v>0.21602370422267958</v>
      </c>
      <c r="U53" s="510">
        <v>0.27978488009795349</v>
      </c>
      <c r="V53" s="510">
        <v>533.29509129919882</v>
      </c>
      <c r="W53" s="510">
        <v>735.80637135481845</v>
      </c>
      <c r="X53" s="510">
        <v>325.29082920990788</v>
      </c>
      <c r="Y53" s="569">
        <v>445.66310398805757</v>
      </c>
      <c r="Z53" s="1021">
        <v>0.59466314789582309</v>
      </c>
      <c r="AA53" s="513">
        <v>6.5256008967164492E-2</v>
      </c>
      <c r="AB53" s="513">
        <v>0.59466314789582309</v>
      </c>
      <c r="AC53" s="513">
        <v>0.58920118651328213</v>
      </c>
      <c r="AD53" s="510">
        <v>25.547000000000001</v>
      </c>
      <c r="AE53" s="510">
        <v>47.988</v>
      </c>
      <c r="AF53" s="510">
        <v>156.68069465891028</v>
      </c>
      <c r="AG53" s="510">
        <v>148.77479006263778</v>
      </c>
      <c r="AH53" s="510">
        <v>2.3916702548244411</v>
      </c>
      <c r="AI53" s="510">
        <v>9.1918813036592493</v>
      </c>
      <c r="AJ53" s="510">
        <v>1331.1042392453412</v>
      </c>
      <c r="AK53" s="510">
        <v>2963.3937651079586</v>
      </c>
      <c r="AL53" s="576"/>
      <c r="AM53" s="576"/>
      <c r="AN53" s="1021">
        <v>0.93426728035711137</v>
      </c>
      <c r="AO53" s="513">
        <v>0.87877767921810501</v>
      </c>
      <c r="AP53" s="513">
        <v>0.93426728035711137</v>
      </c>
      <c r="AQ53" s="513">
        <v>0.87877767921810501</v>
      </c>
      <c r="AR53" s="510">
        <v>52.018000000000001</v>
      </c>
      <c r="AS53" s="510">
        <v>819.91800000000001</v>
      </c>
      <c r="AT53" s="514">
        <v>94.821416306773244</v>
      </c>
      <c r="AU53" s="514">
        <v>106.8338319647459</v>
      </c>
      <c r="AV53" s="510">
        <v>1.3533776769579762</v>
      </c>
      <c r="AW53" s="510">
        <v>1.3823333552867483</v>
      </c>
      <c r="AX53" s="510">
        <v>0.22299973086239377</v>
      </c>
      <c r="AY53" s="510">
        <v>0.20611817279288905</v>
      </c>
      <c r="AZ53" s="510">
        <v>749.86966050213209</v>
      </c>
      <c r="BA53" s="510">
        <v>813.26222866189039</v>
      </c>
      <c r="BB53" s="510">
        <v>550.05350071129783</v>
      </c>
      <c r="BC53" s="510">
        <v>503.11009271658912</v>
      </c>
      <c r="BD53" s="510">
        <v>6.5765696489672179</v>
      </c>
      <c r="BE53" s="510">
        <v>6.186350342351294</v>
      </c>
      <c r="BF53" s="512">
        <v>0.67441514339693709</v>
      </c>
      <c r="BG53" s="513">
        <v>0.88820543215382397</v>
      </c>
      <c r="BH53" s="513">
        <v>0.67441514339693709</v>
      </c>
      <c r="BI53" s="513">
        <v>0.88820543215382397</v>
      </c>
      <c r="BJ53" s="510">
        <v>36.332999999999998</v>
      </c>
      <c r="BK53" s="510">
        <v>799.37700000000007</v>
      </c>
      <c r="BL53" s="510">
        <v>3.6248038972834613</v>
      </c>
      <c r="BM53" s="510">
        <v>2.7436366070077067</v>
      </c>
      <c r="BN53" s="514">
        <v>0</v>
      </c>
      <c r="BO53" s="514">
        <v>0</v>
      </c>
      <c r="BP53" s="514">
        <v>1326.5664822613205</v>
      </c>
      <c r="BQ53" s="514">
        <v>1081.9196449234844</v>
      </c>
      <c r="BR53" s="514">
        <v>0</v>
      </c>
      <c r="BS53" s="515">
        <v>0</v>
      </c>
      <c r="BT53" s="1021">
        <v>0.94044252502274883</v>
      </c>
      <c r="BU53" s="513">
        <v>0.82541697077196763</v>
      </c>
      <c r="BV53" s="513">
        <v>0.94044252502274883</v>
      </c>
      <c r="BW53" s="513">
        <v>0.82541697077196763</v>
      </c>
      <c r="BX53" s="510">
        <v>49.64</v>
      </c>
      <c r="BY53" s="510">
        <v>737.46600000000012</v>
      </c>
      <c r="BZ53" s="514">
        <v>77.736862612874461</v>
      </c>
      <c r="CA53" s="514">
        <v>84.741009806016294</v>
      </c>
      <c r="CB53" s="510">
        <v>2.0366639806607574</v>
      </c>
      <c r="CC53" s="510">
        <v>2.1510144196478205</v>
      </c>
      <c r="CD53" s="514">
        <v>0.22562449637389201</v>
      </c>
      <c r="CE53" s="514">
        <v>0.21167077533065926</v>
      </c>
      <c r="CF53" s="514">
        <v>569.01128122482146</v>
      </c>
      <c r="CG53" s="514">
        <v>594.27463774601142</v>
      </c>
      <c r="CH53" s="514">
        <v>553.79969782434091</v>
      </c>
      <c r="CI53" s="514">
        <v>516.05630496863603</v>
      </c>
      <c r="CJ53" s="514"/>
      <c r="CK53" s="515"/>
    </row>
    <row r="54" spans="1:89" ht="12.75" customHeight="1">
      <c r="A54" s="560">
        <v>45979</v>
      </c>
      <c r="B54" s="512">
        <v>0.70191175327409483</v>
      </c>
      <c r="C54" s="513">
        <v>0.82151381775490562</v>
      </c>
      <c r="D54" s="513">
        <v>0.70191175327409483</v>
      </c>
      <c r="E54" s="513">
        <v>0.82151381775490562</v>
      </c>
      <c r="F54" s="510">
        <v>45.436</v>
      </c>
      <c r="G54" s="510">
        <v>924.86800000000017</v>
      </c>
      <c r="H54" s="510">
        <v>2.7077427590456904</v>
      </c>
      <c r="I54" s="510">
        <v>2.4464539804599137</v>
      </c>
      <c r="J54" s="510">
        <v>1135.6752354960845</v>
      </c>
      <c r="K54" s="511">
        <v>996.20473408097359</v>
      </c>
      <c r="L54" s="512">
        <v>0.95680935377424836</v>
      </c>
      <c r="M54" s="513">
        <v>0.88234190211283758</v>
      </c>
      <c r="N54" s="513">
        <v>0.95680935377424836</v>
      </c>
      <c r="O54" s="513">
        <v>0.88234190211283758</v>
      </c>
      <c r="P54" s="510">
        <v>66.274000000000001</v>
      </c>
      <c r="Q54" s="510">
        <v>934.44100000000003</v>
      </c>
      <c r="R54" s="510">
        <v>2.0695747955457646</v>
      </c>
      <c r="S54" s="510">
        <v>2.5912176370685787</v>
      </c>
      <c r="T54" s="510">
        <v>0.24142197543531399</v>
      </c>
      <c r="U54" s="510">
        <v>0.27706404149646685</v>
      </c>
      <c r="V54" s="510">
        <v>568.27730331653561</v>
      </c>
      <c r="W54" s="510">
        <v>723.92459234986347</v>
      </c>
      <c r="X54" s="510">
        <v>408.42562694269247</v>
      </c>
      <c r="Y54" s="569">
        <v>443.02208486143053</v>
      </c>
      <c r="Z54" s="1021">
        <v>0.80760888974803402</v>
      </c>
      <c r="AA54" s="513">
        <v>0.1058636592717377</v>
      </c>
      <c r="AB54" s="513">
        <v>0.84897980625055791</v>
      </c>
      <c r="AC54" s="513">
        <v>0.67544949294955425</v>
      </c>
      <c r="AD54" s="510">
        <v>34.366999999999997</v>
      </c>
      <c r="AE54" s="510">
        <v>82.35499999999999</v>
      </c>
      <c r="AF54" s="510">
        <v>129.71690934114199</v>
      </c>
      <c r="AG54" s="510">
        <v>140.82187661772679</v>
      </c>
      <c r="AH54" s="510">
        <v>1.6236505950475748</v>
      </c>
      <c r="AI54" s="510">
        <v>6.0336348734138801</v>
      </c>
      <c r="AJ54" s="510">
        <v>1113.2929845490999</v>
      </c>
      <c r="AK54" s="510">
        <v>2191.3409021917269</v>
      </c>
      <c r="AL54" s="576"/>
      <c r="AM54" s="576"/>
      <c r="AN54" s="1021">
        <v>0.85466379693890182</v>
      </c>
      <c r="AO54" s="513">
        <v>0.87745872676918213</v>
      </c>
      <c r="AP54" s="513">
        <v>0.85466379693890182</v>
      </c>
      <c r="AQ54" s="513">
        <v>0.87745872676918213</v>
      </c>
      <c r="AR54" s="510">
        <v>46.14</v>
      </c>
      <c r="AS54" s="510">
        <v>866.05799999999999</v>
      </c>
      <c r="AT54" s="514">
        <v>99.540265143684451</v>
      </c>
      <c r="AU54" s="514">
        <v>106.44526079154068</v>
      </c>
      <c r="AV54" s="510">
        <v>1.4217598612917206</v>
      </c>
      <c r="AW54" s="510">
        <v>1.3844338369947509</v>
      </c>
      <c r="AX54" s="510">
        <v>0.19505851755526657</v>
      </c>
      <c r="AY54" s="510">
        <v>0.20552895995418322</v>
      </c>
      <c r="AZ54" s="510">
        <v>825.52102297355862</v>
      </c>
      <c r="BA54" s="510">
        <v>813.91532668712705</v>
      </c>
      <c r="BB54" s="510">
        <v>446.74447334199516</v>
      </c>
      <c r="BC54" s="510">
        <v>500.10716487810282</v>
      </c>
      <c r="BD54" s="510">
        <v>6.6688339835286436</v>
      </c>
      <c r="BE54" s="510">
        <v>6.2120550817612683</v>
      </c>
      <c r="BF54" s="512">
        <v>1.0373273599234563</v>
      </c>
      <c r="BG54" s="513">
        <v>0.89701633851290075</v>
      </c>
      <c r="BH54" s="513">
        <v>1.0373273599234563</v>
      </c>
      <c r="BI54" s="513">
        <v>0.89701633851290075</v>
      </c>
      <c r="BJ54" s="510">
        <v>58.625</v>
      </c>
      <c r="BK54" s="510">
        <v>858.00200000000007</v>
      </c>
      <c r="BL54" s="510">
        <v>2.2515991471215351</v>
      </c>
      <c r="BM54" s="510">
        <v>2.7100169929673821</v>
      </c>
      <c r="BN54" s="514">
        <v>0</v>
      </c>
      <c r="BO54" s="514">
        <v>0</v>
      </c>
      <c r="BP54" s="514">
        <v>898.66234541576807</v>
      </c>
      <c r="BQ54" s="514">
        <v>1069.3981599110487</v>
      </c>
      <c r="BR54" s="514">
        <v>0</v>
      </c>
      <c r="BS54" s="515">
        <v>0</v>
      </c>
      <c r="BT54" s="1021">
        <v>0.9653620745189162</v>
      </c>
      <c r="BU54" s="513">
        <v>0.83313736540344863</v>
      </c>
      <c r="BV54" s="513">
        <v>0.9653620745189162</v>
      </c>
      <c r="BW54" s="513">
        <v>0.83313736540344863</v>
      </c>
      <c r="BX54" s="510">
        <v>50.36</v>
      </c>
      <c r="BY54" s="510">
        <v>787.82600000000014</v>
      </c>
      <c r="BZ54" s="514">
        <v>77.824287985372763</v>
      </c>
      <c r="CA54" s="514">
        <v>84.298873965249911</v>
      </c>
      <c r="CB54" s="510">
        <v>1.9718030182684669</v>
      </c>
      <c r="CC54" s="510">
        <v>2.1395587350506324</v>
      </c>
      <c r="CD54" s="514">
        <v>0.20055599682287528</v>
      </c>
      <c r="CE54" s="514">
        <v>0.21096028818546222</v>
      </c>
      <c r="CF54" s="514">
        <v>538.33478951548921</v>
      </c>
      <c r="CG54" s="514">
        <v>590.69880912790393</v>
      </c>
      <c r="CH54" s="514">
        <v>461.56096108021489</v>
      </c>
      <c r="CI54" s="514">
        <v>512.572813032319</v>
      </c>
      <c r="CJ54" s="514"/>
      <c r="CK54" s="515"/>
    </row>
    <row r="55" spans="1:89" ht="12.75" customHeight="1">
      <c r="A55" s="560">
        <v>45980</v>
      </c>
      <c r="B55" s="512">
        <v>0.95327963337831756</v>
      </c>
      <c r="C55" s="513">
        <v>0.82878844894484371</v>
      </c>
      <c r="D55" s="513">
        <v>0.95327963337831756</v>
      </c>
      <c r="E55" s="513">
        <v>0.82878844894484371</v>
      </c>
      <c r="F55" s="510">
        <v>62.713000000000001</v>
      </c>
      <c r="G55" s="510">
        <v>987.58100000000013</v>
      </c>
      <c r="H55" s="510">
        <v>2.1808396983081657</v>
      </c>
      <c r="I55" s="510">
        <v>2.4295870414679905</v>
      </c>
      <c r="J55" s="510">
        <v>917.3431345972715</v>
      </c>
      <c r="K55" s="511">
        <v>991.19689422943588</v>
      </c>
      <c r="L55" s="512">
        <v>0.97993770855510287</v>
      </c>
      <c r="M55" s="513">
        <v>0.88833318349973722</v>
      </c>
      <c r="N55" s="513">
        <v>0.97993770855510287</v>
      </c>
      <c r="O55" s="513">
        <v>0.88833318349973722</v>
      </c>
      <c r="P55" s="510">
        <v>67.876000000000005</v>
      </c>
      <c r="Q55" s="510">
        <v>1002.317</v>
      </c>
      <c r="R55" s="510">
        <v>2.0119924568330485</v>
      </c>
      <c r="S55" s="510">
        <v>2.5519930321445208</v>
      </c>
      <c r="T55" s="510">
        <v>0.23867051682479815</v>
      </c>
      <c r="U55" s="510">
        <v>0.27446406675732327</v>
      </c>
      <c r="V55" s="510">
        <v>618.99507926219849</v>
      </c>
      <c r="W55" s="510">
        <v>716.81886069975837</v>
      </c>
      <c r="X55" s="510">
        <v>365.94672638340501</v>
      </c>
      <c r="Y55" s="569">
        <v>437.8026113495032</v>
      </c>
      <c r="Z55" s="1021">
        <v>0.60527929400063352</v>
      </c>
      <c r="AA55" s="513">
        <v>0.13146010408207578</v>
      </c>
      <c r="AB55" s="513">
        <v>1.1074995976631667</v>
      </c>
      <c r="AC55" s="513">
        <v>0.7439360791958739</v>
      </c>
      <c r="AD55" s="510">
        <v>25.437000000000001</v>
      </c>
      <c r="AE55" s="510">
        <v>107.79199999999999</v>
      </c>
      <c r="AF55" s="510">
        <v>100.1695220878657</v>
      </c>
      <c r="AG55" s="510">
        <v>131.22864203467725</v>
      </c>
      <c r="AH55" s="510">
        <v>1.1440028305224672</v>
      </c>
      <c r="AI55" s="510">
        <v>4.8797684429271193</v>
      </c>
      <c r="AJ55" s="510">
        <v>1183.6828242324457</v>
      </c>
      <c r="AK55" s="510">
        <v>1953.5514694968122</v>
      </c>
      <c r="AL55" s="576"/>
      <c r="AM55" s="576"/>
      <c r="AN55" s="1021">
        <v>0.94715342732880969</v>
      </c>
      <c r="AO55" s="513">
        <v>0.88100117522208743</v>
      </c>
      <c r="AP55" s="513">
        <v>0.94715342732880969</v>
      </c>
      <c r="AQ55" s="513">
        <v>0.88100117522208743</v>
      </c>
      <c r="AR55" s="510">
        <v>50.061</v>
      </c>
      <c r="AS55" s="510">
        <v>916.11900000000003</v>
      </c>
      <c r="AT55" s="514">
        <v>98.601101402431098</v>
      </c>
      <c r="AU55" s="514">
        <v>106.01661946527386</v>
      </c>
      <c r="AV55" s="510">
        <v>1.3863087033818742</v>
      </c>
      <c r="AW55" s="510">
        <v>1.3845362884079471</v>
      </c>
      <c r="AX55" s="510">
        <v>0.20774654920996385</v>
      </c>
      <c r="AY55" s="510">
        <v>0.20565013933779344</v>
      </c>
      <c r="AZ55" s="510">
        <v>851.74766784522899</v>
      </c>
      <c r="BA55" s="510">
        <v>815.98266164111851</v>
      </c>
      <c r="BB55" s="510">
        <v>553.2849923093836</v>
      </c>
      <c r="BC55" s="510">
        <v>503.0130485231723</v>
      </c>
      <c r="BD55" s="510">
        <v>6.3941990771260224</v>
      </c>
      <c r="BE55" s="510">
        <v>6.2220082762173972</v>
      </c>
      <c r="BF55" s="512">
        <v>0.92841534552581595</v>
      </c>
      <c r="BG55" s="513">
        <v>0.89870966229881122</v>
      </c>
      <c r="BH55" s="513">
        <v>0.92841534552581595</v>
      </c>
      <c r="BI55" s="513">
        <v>0.89870966229881122</v>
      </c>
      <c r="BJ55" s="510">
        <v>50.621000000000002</v>
      </c>
      <c r="BK55" s="510">
        <v>908.62300000000005</v>
      </c>
      <c r="BL55" s="510">
        <v>2.5700796112285413</v>
      </c>
      <c r="BM55" s="510">
        <v>2.7022208330627771</v>
      </c>
      <c r="BN55" s="514">
        <v>0</v>
      </c>
      <c r="BO55" s="514">
        <v>0</v>
      </c>
      <c r="BP55" s="514">
        <v>1212.5141739594221</v>
      </c>
      <c r="BQ55" s="514">
        <v>1077.371407063215</v>
      </c>
      <c r="BR55" s="514">
        <v>0</v>
      </c>
      <c r="BS55" s="515">
        <v>0</v>
      </c>
      <c r="BT55" s="1021">
        <v>0.78021146496104055</v>
      </c>
      <c r="BU55" s="513">
        <v>0.83036735803659811</v>
      </c>
      <c r="BV55" s="513">
        <v>0.78021146496104055</v>
      </c>
      <c r="BW55" s="513">
        <v>0.83036735803659811</v>
      </c>
      <c r="BX55" s="510">
        <v>40.746000000000002</v>
      </c>
      <c r="BY55" s="510">
        <v>828.57200000000012</v>
      </c>
      <c r="BZ55" s="514">
        <v>76.987143016341648</v>
      </c>
      <c r="CA55" s="514">
        <v>83.939311019308931</v>
      </c>
      <c r="CB55" s="510">
        <v>2.0100132528346339</v>
      </c>
      <c r="CC55" s="510">
        <v>2.1331881840081484</v>
      </c>
      <c r="CD55" s="514">
        <v>0.21106366269081625</v>
      </c>
      <c r="CE55" s="514">
        <v>0.21096537174801944</v>
      </c>
      <c r="CF55" s="514">
        <v>618.44941834780889</v>
      </c>
      <c r="CG55" s="514">
        <v>592.06347788725645</v>
      </c>
      <c r="CH55" s="514">
        <v>556.17729347666125</v>
      </c>
      <c r="CI55" s="514">
        <v>514.71711450543808</v>
      </c>
      <c r="CJ55" s="514"/>
      <c r="CK55" s="515"/>
    </row>
    <row r="56" spans="1:89" ht="12.75" customHeight="1">
      <c r="A56" s="560">
        <v>45981</v>
      </c>
      <c r="B56" s="512">
        <v>0.87730668346960916</v>
      </c>
      <c r="C56" s="513">
        <v>0.83132693519286616</v>
      </c>
      <c r="D56" s="513">
        <v>0.87730668346960916</v>
      </c>
      <c r="E56" s="513">
        <v>0.83132693519286616</v>
      </c>
      <c r="F56" s="510">
        <v>57.715000000000003</v>
      </c>
      <c r="G56" s="510">
        <v>1045.296</v>
      </c>
      <c r="H56" s="510">
        <v>2.3296889889976606</v>
      </c>
      <c r="I56" s="510">
        <v>2.4240712678514025</v>
      </c>
      <c r="J56" s="510">
        <v>962.8762020271912</v>
      </c>
      <c r="K56" s="511">
        <v>989.63319480797782</v>
      </c>
      <c r="L56" s="512">
        <v>0.97605179021139932</v>
      </c>
      <c r="M56" s="513">
        <v>0.89352457958945686</v>
      </c>
      <c r="N56" s="513">
        <v>0.97605179021139932</v>
      </c>
      <c r="O56" s="513">
        <v>0.89352457958945686</v>
      </c>
      <c r="P56" s="510">
        <v>69.277000000000001</v>
      </c>
      <c r="Q56" s="510">
        <v>1071.5940000000001</v>
      </c>
      <c r="R56" s="510">
        <v>1.946547916335869</v>
      </c>
      <c r="S56" s="510">
        <v>2.5128518823360335</v>
      </c>
      <c r="T56" s="510">
        <v>0.25982649364146831</v>
      </c>
      <c r="U56" s="510">
        <v>0.27351776885648849</v>
      </c>
      <c r="V56" s="510">
        <v>496.40573350463143</v>
      </c>
      <c r="W56" s="510">
        <v>702.56947127363549</v>
      </c>
      <c r="X56" s="510">
        <v>375.24719603908943</v>
      </c>
      <c r="Y56" s="569">
        <v>433.75849435513823</v>
      </c>
      <c r="Z56" s="1021">
        <v>0.25645272839111277</v>
      </c>
      <c r="AA56" s="513">
        <v>0.13810409973045307</v>
      </c>
      <c r="AB56" s="513">
        <v>0.5106185064612293</v>
      </c>
      <c r="AC56" s="513">
        <v>0.71183101724604747</v>
      </c>
      <c r="AD56" s="510">
        <v>11.805</v>
      </c>
      <c r="AE56" s="510">
        <v>119.59699999999998</v>
      </c>
      <c r="AF56" s="510">
        <v>218.32445353087547</v>
      </c>
      <c r="AG56" s="510">
        <v>139.82556381961018</v>
      </c>
      <c r="AH56" s="510">
        <v>2.8293096145700973</v>
      </c>
      <c r="AI56" s="510">
        <v>4.6773748505397297</v>
      </c>
      <c r="AJ56" s="510">
        <v>1692.7064803049557</v>
      </c>
      <c r="AK56" s="510">
        <v>1927.8043763639587</v>
      </c>
      <c r="AL56" s="576"/>
      <c r="AM56" s="576"/>
      <c r="AN56" s="1021">
        <v>0.96062044160805338</v>
      </c>
      <c r="AO56" s="513">
        <v>0.88505584891061162</v>
      </c>
      <c r="AP56" s="513">
        <v>0.96062044160805338</v>
      </c>
      <c r="AQ56" s="513">
        <v>0.88505584891061162</v>
      </c>
      <c r="AR56" s="510">
        <v>53.6</v>
      </c>
      <c r="AS56" s="510">
        <v>969.71900000000005</v>
      </c>
      <c r="AT56" s="514">
        <v>92.609363055946915</v>
      </c>
      <c r="AU56" s="514">
        <v>105.27555020341561</v>
      </c>
      <c r="AV56" s="510">
        <v>1.3003731343283582</v>
      </c>
      <c r="AW56" s="510">
        <v>1.3798842757541103</v>
      </c>
      <c r="AX56" s="510">
        <v>0.18656716417910446</v>
      </c>
      <c r="AY56" s="510">
        <v>0.20459535184935015</v>
      </c>
      <c r="AZ56" s="510">
        <v>711.79850746268789</v>
      </c>
      <c r="BA56" s="510">
        <v>810.22401334819665</v>
      </c>
      <c r="BB56" s="510">
        <v>479.1567164179105</v>
      </c>
      <c r="BC56" s="510">
        <v>501.69441972365189</v>
      </c>
      <c r="BD56" s="510">
        <v>6.1585820895523478</v>
      </c>
      <c r="BE56" s="510">
        <v>6.2185024733969447</v>
      </c>
      <c r="BF56" s="512">
        <v>1.0491932223225513</v>
      </c>
      <c r="BG56" s="513">
        <v>0.90624090533533885</v>
      </c>
      <c r="BH56" s="513">
        <v>1.0491932223225513</v>
      </c>
      <c r="BI56" s="513">
        <v>0.90624090533533885</v>
      </c>
      <c r="BJ56" s="510">
        <v>55.884999999999998</v>
      </c>
      <c r="BK56" s="510">
        <v>964.50800000000004</v>
      </c>
      <c r="BL56" s="510">
        <v>2.3047329337031406</v>
      </c>
      <c r="BM56" s="510">
        <v>2.6791898045428342</v>
      </c>
      <c r="BN56" s="514">
        <v>0</v>
      </c>
      <c r="BO56" s="514">
        <v>0</v>
      </c>
      <c r="BP56" s="514">
        <v>1028.0898273239816</v>
      </c>
      <c r="BQ56" s="514">
        <v>1074.515960468965</v>
      </c>
      <c r="BR56" s="514">
        <v>0</v>
      </c>
      <c r="BS56" s="515">
        <v>0</v>
      </c>
      <c r="BT56" s="1021">
        <v>0.93007595360841477</v>
      </c>
      <c r="BU56" s="513">
        <v>0.83532810194471907</v>
      </c>
      <c r="BV56" s="513">
        <v>0.93007595360841477</v>
      </c>
      <c r="BW56" s="513">
        <v>0.83532810194471907</v>
      </c>
      <c r="BX56" s="510">
        <v>48.591000000000001</v>
      </c>
      <c r="BY56" s="510">
        <v>877.16300000000012</v>
      </c>
      <c r="BZ56" s="514">
        <v>78.87917446171636</v>
      </c>
      <c r="CA56" s="514">
        <v>83.659001549495471</v>
      </c>
      <c r="CB56" s="510">
        <v>2.053878290218353</v>
      </c>
      <c r="CC56" s="510">
        <v>2.1287947622049717</v>
      </c>
      <c r="CD56" s="514">
        <v>0.19345146220493506</v>
      </c>
      <c r="CE56" s="514">
        <v>0.20999517763517153</v>
      </c>
      <c r="CF56" s="514">
        <v>528.54232265234339</v>
      </c>
      <c r="CG56" s="514">
        <v>588.54468325727362</v>
      </c>
      <c r="CH56" s="514">
        <v>487.89281965796147</v>
      </c>
      <c r="CI56" s="514">
        <v>513.23116570124353</v>
      </c>
      <c r="CJ56" s="514"/>
      <c r="CK56" s="515"/>
    </row>
    <row r="57" spans="1:89" ht="12.75" customHeight="1">
      <c r="A57" s="560">
        <v>45982</v>
      </c>
      <c r="B57" s="512">
        <v>0.85333522648560867</v>
      </c>
      <c r="C57" s="513">
        <v>0.83242116419824463</v>
      </c>
      <c r="D57" s="513">
        <v>0.85333522648560867</v>
      </c>
      <c r="E57" s="513">
        <v>0.83242116419824463</v>
      </c>
      <c r="F57" s="510">
        <v>56.137999999999998</v>
      </c>
      <c r="G57" s="510">
        <v>1101.434</v>
      </c>
      <c r="H57" s="510">
        <v>2.3652784210338811</v>
      </c>
      <c r="I57" s="510">
        <v>2.4210747080623989</v>
      </c>
      <c r="J57" s="510">
        <v>924.43656703127351</v>
      </c>
      <c r="K57" s="511">
        <v>986.3102464605247</v>
      </c>
      <c r="L57" s="512">
        <v>0.97867089044103095</v>
      </c>
      <c r="M57" s="513">
        <v>0.8983475043832384</v>
      </c>
      <c r="N57" s="513">
        <v>0.97867089044103095</v>
      </c>
      <c r="O57" s="513">
        <v>0.8983475043832384</v>
      </c>
      <c r="P57" s="510">
        <v>70.474000000000004</v>
      </c>
      <c r="Q57" s="510">
        <v>1142.068</v>
      </c>
      <c r="R57" s="510">
        <v>1.9042483752873398</v>
      </c>
      <c r="S57" s="510">
        <v>2.475296567279706</v>
      </c>
      <c r="T57" s="510">
        <v>0.24973749184096264</v>
      </c>
      <c r="U57" s="510">
        <v>0.27205035076720474</v>
      </c>
      <c r="V57" s="510">
        <v>455.46059539688144</v>
      </c>
      <c r="W57" s="510">
        <v>687.32103517478799</v>
      </c>
      <c r="X57" s="510">
        <v>388.02962794789568</v>
      </c>
      <c r="Y57" s="569">
        <v>430.93668678222315</v>
      </c>
      <c r="Z57" s="1021">
        <v>0.92279177112584931</v>
      </c>
      <c r="AA57" s="513">
        <v>0.17520868642240017</v>
      </c>
      <c r="AB57" s="513">
        <v>0.92279177112584931</v>
      </c>
      <c r="AC57" s="513">
        <v>0.75480562613258406</v>
      </c>
      <c r="AD57" s="510">
        <v>39.662999999999997</v>
      </c>
      <c r="AE57" s="510">
        <v>159.26</v>
      </c>
      <c r="AF57" s="510">
        <v>114.58427602837681</v>
      </c>
      <c r="AG57" s="510">
        <v>133.53933251442564</v>
      </c>
      <c r="AH57" s="510">
        <v>1.3992890099084792</v>
      </c>
      <c r="AI57" s="510">
        <v>3.8609820419439909</v>
      </c>
      <c r="AJ57" s="510">
        <v>958.72778155964909</v>
      </c>
      <c r="AK57" s="510">
        <v>1686.4601280924319</v>
      </c>
      <c r="AL57" s="576"/>
      <c r="AM57" s="576"/>
      <c r="AN57" s="1021">
        <v>0.97684577591390198</v>
      </c>
      <c r="AO57" s="513">
        <v>0.88944441561694243</v>
      </c>
      <c r="AP57" s="513">
        <v>0.97684577591390198</v>
      </c>
      <c r="AQ57" s="513">
        <v>0.88944441561694243</v>
      </c>
      <c r="AR57" s="510">
        <v>53.741</v>
      </c>
      <c r="AS57" s="510">
        <v>1023.46</v>
      </c>
      <c r="AT57" s="514">
        <v>88.323400967416944</v>
      </c>
      <c r="AU57" s="514">
        <v>104.38540749916551</v>
      </c>
      <c r="AV57" s="510">
        <v>1.3081260117973241</v>
      </c>
      <c r="AW57" s="510">
        <v>1.3761163113360562</v>
      </c>
      <c r="AX57" s="510">
        <v>0.18235611544258576</v>
      </c>
      <c r="AY57" s="510">
        <v>0.20342758876751413</v>
      </c>
      <c r="AZ57" s="510">
        <v>664.96752944679008</v>
      </c>
      <c r="BA57" s="510">
        <v>802.59672092705114</v>
      </c>
      <c r="BB57" s="510">
        <v>452.44785173331354</v>
      </c>
      <c r="BC57" s="510">
        <v>499.1085250034198</v>
      </c>
      <c r="BD57" s="510">
        <v>6.5089968552871804</v>
      </c>
      <c r="BE57" s="510">
        <v>6.2337560823090303</v>
      </c>
      <c r="BF57" s="512">
        <v>0.9367913832199547</v>
      </c>
      <c r="BG57" s="513">
        <v>0.90763276618001265</v>
      </c>
      <c r="BH57" s="513">
        <v>0.9367913832199547</v>
      </c>
      <c r="BI57" s="513">
        <v>0.90763276618001265</v>
      </c>
      <c r="BJ57" s="510">
        <v>47.591999999999999</v>
      </c>
      <c r="BK57" s="510">
        <v>1012.1</v>
      </c>
      <c r="BL57" s="1022">
        <v>2.689527651706169</v>
      </c>
      <c r="BM57" s="510">
        <v>2.6796759213516448</v>
      </c>
      <c r="BN57" s="514">
        <v>0</v>
      </c>
      <c r="BO57" s="514">
        <v>0</v>
      </c>
      <c r="BP57" s="514">
        <v>1082.7878635064569</v>
      </c>
      <c r="BQ57" s="514">
        <v>1074.904930342851</v>
      </c>
      <c r="BR57" s="514">
        <v>0</v>
      </c>
      <c r="BS57" s="515">
        <v>0</v>
      </c>
      <c r="BT57" s="1021">
        <v>1.0748851589050479</v>
      </c>
      <c r="BU57" s="513">
        <v>0.84667437096557696</v>
      </c>
      <c r="BV57" s="513">
        <v>1.0748851589050479</v>
      </c>
      <c r="BW57" s="513">
        <v>0.84667437096557696</v>
      </c>
      <c r="BX57" s="510">
        <v>56.118000000000002</v>
      </c>
      <c r="BY57" s="510">
        <v>933.28100000000018</v>
      </c>
      <c r="BZ57" s="514">
        <v>70.773298558333067</v>
      </c>
      <c r="CA57" s="514">
        <v>82.884186804035039</v>
      </c>
      <c r="CB57" s="510">
        <v>1.7890872803734987</v>
      </c>
      <c r="CC57" s="510">
        <v>2.1083682192180055</v>
      </c>
      <c r="CD57" s="514">
        <v>0.17463202537510247</v>
      </c>
      <c r="CE57" s="514">
        <v>0.20786879835762215</v>
      </c>
      <c r="CF57" s="514">
        <v>430.80687123561012</v>
      </c>
      <c r="CG57" s="514">
        <v>579.05994014664361</v>
      </c>
      <c r="CH57" s="514">
        <v>433.28343846894052</v>
      </c>
      <c r="CI57" s="514">
        <v>508.4239248414998</v>
      </c>
      <c r="CJ57" s="514"/>
      <c r="CK57" s="515"/>
    </row>
    <row r="58" spans="1:89" ht="12.75" customHeight="1">
      <c r="A58" s="560">
        <v>45983</v>
      </c>
      <c r="B58" s="512">
        <v>0.83448639537580538</v>
      </c>
      <c r="C58" s="513">
        <v>0.83251898191804918</v>
      </c>
      <c r="D58" s="513">
        <v>0.83448639537580538</v>
      </c>
      <c r="E58" s="513">
        <v>0.83251898191804918</v>
      </c>
      <c r="F58" s="510">
        <v>54.898000000000003</v>
      </c>
      <c r="G58" s="510">
        <v>1156.3319999999999</v>
      </c>
      <c r="H58" s="510">
        <v>2.2582061277277856</v>
      </c>
      <c r="I58" s="510">
        <v>2.4133423618822278</v>
      </c>
      <c r="J58" s="510">
        <v>995.39181755250308</v>
      </c>
      <c r="K58" s="511">
        <v>986.74140298806833</v>
      </c>
      <c r="L58" s="512">
        <v>0.96910276257098127</v>
      </c>
      <c r="M58" s="513">
        <v>0.90214043745148431</v>
      </c>
      <c r="N58" s="513">
        <v>0.96910276257098127</v>
      </c>
      <c r="O58" s="513">
        <v>0.90214043745148431</v>
      </c>
      <c r="P58" s="510">
        <v>69.784999999999997</v>
      </c>
      <c r="Q58" s="510">
        <v>1211.8530000000001</v>
      </c>
      <c r="R58" s="510">
        <v>1.9252991330515155</v>
      </c>
      <c r="S58" s="510">
        <v>2.4436247630694474</v>
      </c>
      <c r="T58" s="510">
        <v>0.243605359317905</v>
      </c>
      <c r="U58" s="510">
        <v>0.27041233548953542</v>
      </c>
      <c r="V58" s="510">
        <v>528.73439850969532</v>
      </c>
      <c r="W58" s="510">
        <v>678.18876546907825</v>
      </c>
      <c r="X58" s="510">
        <v>409.8588521888658</v>
      </c>
      <c r="Y58" s="569">
        <v>429.72291193733889</v>
      </c>
      <c r="Z58" s="1021">
        <v>0.83116241400620816</v>
      </c>
      <c r="AA58" s="513">
        <v>0.2037315060733452</v>
      </c>
      <c r="AB58" s="513">
        <v>0.83116241400620816</v>
      </c>
      <c r="AC58" s="513">
        <v>0.76731051557279661</v>
      </c>
      <c r="AD58" s="510">
        <v>34.344999999999999</v>
      </c>
      <c r="AE58" s="510">
        <v>193.60499999999999</v>
      </c>
      <c r="AF58" s="510">
        <v>129.31343372637164</v>
      </c>
      <c r="AG58" s="510">
        <v>132.78966957247829</v>
      </c>
      <c r="AH58" s="510">
        <v>1.5402533119813655</v>
      </c>
      <c r="AI58" s="510">
        <v>3.44929108235841</v>
      </c>
      <c r="AJ58" s="510">
        <v>1120.5421458727299</v>
      </c>
      <c r="AK58" s="510">
        <v>1586.0678184964213</v>
      </c>
      <c r="AL58" s="576"/>
      <c r="AM58" s="576"/>
      <c r="AN58" s="1021">
        <v>0.93131034253043377</v>
      </c>
      <c r="AO58" s="513">
        <v>0.89135395418980623</v>
      </c>
      <c r="AP58" s="513">
        <v>0.93131034253043377</v>
      </c>
      <c r="AQ58" s="513">
        <v>0.89135395418980623</v>
      </c>
      <c r="AR58" s="510">
        <v>51.213999999999999</v>
      </c>
      <c r="AS58" s="510">
        <v>1074.674</v>
      </c>
      <c r="AT58" s="514">
        <v>103.21968402897016</v>
      </c>
      <c r="AU58" s="514">
        <v>104.32985450188207</v>
      </c>
      <c r="AV58" s="510">
        <v>1.3707189440387395</v>
      </c>
      <c r="AW58" s="510">
        <v>1.3758590977356855</v>
      </c>
      <c r="AX58" s="510">
        <v>0.18940133557230443</v>
      </c>
      <c r="AY58" s="510">
        <v>0.20275916231340854</v>
      </c>
      <c r="AZ58" s="510">
        <v>768.24735423907634</v>
      </c>
      <c r="BA58" s="510">
        <v>800.95978873593276</v>
      </c>
      <c r="BB58" s="510">
        <v>480.29835591830368</v>
      </c>
      <c r="BC58" s="510">
        <v>498.21211921010467</v>
      </c>
      <c r="BD58" s="510">
        <v>6.6407622915610149</v>
      </c>
      <c r="BE58" s="510">
        <v>6.2531521186890222</v>
      </c>
      <c r="BF58" s="512">
        <v>0.98918357479695107</v>
      </c>
      <c r="BG58" s="513">
        <v>0.91115733928203602</v>
      </c>
      <c r="BH58" s="513">
        <v>0.98918357479695107</v>
      </c>
      <c r="BI58" s="513">
        <v>0.91115733928203602</v>
      </c>
      <c r="BJ58" s="510">
        <v>49.826000000000001</v>
      </c>
      <c r="BK58" s="510">
        <v>1061.9259999999999</v>
      </c>
      <c r="BL58" s="1022">
        <v>2.5689399108898967</v>
      </c>
      <c r="BM58" s="510">
        <v>2.6744801426841418</v>
      </c>
      <c r="BN58" s="514">
        <v>0</v>
      </c>
      <c r="BO58" s="514">
        <v>0</v>
      </c>
      <c r="BP58" s="514">
        <v>1213.2228153975861</v>
      </c>
      <c r="BQ58" s="514">
        <v>1081.3948617888625</v>
      </c>
      <c r="BR58" s="514">
        <v>0</v>
      </c>
      <c r="BS58" s="515">
        <v>0</v>
      </c>
      <c r="BT58" s="1021">
        <v>0.99272149290670719</v>
      </c>
      <c r="BU58" s="513">
        <v>0.85327882175085656</v>
      </c>
      <c r="BV58" s="513">
        <v>0.99272149290670719</v>
      </c>
      <c r="BW58" s="513">
        <v>0.85327882175085656</v>
      </c>
      <c r="BX58" s="510">
        <v>51.828000000000003</v>
      </c>
      <c r="BY58" s="510">
        <v>985.10900000000015</v>
      </c>
      <c r="BZ58" s="514">
        <v>79.984510704794474</v>
      </c>
      <c r="CA58" s="514">
        <v>82.731630677889157</v>
      </c>
      <c r="CB58" s="510">
        <v>1.9198116848035809</v>
      </c>
      <c r="CC58" s="510">
        <v>2.0984479890042618</v>
      </c>
      <c r="CD58" s="514">
        <v>0.19487535694991123</v>
      </c>
      <c r="CE58" s="514">
        <v>0.2071851947347958</v>
      </c>
      <c r="CF58" s="514">
        <v>479.18152350081118</v>
      </c>
      <c r="CG58" s="514">
        <v>573.80519313091224</v>
      </c>
      <c r="CH58" s="514">
        <v>493.98008798332955</v>
      </c>
      <c r="CI58" s="514">
        <v>507.66401382994155</v>
      </c>
      <c r="CJ58" s="514"/>
      <c r="CK58" s="515"/>
    </row>
    <row r="59" spans="1:89" ht="12.75" customHeight="1">
      <c r="A59" s="560">
        <v>45984</v>
      </c>
      <c r="B59" s="512">
        <v>0.78222649105684983</v>
      </c>
      <c r="C59" s="513">
        <v>0.8302446473963826</v>
      </c>
      <c r="D59" s="513">
        <v>0.78222649105684983</v>
      </c>
      <c r="E59" s="513">
        <v>0.8302446473963826</v>
      </c>
      <c r="F59" s="510">
        <v>51.46</v>
      </c>
      <c r="G59" s="510">
        <v>1207.7919999999999</v>
      </c>
      <c r="H59" s="510">
        <v>2.5465798678585307</v>
      </c>
      <c r="I59" s="510">
        <v>2.419019168863513</v>
      </c>
      <c r="J59" s="510">
        <v>1063.2518460940719</v>
      </c>
      <c r="K59" s="511">
        <v>990.00125849483993</v>
      </c>
      <c r="L59" s="512">
        <v>0.97099410165765021</v>
      </c>
      <c r="M59" s="513">
        <v>0.9057339031294247</v>
      </c>
      <c r="N59" s="513">
        <v>0.97099410165765021</v>
      </c>
      <c r="O59" s="513">
        <v>0.9057339031294247</v>
      </c>
      <c r="P59" s="510">
        <v>71.822000000000003</v>
      </c>
      <c r="Q59" s="510">
        <v>1283.6750000000002</v>
      </c>
      <c r="R59" s="510">
        <v>1.8879451978502408</v>
      </c>
      <c r="S59" s="510">
        <v>2.4125343252770359</v>
      </c>
      <c r="T59" s="510">
        <v>0.24505026315056669</v>
      </c>
      <c r="U59" s="510">
        <v>0.26899331996027026</v>
      </c>
      <c r="V59" s="510">
        <v>542.88811227757799</v>
      </c>
      <c r="W59" s="510">
        <v>670.61865347537264</v>
      </c>
      <c r="X59" s="510">
        <v>398.74968672551586</v>
      </c>
      <c r="Y59" s="569">
        <v>427.98995072740365</v>
      </c>
      <c r="Z59" s="1021">
        <v>0.81768215916552578</v>
      </c>
      <c r="AA59" s="513">
        <v>0.23205714549018236</v>
      </c>
      <c r="AB59" s="513">
        <v>0.81768215916552578</v>
      </c>
      <c r="AC59" s="513">
        <v>0.77507262626301165</v>
      </c>
      <c r="AD59" s="510">
        <v>37.584000000000003</v>
      </c>
      <c r="AE59" s="510">
        <v>231.18899999999999</v>
      </c>
      <c r="AF59" s="510">
        <v>118.21849509805561</v>
      </c>
      <c r="AG59" s="510">
        <v>130.42085867988953</v>
      </c>
      <c r="AH59" s="510">
        <v>1.4766922094508299</v>
      </c>
      <c r="AI59" s="510">
        <v>3.1286090601196421</v>
      </c>
      <c r="AJ59" s="510">
        <v>1029.5588548318724</v>
      </c>
      <c r="AK59" s="510">
        <v>1495.5971088589888</v>
      </c>
      <c r="AL59" s="576"/>
      <c r="AM59" s="576"/>
      <c r="AN59" s="1021">
        <v>0.90018751841225031</v>
      </c>
      <c r="AO59" s="513">
        <v>0.89173278446705495</v>
      </c>
      <c r="AP59" s="513">
        <v>0.90018751841225031</v>
      </c>
      <c r="AQ59" s="513">
        <v>0.89173278446705495</v>
      </c>
      <c r="AR59" s="510">
        <v>48.63</v>
      </c>
      <c r="AS59" s="510">
        <v>1123.3040000000001</v>
      </c>
      <c r="AT59" s="514">
        <v>98.903231816513767</v>
      </c>
      <c r="AU59" s="514">
        <v>104.09492552344928</v>
      </c>
      <c r="AV59" s="510">
        <v>1.4209335800945917</v>
      </c>
      <c r="AW59" s="510">
        <v>1.3778104591455207</v>
      </c>
      <c r="AX59" s="510">
        <v>0.21591610117211596</v>
      </c>
      <c r="AY59" s="510">
        <v>0.20332875161131803</v>
      </c>
      <c r="AZ59" s="510">
        <v>871.58009459181596</v>
      </c>
      <c r="BA59" s="510">
        <v>804.01707819076569</v>
      </c>
      <c r="BB59" s="510">
        <v>467.00596339708005</v>
      </c>
      <c r="BC59" s="510">
        <v>496.86114444531495</v>
      </c>
      <c r="BD59" s="510">
        <v>5.7598190417438992</v>
      </c>
      <c r="BE59" s="510">
        <v>6.2317947768369129</v>
      </c>
      <c r="BF59" s="512">
        <v>0.9775182002625612</v>
      </c>
      <c r="BG59" s="513">
        <v>0.91379612257166376</v>
      </c>
      <c r="BH59" s="513">
        <v>0.9775182002625612</v>
      </c>
      <c r="BI59" s="513">
        <v>0.91379612257166376</v>
      </c>
      <c r="BJ59" s="510">
        <v>47.177999999999997</v>
      </c>
      <c r="BK59" s="510">
        <v>1109.1039999999998</v>
      </c>
      <c r="BL59" s="1022">
        <v>2.7131290008054605</v>
      </c>
      <c r="BM59" s="510">
        <v>2.6761241506657631</v>
      </c>
      <c r="BN59" s="514">
        <v>0</v>
      </c>
      <c r="BO59" s="514">
        <v>0</v>
      </c>
      <c r="BP59" s="514">
        <v>1271.7766755691316</v>
      </c>
      <c r="BQ59" s="514">
        <v>1089.4931404088347</v>
      </c>
      <c r="BR59" s="514">
        <v>0</v>
      </c>
      <c r="BS59" s="515">
        <v>0</v>
      </c>
      <c r="BT59" s="1021">
        <v>0.81396915588011332</v>
      </c>
      <c r="BU59" s="513">
        <v>0.8515776230722657</v>
      </c>
      <c r="BV59" s="513">
        <v>0.81396915588011332</v>
      </c>
      <c r="BW59" s="513">
        <v>0.8515776230722657</v>
      </c>
      <c r="BX59" s="510">
        <v>42.508000000000003</v>
      </c>
      <c r="BY59" s="510">
        <v>1027.6170000000002</v>
      </c>
      <c r="BZ59" s="514">
        <v>74.908532911395852</v>
      </c>
      <c r="CA59" s="514">
        <v>82.408023497531019</v>
      </c>
      <c r="CB59" s="510">
        <v>2.0443210689752518</v>
      </c>
      <c r="CC59" s="510">
        <v>2.0962089961532357</v>
      </c>
      <c r="CD59" s="514">
        <v>0.22113484520560836</v>
      </c>
      <c r="CE59" s="514">
        <v>0.20776223048081138</v>
      </c>
      <c r="CF59" s="514">
        <v>545.66058153759377</v>
      </c>
      <c r="CG59" s="514">
        <v>572.64097421510144</v>
      </c>
      <c r="CH59" s="514">
        <v>473.781405853016</v>
      </c>
      <c r="CI59" s="514">
        <v>506.26243921616685</v>
      </c>
      <c r="CJ59" s="514"/>
      <c r="CK59" s="515"/>
    </row>
    <row r="60" spans="1:89" ht="12.75" customHeight="1">
      <c r="A60" s="560">
        <v>45985</v>
      </c>
      <c r="B60" s="512">
        <v>0.89462070011974226</v>
      </c>
      <c r="C60" s="513">
        <v>0.83289878323439592</v>
      </c>
      <c r="D60" s="513">
        <v>0.89462070011974226</v>
      </c>
      <c r="E60" s="513">
        <v>0.83289878323439592</v>
      </c>
      <c r="F60" s="510">
        <v>55.963999999999999</v>
      </c>
      <c r="G60" s="510">
        <v>1263.7559999999999</v>
      </c>
      <c r="H60" s="510">
        <v>2.2908655564291327</v>
      </c>
      <c r="I60" s="510">
        <v>2.4133440316010373</v>
      </c>
      <c r="J60" s="510">
        <v>971.54742334360515</v>
      </c>
      <c r="K60" s="511">
        <v>989.18405135168609</v>
      </c>
      <c r="L60" s="512">
        <v>0.98216566128933958</v>
      </c>
      <c r="M60" s="513">
        <v>0.90953863107044308</v>
      </c>
      <c r="N60" s="513">
        <v>0.98216566128933958</v>
      </c>
      <c r="O60" s="513">
        <v>0.90953863107044308</v>
      </c>
      <c r="P60" s="510">
        <v>72.923000000000002</v>
      </c>
      <c r="Q60" s="510">
        <v>1356.5980000000002</v>
      </c>
      <c r="R60" s="510">
        <v>1.8303964455658706</v>
      </c>
      <c r="S60" s="510">
        <v>2.3812419006957102</v>
      </c>
      <c r="T60" s="510">
        <v>0.27974713053494782</v>
      </c>
      <c r="U60" s="510">
        <v>0.26957138371131312</v>
      </c>
      <c r="V60" s="510">
        <v>490.63834455523045</v>
      </c>
      <c r="W60" s="510">
        <v>660.94393475443724</v>
      </c>
      <c r="X60" s="510">
        <v>397.00780275084679</v>
      </c>
      <c r="Y60" s="569">
        <v>426.32452649937557</v>
      </c>
      <c r="Z60" s="1021">
        <v>0.72082169690597142</v>
      </c>
      <c r="AA60" s="513">
        <v>0.25500098326897219</v>
      </c>
      <c r="AB60" s="513">
        <v>0.72082169690597142</v>
      </c>
      <c r="AC60" s="513">
        <v>0.76740857609975965</v>
      </c>
      <c r="AD60" s="510">
        <v>35.371000000000002</v>
      </c>
      <c r="AE60" s="510">
        <v>266.56</v>
      </c>
      <c r="AF60" s="510">
        <v>137.38050024252195</v>
      </c>
      <c r="AG60" s="510">
        <v>131.34436363829241</v>
      </c>
      <c r="AH60" s="510">
        <v>1.5125385202567074</v>
      </c>
      <c r="AI60" s="510">
        <v>2.9141656662665065</v>
      </c>
      <c r="AJ60" s="510">
        <v>1013.5896638488848</v>
      </c>
      <c r="AK60" s="510">
        <v>1431.6374549819914</v>
      </c>
      <c r="AL60" s="576"/>
      <c r="AM60" s="576"/>
      <c r="AN60" s="1021">
        <v>0.93009409381491182</v>
      </c>
      <c r="AO60" s="513">
        <v>0.89334159432257509</v>
      </c>
      <c r="AP60" s="513">
        <v>0.93009409381491182</v>
      </c>
      <c r="AQ60" s="513">
        <v>0.89334159432257509</v>
      </c>
      <c r="AR60" s="510">
        <v>51.286999999999999</v>
      </c>
      <c r="AS60" s="510">
        <v>1174.5910000000001</v>
      </c>
      <c r="AT60" s="514">
        <v>100.15019290617724</v>
      </c>
      <c r="AU60" s="514">
        <v>103.92268386508306</v>
      </c>
      <c r="AV60" s="510">
        <v>1.3180728059742235</v>
      </c>
      <c r="AW60" s="510">
        <v>1.3752020916216792</v>
      </c>
      <c r="AX60" s="510">
        <v>0.20668005537465634</v>
      </c>
      <c r="AY60" s="510">
        <v>0.20347508196470088</v>
      </c>
      <c r="AZ60" s="510">
        <v>790.48647805486735</v>
      </c>
      <c r="BA60" s="510">
        <v>803.42628199943613</v>
      </c>
      <c r="BB60" s="510">
        <v>499.00949558367626</v>
      </c>
      <c r="BC60" s="510">
        <v>496.95494942494867</v>
      </c>
      <c r="BD60" s="510">
        <v>6.2403728040241848</v>
      </c>
      <c r="BE60" s="510">
        <v>6.2321693253226007</v>
      </c>
      <c r="BF60" s="512">
        <v>0.81397558455329411</v>
      </c>
      <c r="BG60" s="513">
        <v>0.90995639870796363</v>
      </c>
      <c r="BH60" s="513">
        <v>0.81397558455329411</v>
      </c>
      <c r="BI60" s="513">
        <v>0.90995639870796363</v>
      </c>
      <c r="BJ60" s="510">
        <v>39.523000000000003</v>
      </c>
      <c r="BK60" s="510">
        <v>1148.6269999999997</v>
      </c>
      <c r="BL60" s="1022">
        <v>3.2386205500594589</v>
      </c>
      <c r="BM60" s="510">
        <v>2.6954790371460891</v>
      </c>
      <c r="BN60" s="514">
        <v>0</v>
      </c>
      <c r="BO60" s="514">
        <v>0</v>
      </c>
      <c r="BP60" s="514">
        <v>1538.1767578372001</v>
      </c>
      <c r="BQ60" s="514">
        <v>1104.9318534215197</v>
      </c>
      <c r="BR60" s="514">
        <v>0</v>
      </c>
      <c r="BS60" s="515">
        <v>0</v>
      </c>
      <c r="BT60" s="1021">
        <v>1.093382900184056</v>
      </c>
      <c r="BU60" s="513">
        <v>0.8616902712116109</v>
      </c>
      <c r="BV60" s="513">
        <v>1.093382900184056</v>
      </c>
      <c r="BW60" s="513">
        <v>0.8616902712116109</v>
      </c>
      <c r="BX60" s="510">
        <v>57.588000000000001</v>
      </c>
      <c r="BY60" s="510">
        <v>1085.2050000000002</v>
      </c>
      <c r="BZ60" s="514">
        <v>67.814672889189495</v>
      </c>
      <c r="CA60" s="514">
        <v>81.633605876129366</v>
      </c>
      <c r="CB60" s="510">
        <v>1.7382093491699659</v>
      </c>
      <c r="CC60" s="510">
        <v>2.0772112181569375</v>
      </c>
      <c r="CD60" s="514">
        <v>0.19101201639230395</v>
      </c>
      <c r="CE60" s="514">
        <v>0.2068733557254159</v>
      </c>
      <c r="CF60" s="514">
        <v>475.82274084878748</v>
      </c>
      <c r="CG60" s="514">
        <v>567.50317221170178</v>
      </c>
      <c r="CH60" s="514">
        <v>462.54948947697443</v>
      </c>
      <c r="CI60" s="514">
        <v>503.94274722287469</v>
      </c>
      <c r="CJ60" s="514"/>
      <c r="CK60" s="515"/>
    </row>
    <row r="61" spans="1:89" ht="12.75" customHeight="1">
      <c r="A61" s="560">
        <v>45986</v>
      </c>
      <c r="B61" s="512">
        <v>0.93744864483055979</v>
      </c>
      <c r="C61" s="513">
        <v>0.83670550573244495</v>
      </c>
      <c r="D61" s="513">
        <v>0.93744864483055979</v>
      </c>
      <c r="E61" s="513">
        <v>0.83670550573244495</v>
      </c>
      <c r="F61" s="510">
        <v>53.747</v>
      </c>
      <c r="G61" s="510">
        <v>1317.5029999999999</v>
      </c>
      <c r="H61" s="510">
        <v>2.3259158650715386</v>
      </c>
      <c r="I61" s="510">
        <v>2.4097774350418937</v>
      </c>
      <c r="J61" s="510">
        <v>1001.72995702086</v>
      </c>
      <c r="K61" s="511">
        <v>989.69585648002419</v>
      </c>
      <c r="L61" s="512">
        <v>0.67743153151985103</v>
      </c>
      <c r="M61" s="513">
        <v>0.89908536888324964</v>
      </c>
      <c r="N61" s="513">
        <v>0.67743153151985103</v>
      </c>
      <c r="O61" s="513">
        <v>0.89908536888324964</v>
      </c>
      <c r="P61" s="510">
        <v>47.651000000000003</v>
      </c>
      <c r="Q61" s="510">
        <v>1404.2490000000003</v>
      </c>
      <c r="R61" s="510">
        <v>1.9258777360391175</v>
      </c>
      <c r="S61" s="510">
        <v>2.3657898278724065</v>
      </c>
      <c r="T61" s="510">
        <v>0.2686197561436276</v>
      </c>
      <c r="U61" s="510">
        <v>0.26953909171379148</v>
      </c>
      <c r="V61" s="510">
        <v>508.51125894520777</v>
      </c>
      <c r="W61" s="510">
        <v>655.77136960752557</v>
      </c>
      <c r="X61" s="510">
        <v>448.86780969969152</v>
      </c>
      <c r="Y61" s="569">
        <v>427.0894976603152</v>
      </c>
      <c r="Z61" s="1021">
        <v>0.75741496713922296</v>
      </c>
      <c r="AA61" s="513">
        <v>0.27827741261004524</v>
      </c>
      <c r="AB61" s="513">
        <v>0.75741496713922296</v>
      </c>
      <c r="AC61" s="513">
        <v>0.7661338886530511</v>
      </c>
      <c r="AD61" s="510">
        <v>38.463000000000001</v>
      </c>
      <c r="AE61" s="510">
        <v>305.02300000000002</v>
      </c>
      <c r="AF61" s="510">
        <v>129.46130689960171</v>
      </c>
      <c r="AG61" s="510">
        <v>131.10691265479193</v>
      </c>
      <c r="AH61" s="510">
        <v>1.414346254842316</v>
      </c>
      <c r="AI61" s="510">
        <v>2.7250404067889957</v>
      </c>
      <c r="AJ61" s="510">
        <v>901.12523724101334</v>
      </c>
      <c r="AK61" s="510">
        <v>1364.7405605478955</v>
      </c>
      <c r="AL61" s="576"/>
      <c r="AM61" s="576"/>
      <c r="AN61" s="1021">
        <v>0.93980399420860672</v>
      </c>
      <c r="AO61" s="513">
        <v>0.89510936851379463</v>
      </c>
      <c r="AP61" s="513">
        <v>0.93980399420860672</v>
      </c>
      <c r="AQ61" s="513">
        <v>0.89510936851379463</v>
      </c>
      <c r="AR61" s="510">
        <v>48.874000000000002</v>
      </c>
      <c r="AS61" s="510">
        <v>1223.4650000000001</v>
      </c>
      <c r="AT61" s="514">
        <v>101.43611500350372</v>
      </c>
      <c r="AU61" s="514">
        <v>103.82335240358572</v>
      </c>
      <c r="AV61" s="510">
        <v>1.4097475140156321</v>
      </c>
      <c r="AW61" s="510">
        <v>1.376582084489544</v>
      </c>
      <c r="AX61" s="510">
        <v>0.20869992224904854</v>
      </c>
      <c r="AY61" s="510">
        <v>0.20368379970003225</v>
      </c>
      <c r="AZ61" s="510">
        <v>824.97810696893896</v>
      </c>
      <c r="BA61" s="510">
        <v>804.28721704339694</v>
      </c>
      <c r="BB61" s="510">
        <v>540.28931538240829</v>
      </c>
      <c r="BC61" s="510">
        <v>498.68603597160501</v>
      </c>
      <c r="BD61" s="510">
        <v>6.957687113802602</v>
      </c>
      <c r="BE61" s="510">
        <v>6.2611517289011021</v>
      </c>
      <c r="BF61" s="512">
        <v>0.6843536624125004</v>
      </c>
      <c r="BG61" s="513">
        <v>0.90150392893259879</v>
      </c>
      <c r="BH61" s="513">
        <v>0.6843536624125004</v>
      </c>
      <c r="BI61" s="513">
        <v>0.90150392893259879</v>
      </c>
      <c r="BJ61" s="510">
        <v>33.625</v>
      </c>
      <c r="BK61" s="510">
        <v>1182.2519999999997</v>
      </c>
      <c r="BL61" s="1022">
        <v>2.557620817843866</v>
      </c>
      <c r="BM61" s="510">
        <v>2.6915581449640182</v>
      </c>
      <c r="BN61" s="514">
        <v>0</v>
      </c>
      <c r="BO61" s="514">
        <v>0</v>
      </c>
      <c r="BP61" s="514">
        <v>1117.3222304832786</v>
      </c>
      <c r="BQ61" s="514">
        <v>1105.2842541184116</v>
      </c>
      <c r="BR61" s="514">
        <v>0</v>
      </c>
      <c r="BS61" s="515">
        <v>0</v>
      </c>
      <c r="BT61" s="1021">
        <v>0.94126563237966576</v>
      </c>
      <c r="BU61" s="513">
        <v>0.86486557877355119</v>
      </c>
      <c r="BV61" s="513">
        <v>0.94126563237966576</v>
      </c>
      <c r="BW61" s="513">
        <v>0.86486557877355119</v>
      </c>
      <c r="BX61" s="510">
        <v>49.268000000000001</v>
      </c>
      <c r="BY61" s="510">
        <v>1134.4730000000002</v>
      </c>
      <c r="BZ61" s="514">
        <v>78.711152635369402</v>
      </c>
      <c r="CA61" s="514">
        <v>81.506689302296621</v>
      </c>
      <c r="CB61" s="510">
        <v>2.0033287326459366</v>
      </c>
      <c r="CC61" s="510">
        <v>2.0740026426367124</v>
      </c>
      <c r="CD61" s="514">
        <v>0.21717950799707719</v>
      </c>
      <c r="CE61" s="514">
        <v>0.20732093227428061</v>
      </c>
      <c r="CF61" s="514">
        <v>510.67589510432578</v>
      </c>
      <c r="CG61" s="514">
        <v>565.03527188394935</v>
      </c>
      <c r="CH61" s="514">
        <v>557.84484858325527</v>
      </c>
      <c r="CI61" s="514">
        <v>506.28361274353784</v>
      </c>
      <c r="CJ61" s="514"/>
      <c r="CK61" s="515"/>
    </row>
    <row r="62" spans="1:89" ht="12.75" customHeight="1">
      <c r="A62" s="560">
        <v>45987</v>
      </c>
      <c r="B62" s="512">
        <v>0.90289199558061528</v>
      </c>
      <c r="C62" s="513">
        <v>0.8390320430586472</v>
      </c>
      <c r="D62" s="513">
        <v>0.90289199558061528</v>
      </c>
      <c r="E62" s="513">
        <v>0.8390320430586472</v>
      </c>
      <c r="F62" s="510">
        <v>51.795999999999999</v>
      </c>
      <c r="G62" s="510">
        <v>1369.299</v>
      </c>
      <c r="H62" s="510">
        <v>2.500250984632018</v>
      </c>
      <c r="I62" s="510">
        <v>2.4131997467317219</v>
      </c>
      <c r="J62" s="510">
        <v>1029.9598424588482</v>
      </c>
      <c r="K62" s="511">
        <v>991.21890836113937</v>
      </c>
      <c r="L62" s="512">
        <v>0.94005020702492115</v>
      </c>
      <c r="M62" s="513">
        <v>0.90088908490626263</v>
      </c>
      <c r="N62" s="513">
        <v>0.94005020702492115</v>
      </c>
      <c r="O62" s="513">
        <v>0.90088908490626263</v>
      </c>
      <c r="P62" s="510">
        <v>67.625</v>
      </c>
      <c r="Q62" s="510">
        <v>1471.8740000000003</v>
      </c>
      <c r="R62" s="510">
        <v>1.9288280961182995</v>
      </c>
      <c r="S62" s="510">
        <v>2.3457136956016607</v>
      </c>
      <c r="T62" s="510">
        <v>0.30166358595194082</v>
      </c>
      <c r="U62" s="510">
        <v>0.27101504612487204</v>
      </c>
      <c r="V62" s="510">
        <v>523.42329020333943</v>
      </c>
      <c r="W62" s="510">
        <v>649.69065966244318</v>
      </c>
      <c r="X62" s="510">
        <v>444.89463955637711</v>
      </c>
      <c r="Y62" s="569">
        <v>427.90755186924963</v>
      </c>
      <c r="Z62" s="1021">
        <v>0.7392249780886202</v>
      </c>
      <c r="AA62" s="513">
        <v>0.29940914742404651</v>
      </c>
      <c r="AB62" s="513">
        <v>0.7392249780886202</v>
      </c>
      <c r="AC62" s="513">
        <v>0.76299024246449776</v>
      </c>
      <c r="AD62" s="510">
        <v>38.930999999999997</v>
      </c>
      <c r="AE62" s="510">
        <v>343.95400000000001</v>
      </c>
      <c r="AF62" s="510">
        <v>133.74717223741112</v>
      </c>
      <c r="AG62" s="510">
        <v>131.40575478429457</v>
      </c>
      <c r="AH62" s="510">
        <v>1.4076186072795458</v>
      </c>
      <c r="AI62" s="510">
        <v>2.5759258505497824</v>
      </c>
      <c r="AJ62" s="510">
        <v>961.3880968893684</v>
      </c>
      <c r="AK62" s="510">
        <v>1319.086447606368</v>
      </c>
      <c r="AL62" s="576"/>
      <c r="AM62" s="576"/>
      <c r="AN62" s="1021">
        <v>0.93809888311201073</v>
      </c>
      <c r="AO62" s="513">
        <v>0.89667110330686939</v>
      </c>
      <c r="AP62" s="513">
        <v>0.93809888311201073</v>
      </c>
      <c r="AQ62" s="513">
        <v>0.89667110330686939</v>
      </c>
      <c r="AR62" s="510">
        <v>48.337000000000003</v>
      </c>
      <c r="AS62" s="510">
        <v>1271.8020000000001</v>
      </c>
      <c r="AT62" s="514">
        <v>105.59192723915804</v>
      </c>
      <c r="AU62" s="514">
        <v>103.89057010085862</v>
      </c>
      <c r="AV62" s="510">
        <v>1.4129962554564826</v>
      </c>
      <c r="AW62" s="510">
        <v>1.3779660670450273</v>
      </c>
      <c r="AX62" s="510">
        <v>0.19860562302170179</v>
      </c>
      <c r="AY62" s="510">
        <v>0.20349079495078634</v>
      </c>
      <c r="AZ62" s="510">
        <v>930.50458241099091</v>
      </c>
      <c r="BA62" s="510">
        <v>809.08432287415781</v>
      </c>
      <c r="BB62" s="510">
        <v>447.80395969961052</v>
      </c>
      <c r="BC62" s="510">
        <v>496.75217604627125</v>
      </c>
      <c r="BD62" s="510">
        <v>5.9933384363947217</v>
      </c>
      <c r="BE62" s="510">
        <v>6.250973028820523</v>
      </c>
      <c r="BF62" s="512">
        <v>0.66263658668332714</v>
      </c>
      <c r="BG62" s="513">
        <v>0.89287153708156264</v>
      </c>
      <c r="BH62" s="513">
        <v>0.66263658668332714</v>
      </c>
      <c r="BI62" s="513">
        <v>0.89287153708156264</v>
      </c>
      <c r="BJ62" s="510">
        <v>32.582000000000001</v>
      </c>
      <c r="BK62" s="510">
        <v>1214.8339999999998</v>
      </c>
      <c r="BL62" s="510">
        <v>3.0845251979620647</v>
      </c>
      <c r="BM62" s="510">
        <v>2.7020975705322705</v>
      </c>
      <c r="BN62" s="514">
        <v>0</v>
      </c>
      <c r="BO62" s="514">
        <v>0</v>
      </c>
      <c r="BP62" s="514">
        <v>1519.1087103308441</v>
      </c>
      <c r="BQ62" s="514">
        <v>1116.3830778526119</v>
      </c>
      <c r="BR62" s="514">
        <v>0</v>
      </c>
      <c r="BS62" s="515">
        <v>0</v>
      </c>
      <c r="BT62" s="1021">
        <v>0.96765374543152305</v>
      </c>
      <c r="BU62" s="513">
        <v>0.8687838320611061</v>
      </c>
      <c r="BV62" s="513">
        <v>0.96765374543152305</v>
      </c>
      <c r="BW62" s="513">
        <v>0.8687838320611061</v>
      </c>
      <c r="BX62" s="510">
        <v>50.302999999999997</v>
      </c>
      <c r="BY62" s="510">
        <v>1184.7760000000003</v>
      </c>
      <c r="BZ62" s="514">
        <v>73.337412294816687</v>
      </c>
      <c r="CA62" s="514">
        <v>81.159839651976839</v>
      </c>
      <c r="CB62" s="510">
        <v>1.9283144146472377</v>
      </c>
      <c r="CC62" s="510">
        <v>2.067817038832656</v>
      </c>
      <c r="CD62" s="514">
        <v>0.18885553545514186</v>
      </c>
      <c r="CE62" s="514">
        <v>0.20653693187573002</v>
      </c>
      <c r="CF62" s="514">
        <v>508.4746436594296</v>
      </c>
      <c r="CG62" s="514">
        <v>562.6338312052236</v>
      </c>
      <c r="CH62" s="514">
        <v>430.30236765203017</v>
      </c>
      <c r="CI62" s="514">
        <v>503.05761511036661</v>
      </c>
      <c r="CJ62" s="514"/>
      <c r="CK62" s="515"/>
    </row>
    <row r="63" spans="1:89" ht="12.75" customHeight="1">
      <c r="A63" s="560">
        <v>45988</v>
      </c>
      <c r="B63" s="512">
        <v>1.0425622476570926</v>
      </c>
      <c r="C63" s="513">
        <v>0.84602362292498889</v>
      </c>
      <c r="D63" s="513">
        <v>1.0425622476570926</v>
      </c>
      <c r="E63" s="513">
        <v>0.84602362292498889</v>
      </c>
      <c r="F63" s="510">
        <v>60.527000000000001</v>
      </c>
      <c r="G63" s="510">
        <v>1429.826</v>
      </c>
      <c r="H63" s="510">
        <v>2.1028136203677699</v>
      </c>
      <c r="I63" s="510">
        <v>2.4000605668102275</v>
      </c>
      <c r="J63" s="510">
        <v>866.73881077867986</v>
      </c>
      <c r="K63" s="511">
        <v>985.94945119196393</v>
      </c>
      <c r="L63" s="512">
        <v>0.86055079223470676</v>
      </c>
      <c r="M63" s="513">
        <v>0.89924102648321202</v>
      </c>
      <c r="N63" s="513">
        <v>0.86055079223470676</v>
      </c>
      <c r="O63" s="513">
        <v>0.89924102648321202</v>
      </c>
      <c r="P63" s="510">
        <v>59.889000000000003</v>
      </c>
      <c r="Q63" s="510">
        <v>1531.7630000000001</v>
      </c>
      <c r="R63" s="510">
        <v>1.9613785503180885</v>
      </c>
      <c r="S63" s="510">
        <v>2.3306869274163167</v>
      </c>
      <c r="T63" s="510">
        <v>0.3356208986625257</v>
      </c>
      <c r="U63" s="510">
        <v>0.27354101123998947</v>
      </c>
      <c r="V63" s="510">
        <v>507.96723939287511</v>
      </c>
      <c r="W63" s="510">
        <v>644.14954532783383</v>
      </c>
      <c r="X63" s="510">
        <v>483.04363071682616</v>
      </c>
      <c r="Y63" s="569">
        <v>430.06326696753996</v>
      </c>
      <c r="Z63" s="1021">
        <v>0.84598749520666394</v>
      </c>
      <c r="AA63" s="513">
        <v>0.31968468085613555</v>
      </c>
      <c r="AB63" s="513">
        <v>0.84598749520666394</v>
      </c>
      <c r="AC63" s="513">
        <v>0.77040989571784158</v>
      </c>
      <c r="AD63" s="510">
        <v>37.44</v>
      </c>
      <c r="AE63" s="510">
        <v>381.39400000000001</v>
      </c>
      <c r="AF63" s="510">
        <v>125.06909486551032</v>
      </c>
      <c r="AG63" s="510">
        <v>130.78370895410509</v>
      </c>
      <c r="AH63" s="510">
        <v>1.4449786324786327</v>
      </c>
      <c r="AI63" s="510">
        <v>2.4649050588105736</v>
      </c>
      <c r="AJ63" s="510">
        <v>1061.1939102564104</v>
      </c>
      <c r="AK63" s="510">
        <v>1293.7701169918789</v>
      </c>
      <c r="AL63" s="576"/>
      <c r="AM63" s="576"/>
      <c r="AN63" s="1021">
        <v>0.75305577798209489</v>
      </c>
      <c r="AO63" s="513">
        <v>0.89141350273827458</v>
      </c>
      <c r="AP63" s="513">
        <v>0.75305577798209489</v>
      </c>
      <c r="AQ63" s="513">
        <v>0.89141350273827458</v>
      </c>
      <c r="AR63" s="510">
        <v>40.588000000000001</v>
      </c>
      <c r="AS63" s="510">
        <v>1312.39</v>
      </c>
      <c r="AT63" s="514">
        <v>112.03061195282292</v>
      </c>
      <c r="AU63" s="514">
        <v>104.14231540422693</v>
      </c>
      <c r="AV63" s="510">
        <v>1.5250813048191583</v>
      </c>
      <c r="AW63" s="510">
        <v>1.3825158679965559</v>
      </c>
      <c r="AX63" s="510">
        <v>0.20695772149403766</v>
      </c>
      <c r="AY63" s="510">
        <v>0.20359801583370796</v>
      </c>
      <c r="AZ63" s="510">
        <v>1013.3808022075485</v>
      </c>
      <c r="BA63" s="510">
        <v>815.40255564275844</v>
      </c>
      <c r="BB63" s="510">
        <v>441.51862619492999</v>
      </c>
      <c r="BC63" s="510">
        <v>495.04398006690064</v>
      </c>
      <c r="BD63" s="510">
        <v>6.9478663644434091</v>
      </c>
      <c r="BE63" s="510">
        <v>6.2725256973918029</v>
      </c>
      <c r="BF63" s="512">
        <v>0.80621724561515773</v>
      </c>
      <c r="BG63" s="513">
        <v>0.88971641499166521</v>
      </c>
      <c r="BH63" s="513">
        <v>0.80621724561515773</v>
      </c>
      <c r="BI63" s="513">
        <v>0.88971641499166521</v>
      </c>
      <c r="BJ63" s="510">
        <v>41.448999999999998</v>
      </c>
      <c r="BK63" s="510">
        <v>1256.2829999999999</v>
      </c>
      <c r="BL63" s="510">
        <v>2.9095997490892422</v>
      </c>
      <c r="BM63" s="510">
        <v>2.7089437650593058</v>
      </c>
      <c r="BN63" s="514">
        <v>0</v>
      </c>
      <c r="BO63" s="514">
        <v>0</v>
      </c>
      <c r="BP63" s="514">
        <v>1388.1058650389868</v>
      </c>
      <c r="BQ63" s="514">
        <v>1125.3481261785764</v>
      </c>
      <c r="BR63" s="514">
        <v>0</v>
      </c>
      <c r="BS63" s="515">
        <v>0</v>
      </c>
      <c r="BT63" s="1021">
        <v>0.89164556507978765</v>
      </c>
      <c r="BU63" s="513">
        <v>0.86962303869341717</v>
      </c>
      <c r="BV63" s="513">
        <v>0.89164556507978765</v>
      </c>
      <c r="BW63" s="513">
        <v>0.86962303869341717</v>
      </c>
      <c r="BX63" s="510">
        <v>46.335999999999999</v>
      </c>
      <c r="BY63" s="510">
        <v>1231.1120000000003</v>
      </c>
      <c r="BZ63" s="514">
        <v>80.268357439013243</v>
      </c>
      <c r="CA63" s="514">
        <v>81.126286474183203</v>
      </c>
      <c r="CB63" s="510">
        <v>2.1214606353591159</v>
      </c>
      <c r="CC63" s="510">
        <v>2.0698360506598905</v>
      </c>
      <c r="CD63" s="514">
        <v>0.21149861878453041</v>
      </c>
      <c r="CE63" s="514">
        <v>0.20672367745582851</v>
      </c>
      <c r="CF63" s="514">
        <v>601.7157285911984</v>
      </c>
      <c r="CG63" s="514">
        <v>564.1047768196571</v>
      </c>
      <c r="CH63" s="514">
        <v>454.00858943369701</v>
      </c>
      <c r="CI63" s="514">
        <v>501.21153152596963</v>
      </c>
      <c r="CJ63" s="514"/>
      <c r="CK63" s="515"/>
    </row>
    <row r="64" spans="1:89" ht="12.75" customHeight="1">
      <c r="A64" s="560">
        <v>45989</v>
      </c>
      <c r="B64" s="512">
        <v>0.88405245138991273</v>
      </c>
      <c r="C64" s="513">
        <v>0.84729813288501943</v>
      </c>
      <c r="D64" s="513">
        <v>0.88405245138991273</v>
      </c>
      <c r="E64" s="513">
        <v>0.84729813288501943</v>
      </c>
      <c r="F64" s="510">
        <v>51.81</v>
      </c>
      <c r="G64" s="510">
        <v>1481.636</v>
      </c>
      <c r="H64" s="510">
        <v>2.3985717043041883</v>
      </c>
      <c r="I64" s="510">
        <v>2.4000085041130212</v>
      </c>
      <c r="J64" s="510">
        <v>983.22331596217521</v>
      </c>
      <c r="K64" s="511">
        <v>985.85412341492872</v>
      </c>
      <c r="L64" s="512">
        <v>0.92910915905177593</v>
      </c>
      <c r="M64" s="513">
        <v>0.90039654118118484</v>
      </c>
      <c r="N64" s="513">
        <v>0.92910915905177593</v>
      </c>
      <c r="O64" s="513">
        <v>0.90039654118118484</v>
      </c>
      <c r="P64" s="510">
        <v>63.692</v>
      </c>
      <c r="Q64" s="510">
        <v>1595.4550000000002</v>
      </c>
      <c r="R64" s="510">
        <v>1.8085473842868807</v>
      </c>
      <c r="S64" s="510">
        <v>2.3098426467684763</v>
      </c>
      <c r="T64" s="510">
        <v>0.31872134647993472</v>
      </c>
      <c r="U64" s="510">
        <v>0.27534465089895982</v>
      </c>
      <c r="V64" s="510">
        <v>419.58487722162414</v>
      </c>
      <c r="W64" s="510">
        <v>635.18472159979353</v>
      </c>
      <c r="X64" s="510">
        <v>475.74263643785719</v>
      </c>
      <c r="Y64" s="569">
        <v>431.886828522271</v>
      </c>
      <c r="Z64" s="1021">
        <v>0.88846416455897692</v>
      </c>
      <c r="AA64" s="513">
        <v>0.33992288040243035</v>
      </c>
      <c r="AB64" s="513">
        <v>0.88846416455897692</v>
      </c>
      <c r="AC64" s="513">
        <v>0.78004932482987199</v>
      </c>
      <c r="AD64" s="510">
        <v>39.106999999999999</v>
      </c>
      <c r="AE64" s="510">
        <v>420.50099999999998</v>
      </c>
      <c r="AF64" s="510">
        <v>126.94823176719517</v>
      </c>
      <c r="AG64" s="510">
        <v>130.42700586339075</v>
      </c>
      <c r="AH64" s="510">
        <v>1.3501419183266423</v>
      </c>
      <c r="AI64" s="510">
        <v>2.3612310077740597</v>
      </c>
      <c r="AJ64" s="510">
        <v>983.47610402227929</v>
      </c>
      <c r="AK64" s="510">
        <v>1264.9124734542843</v>
      </c>
      <c r="AL64" s="576"/>
      <c r="AM64" s="576"/>
      <c r="AN64" s="1021">
        <v>1.0023070373394531</v>
      </c>
      <c r="AO64" s="513">
        <v>0.89541053004765436</v>
      </c>
      <c r="AP64" s="513">
        <v>1.0023070373394531</v>
      </c>
      <c r="AQ64" s="513">
        <v>0.89541053004765436</v>
      </c>
      <c r="AR64" s="510">
        <v>55.177</v>
      </c>
      <c r="AS64" s="510">
        <v>1367.567</v>
      </c>
      <c r="AT64" s="514">
        <v>89.183961289942857</v>
      </c>
      <c r="AU64" s="514">
        <v>103.53879316000501</v>
      </c>
      <c r="AV64" s="510">
        <v>1.2197111115138555</v>
      </c>
      <c r="AW64" s="510">
        <v>1.375947211361491</v>
      </c>
      <c r="AX64" s="510">
        <v>0.18304728419450134</v>
      </c>
      <c r="AY64" s="510">
        <v>0.20276885885664103</v>
      </c>
      <c r="AZ64" s="510">
        <v>760.65752034362049</v>
      </c>
      <c r="BA64" s="510">
        <v>813.1937667404959</v>
      </c>
      <c r="BB64" s="510">
        <v>451.02254562589928</v>
      </c>
      <c r="BC64" s="510">
        <v>493.26785451827953</v>
      </c>
      <c r="BD64" s="510">
        <v>7.3255160664766574</v>
      </c>
      <c r="BE64" s="510">
        <v>6.3150105259925189</v>
      </c>
      <c r="BF64" s="512">
        <v>0.94123262106127237</v>
      </c>
      <c r="BG64" s="513">
        <v>0.89151345530145409</v>
      </c>
      <c r="BH64" s="513">
        <v>0.94123262106127237</v>
      </c>
      <c r="BI64" s="513">
        <v>0.89151345530145409</v>
      </c>
      <c r="BJ64" s="510">
        <v>48.036000000000001</v>
      </c>
      <c r="BK64" s="510">
        <v>1304.319</v>
      </c>
      <c r="BL64" s="510">
        <v>2.5980514614039469</v>
      </c>
      <c r="BM64" s="510">
        <v>2.7048597774010807</v>
      </c>
      <c r="BN64" s="514">
        <v>0</v>
      </c>
      <c r="BO64" s="514">
        <v>0</v>
      </c>
      <c r="BP64" s="514">
        <v>1222.4061120825361</v>
      </c>
      <c r="BQ64" s="514">
        <v>1128.9226178565193</v>
      </c>
      <c r="BR64" s="514">
        <v>0</v>
      </c>
      <c r="BS64" s="515">
        <v>0</v>
      </c>
      <c r="BT64" s="1021">
        <v>1.0036312021749176</v>
      </c>
      <c r="BU64" s="513">
        <v>0.87440201413647656</v>
      </c>
      <c r="BV64" s="513">
        <v>1.0036312021749176</v>
      </c>
      <c r="BW64" s="513">
        <v>0.87440201413647656</v>
      </c>
      <c r="BX64" s="510">
        <v>52.542999999999999</v>
      </c>
      <c r="BY64" s="510">
        <v>1283.6550000000002</v>
      </c>
      <c r="BZ64" s="514">
        <v>70.618961006891894</v>
      </c>
      <c r="CA64" s="514">
        <v>80.69619707942536</v>
      </c>
      <c r="CB64" s="510">
        <v>1.9146223093466304</v>
      </c>
      <c r="CC64" s="510">
        <v>2.0634827893787655</v>
      </c>
      <c r="CD64" s="514">
        <v>0.19793312144338923</v>
      </c>
      <c r="CE64" s="514">
        <v>0.20636385944821617</v>
      </c>
      <c r="CF64" s="514">
        <v>484.5707325428358</v>
      </c>
      <c r="CG64" s="514">
        <v>560.84926245759175</v>
      </c>
      <c r="CH64" s="514">
        <v>492.96441010220684</v>
      </c>
      <c r="CI64" s="514">
        <v>500.87395756647987</v>
      </c>
      <c r="CJ64" s="514"/>
      <c r="CK64" s="515"/>
    </row>
    <row r="65" spans="1:89" ht="12.75" customHeight="1">
      <c r="A65" s="560">
        <v>45990</v>
      </c>
      <c r="B65" s="512">
        <v>0.92475667222025415</v>
      </c>
      <c r="C65" s="513">
        <v>0.84986080833249089</v>
      </c>
      <c r="D65" s="513">
        <v>0.92475667222025415</v>
      </c>
      <c r="E65" s="513">
        <v>0.84986080833249089</v>
      </c>
      <c r="F65" s="510">
        <v>55.331000000000003</v>
      </c>
      <c r="G65" s="510">
        <v>1536.9669999999999</v>
      </c>
      <c r="H65" s="510">
        <v>2.2334315302452512</v>
      </c>
      <c r="I65" s="510">
        <v>2.3940117126782816</v>
      </c>
      <c r="J65" s="510">
        <v>994.22059966379902</v>
      </c>
      <c r="K65" s="511">
        <v>986.15531758326586</v>
      </c>
      <c r="L65" s="512">
        <v>0.96209057917583229</v>
      </c>
      <c r="M65" s="513">
        <v>0.90269572353862571</v>
      </c>
      <c r="N65" s="513">
        <v>0.96209057917583229</v>
      </c>
      <c r="O65" s="513">
        <v>0.90269572353862571</v>
      </c>
      <c r="P65" s="510">
        <v>65.992000000000004</v>
      </c>
      <c r="Q65" s="510">
        <v>1661.4470000000001</v>
      </c>
      <c r="R65" s="510">
        <v>1.7602285125469752</v>
      </c>
      <c r="S65" s="510">
        <v>2.288012196597303</v>
      </c>
      <c r="T65" s="510">
        <v>0.30912837919747843</v>
      </c>
      <c r="U65" s="510">
        <v>0.27668652686483525</v>
      </c>
      <c r="V65" s="510">
        <v>489.79921808703767</v>
      </c>
      <c r="W65" s="510">
        <v>629.41006845237837</v>
      </c>
      <c r="X65" s="510">
        <v>468.90532185719479</v>
      </c>
      <c r="Y65" s="569">
        <v>433.35718804150844</v>
      </c>
      <c r="Z65" s="1021">
        <v>0.80833331055278401</v>
      </c>
      <c r="AA65" s="513">
        <v>0.35736586749660282</v>
      </c>
      <c r="AB65" s="513">
        <v>0.80833331055278401</v>
      </c>
      <c r="AC65" s="513">
        <v>0.7823551468682316</v>
      </c>
      <c r="AD65" s="510">
        <v>38.677</v>
      </c>
      <c r="AE65" s="510">
        <v>459.178</v>
      </c>
      <c r="AF65" s="510">
        <v>110.856317796198</v>
      </c>
      <c r="AG65" s="510">
        <v>128.77854817949731</v>
      </c>
      <c r="AH65" s="510">
        <v>1.3005145176720014</v>
      </c>
      <c r="AI65" s="510">
        <v>2.2718858481895907</v>
      </c>
      <c r="AJ65" s="510">
        <v>969.85857227809811</v>
      </c>
      <c r="AK65" s="510">
        <v>1240.059802516671</v>
      </c>
      <c r="AL65" s="576"/>
      <c r="AM65" s="576"/>
      <c r="AN65" s="1021">
        <v>0.92561311937277901</v>
      </c>
      <c r="AO65" s="513">
        <v>0.8964612740978094</v>
      </c>
      <c r="AP65" s="513">
        <v>0.92561311937277901</v>
      </c>
      <c r="AQ65" s="513">
        <v>0.8964612740978094</v>
      </c>
      <c r="AR65" s="510">
        <v>50.954999999999998</v>
      </c>
      <c r="AS65" s="510">
        <v>1418.5219999999999</v>
      </c>
      <c r="AT65" s="514">
        <v>94.791927494946151</v>
      </c>
      <c r="AU65" s="514">
        <v>103.2245953259474</v>
      </c>
      <c r="AV65" s="510">
        <v>1.312923167500736</v>
      </c>
      <c r="AW65" s="510">
        <v>1.3736833126310344</v>
      </c>
      <c r="AX65" s="510">
        <v>0.20017662643508977</v>
      </c>
      <c r="AY65" s="510">
        <v>0.20267574278016134</v>
      </c>
      <c r="AZ65" s="510">
        <v>916.12638602688787</v>
      </c>
      <c r="BA65" s="510">
        <v>816.89122903980319</v>
      </c>
      <c r="BB65" s="510">
        <v>473.48498086546465</v>
      </c>
      <c r="BC65" s="510">
        <v>492.55723013107996</v>
      </c>
      <c r="BD65" s="510">
        <v>6.6238838190552531</v>
      </c>
      <c r="BE65" s="510">
        <v>6.3261056226128121</v>
      </c>
      <c r="BF65" s="512">
        <v>0.87139710467620801</v>
      </c>
      <c r="BG65" s="513">
        <v>0.89083695023399756</v>
      </c>
      <c r="BH65" s="513">
        <v>0.87139710467620801</v>
      </c>
      <c r="BI65" s="513">
        <v>0.89083695023399756</v>
      </c>
      <c r="BJ65" s="510">
        <v>44.366</v>
      </c>
      <c r="BK65" s="510">
        <v>1348.6849999999999</v>
      </c>
      <c r="BL65" s="510">
        <v>2.7182977956092502</v>
      </c>
      <c r="BM65" s="510">
        <v>2.7053018310428305</v>
      </c>
      <c r="BN65" s="514">
        <v>0</v>
      </c>
      <c r="BO65" s="514">
        <v>0</v>
      </c>
      <c r="BP65" s="514">
        <v>1377.6096560429864</v>
      </c>
      <c r="BQ65" s="514">
        <v>1137.1033636468119</v>
      </c>
      <c r="BR65" s="514">
        <v>0</v>
      </c>
      <c r="BS65" s="515">
        <v>0</v>
      </c>
      <c r="BT65" s="1021">
        <v>0.97931106546673963</v>
      </c>
      <c r="BU65" s="513">
        <v>0.87798988639489484</v>
      </c>
      <c r="BV65" s="513">
        <v>0.97931106546673963</v>
      </c>
      <c r="BW65" s="513">
        <v>0.87798988639489484</v>
      </c>
      <c r="BX65" s="510">
        <v>50.908999999999999</v>
      </c>
      <c r="BY65" s="510">
        <v>1334.5640000000003</v>
      </c>
      <c r="BZ65" s="514">
        <v>70.484345225627465</v>
      </c>
      <c r="CA65" s="514">
        <v>80.306650256624053</v>
      </c>
      <c r="CB65" s="510">
        <v>1.9112534129525232</v>
      </c>
      <c r="CC65" s="510">
        <v>2.0576757652686566</v>
      </c>
      <c r="CD65" s="514">
        <v>0.18857176530672376</v>
      </c>
      <c r="CE65" s="514">
        <v>0.20568515260414633</v>
      </c>
      <c r="CF65" s="514">
        <v>556.01602860006301</v>
      </c>
      <c r="CG65" s="514">
        <v>560.66489130532557</v>
      </c>
      <c r="CH65" s="514">
        <v>455.32799308569724</v>
      </c>
      <c r="CI65" s="514">
        <v>499.13653657673927</v>
      </c>
      <c r="CJ65" s="514"/>
      <c r="CK65" s="515"/>
    </row>
    <row r="66" spans="1:89" ht="12.75" customHeight="1">
      <c r="A66" s="560">
        <v>45991</v>
      </c>
      <c r="B66" s="512">
        <v>0.93511365399264468</v>
      </c>
      <c r="C66" s="513">
        <v>0.85269190429667641</v>
      </c>
      <c r="D66" s="513">
        <v>0.93511365399264468</v>
      </c>
      <c r="E66" s="513">
        <v>0.85269190429667641</v>
      </c>
      <c r="F66" s="510">
        <v>58.088999999999999</v>
      </c>
      <c r="G66" s="510">
        <v>1595.0559999999998</v>
      </c>
      <c r="H66" s="510">
        <v>2.0557420509907209</v>
      </c>
      <c r="I66" s="510">
        <v>2.381692554994935</v>
      </c>
      <c r="J66" s="510">
        <v>904.24348844019062</v>
      </c>
      <c r="K66" s="511">
        <v>983.17223972073793</v>
      </c>
      <c r="L66" s="512">
        <v>0.9398988334850632</v>
      </c>
      <c r="M66" s="513">
        <v>0.90405788689995714</v>
      </c>
      <c r="N66" s="513">
        <v>0.9398988334850632</v>
      </c>
      <c r="O66" s="513">
        <v>0.90405788689995714</v>
      </c>
      <c r="P66" s="510">
        <v>65.747</v>
      </c>
      <c r="Q66" s="510">
        <v>1727.1940000000002</v>
      </c>
      <c r="R66" s="510">
        <v>1.7229379287267861</v>
      </c>
      <c r="S66" s="510">
        <v>2.2665021995213039</v>
      </c>
      <c r="T66" s="510">
        <v>0.29202853362130593</v>
      </c>
      <c r="U66" s="510">
        <v>0.27727053243584676</v>
      </c>
      <c r="V66" s="510">
        <v>461.84464690405815</v>
      </c>
      <c r="W66" s="510">
        <v>623.03155870157002</v>
      </c>
      <c r="X66" s="510">
        <v>449.92166942978383</v>
      </c>
      <c r="Y66" s="569">
        <v>433.98772807223736</v>
      </c>
      <c r="Z66" s="1021">
        <v>0.83776073626843861</v>
      </c>
      <c r="AA66" s="513">
        <v>0.37501240246787071</v>
      </c>
      <c r="AB66" s="513">
        <v>0.83776073626843861</v>
      </c>
      <c r="AC66" s="513">
        <v>0.78662424716927493</v>
      </c>
      <c r="AD66" s="510">
        <v>41.048999999999999</v>
      </c>
      <c r="AE66" s="510">
        <v>500.22699999999998</v>
      </c>
      <c r="AF66" s="510">
        <v>113.94938807739574</v>
      </c>
      <c r="AG66" s="510">
        <v>127.56165626236535</v>
      </c>
      <c r="AH66" s="510">
        <v>1.2692148408000195</v>
      </c>
      <c r="AI66" s="510">
        <v>2.1896059189128132</v>
      </c>
      <c r="AJ66" s="510">
        <v>928.56342420032809</v>
      </c>
      <c r="AK66" s="510">
        <v>1214.4981778272647</v>
      </c>
      <c r="AL66" s="576"/>
      <c r="AM66" s="576"/>
      <c r="AN66" s="1021">
        <v>0.90387639014321897</v>
      </c>
      <c r="AO66" s="513">
        <v>0.89671048774219353</v>
      </c>
      <c r="AP66" s="513">
        <v>0.90387639014321897</v>
      </c>
      <c r="AQ66" s="513">
        <v>0.89671048774219353</v>
      </c>
      <c r="AR66" s="510">
        <v>49.741</v>
      </c>
      <c r="AS66" s="510">
        <v>1468.2629999999999</v>
      </c>
      <c r="AT66" s="514">
        <v>100.22614043399678</v>
      </c>
      <c r="AU66" s="514">
        <v>103.12301533327545</v>
      </c>
      <c r="AV66" s="510">
        <v>1.3409461008021553</v>
      </c>
      <c r="AW66" s="510">
        <v>1.3725742595161767</v>
      </c>
      <c r="AX66" s="510">
        <v>0.1970205665346495</v>
      </c>
      <c r="AY66" s="510">
        <v>0.20248415985419507</v>
      </c>
      <c r="AZ66" s="510">
        <v>893.15856134778198</v>
      </c>
      <c r="BA66" s="510">
        <v>819.47497144585111</v>
      </c>
      <c r="BB66" s="510">
        <v>477.36388894474396</v>
      </c>
      <c r="BC66" s="510">
        <v>492.04251854061584</v>
      </c>
      <c r="BD66" s="510">
        <v>6.3344122554843167</v>
      </c>
      <c r="BE66" s="510">
        <v>6.3263870301165506</v>
      </c>
      <c r="BF66" s="512">
        <v>0.88954270451671236</v>
      </c>
      <c r="BG66" s="513">
        <v>0.89079472610344168</v>
      </c>
      <c r="BH66" s="513">
        <v>0.88954270451671236</v>
      </c>
      <c r="BI66" s="513">
        <v>0.89079472610344168</v>
      </c>
      <c r="BJ66" s="510">
        <v>45.417999999999999</v>
      </c>
      <c r="BK66" s="510">
        <v>1394.1029999999998</v>
      </c>
      <c r="BL66" s="510">
        <v>2.7390021577348191</v>
      </c>
      <c r="BM66" s="510">
        <v>2.7063997423432848</v>
      </c>
      <c r="BN66" s="514">
        <v>0</v>
      </c>
      <c r="BO66" s="514">
        <v>0</v>
      </c>
      <c r="BP66" s="514">
        <v>1266.6654189968783</v>
      </c>
      <c r="BQ66" s="514">
        <v>1141.3243210867497</v>
      </c>
      <c r="BR66" s="514">
        <v>0</v>
      </c>
      <c r="BS66" s="515">
        <v>0</v>
      </c>
      <c r="BT66" s="1021">
        <v>1.014513863592889</v>
      </c>
      <c r="BU66" s="513">
        <v>0.88250458205810622</v>
      </c>
      <c r="BV66" s="513">
        <v>1.014513863592889</v>
      </c>
      <c r="BW66" s="513">
        <v>0.88250458205810622</v>
      </c>
      <c r="BX66" s="510">
        <v>52.738999999999997</v>
      </c>
      <c r="BY66" s="510">
        <v>1387.3030000000003</v>
      </c>
      <c r="BZ66" s="514">
        <v>71.866040643234584</v>
      </c>
      <c r="CA66" s="514">
        <v>79.985776366492942</v>
      </c>
      <c r="CB66" s="510">
        <v>1.8657919186939458</v>
      </c>
      <c r="CC66" s="510">
        <v>2.0503812072777174</v>
      </c>
      <c r="CD66" s="514">
        <v>0.1896129998672709</v>
      </c>
      <c r="CE66" s="514">
        <v>0.20507416188100216</v>
      </c>
      <c r="CF66" s="514">
        <v>508.57240372394466</v>
      </c>
      <c r="CG66" s="514">
        <v>558.68456998939496</v>
      </c>
      <c r="CH66" s="514">
        <v>468.604311799627</v>
      </c>
      <c r="CI66" s="514">
        <v>497.97583916419126</v>
      </c>
      <c r="CJ66" s="514"/>
      <c r="CK66" s="515"/>
    </row>
    <row r="67" spans="1:89" ht="12.75" hidden="1" customHeight="1">
      <c r="A67" s="560"/>
      <c r="B67" s="512"/>
      <c r="C67" s="513"/>
      <c r="D67" s="513"/>
      <c r="E67" s="513"/>
      <c r="F67" s="510"/>
      <c r="G67" s="510"/>
      <c r="H67" s="510"/>
      <c r="I67" s="510"/>
      <c r="J67" s="510"/>
      <c r="K67" s="511"/>
      <c r="L67" s="512"/>
      <c r="M67" s="513"/>
      <c r="N67" s="513"/>
      <c r="O67" s="513"/>
      <c r="P67" s="510"/>
      <c r="Q67" s="510"/>
      <c r="R67" s="510"/>
      <c r="S67" s="510"/>
      <c r="T67" s="510"/>
      <c r="U67" s="510"/>
      <c r="V67" s="510"/>
      <c r="W67" s="510"/>
      <c r="X67" s="510"/>
      <c r="Y67" s="569"/>
      <c r="Z67" s="1021"/>
      <c r="AA67" s="513"/>
      <c r="AB67" s="513"/>
      <c r="AC67" s="513"/>
      <c r="AD67" s="510"/>
      <c r="AE67" s="510"/>
      <c r="AF67" s="510"/>
      <c r="AG67" s="510"/>
      <c r="AH67" s="510"/>
      <c r="AI67" s="510"/>
      <c r="AJ67" s="510"/>
      <c r="AK67" s="510"/>
      <c r="AL67" s="576"/>
      <c r="AM67" s="576"/>
      <c r="AN67" s="1021"/>
      <c r="AO67" s="513"/>
      <c r="AP67" s="513"/>
      <c r="AQ67" s="513"/>
      <c r="AR67" s="510"/>
      <c r="AS67" s="510"/>
      <c r="AT67" s="514"/>
      <c r="AU67" s="514"/>
      <c r="AV67" s="510"/>
      <c r="AW67" s="510"/>
      <c r="AX67" s="510"/>
      <c r="AY67" s="510"/>
      <c r="AZ67" s="510"/>
      <c r="BA67" s="510"/>
      <c r="BB67" s="510"/>
      <c r="BC67" s="510"/>
      <c r="BD67" s="510"/>
      <c r="BE67" s="510"/>
      <c r="BF67" s="512"/>
      <c r="BG67" s="513"/>
      <c r="BH67" s="513"/>
      <c r="BI67" s="513"/>
      <c r="BJ67" s="510"/>
      <c r="BK67" s="510"/>
      <c r="BL67" s="510"/>
      <c r="BM67" s="510"/>
      <c r="BN67" s="514"/>
      <c r="BO67" s="514"/>
      <c r="BP67" s="514"/>
      <c r="BQ67" s="514"/>
      <c r="BR67" s="514"/>
      <c r="BS67" s="515"/>
      <c r="BT67" s="1021"/>
      <c r="BU67" s="513"/>
      <c r="BV67" s="513"/>
      <c r="BW67" s="513"/>
      <c r="BX67" s="510"/>
      <c r="BY67" s="510"/>
      <c r="BZ67" s="514"/>
      <c r="CA67" s="514"/>
      <c r="CB67" s="510"/>
      <c r="CC67" s="510"/>
      <c r="CD67" s="514"/>
      <c r="CE67" s="514"/>
      <c r="CF67" s="514"/>
      <c r="CG67" s="514"/>
      <c r="CH67" s="514"/>
      <c r="CI67" s="514"/>
      <c r="CJ67" s="514"/>
      <c r="CK67" s="515"/>
    </row>
    <row r="68" spans="1:89" ht="12.75" customHeight="1">
      <c r="A68" s="560"/>
      <c r="B68" s="512"/>
      <c r="C68" s="513"/>
      <c r="D68" s="513"/>
      <c r="E68" s="513"/>
      <c r="F68" s="510"/>
      <c r="G68" s="510"/>
      <c r="H68" s="510"/>
      <c r="I68" s="510"/>
      <c r="J68" s="510"/>
      <c r="K68" s="511"/>
      <c r="L68" s="512"/>
      <c r="M68" s="513"/>
      <c r="N68" s="513"/>
      <c r="O68" s="513"/>
      <c r="P68" s="510"/>
      <c r="Q68" s="510"/>
      <c r="R68" s="510"/>
      <c r="S68" s="510"/>
      <c r="T68" s="510"/>
      <c r="U68" s="510"/>
      <c r="V68" s="510"/>
      <c r="W68" s="510"/>
      <c r="X68" s="510"/>
      <c r="Y68" s="569"/>
      <c r="Z68" s="512"/>
      <c r="AA68" s="513"/>
      <c r="AB68" s="513"/>
      <c r="AC68" s="513"/>
      <c r="AD68" s="510"/>
      <c r="AE68" s="510"/>
      <c r="AF68" s="510"/>
      <c r="AG68" s="510"/>
      <c r="AH68" s="510"/>
      <c r="AI68" s="510"/>
      <c r="AJ68" s="510"/>
      <c r="AK68" s="569"/>
      <c r="AL68" s="510"/>
      <c r="AM68" s="569"/>
      <c r="AN68" s="512"/>
      <c r="AO68" s="513"/>
      <c r="AP68" s="513"/>
      <c r="AQ68" s="513"/>
      <c r="AR68" s="510"/>
      <c r="AS68" s="510"/>
      <c r="AT68" s="514"/>
      <c r="AU68" s="514"/>
      <c r="AV68" s="510"/>
      <c r="AW68" s="510"/>
      <c r="AX68" s="510"/>
      <c r="AY68" s="510"/>
      <c r="AZ68" s="510"/>
      <c r="BA68" s="510"/>
      <c r="BB68" s="510"/>
      <c r="BC68" s="569"/>
      <c r="BD68" s="510"/>
      <c r="BE68" s="511"/>
      <c r="BF68" s="512"/>
      <c r="BG68" s="513"/>
      <c r="BH68" s="513"/>
      <c r="BI68" s="513"/>
      <c r="BJ68" s="510"/>
      <c r="BK68" s="510"/>
      <c r="BL68" s="510"/>
      <c r="BM68" s="510"/>
      <c r="BN68" s="514"/>
      <c r="BO68" s="514"/>
      <c r="BP68" s="514"/>
      <c r="BQ68" s="514"/>
      <c r="BR68" s="514"/>
      <c r="BS68" s="515"/>
      <c r="BT68" s="512"/>
      <c r="BU68" s="513"/>
      <c r="BV68" s="513"/>
      <c r="BW68" s="513"/>
      <c r="BX68" s="510"/>
      <c r="BY68" s="510"/>
      <c r="BZ68" s="510"/>
      <c r="CA68" s="510"/>
      <c r="CB68" s="510"/>
      <c r="CC68" s="510"/>
      <c r="CD68" s="510"/>
      <c r="CE68" s="510"/>
      <c r="CF68" s="1023"/>
      <c r="CG68" s="514"/>
      <c r="CH68" s="514"/>
      <c r="CI68" s="514"/>
      <c r="CJ68" s="514"/>
      <c r="CK68" s="515"/>
    </row>
    <row r="69" spans="1:89" ht="12.75" customHeight="1" thickBot="1">
      <c r="A69" s="584" t="s">
        <v>224</v>
      </c>
      <c r="B69" s="660">
        <f>+'[7]eff all'!$B$37:$C$37</f>
        <v>0.85269190429667641</v>
      </c>
      <c r="C69" s="634"/>
      <c r="D69" s="633">
        <f>+'[7]eff all'!$D$37:$E$37</f>
        <v>0.85269190429667641</v>
      </c>
      <c r="E69" s="634"/>
      <c r="F69" s="661">
        <f>+'[7]eff all'!$F$37:$G$37</f>
        <v>1595.0559999999998</v>
      </c>
      <c r="G69" s="662"/>
      <c r="H69" s="663">
        <f>+'[7]eff all'!$H$37:$I$37</f>
        <v>2.381692554994935</v>
      </c>
      <c r="I69" s="664"/>
      <c r="J69" s="661">
        <f>+'[7]eff all'!$J$37:$K$37</f>
        <v>986.51592169804803</v>
      </c>
      <c r="K69" s="671"/>
      <c r="L69" s="660">
        <f>+'[7]eff all'!$L$37:$M$37</f>
        <v>0.90405788689995714</v>
      </c>
      <c r="M69" s="634"/>
      <c r="N69" s="633">
        <f>+'[7]eff all'!$N$37:$O$37</f>
        <v>0.90405788689995714</v>
      </c>
      <c r="O69" s="634"/>
      <c r="P69" s="661">
        <f>+'[7]eff all'!$P$37:$Q$37</f>
        <v>1727.1940000000002</v>
      </c>
      <c r="Q69" s="662"/>
      <c r="R69" s="663">
        <f>+'[7]eff all'!$R$37:$S$37</f>
        <v>2.2665021995213039</v>
      </c>
      <c r="S69" s="664"/>
      <c r="T69" s="663">
        <f>+'[7]eff all'!$T$37:$U$37</f>
        <v>0.27727053243584676</v>
      </c>
      <c r="U69" s="664"/>
      <c r="V69" s="661">
        <f>+'[7]eff all'!$V$37:$W$37</f>
        <v>627.66337192000401</v>
      </c>
      <c r="W69" s="662"/>
      <c r="X69" s="663">
        <f>+'[7]eff all'!$X$37:$Y$37</f>
        <v>433.98772807223736</v>
      </c>
      <c r="Y69" s="684"/>
      <c r="Z69" s="660">
        <f>+'[7]eff all'!$Z$37:$AA$37</f>
        <v>0.37501240246787071</v>
      </c>
      <c r="AA69" s="634"/>
      <c r="AB69" s="633">
        <f>+'[7]eff all'!$AB$37:$AC$37</f>
        <v>0.78662424716927493</v>
      </c>
      <c r="AC69" s="634"/>
      <c r="AD69" s="661">
        <f>+'[7]eff all'!$AD$37:$AE$37</f>
        <v>500.22699999999998</v>
      </c>
      <c r="AE69" s="662"/>
      <c r="AF69" s="663">
        <f>+'[7]eff all'!$AF$37:$AG$37</f>
        <v>127.56165626236535</v>
      </c>
      <c r="AG69" s="664"/>
      <c r="AH69" s="663">
        <f>+'[7]eff all'!$AH$37:$AI$37</f>
        <v>2.1896059189128132</v>
      </c>
      <c r="AI69" s="664"/>
      <c r="AJ69" s="663">
        <f>+'[7]eff all'!$AJ$37:$AK$37</f>
        <v>1225.1600573339688</v>
      </c>
      <c r="AK69" s="664"/>
      <c r="AL69" s="661">
        <f>+'[7]eff all'!$AL$37:$AM$37</f>
        <v>0</v>
      </c>
      <c r="AM69" s="671"/>
      <c r="AN69" s="660">
        <f>+'[7]eff all'!$AN$37:$AO$37</f>
        <v>0.89671048774219353</v>
      </c>
      <c r="AO69" s="634"/>
      <c r="AP69" s="633">
        <f>+'[7]eff all'!$AP$37:$AQ$37</f>
        <v>0.89671048774219353</v>
      </c>
      <c r="AQ69" s="634"/>
      <c r="AR69" s="665">
        <f>+'[7]eff all'!$AR$37:$AS$37</f>
        <v>1468.2629999999999</v>
      </c>
      <c r="AS69" s="666"/>
      <c r="AT69" s="663">
        <f>+'[7]eff all'!$AT$37:$AU$37</f>
        <v>103.12301533327545</v>
      </c>
      <c r="AU69" s="664"/>
      <c r="AV69" s="663">
        <f>+'[7]eff all'!$AV$37:$AW$37</f>
        <v>1.3725742595161767</v>
      </c>
      <c r="AW69" s="664"/>
      <c r="AX69" s="663">
        <f>+'[7]eff all'!$AX$37:$AY$37</f>
        <v>0.20248415985419507</v>
      </c>
      <c r="AY69" s="664"/>
      <c r="AZ69" s="661">
        <f>+'[7]eff all'!$AZ$37:$BA$37</f>
        <v>823.10739969610347</v>
      </c>
      <c r="BA69" s="662"/>
      <c r="BB69" s="661">
        <f>+'[7]eff all'!$BB$37:$BC$37</f>
        <v>492.04251854061584</v>
      </c>
      <c r="BC69" s="662"/>
      <c r="BD69" s="661">
        <f>+'[7]eff all'!$BD$37:$BE$37</f>
        <v>6.3263870301165506</v>
      </c>
      <c r="BE69" s="671"/>
      <c r="BF69" s="660">
        <f>+'[7]eff all'!$BF$37:$BG$37</f>
        <v>0.89079472610344168</v>
      </c>
      <c r="BG69" s="634"/>
      <c r="BH69" s="633">
        <f>+'[7]eff all'!$BH$37:$BI$37</f>
        <v>0.89079472610344168</v>
      </c>
      <c r="BI69" s="634"/>
      <c r="BJ69" s="661">
        <f>+'[7]eff all'!$BJ$37:$BK$37</f>
        <v>1394.1029999999998</v>
      </c>
      <c r="BK69" s="662"/>
      <c r="BL69" s="663">
        <f>+'[7]eff all'!$BL$37:$BM$37</f>
        <v>2.7063997423432848</v>
      </c>
      <c r="BM69" s="664"/>
      <c r="BN69" s="663">
        <f>+'[7]eff all'!$BN$37:$BO$37</f>
        <v>0</v>
      </c>
      <c r="BO69" s="664"/>
      <c r="BP69" s="661">
        <f>+'[7]eff all'!$BP$37:$BQ$37</f>
        <v>1148.9756352292482</v>
      </c>
      <c r="BQ69" s="662"/>
      <c r="BR69" s="661">
        <f>+'[7]eff all'!$BR$37:$BS$37</f>
        <v>0</v>
      </c>
      <c r="BS69" s="671"/>
      <c r="BT69" s="660">
        <f>+'[7]eff all'!$BT$37:$BU$37</f>
        <v>0.88250458205810622</v>
      </c>
      <c r="BU69" s="634"/>
      <c r="BV69" s="633">
        <f>+'[7]eff all'!$BV$37:$BW$37</f>
        <v>0.88250458205810622</v>
      </c>
      <c r="BW69" s="634"/>
      <c r="BX69" s="661">
        <f>+'[7]eff all'!$BX$37:$BY$37</f>
        <v>1387.3030000000003</v>
      </c>
      <c r="BY69" s="662"/>
      <c r="BZ69" s="667">
        <f>+'[7]eff all'!$BZ$37:$CA$37</f>
        <v>79.985776366492942</v>
      </c>
      <c r="CA69" s="667"/>
      <c r="CB69" s="667">
        <f>+'[7]eff all'!$CB$37:$CC$37</f>
        <v>2.0503812072777174</v>
      </c>
      <c r="CC69" s="667"/>
      <c r="CD69" s="667">
        <f>+'[7]eff all'!$CD$37:$CE$37</f>
        <v>0.20507416188100216</v>
      </c>
      <c r="CE69" s="667"/>
      <c r="CF69" s="661">
        <f>+'[7]eff all'!$CF$37:$CG$37</f>
        <v>562.52897888925327</v>
      </c>
      <c r="CG69" s="662"/>
      <c r="CH69" s="673">
        <f>+'[7]eff all'!$CH$37:$CI$37</f>
        <v>497.97583916419126</v>
      </c>
      <c r="CI69" s="673"/>
      <c r="CJ69" s="673">
        <f>+'[7]eff all'!$CJ$37:$CK$37</f>
        <v>0</v>
      </c>
      <c r="CK69" s="804"/>
    </row>
    <row r="70" spans="1:89" ht="14.25" customHeight="1" thickTop="1">
      <c r="A70" s="559">
        <v>45931</v>
      </c>
      <c r="B70" s="518">
        <v>0.27966993876808283</v>
      </c>
      <c r="C70" s="519">
        <v>0.27966993876808283</v>
      </c>
      <c r="D70" s="519">
        <v>0.40002229122110805</v>
      </c>
      <c r="E70" s="519">
        <v>0.40002229122110805</v>
      </c>
      <c r="F70" s="520">
        <v>17.940999999999999</v>
      </c>
      <c r="G70" s="520">
        <v>17.940999999999999</v>
      </c>
      <c r="H70" s="520">
        <v>2.9326124519257566</v>
      </c>
      <c r="I70" s="520">
        <v>2.9326124519257566</v>
      </c>
      <c r="J70" s="520">
        <v>1661.5183100161557</v>
      </c>
      <c r="K70" s="548">
        <v>1661.5183100161557</v>
      </c>
      <c r="L70" s="518">
        <v>0</v>
      </c>
      <c r="M70" s="519">
        <v>0</v>
      </c>
      <c r="N70" s="519" t="e">
        <v>#DIV/0!</v>
      </c>
      <c r="O70" s="519" t="e">
        <v>#DIV/0!</v>
      </c>
      <c r="P70" s="520">
        <v>0</v>
      </c>
      <c r="Q70" s="520">
        <v>0</v>
      </c>
      <c r="R70" s="520">
        <v>0</v>
      </c>
      <c r="S70" s="520">
        <v>0</v>
      </c>
      <c r="T70" s="520">
        <v>0</v>
      </c>
      <c r="U70" s="520">
        <v>0</v>
      </c>
      <c r="V70" s="520">
        <v>0</v>
      </c>
      <c r="W70" s="520">
        <v>0</v>
      </c>
      <c r="X70" s="520">
        <v>0</v>
      </c>
      <c r="Y70" s="556">
        <v>0</v>
      </c>
      <c r="Z70" s="518">
        <v>0.20473999820231253</v>
      </c>
      <c r="AA70" s="518">
        <v>0.20473999820231253</v>
      </c>
      <c r="AB70" s="519">
        <v>0.40947999640462507</v>
      </c>
      <c r="AC70" s="519">
        <v>0.40947999640462507</v>
      </c>
      <c r="AD70" s="520">
        <v>8.9130000000000003</v>
      </c>
      <c r="AE70" s="520">
        <v>8.9130000000000003</v>
      </c>
      <c r="AF70" s="520">
        <v>244.31698453349279</v>
      </c>
      <c r="AG70" s="520">
        <v>244.31698453349279</v>
      </c>
      <c r="AH70" s="520">
        <v>4.3980702344889488</v>
      </c>
      <c r="AI70" s="520">
        <v>4.3980702344889488</v>
      </c>
      <c r="AJ70" s="520">
        <v>2759.7105351733426</v>
      </c>
      <c r="AK70" s="520">
        <v>2759.7105351733426</v>
      </c>
      <c r="AL70" s="576">
        <v>0</v>
      </c>
      <c r="AM70" s="577">
        <v>0</v>
      </c>
      <c r="AN70" s="518">
        <v>0.57523912351677342</v>
      </c>
      <c r="AO70" s="518">
        <v>0.57523912351677342</v>
      </c>
      <c r="AP70" s="519">
        <v>0.65489844880765469</v>
      </c>
      <c r="AQ70" s="519">
        <v>0.65489844880765469</v>
      </c>
      <c r="AR70" s="520">
        <v>29.349</v>
      </c>
      <c r="AS70" s="520">
        <v>29.349</v>
      </c>
      <c r="AT70" s="521">
        <v>137.80376560881047</v>
      </c>
      <c r="AU70" s="521">
        <v>137.80376560881047</v>
      </c>
      <c r="AV70" s="520">
        <v>1.6457119492998056</v>
      </c>
      <c r="AW70" s="520">
        <v>1.6457119492998056</v>
      </c>
      <c r="AX70" s="520">
        <v>0</v>
      </c>
      <c r="AY70" s="520">
        <v>0</v>
      </c>
      <c r="AZ70" s="520">
        <v>1246.9692323418176</v>
      </c>
      <c r="BA70" s="520">
        <v>1246.9692323418176</v>
      </c>
      <c r="BB70" s="520">
        <v>0</v>
      </c>
      <c r="BC70" s="556">
        <v>0</v>
      </c>
      <c r="BD70" s="520">
        <v>0</v>
      </c>
      <c r="BE70" s="520">
        <v>0</v>
      </c>
      <c r="BF70" s="518">
        <v>0.37609655412551918</v>
      </c>
      <c r="BG70" s="519">
        <v>0.37609655412551918</v>
      </c>
      <c r="BH70" s="519">
        <v>0.48285259576940398</v>
      </c>
      <c r="BI70" s="519">
        <v>0.48285259576940398</v>
      </c>
      <c r="BJ70" s="520">
        <v>18.686</v>
      </c>
      <c r="BK70" s="520">
        <v>18.686</v>
      </c>
      <c r="BL70" s="520">
        <v>4.2598737022369688</v>
      </c>
      <c r="BM70" s="520">
        <v>4.2598737022369688</v>
      </c>
      <c r="BN70" s="521">
        <v>0</v>
      </c>
      <c r="BO70" s="521">
        <v>0</v>
      </c>
      <c r="BP70" s="521">
        <v>2001.7446216418912</v>
      </c>
      <c r="BQ70" s="521">
        <v>2001.7446216418912</v>
      </c>
      <c r="BR70" s="521">
        <v>0</v>
      </c>
      <c r="BS70" s="522">
        <v>0</v>
      </c>
      <c r="BT70" s="580">
        <v>6.3779031213958406E-2</v>
      </c>
      <c r="BU70" s="580">
        <v>6.3779031213958406E-2</v>
      </c>
      <c r="BV70" s="581" t="e">
        <v>#DIV/0!</v>
      </c>
      <c r="BW70" s="581" t="e">
        <v>#DIV/0!</v>
      </c>
      <c r="BX70" s="576">
        <v>3.3639999999999999</v>
      </c>
      <c r="BY70" s="576">
        <v>3.3639999999999999</v>
      </c>
      <c r="BZ70" s="582">
        <v>0</v>
      </c>
      <c r="CA70" s="582">
        <v>0</v>
      </c>
      <c r="CB70" s="576">
        <v>0.11890606420927469</v>
      </c>
      <c r="CC70" s="576">
        <v>0.11890606420927469</v>
      </c>
      <c r="CD70" s="582">
        <v>0</v>
      </c>
      <c r="CE70" s="582">
        <v>0</v>
      </c>
      <c r="CF70" s="582">
        <v>1542.0035671820278</v>
      </c>
      <c r="CG70" s="582">
        <v>1542.0035671820278</v>
      </c>
      <c r="CH70" s="582">
        <v>0</v>
      </c>
      <c r="CI70" s="582">
        <v>0</v>
      </c>
      <c r="CJ70" s="582"/>
      <c r="CK70" s="583"/>
    </row>
    <row r="71" spans="1:89" ht="14.25" customHeight="1">
      <c r="A71" s="560">
        <v>45932</v>
      </c>
      <c r="B71" s="512">
        <v>0.7590810231266012</v>
      </c>
      <c r="C71" s="513">
        <v>0.53436518019394696</v>
      </c>
      <c r="D71" s="513">
        <v>0.7590810231266012</v>
      </c>
      <c r="E71" s="513">
        <v>0.62209628994082689</v>
      </c>
      <c r="F71" s="510">
        <v>55.192</v>
      </c>
      <c r="G71" s="510">
        <v>73.132999999999996</v>
      </c>
      <c r="H71" s="510">
        <v>2.7908936077692426</v>
      </c>
      <c r="I71" s="510">
        <v>2.8256600987242426</v>
      </c>
      <c r="J71" s="510">
        <v>1050.2279315842832</v>
      </c>
      <c r="K71" s="511">
        <v>1200.1897912023244</v>
      </c>
      <c r="L71" s="512">
        <v>0.63705351537759047</v>
      </c>
      <c r="M71" s="513">
        <v>0.28260253000851043</v>
      </c>
      <c r="N71" s="513">
        <v>0.76446421845310863</v>
      </c>
      <c r="O71" s="513">
        <v>0.76446421845310863</v>
      </c>
      <c r="P71" s="510">
        <v>35.399000000000001</v>
      </c>
      <c r="Q71" s="510">
        <v>35.399000000000001</v>
      </c>
      <c r="R71" s="510">
        <v>4.1513602079154772</v>
      </c>
      <c r="S71" s="510">
        <v>4.2126331252295257</v>
      </c>
      <c r="T71" s="510">
        <v>0.42939066075312859</v>
      </c>
      <c r="U71" s="510">
        <v>0.42939066075312859</v>
      </c>
      <c r="V71" s="510">
        <v>942.90714426963234</v>
      </c>
      <c r="W71" s="510">
        <v>1207.4414531483785</v>
      </c>
      <c r="X71" s="510">
        <v>981.29890674877822</v>
      </c>
      <c r="Y71" s="569">
        <v>1224.526116556965</v>
      </c>
      <c r="Z71" s="512">
        <v>0.84868927408601358</v>
      </c>
      <c r="AA71" s="513">
        <v>0.52514177755980551</v>
      </c>
      <c r="AB71" s="513">
        <v>0.84868927408601358</v>
      </c>
      <c r="AC71" s="513">
        <v>0.70133104652711342</v>
      </c>
      <c r="AD71" s="510">
        <v>36.587000000000003</v>
      </c>
      <c r="AE71" s="510">
        <v>45.5</v>
      </c>
      <c r="AF71" s="510">
        <v>125.28723767154268</v>
      </c>
      <c r="AG71" s="510">
        <v>148.60398786452205</v>
      </c>
      <c r="AH71" s="510">
        <v>1.6563260174378878</v>
      </c>
      <c r="AI71" s="510">
        <v>2.1934065934065936</v>
      </c>
      <c r="AJ71" s="510">
        <v>1112.8045480635299</v>
      </c>
      <c r="AK71" s="569">
        <v>1435.417142857151</v>
      </c>
      <c r="AL71" s="576">
        <v>0</v>
      </c>
      <c r="AM71" s="577">
        <v>0</v>
      </c>
      <c r="AN71" s="512">
        <v>0.91422026194723494</v>
      </c>
      <c r="AO71" s="513">
        <v>0.74490575453886332</v>
      </c>
      <c r="AP71" s="513">
        <v>0.91422026194723494</v>
      </c>
      <c r="AQ71" s="513">
        <v>0.79308984771505819</v>
      </c>
      <c r="AR71" s="510">
        <v>46.741</v>
      </c>
      <c r="AS71" s="510">
        <v>76.09</v>
      </c>
      <c r="AT71" s="514">
        <v>119.51211645688512</v>
      </c>
      <c r="AU71" s="514">
        <v>126.56746684405634</v>
      </c>
      <c r="AV71" s="510">
        <v>1.4312915855458805</v>
      </c>
      <c r="AW71" s="510">
        <v>1.5139965829938231</v>
      </c>
      <c r="AX71" s="510">
        <v>0</v>
      </c>
      <c r="AY71" s="510">
        <v>0</v>
      </c>
      <c r="AZ71" s="510">
        <v>958.56271795639918</v>
      </c>
      <c r="BA71" s="510">
        <v>1069.8052306479176</v>
      </c>
      <c r="BB71" s="510">
        <v>0</v>
      </c>
      <c r="BC71" s="569">
        <v>0</v>
      </c>
      <c r="BD71" s="510">
        <v>0</v>
      </c>
      <c r="BE71" s="510">
        <v>0</v>
      </c>
      <c r="BF71" s="512">
        <v>0.95144340626518653</v>
      </c>
      <c r="BG71" s="513">
        <v>0.67262166811495938</v>
      </c>
      <c r="BH71" s="513">
        <v>0.95144340626518653</v>
      </c>
      <c r="BI71" s="513">
        <v>0.75333867407072286</v>
      </c>
      <c r="BJ71" s="510">
        <v>50.273000000000003</v>
      </c>
      <c r="BK71" s="510">
        <v>68.959000000000003</v>
      </c>
      <c r="BL71" s="510">
        <v>2.335249537525113</v>
      </c>
      <c r="BM71" s="510">
        <v>2.85676996476167</v>
      </c>
      <c r="BN71" s="514">
        <v>0</v>
      </c>
      <c r="BO71" s="514">
        <v>0</v>
      </c>
      <c r="BP71" s="514">
        <v>877.5756370218528</v>
      </c>
      <c r="BQ71" s="514">
        <v>1182.1946373932335</v>
      </c>
      <c r="BR71" s="514">
        <v>0</v>
      </c>
      <c r="BS71" s="515">
        <v>0</v>
      </c>
      <c r="BT71" s="512">
        <v>0</v>
      </c>
      <c r="BU71" s="513">
        <v>3.1889515606979203E-2</v>
      </c>
      <c r="BV71" s="513" t="e">
        <v>#DIV/0!</v>
      </c>
      <c r="BW71" s="513" t="e">
        <v>#DIV/0!</v>
      </c>
      <c r="BX71" s="510">
        <v>0</v>
      </c>
      <c r="BY71" s="510">
        <v>3.3639999999999999</v>
      </c>
      <c r="BZ71" s="514">
        <v>0</v>
      </c>
      <c r="CA71" s="514">
        <v>0</v>
      </c>
      <c r="CB71" s="510">
        <v>0</v>
      </c>
      <c r="CC71" s="510">
        <v>0.14863258026159334</v>
      </c>
      <c r="CD71" s="514">
        <v>0</v>
      </c>
      <c r="CE71" s="514">
        <v>0</v>
      </c>
      <c r="CF71" s="514">
        <v>0</v>
      </c>
      <c r="CG71" s="514">
        <v>2806.6230677764597</v>
      </c>
      <c r="CH71" s="514">
        <v>0</v>
      </c>
      <c r="CI71" s="514">
        <v>0</v>
      </c>
      <c r="CJ71" s="514"/>
      <c r="CK71" s="515"/>
    </row>
    <row r="72" spans="1:89" ht="12.75" customHeight="1">
      <c r="A72" s="560">
        <v>45933</v>
      </c>
      <c r="B72" s="512">
        <v>1.0496100485747695</v>
      </c>
      <c r="C72" s="513">
        <v>0.72564173557081124</v>
      </c>
      <c r="D72" s="513">
        <v>1.0496100485747695</v>
      </c>
      <c r="E72" s="513">
        <v>0.79624621439092347</v>
      </c>
      <c r="F72" s="510">
        <v>84.813000000000002</v>
      </c>
      <c r="G72" s="510">
        <v>157.946</v>
      </c>
      <c r="H72" s="510">
        <v>1.8975746642613749</v>
      </c>
      <c r="I72" s="510">
        <v>2.3273017360363673</v>
      </c>
      <c r="J72" s="510">
        <v>651.81304752809069</v>
      </c>
      <c r="K72" s="511">
        <v>905.72537449507774</v>
      </c>
      <c r="L72" s="512">
        <v>0.89617873934365733</v>
      </c>
      <c r="M72" s="513">
        <v>0.47947610364694826</v>
      </c>
      <c r="N72" s="513">
        <v>0.89617873934365733</v>
      </c>
      <c r="O72" s="513">
        <v>0.83835934762910425</v>
      </c>
      <c r="P72" s="510">
        <v>53.036000000000001</v>
      </c>
      <c r="Q72" s="510">
        <v>88.435000000000002</v>
      </c>
      <c r="R72" s="510">
        <v>2.5553963345652009</v>
      </c>
      <c r="S72" s="510">
        <v>3.2187595409057494</v>
      </c>
      <c r="T72" s="510">
        <v>0.19043668451617768</v>
      </c>
      <c r="U72" s="510">
        <v>0.28608582574772429</v>
      </c>
      <c r="V72" s="510">
        <v>680.19326495210532</v>
      </c>
      <c r="W72" s="510">
        <v>891.24158986825705</v>
      </c>
      <c r="X72" s="510">
        <v>513.56060034693417</v>
      </c>
      <c r="Y72" s="569">
        <v>798.14779216373597</v>
      </c>
      <c r="Z72" s="512">
        <v>0.85738843360794581</v>
      </c>
      <c r="AA72" s="513">
        <v>0.63456997773466162</v>
      </c>
      <c r="AB72" s="513">
        <v>0.85738843360794581</v>
      </c>
      <c r="AC72" s="513">
        <v>0.76314406914685895</v>
      </c>
      <c r="AD72" s="510">
        <v>36.482999999999997</v>
      </c>
      <c r="AE72" s="510">
        <v>81.983000000000004</v>
      </c>
      <c r="AF72" s="510">
        <v>123.8480351696997</v>
      </c>
      <c r="AG72" s="510">
        <v>137.58741830540365</v>
      </c>
      <c r="AH72" s="510">
        <v>1.5267384809363267</v>
      </c>
      <c r="AI72" s="510">
        <v>1.8967346888989181</v>
      </c>
      <c r="AJ72" s="510">
        <v>1072.6151906366949</v>
      </c>
      <c r="AK72" s="569">
        <v>1273.9677738067514</v>
      </c>
      <c r="AL72" s="576">
        <v>0</v>
      </c>
      <c r="AM72" s="577">
        <v>0</v>
      </c>
      <c r="AN72" s="512">
        <v>0.91821353625182112</v>
      </c>
      <c r="AO72" s="513">
        <v>0.80302507046506699</v>
      </c>
      <c r="AP72" s="513">
        <v>0.91821353625182112</v>
      </c>
      <c r="AQ72" s="513">
        <v>0.83681616755519628</v>
      </c>
      <c r="AR72" s="510">
        <v>47.323999999999998</v>
      </c>
      <c r="AS72" s="510">
        <v>123.414</v>
      </c>
      <c r="AT72" s="514">
        <v>130.72969598731817</v>
      </c>
      <c r="AU72" s="514">
        <v>128.16350401954472</v>
      </c>
      <c r="AV72" s="510">
        <v>1.4516947003634522</v>
      </c>
      <c r="AW72" s="510">
        <v>1.4901064709028149</v>
      </c>
      <c r="AX72" s="510">
        <v>0.18595215958076242</v>
      </c>
      <c r="AY72" s="510">
        <v>7.130471421394656E-2</v>
      </c>
      <c r="AZ72" s="510">
        <v>894.30775082410537</v>
      </c>
      <c r="BA72" s="510">
        <v>1002.5094397718251</v>
      </c>
      <c r="BB72" s="510">
        <v>485.05620826641871</v>
      </c>
      <c r="BC72" s="569">
        <v>185.99834702707957</v>
      </c>
      <c r="BD72" s="510">
        <v>4.0148761727664617</v>
      </c>
      <c r="BE72" s="510">
        <v>1.5395336023465733</v>
      </c>
      <c r="BF72" s="512">
        <v>0.79954858172156829</v>
      </c>
      <c r="BG72" s="513">
        <v>0.71604176544575815</v>
      </c>
      <c r="BH72" s="513">
        <v>0.79954858172156829</v>
      </c>
      <c r="BI72" s="513">
        <v>0.77034534391841258</v>
      </c>
      <c r="BJ72" s="510">
        <v>42.622</v>
      </c>
      <c r="BK72" s="510">
        <v>111.581</v>
      </c>
      <c r="BL72" s="510">
        <v>2.9327577307493784</v>
      </c>
      <c r="BM72" s="510">
        <v>2.8857959688477428</v>
      </c>
      <c r="BN72" s="514">
        <v>0</v>
      </c>
      <c r="BO72" s="514">
        <v>0</v>
      </c>
      <c r="BP72" s="514">
        <v>1059.4162639012723</v>
      </c>
      <c r="BQ72" s="514">
        <v>1135.2954356028358</v>
      </c>
      <c r="BR72" s="514">
        <v>0</v>
      </c>
      <c r="BS72" s="515">
        <v>0</v>
      </c>
      <c r="BT72" s="512">
        <v>0</v>
      </c>
      <c r="BU72" s="513">
        <v>2.1259677071319465E-2</v>
      </c>
      <c r="BV72" s="513" t="e">
        <v>#DIV/0!</v>
      </c>
      <c r="BW72" s="513" t="e">
        <v>#DIV/0!</v>
      </c>
      <c r="BX72" s="510">
        <v>0</v>
      </c>
      <c r="BY72" s="510">
        <v>3.3639999999999999</v>
      </c>
      <c r="BZ72" s="514">
        <v>0</v>
      </c>
      <c r="CA72" s="514">
        <v>0</v>
      </c>
      <c r="CB72" s="510">
        <v>0</v>
      </c>
      <c r="CC72" s="510">
        <v>0.178359096313912</v>
      </c>
      <c r="CD72" s="514">
        <v>0</v>
      </c>
      <c r="CE72" s="514">
        <v>0</v>
      </c>
      <c r="CF72" s="514">
        <v>0</v>
      </c>
      <c r="CG72" s="514">
        <v>3318.5790725326924</v>
      </c>
      <c r="CH72" s="514">
        <v>0</v>
      </c>
      <c r="CI72" s="514">
        <v>0</v>
      </c>
      <c r="CJ72" s="514"/>
      <c r="CK72" s="515"/>
    </row>
    <row r="73" spans="1:89" ht="12.75" customHeight="1">
      <c r="A73" s="560">
        <v>45934</v>
      </c>
      <c r="B73" s="512">
        <v>0.76859271805135254</v>
      </c>
      <c r="C73" s="513">
        <v>0.73703148317544442</v>
      </c>
      <c r="D73" s="513">
        <v>0.76859271805135254</v>
      </c>
      <c r="E73" s="513">
        <v>0.78840194153401466</v>
      </c>
      <c r="F73" s="510">
        <v>60.372999999999998</v>
      </c>
      <c r="G73" s="510">
        <v>218.31899999999999</v>
      </c>
      <c r="H73" s="510">
        <v>2.4247925397114605</v>
      </c>
      <c r="I73" s="510">
        <v>2.3542614247958267</v>
      </c>
      <c r="J73" s="510">
        <v>804.43973299323807</v>
      </c>
      <c r="K73" s="511">
        <v>877.71627755715394</v>
      </c>
      <c r="L73" s="512">
        <v>0.55182441112425584</v>
      </c>
      <c r="M73" s="513">
        <v>0.49705655581465241</v>
      </c>
      <c r="N73" s="513">
        <v>0.55182441112425584</v>
      </c>
      <c r="O73" s="513">
        <v>0.73535189296905434</v>
      </c>
      <c r="P73" s="510">
        <v>32.670999999999999</v>
      </c>
      <c r="Q73" s="510">
        <v>121.10599999999999</v>
      </c>
      <c r="R73" s="510">
        <v>3.7707753053166417</v>
      </c>
      <c r="S73" s="510">
        <v>3.3676779020032037</v>
      </c>
      <c r="T73" s="510">
        <v>0.2571087508799853</v>
      </c>
      <c r="U73" s="510">
        <v>0.27826862418046999</v>
      </c>
      <c r="V73" s="510">
        <v>906.68666401397093</v>
      </c>
      <c r="W73" s="510">
        <v>895.40823741185216</v>
      </c>
      <c r="X73" s="510">
        <v>688.39337638884638</v>
      </c>
      <c r="Y73" s="569">
        <v>768.53913100919863</v>
      </c>
      <c r="Z73" s="512">
        <v>0.91146147535282618</v>
      </c>
      <c r="AA73" s="513">
        <v>0.70620875216277046</v>
      </c>
      <c r="AB73" s="513">
        <v>0.91146147535282618</v>
      </c>
      <c r="AC73" s="513">
        <v>0.80699388751026191</v>
      </c>
      <c r="AD73" s="510">
        <v>41.1</v>
      </c>
      <c r="AE73" s="510">
        <v>123.083</v>
      </c>
      <c r="AF73" s="510">
        <v>108.17044823150538</v>
      </c>
      <c r="AG73" s="510">
        <v>127.76447386923279</v>
      </c>
      <c r="AH73" s="510">
        <v>1.4793187347931873</v>
      </c>
      <c r="AI73" s="510">
        <v>1.7573507308076666</v>
      </c>
      <c r="AJ73" s="510">
        <v>902.34647201948246</v>
      </c>
      <c r="AK73" s="569">
        <v>1149.8756123916351</v>
      </c>
      <c r="AL73" s="576">
        <v>0</v>
      </c>
      <c r="AM73" s="577">
        <v>0</v>
      </c>
      <c r="AN73" s="512">
        <v>0.79414900930348009</v>
      </c>
      <c r="AO73" s="513">
        <v>0.80079736505456522</v>
      </c>
      <c r="AP73" s="513">
        <v>0.79414900930348009</v>
      </c>
      <c r="AQ73" s="513">
        <v>0.82577361289161777</v>
      </c>
      <c r="AR73" s="510">
        <v>40.896000000000001</v>
      </c>
      <c r="AS73" s="510">
        <v>164.31</v>
      </c>
      <c r="AT73" s="514">
        <v>143.42709745904332</v>
      </c>
      <c r="AU73" s="514">
        <v>131.96254191925706</v>
      </c>
      <c r="AV73" s="510">
        <v>1.5038145539906103</v>
      </c>
      <c r="AW73" s="510">
        <v>1.493518349461384</v>
      </c>
      <c r="AX73" s="510">
        <v>0.21273474178403753</v>
      </c>
      <c r="AY73" s="510">
        <v>0.10650599476599111</v>
      </c>
      <c r="AZ73" s="510">
        <v>934.23415492957599</v>
      </c>
      <c r="BA73" s="510">
        <v>985.51603675978311</v>
      </c>
      <c r="BB73" s="510">
        <v>540.60299295774655</v>
      </c>
      <c r="BC73" s="569">
        <v>274.25780536790217</v>
      </c>
      <c r="BD73" s="510">
        <v>3.6678403755868545</v>
      </c>
      <c r="BE73" s="510">
        <v>2.0692593268821131</v>
      </c>
      <c r="BF73" s="512">
        <v>0.88507614153115599</v>
      </c>
      <c r="BG73" s="513">
        <v>0.75890215850378762</v>
      </c>
      <c r="BH73" s="513">
        <v>0.88507614153115599</v>
      </c>
      <c r="BI73" s="513">
        <v>0.80105225906011923</v>
      </c>
      <c r="BJ73" s="510">
        <v>46.850999999999999</v>
      </c>
      <c r="BK73" s="510">
        <v>158.43200000000002</v>
      </c>
      <c r="BL73" s="510">
        <v>2.7021835179611959</v>
      </c>
      <c r="BM73" s="510">
        <v>2.8314986871339123</v>
      </c>
      <c r="BN73" s="514">
        <v>0</v>
      </c>
      <c r="BO73" s="514">
        <v>0</v>
      </c>
      <c r="BP73" s="514">
        <v>1068.1283217007065</v>
      </c>
      <c r="BQ73" s="514">
        <v>1115.4329933346785</v>
      </c>
      <c r="BR73" s="514">
        <v>0</v>
      </c>
      <c r="BS73" s="515">
        <v>0</v>
      </c>
      <c r="BT73" s="512">
        <v>0</v>
      </c>
      <c r="BU73" s="513">
        <v>1.5944757803489602E-2</v>
      </c>
      <c r="BV73" s="513" t="e">
        <v>#DIV/0!</v>
      </c>
      <c r="BW73" s="513" t="e">
        <v>#DIV/0!</v>
      </c>
      <c r="BX73" s="510">
        <v>0</v>
      </c>
      <c r="BY73" s="510">
        <v>3.3639999999999999</v>
      </c>
      <c r="BZ73" s="514">
        <v>0</v>
      </c>
      <c r="CA73" s="514">
        <v>0</v>
      </c>
      <c r="CB73" s="510">
        <v>0</v>
      </c>
      <c r="CC73" s="510">
        <v>0.20808561236623066</v>
      </c>
      <c r="CD73" s="514">
        <v>0</v>
      </c>
      <c r="CE73" s="514">
        <v>0</v>
      </c>
      <c r="CF73" s="514">
        <v>0</v>
      </c>
      <c r="CG73" s="514">
        <v>4500.6361474434116</v>
      </c>
      <c r="CH73" s="514">
        <v>0</v>
      </c>
      <c r="CI73" s="514">
        <v>0</v>
      </c>
      <c r="CJ73" s="514"/>
      <c r="CK73" s="515"/>
    </row>
    <row r="74" spans="1:89" ht="12.75" customHeight="1">
      <c r="A74" s="560">
        <v>45935</v>
      </c>
      <c r="B74" s="512">
        <v>0.89031629590950334</v>
      </c>
      <c r="C74" s="513">
        <v>0.7694411269134559</v>
      </c>
      <c r="D74" s="513">
        <v>0.89031629590950334</v>
      </c>
      <c r="E74" s="513">
        <v>0.81111725484863872</v>
      </c>
      <c r="F74" s="510">
        <v>70.710999999999999</v>
      </c>
      <c r="G74" s="510">
        <v>289.02999999999997</v>
      </c>
      <c r="H74" s="510">
        <v>2.0721669895772936</v>
      </c>
      <c r="I74" s="510">
        <v>2.2852472061723699</v>
      </c>
      <c r="J74" s="510">
        <v>697.0694799960313</v>
      </c>
      <c r="K74" s="511">
        <v>833.5211569733234</v>
      </c>
      <c r="L74" s="512">
        <v>0.7189052644259194</v>
      </c>
      <c r="M74" s="513">
        <v>0.54222786384390609</v>
      </c>
      <c r="N74" s="513">
        <v>0.7189052644259194</v>
      </c>
      <c r="O74" s="513">
        <v>0.73083830288620588</v>
      </c>
      <c r="P74" s="510">
        <v>44.783000000000001</v>
      </c>
      <c r="Q74" s="510">
        <v>165.88900000000001</v>
      </c>
      <c r="R74" s="510">
        <v>2.7971105106848579</v>
      </c>
      <c r="S74" s="510">
        <v>3.2136488857006786</v>
      </c>
      <c r="T74" s="510">
        <v>0.23669696090034165</v>
      </c>
      <c r="U74" s="510">
        <v>0.26704603680774491</v>
      </c>
      <c r="V74" s="510">
        <v>701.3625706183152</v>
      </c>
      <c r="W74" s="510">
        <v>843.02413059334708</v>
      </c>
      <c r="X74" s="510">
        <v>578.13545318536069</v>
      </c>
      <c r="Y74" s="569">
        <v>717.13820687327063</v>
      </c>
      <c r="Z74" s="512">
        <v>0.92939544766787285</v>
      </c>
      <c r="AA74" s="513">
        <v>0.75069483195417153</v>
      </c>
      <c r="AB74" s="513">
        <v>0.92939544766787285</v>
      </c>
      <c r="AC74" s="513">
        <v>0.83410195130341991</v>
      </c>
      <c r="AD74" s="510">
        <v>40.323999999999998</v>
      </c>
      <c r="AE74" s="510">
        <v>163.40699999999998</v>
      </c>
      <c r="AF74" s="510">
        <v>105.11704360375536</v>
      </c>
      <c r="AG74" s="510">
        <v>122.17575993393558</v>
      </c>
      <c r="AH74" s="510">
        <v>1.5003471877789902</v>
      </c>
      <c r="AI74" s="510">
        <v>1.6939298806048704</v>
      </c>
      <c r="AJ74" s="510">
        <v>976.60152762622761</v>
      </c>
      <c r="AK74" s="569">
        <v>1107.1167085865334</v>
      </c>
      <c r="AL74" s="576">
        <v>0</v>
      </c>
      <c r="AM74" s="577">
        <v>0</v>
      </c>
      <c r="AN74" s="512">
        <v>0.61549655220273636</v>
      </c>
      <c r="AO74" s="513">
        <v>0.76362118518078903</v>
      </c>
      <c r="AP74" s="513">
        <v>0.61549655220273636</v>
      </c>
      <c r="AQ74" s="513">
        <v>0.78254128467538631</v>
      </c>
      <c r="AR74" s="510">
        <v>31.696000000000002</v>
      </c>
      <c r="AS74" s="510">
        <v>196.006</v>
      </c>
      <c r="AT74" s="514">
        <v>154.55452844908407</v>
      </c>
      <c r="AU74" s="514">
        <v>135.61587704700517</v>
      </c>
      <c r="AV74" s="510">
        <v>2.1012115093387176</v>
      </c>
      <c r="AW74" s="510">
        <v>1.5917880064895973</v>
      </c>
      <c r="AX74" s="510">
        <v>0.29025744573447748</v>
      </c>
      <c r="AY74" s="510">
        <v>0.136220319786129</v>
      </c>
      <c r="AZ74" s="510">
        <v>1215.3104492680498</v>
      </c>
      <c r="BA74" s="510">
        <v>1022.6759384916791</v>
      </c>
      <c r="BB74" s="510">
        <v>662.74482584553255</v>
      </c>
      <c r="BC74" s="569">
        <v>337.07978327194064</v>
      </c>
      <c r="BD74" s="510">
        <v>3.8175164058556286</v>
      </c>
      <c r="BE74" s="510">
        <v>2.351968817281104</v>
      </c>
      <c r="BF74" s="512">
        <v>0.8686689062107863</v>
      </c>
      <c r="BG74" s="513">
        <v>0.77983073900478805</v>
      </c>
      <c r="BH74" s="513">
        <v>0.8686689062107863</v>
      </c>
      <c r="BI74" s="513">
        <v>0.81451776951987642</v>
      </c>
      <c r="BJ74" s="510">
        <v>42.722000000000001</v>
      </c>
      <c r="BK74" s="510">
        <v>201.15400000000002</v>
      </c>
      <c r="BL74" s="510">
        <v>2.88610083797575</v>
      </c>
      <c r="BM74" s="510">
        <v>2.843095339888841</v>
      </c>
      <c r="BN74" s="514">
        <v>0</v>
      </c>
      <c r="BO74" s="514">
        <v>0</v>
      </c>
      <c r="BP74" s="514">
        <v>1140.8866626094368</v>
      </c>
      <c r="BQ74" s="514">
        <v>1120.8389592053857</v>
      </c>
      <c r="BR74" s="514">
        <v>0</v>
      </c>
      <c r="BS74" s="515">
        <v>0</v>
      </c>
      <c r="BT74" s="512">
        <v>0</v>
      </c>
      <c r="BU74" s="513">
        <v>1.2755806242791681E-2</v>
      </c>
      <c r="BV74" s="513" t="e">
        <v>#DIV/0!</v>
      </c>
      <c r="BW74" s="513" t="e">
        <v>#DIV/0!</v>
      </c>
      <c r="BX74" s="510">
        <v>0</v>
      </c>
      <c r="BY74" s="510">
        <v>3.3639999999999999</v>
      </c>
      <c r="BZ74" s="514">
        <v>0</v>
      </c>
      <c r="CA74" s="514">
        <v>0</v>
      </c>
      <c r="CB74" s="510">
        <v>0</v>
      </c>
      <c r="CC74" s="510">
        <v>0.23781212841854935</v>
      </c>
      <c r="CD74" s="514">
        <v>0</v>
      </c>
      <c r="CE74" s="514">
        <v>0</v>
      </c>
      <c r="CF74" s="514">
        <v>0</v>
      </c>
      <c r="CG74" s="514">
        <v>5398.5196195004892</v>
      </c>
      <c r="CH74" s="514">
        <v>0</v>
      </c>
      <c r="CI74" s="514">
        <v>0</v>
      </c>
      <c r="CJ74" s="514"/>
      <c r="CK74" s="515"/>
    </row>
    <row r="75" spans="1:89" ht="12.75" customHeight="1">
      <c r="A75" s="560">
        <v>45936</v>
      </c>
      <c r="B75" s="512">
        <v>0.82304458553932547</v>
      </c>
      <c r="C75" s="513">
        <v>0.77853841689111136</v>
      </c>
      <c r="D75" s="513">
        <v>0.82304458553932547</v>
      </c>
      <c r="E75" s="513">
        <v>0.81323170153161217</v>
      </c>
      <c r="F75" s="510">
        <v>63.195</v>
      </c>
      <c r="G75" s="510">
        <v>352.22499999999997</v>
      </c>
      <c r="H75" s="510">
        <v>2.2893583353113378</v>
      </c>
      <c r="I75" s="510">
        <v>2.2859848108453407</v>
      </c>
      <c r="J75" s="510">
        <v>842.38848010125764</v>
      </c>
      <c r="K75" s="511">
        <v>835.11210163957332</v>
      </c>
      <c r="L75" s="512">
        <v>0.92244267783725575</v>
      </c>
      <c r="M75" s="513">
        <v>0.60950088604074548</v>
      </c>
      <c r="N75" s="513">
        <v>0.92244267783725575</v>
      </c>
      <c r="O75" s="513">
        <v>0.77388285672509383</v>
      </c>
      <c r="P75" s="510">
        <v>60.667000000000002</v>
      </c>
      <c r="Q75" s="510">
        <v>226.55600000000001</v>
      </c>
      <c r="R75" s="510">
        <v>2.2418118581766033</v>
      </c>
      <c r="S75" s="510">
        <v>2.9534110771729725</v>
      </c>
      <c r="T75" s="510">
        <v>0.16977928692699493</v>
      </c>
      <c r="U75" s="510">
        <v>0.24100001765567891</v>
      </c>
      <c r="V75" s="510">
        <v>594.68261163399814</v>
      </c>
      <c r="W75" s="510">
        <v>776.52342025812391</v>
      </c>
      <c r="X75" s="510">
        <v>432.94377503420304</v>
      </c>
      <c r="Y75" s="569">
        <v>641.03682974628782</v>
      </c>
      <c r="Z75" s="512">
        <v>0.95068273527083169</v>
      </c>
      <c r="AA75" s="513">
        <v>0.78424809578128274</v>
      </c>
      <c r="AB75" s="513">
        <v>0.95068273527083169</v>
      </c>
      <c r="AC75" s="513">
        <v>0.85543694636033862</v>
      </c>
      <c r="AD75" s="510">
        <v>41.719000000000001</v>
      </c>
      <c r="AE75" s="510">
        <v>205.12599999999998</v>
      </c>
      <c r="AF75" s="510">
        <v>107.09364206627737</v>
      </c>
      <c r="AG75" s="510">
        <v>119.1083239418096</v>
      </c>
      <c r="AH75" s="510">
        <v>1.4166207243701909</v>
      </c>
      <c r="AI75" s="510">
        <v>1.6375301034486125</v>
      </c>
      <c r="AJ75" s="510">
        <v>897.06704379299595</v>
      </c>
      <c r="AK75" s="569">
        <v>1064.3963222604627</v>
      </c>
      <c r="AL75" s="576">
        <v>0</v>
      </c>
      <c r="AM75" s="577">
        <v>0</v>
      </c>
      <c r="AN75" s="512">
        <v>0.60328659142430663</v>
      </c>
      <c r="AO75" s="513">
        <v>0.73598062523412833</v>
      </c>
      <c r="AP75" s="513">
        <v>0.60328659142430663</v>
      </c>
      <c r="AQ75" s="513">
        <v>0.75100806227117223</v>
      </c>
      <c r="AR75" s="510">
        <v>32.256</v>
      </c>
      <c r="AS75" s="510">
        <v>228.262</v>
      </c>
      <c r="AT75" s="514">
        <v>155.07999586548448</v>
      </c>
      <c r="AU75" s="514">
        <v>138.36637698395865</v>
      </c>
      <c r="AV75" s="510">
        <v>1.8446180555555556</v>
      </c>
      <c r="AW75" s="510">
        <v>1.6275157494458123</v>
      </c>
      <c r="AX75" s="510">
        <v>0.21081349206349206</v>
      </c>
      <c r="AY75" s="510">
        <v>0.14676117794464255</v>
      </c>
      <c r="AZ75" s="510">
        <v>1128.3091517857115</v>
      </c>
      <c r="BA75" s="510">
        <v>1037.6031052036694</v>
      </c>
      <c r="BB75" s="510">
        <v>515.5505952380953</v>
      </c>
      <c r="BC75" s="569">
        <v>362.29972575373915</v>
      </c>
      <c r="BD75" s="510">
        <v>3.0691964285714284</v>
      </c>
      <c r="BE75" s="510">
        <v>2.4533211835522337</v>
      </c>
      <c r="BF75" s="512">
        <v>0.87306104100585646</v>
      </c>
      <c r="BG75" s="513">
        <v>0.79531403765496866</v>
      </c>
      <c r="BH75" s="513">
        <v>0.87306104100585646</v>
      </c>
      <c r="BI75" s="513">
        <v>0.82459838900179572</v>
      </c>
      <c r="BJ75" s="510">
        <v>44.848999999999997</v>
      </c>
      <c r="BK75" s="510">
        <v>246.00300000000001</v>
      </c>
      <c r="BL75" s="510">
        <v>2.7782113313563293</v>
      </c>
      <c r="BM75" s="510">
        <v>2.8312662853705035</v>
      </c>
      <c r="BN75" s="514">
        <v>0</v>
      </c>
      <c r="BO75" s="514">
        <v>0</v>
      </c>
      <c r="BP75" s="514">
        <v>1130.448393498179</v>
      </c>
      <c r="BQ75" s="514">
        <v>1122.5908627130564</v>
      </c>
      <c r="BR75" s="514">
        <v>0</v>
      </c>
      <c r="BS75" s="515">
        <v>0</v>
      </c>
      <c r="BT75" s="512">
        <v>0</v>
      </c>
      <c r="BU75" s="513">
        <v>1.0629838535659734E-2</v>
      </c>
      <c r="BV75" s="513" t="e">
        <v>#DIV/0!</v>
      </c>
      <c r="BW75" s="513" t="e">
        <v>#DIV/0!</v>
      </c>
      <c r="BX75" s="510">
        <v>0</v>
      </c>
      <c r="BY75" s="510">
        <v>3.3639999999999999</v>
      </c>
      <c r="BZ75" s="514">
        <v>0</v>
      </c>
      <c r="CA75" s="514">
        <v>0</v>
      </c>
      <c r="CB75" s="510">
        <v>0</v>
      </c>
      <c r="CC75" s="510">
        <v>0.267538644470868</v>
      </c>
      <c r="CD75" s="514">
        <v>0</v>
      </c>
      <c r="CE75" s="514">
        <v>0</v>
      </c>
      <c r="CF75" s="514">
        <v>0</v>
      </c>
      <c r="CG75" s="514">
        <v>6062.8299643282871</v>
      </c>
      <c r="CH75" s="514">
        <v>0</v>
      </c>
      <c r="CI75" s="514">
        <v>0</v>
      </c>
      <c r="CJ75" s="514"/>
      <c r="CK75" s="515"/>
    </row>
    <row r="76" spans="1:89" ht="12.75" customHeight="1">
      <c r="A76" s="560">
        <v>45937</v>
      </c>
      <c r="B76" s="512">
        <v>0.851429032019965</v>
      </c>
      <c r="C76" s="513">
        <v>0.78797622982582805</v>
      </c>
      <c r="D76" s="513">
        <v>0.851429032019965</v>
      </c>
      <c r="E76" s="513">
        <v>0.81836821461116149</v>
      </c>
      <c r="F76" s="510">
        <v>57.293999999999997</v>
      </c>
      <c r="G76" s="510">
        <v>409.51899999999995</v>
      </c>
      <c r="H76" s="510">
        <v>2.4499947638496176</v>
      </c>
      <c r="I76" s="510">
        <v>2.3089307211631209</v>
      </c>
      <c r="J76" s="510">
        <v>1012.9036199252854</v>
      </c>
      <c r="K76" s="511">
        <v>859.98613006966218</v>
      </c>
      <c r="L76" s="512">
        <v>1.0472504372215941</v>
      </c>
      <c r="M76" s="513">
        <v>0.67572564579765559</v>
      </c>
      <c r="N76" s="513">
        <v>1.0472504372215941</v>
      </c>
      <c r="O76" s="513">
        <v>0.82433443180859289</v>
      </c>
      <c r="P76" s="510">
        <v>69.388000000000005</v>
      </c>
      <c r="Q76" s="510">
        <v>295.94400000000002</v>
      </c>
      <c r="R76" s="510">
        <v>1.7545252781460769</v>
      </c>
      <c r="S76" s="510">
        <v>2.6723163841807906</v>
      </c>
      <c r="T76" s="510">
        <v>0.18879345131723063</v>
      </c>
      <c r="U76" s="510">
        <v>0.22875949503960202</v>
      </c>
      <c r="V76" s="510">
        <v>518.71000749409768</v>
      </c>
      <c r="W76" s="510">
        <v>716.07564268915735</v>
      </c>
      <c r="X76" s="510">
        <v>502.37216809823025</v>
      </c>
      <c r="Y76" s="569">
        <v>608.52505879490718</v>
      </c>
      <c r="Z76" s="512">
        <v>0.96700039420516659</v>
      </c>
      <c r="AA76" s="513">
        <v>0.81047100981936437</v>
      </c>
      <c r="AB76" s="513">
        <v>0.96700039420516659</v>
      </c>
      <c r="AC76" s="513">
        <v>0.87267365787385931</v>
      </c>
      <c r="AD76" s="510">
        <v>42.372</v>
      </c>
      <c r="AE76" s="510">
        <v>247.49799999999999</v>
      </c>
      <c r="AF76" s="510">
        <v>99.457189199466839</v>
      </c>
      <c r="AG76" s="510">
        <v>115.74402248764615</v>
      </c>
      <c r="AH76" s="510">
        <v>1.3900689134333994</v>
      </c>
      <c r="AI76" s="510">
        <v>1.5951644053689324</v>
      </c>
      <c r="AJ76" s="510">
        <v>930.64523742093843</v>
      </c>
      <c r="AK76" s="569">
        <v>1041.4979514985964</v>
      </c>
      <c r="AL76" s="576">
        <v>0</v>
      </c>
      <c r="AM76" s="577">
        <v>0</v>
      </c>
      <c r="AN76" s="512">
        <v>0.82758585572673593</v>
      </c>
      <c r="AO76" s="513">
        <v>0.74965269582029903</v>
      </c>
      <c r="AP76" s="513">
        <v>0.82758585572673593</v>
      </c>
      <c r="AQ76" s="513">
        <v>0.76263522150269536</v>
      </c>
      <c r="AR76" s="510">
        <v>45.029000000000003</v>
      </c>
      <c r="AS76" s="510">
        <v>273.291</v>
      </c>
      <c r="AT76" s="514">
        <v>110.61315994670527</v>
      </c>
      <c r="AU76" s="514">
        <v>133.79359701692539</v>
      </c>
      <c r="AV76" s="510">
        <v>1.3813320304692531</v>
      </c>
      <c r="AW76" s="510">
        <v>1.586953101273002</v>
      </c>
      <c r="AX76" s="510">
        <v>0.14879300006662372</v>
      </c>
      <c r="AY76" s="510">
        <v>0.14709595266583972</v>
      </c>
      <c r="AZ76" s="510">
        <v>851.30249394834641</v>
      </c>
      <c r="BA76" s="510">
        <v>1006.9071429355523</v>
      </c>
      <c r="BB76" s="510">
        <v>384.40560527659954</v>
      </c>
      <c r="BC76" s="569">
        <v>365.94201784910592</v>
      </c>
      <c r="BD76" s="510">
        <v>2.6649492549246041</v>
      </c>
      <c r="BE76" s="510">
        <v>2.4881902440987811</v>
      </c>
      <c r="BF76" s="512">
        <v>0.87556478294184226</v>
      </c>
      <c r="BG76" s="513">
        <v>0.80655069326450646</v>
      </c>
      <c r="BH76" s="513">
        <v>0.87556478294184226</v>
      </c>
      <c r="BI76" s="513">
        <v>0.8319594838005735</v>
      </c>
      <c r="BJ76" s="510">
        <v>44.094999999999999</v>
      </c>
      <c r="BK76" s="510">
        <v>290.09800000000001</v>
      </c>
      <c r="BL76" s="510">
        <v>2.7985032316589185</v>
      </c>
      <c r="BM76" s="510">
        <v>2.8262862894608025</v>
      </c>
      <c r="BN76" s="514">
        <v>0</v>
      </c>
      <c r="BO76" s="514">
        <v>0</v>
      </c>
      <c r="BP76" s="514">
        <v>1250.0646331783682</v>
      </c>
      <c r="BQ76" s="514">
        <v>1141.966921523072</v>
      </c>
      <c r="BR76" s="514">
        <v>0</v>
      </c>
      <c r="BS76" s="515">
        <v>0</v>
      </c>
      <c r="BT76" s="512">
        <v>0</v>
      </c>
      <c r="BU76" s="513">
        <v>9.1112901734226297E-3</v>
      </c>
      <c r="BV76" s="513" t="e">
        <v>#DIV/0!</v>
      </c>
      <c r="BW76" s="513" t="e">
        <v>#DIV/0!</v>
      </c>
      <c r="BX76" s="510">
        <v>0</v>
      </c>
      <c r="BY76" s="510">
        <v>3.3639999999999999</v>
      </c>
      <c r="BZ76" s="514">
        <v>0</v>
      </c>
      <c r="CA76" s="514">
        <v>0</v>
      </c>
      <c r="CB76" s="510">
        <v>0</v>
      </c>
      <c r="CC76" s="510">
        <v>0.29726516052318663</v>
      </c>
      <c r="CD76" s="514">
        <v>0</v>
      </c>
      <c r="CE76" s="514">
        <v>0</v>
      </c>
      <c r="CF76" s="514">
        <v>0</v>
      </c>
      <c r="CG76" s="514">
        <v>6933.3115338883435</v>
      </c>
      <c r="CH76" s="514">
        <v>0</v>
      </c>
      <c r="CI76" s="514">
        <v>0</v>
      </c>
      <c r="CJ76" s="514"/>
      <c r="CK76" s="515"/>
    </row>
    <row r="77" spans="1:89" ht="12.75" customHeight="1">
      <c r="A77" s="560">
        <v>45938</v>
      </c>
      <c r="B77" s="512">
        <v>0.9794899319376873</v>
      </c>
      <c r="C77" s="513">
        <v>0.80853871239552189</v>
      </c>
      <c r="D77" s="513">
        <v>0.9794899319376873</v>
      </c>
      <c r="E77" s="513">
        <v>0.83626069897280086</v>
      </c>
      <c r="F77" s="510">
        <v>61.23</v>
      </c>
      <c r="G77" s="510">
        <v>470.74899999999997</v>
      </c>
      <c r="H77" s="510">
        <v>2.1923240241711577</v>
      </c>
      <c r="I77" s="510">
        <v>2.2937637679527731</v>
      </c>
      <c r="J77" s="510">
        <v>943.56132614735645</v>
      </c>
      <c r="K77" s="511">
        <v>870.85669858034873</v>
      </c>
      <c r="L77" s="512">
        <v>0.94454587196052375</v>
      </c>
      <c r="M77" s="513">
        <v>0.71156212654994078</v>
      </c>
      <c r="N77" s="513">
        <v>0.94454587196052375</v>
      </c>
      <c r="O77" s="513">
        <v>0.84332738916023986</v>
      </c>
      <c r="P77" s="510">
        <v>63.63</v>
      </c>
      <c r="Q77" s="510">
        <v>359.57400000000001</v>
      </c>
      <c r="R77" s="510">
        <v>1.9104667609618105</v>
      </c>
      <c r="S77" s="510">
        <v>2.5374999304732819</v>
      </c>
      <c r="T77" s="510">
        <v>0.16658808738016659</v>
      </c>
      <c r="U77" s="510">
        <v>0.21775767992124007</v>
      </c>
      <c r="V77" s="510">
        <v>510.78720729216064</v>
      </c>
      <c r="W77" s="510">
        <v>679.74792393220912</v>
      </c>
      <c r="X77" s="510">
        <v>423.43862957724428</v>
      </c>
      <c r="Y77" s="569">
        <v>575.7722749698255</v>
      </c>
      <c r="Z77" s="512">
        <v>0.98571546801593302</v>
      </c>
      <c r="AA77" s="513">
        <v>0.83245902365817026</v>
      </c>
      <c r="AB77" s="513">
        <v>0.98571546801593302</v>
      </c>
      <c r="AC77" s="513">
        <v>0.88779997052742021</v>
      </c>
      <c r="AD77" s="510">
        <v>43.186999999999998</v>
      </c>
      <c r="AE77" s="510">
        <v>290.685</v>
      </c>
      <c r="AF77" s="510">
        <v>103.0017428962049</v>
      </c>
      <c r="AG77" s="510">
        <v>113.85090509694633</v>
      </c>
      <c r="AH77" s="510">
        <v>1.3707828744761157</v>
      </c>
      <c r="AI77" s="510">
        <v>1.5618280957049728</v>
      </c>
      <c r="AJ77" s="510">
        <v>875.36203024059853</v>
      </c>
      <c r="AK77" s="569">
        <v>1016.8151779417593</v>
      </c>
      <c r="AL77" s="576">
        <v>0</v>
      </c>
      <c r="AM77" s="577">
        <v>0</v>
      </c>
      <c r="AN77" s="512">
        <v>0.89908566958558589</v>
      </c>
      <c r="AO77" s="513">
        <v>0.76876773720162528</v>
      </c>
      <c r="AP77" s="513">
        <v>0.89908566958558589</v>
      </c>
      <c r="AQ77" s="513">
        <v>0.78035260163200815</v>
      </c>
      <c r="AR77" s="510">
        <v>48.076999999999998</v>
      </c>
      <c r="AS77" s="510">
        <v>321.36799999999999</v>
      </c>
      <c r="AT77" s="514">
        <v>122.3800097664496</v>
      </c>
      <c r="AU77" s="514">
        <v>132.08611203322718</v>
      </c>
      <c r="AV77" s="510">
        <v>1.364477816835493</v>
      </c>
      <c r="AW77" s="510">
        <v>1.5536705583629982</v>
      </c>
      <c r="AX77" s="510">
        <v>0.17263972377644199</v>
      </c>
      <c r="AY77" s="510">
        <v>0.15091732842100022</v>
      </c>
      <c r="AZ77" s="510">
        <v>846.0232543627917</v>
      </c>
      <c r="BA77" s="510">
        <v>982.83873938911154</v>
      </c>
      <c r="BB77" s="510">
        <v>419.5270087567867</v>
      </c>
      <c r="BC77" s="569">
        <v>373.95839038112081</v>
      </c>
      <c r="BD77" s="510">
        <v>2.7039956736069222</v>
      </c>
      <c r="BE77" s="510">
        <v>2.5204749695053645</v>
      </c>
      <c r="BF77" s="512">
        <v>0.87151233144856644</v>
      </c>
      <c r="BG77" s="513">
        <v>0.81515145495298824</v>
      </c>
      <c r="BH77" s="513">
        <v>0.87151233144856644</v>
      </c>
      <c r="BI77" s="513">
        <v>0.8373387194300822</v>
      </c>
      <c r="BJ77" s="510">
        <v>47.835000000000001</v>
      </c>
      <c r="BK77" s="510">
        <v>337.93299999999999</v>
      </c>
      <c r="BL77" s="510">
        <v>2.5817915752064389</v>
      </c>
      <c r="BM77" s="510">
        <v>2.7916776402422965</v>
      </c>
      <c r="BN77" s="514">
        <v>0</v>
      </c>
      <c r="BO77" s="514">
        <v>0</v>
      </c>
      <c r="BP77" s="514">
        <v>1012.9302811748767</v>
      </c>
      <c r="BQ77" s="514">
        <v>1123.7015621439764</v>
      </c>
      <c r="BR77" s="514">
        <v>0</v>
      </c>
      <c r="BS77" s="515">
        <v>0</v>
      </c>
      <c r="BT77" s="512">
        <v>0</v>
      </c>
      <c r="BU77" s="513">
        <v>7.9723789017448025E-3</v>
      </c>
      <c r="BV77" s="513" t="e">
        <v>#DIV/0!</v>
      </c>
      <c r="BW77" s="513" t="e">
        <v>#DIV/0!</v>
      </c>
      <c r="BX77" s="510">
        <v>0</v>
      </c>
      <c r="BY77" s="510">
        <v>3.3639999999999999</v>
      </c>
      <c r="BZ77" s="514">
        <v>0</v>
      </c>
      <c r="CA77" s="514">
        <v>0</v>
      </c>
      <c r="CB77" s="510">
        <v>0</v>
      </c>
      <c r="CC77" s="510">
        <v>0.77288941736028538</v>
      </c>
      <c r="CD77" s="514">
        <v>0</v>
      </c>
      <c r="CE77" s="514">
        <v>0</v>
      </c>
      <c r="CF77" s="514">
        <v>0</v>
      </c>
      <c r="CG77" s="514">
        <v>7658.4185493462001</v>
      </c>
      <c r="CH77" s="514">
        <v>0</v>
      </c>
      <c r="CI77" s="514">
        <v>0</v>
      </c>
      <c r="CJ77" s="514"/>
      <c r="CK77" s="515"/>
    </row>
    <row r="78" spans="1:89" ht="12.75" customHeight="1">
      <c r="A78" s="560">
        <v>45939</v>
      </c>
      <c r="B78" s="512">
        <v>0.94994401801247519</v>
      </c>
      <c r="C78" s="513">
        <v>0.82162852082026039</v>
      </c>
      <c r="D78" s="513">
        <v>0.94994401801247519</v>
      </c>
      <c r="E78" s="513">
        <v>0.8471106800598811</v>
      </c>
      <c r="F78" s="510">
        <v>56.420999999999999</v>
      </c>
      <c r="G78" s="510">
        <v>527.16999999999996</v>
      </c>
      <c r="H78" s="510">
        <v>2.3658921323620641</v>
      </c>
      <c r="I78" s="510">
        <v>2.3014833924540476</v>
      </c>
      <c r="J78" s="510">
        <v>1057.7596994027419</v>
      </c>
      <c r="K78" s="511">
        <v>890.86021586964864</v>
      </c>
      <c r="L78" s="512">
        <v>0.98030034084786566</v>
      </c>
      <c r="M78" s="513">
        <v>0.74353555073886479</v>
      </c>
      <c r="N78" s="513">
        <v>0.98030034084786566</v>
      </c>
      <c r="O78" s="513">
        <v>0.86222528955193989</v>
      </c>
      <c r="P78" s="510">
        <v>66.897000000000006</v>
      </c>
      <c r="Q78" s="510">
        <v>426.471</v>
      </c>
      <c r="R78" s="510">
        <v>1.8717281791410676</v>
      </c>
      <c r="S78" s="510">
        <v>2.4330657887640661</v>
      </c>
      <c r="T78" s="510">
        <v>0.21077178348804876</v>
      </c>
      <c r="U78" s="510">
        <v>0.21666185977475602</v>
      </c>
      <c r="V78" s="510">
        <v>461.21335784862481</v>
      </c>
      <c r="W78" s="510">
        <v>645.46820299621686</v>
      </c>
      <c r="X78" s="510">
        <v>552.15032064218053</v>
      </c>
      <c r="Y78" s="569">
        <v>572.06689317679286</v>
      </c>
      <c r="Z78" s="512">
        <v>0.83407044591442425</v>
      </c>
      <c r="AA78" s="513">
        <v>0.83263866940567333</v>
      </c>
      <c r="AB78" s="513">
        <v>0.83407044591442425</v>
      </c>
      <c r="AC78" s="513">
        <v>0.8814588494257305</v>
      </c>
      <c r="AD78" s="510">
        <v>36.542999999999999</v>
      </c>
      <c r="AE78" s="510">
        <v>327.22800000000001</v>
      </c>
      <c r="AF78" s="510">
        <v>118.16662973507682</v>
      </c>
      <c r="AG78" s="510">
        <v>114.33286118093424</v>
      </c>
      <c r="AH78" s="510">
        <v>1.5953807842815313</v>
      </c>
      <c r="AI78" s="510">
        <v>1.5655750730377593</v>
      </c>
      <c r="AJ78" s="510">
        <v>1029.4682976219697</v>
      </c>
      <c r="AK78" s="569">
        <v>1018.2282078550735</v>
      </c>
      <c r="AL78" s="576">
        <v>0</v>
      </c>
      <c r="AM78" s="577">
        <v>0</v>
      </c>
      <c r="AN78" s="512">
        <v>0.56729199153931853</v>
      </c>
      <c r="AO78" s="513">
        <v>0.74634941887020168</v>
      </c>
      <c r="AP78" s="513">
        <v>0.56729199153931853</v>
      </c>
      <c r="AQ78" s="513">
        <v>0.75632825677364934</v>
      </c>
      <c r="AR78" s="510">
        <v>29.690999999999999</v>
      </c>
      <c r="AS78" s="510">
        <v>351.05899999999997</v>
      </c>
      <c r="AT78" s="514">
        <v>151.50503187453262</v>
      </c>
      <c r="AU78" s="514">
        <v>133.72847741627734</v>
      </c>
      <c r="AV78" s="510">
        <v>1.788420733555623</v>
      </c>
      <c r="AW78" s="510">
        <v>1.573524678187997</v>
      </c>
      <c r="AX78" s="510">
        <v>0.23576167862315181</v>
      </c>
      <c r="AY78" s="510">
        <v>0.15809308406848993</v>
      </c>
      <c r="AZ78" s="510">
        <v>1108.7487790913087</v>
      </c>
      <c r="BA78" s="510">
        <v>993.48764737551267</v>
      </c>
      <c r="BB78" s="510">
        <v>589.73426290795078</v>
      </c>
      <c r="BC78" s="569">
        <v>392.2077485550862</v>
      </c>
      <c r="BD78" s="510">
        <v>3.3680239803307401</v>
      </c>
      <c r="BE78" s="510">
        <v>2.5921568739157808</v>
      </c>
      <c r="BF78" s="512">
        <v>0.99998577545127387</v>
      </c>
      <c r="BG78" s="513">
        <v>0.83747378998608968</v>
      </c>
      <c r="BH78" s="513">
        <v>0.99998577545127387</v>
      </c>
      <c r="BI78" s="513">
        <v>0.85745005071465608</v>
      </c>
      <c r="BJ78" s="510">
        <v>56.942999999999998</v>
      </c>
      <c r="BK78" s="510">
        <v>394.87599999999998</v>
      </c>
      <c r="BL78" s="510">
        <v>2.1899092074530673</v>
      </c>
      <c r="BM78" s="510">
        <v>2.7048997660024918</v>
      </c>
      <c r="BN78" s="514">
        <v>0</v>
      </c>
      <c r="BO78" s="514">
        <v>0</v>
      </c>
      <c r="BP78" s="514">
        <v>1038.9287533147146</v>
      </c>
      <c r="BQ78" s="514">
        <v>1111.4769193367035</v>
      </c>
      <c r="BR78" s="514">
        <v>0</v>
      </c>
      <c r="BS78" s="515">
        <v>0</v>
      </c>
      <c r="BT78" s="512">
        <v>0.33723214167880161</v>
      </c>
      <c r="BU78" s="513">
        <v>4.4702660782263773E-2</v>
      </c>
      <c r="BV78" s="513">
        <v>0.43567001734586691</v>
      </c>
      <c r="BW78" s="513">
        <v>0.51769799844798237</v>
      </c>
      <c r="BX78" s="510">
        <v>17.867000000000001</v>
      </c>
      <c r="BY78" s="510">
        <v>21.231000000000002</v>
      </c>
      <c r="BZ78" s="514">
        <v>154.95052041217542</v>
      </c>
      <c r="CA78" s="514">
        <v>130.39898960031735</v>
      </c>
      <c r="CB78" s="510">
        <v>3.5764258129512507</v>
      </c>
      <c r="CC78" s="510">
        <v>3.1322123310253871</v>
      </c>
      <c r="CD78" s="514">
        <v>0</v>
      </c>
      <c r="CE78" s="514">
        <v>0</v>
      </c>
      <c r="CF78" s="514">
        <v>932.9971455756081</v>
      </c>
      <c r="CG78" s="514">
        <v>1998.6237106118415</v>
      </c>
      <c r="CH78" s="514">
        <v>0</v>
      </c>
      <c r="CI78" s="514">
        <v>0</v>
      </c>
      <c r="CJ78" s="514"/>
      <c r="CK78" s="515"/>
    </row>
    <row r="79" spans="1:89" ht="12.75" customHeight="1">
      <c r="A79" s="560">
        <v>45940</v>
      </c>
      <c r="B79" s="512">
        <v>0.80516096591570174</v>
      </c>
      <c r="C79" s="513">
        <v>0.82020297706668377</v>
      </c>
      <c r="D79" s="513">
        <v>0.80516096591570174</v>
      </c>
      <c r="E79" s="513">
        <v>0.84337662552800863</v>
      </c>
      <c r="F79" s="510">
        <v>48.959000000000003</v>
      </c>
      <c r="G79" s="510">
        <v>576.12899999999991</v>
      </c>
      <c r="H79" s="510">
        <v>2.5410241222247185</v>
      </c>
      <c r="I79" s="510">
        <v>2.3218393797222503</v>
      </c>
      <c r="J79" s="510">
        <v>1207.2824199840052</v>
      </c>
      <c r="K79" s="511">
        <v>917.749531788887</v>
      </c>
      <c r="L79" s="512">
        <v>0.96058493115280974</v>
      </c>
      <c r="M79" s="513">
        <v>0.76704967223829401</v>
      </c>
      <c r="N79" s="513">
        <v>0.96058493115280974</v>
      </c>
      <c r="O79" s="513">
        <v>0.87437203457940704</v>
      </c>
      <c r="P79" s="510">
        <v>66.941000000000003</v>
      </c>
      <c r="Q79" s="510">
        <v>493.41200000000003</v>
      </c>
      <c r="R79" s="510">
        <v>2.0442180427540668</v>
      </c>
      <c r="S79" s="510">
        <v>2.3803109774387328</v>
      </c>
      <c r="T79" s="510">
        <v>0.18225004108095186</v>
      </c>
      <c r="U79" s="510">
        <v>0.21199322270232579</v>
      </c>
      <c r="V79" s="510">
        <v>482.91794266593462</v>
      </c>
      <c r="W79" s="510">
        <v>623.41507705528022</v>
      </c>
      <c r="X79" s="510">
        <v>466.54217893368832</v>
      </c>
      <c r="Y79" s="569">
        <v>557.75039926065847</v>
      </c>
      <c r="Z79" s="512">
        <v>0.82035300788266541</v>
      </c>
      <c r="AA79" s="513">
        <v>0.83140640639654106</v>
      </c>
      <c r="AB79" s="513">
        <v>0.82035300788266541</v>
      </c>
      <c r="AC79" s="513">
        <v>0.87500845195396648</v>
      </c>
      <c r="AD79" s="510">
        <v>35.942</v>
      </c>
      <c r="AE79" s="510">
        <v>363.17</v>
      </c>
      <c r="AF79" s="510">
        <v>116.37519055397277</v>
      </c>
      <c r="AG79" s="510">
        <v>114.53498526146335</v>
      </c>
      <c r="AH79" s="510">
        <v>1.6387513215736464</v>
      </c>
      <c r="AI79" s="510">
        <v>1.5728171379794584</v>
      </c>
      <c r="AJ79" s="510">
        <v>1084.4510600411775</v>
      </c>
      <c r="AK79" s="569">
        <v>1024.7821130599993</v>
      </c>
      <c r="AL79" s="576">
        <v>0</v>
      </c>
      <c r="AM79" s="577">
        <v>0</v>
      </c>
      <c r="AN79" s="512">
        <v>0.79855670533403555</v>
      </c>
      <c r="AO79" s="513">
        <v>0.7515099431319574</v>
      </c>
      <c r="AP79" s="513">
        <v>0.79855670533403555</v>
      </c>
      <c r="AQ79" s="513">
        <v>0.76055263087464942</v>
      </c>
      <c r="AR79" s="510">
        <v>41.201000000000001</v>
      </c>
      <c r="AS79" s="510">
        <v>392.26</v>
      </c>
      <c r="AT79" s="514">
        <v>125.67449225117583</v>
      </c>
      <c r="AU79" s="514">
        <v>132.88252768194974</v>
      </c>
      <c r="AV79" s="510">
        <v>1.4854008397854421</v>
      </c>
      <c r="AW79" s="510">
        <v>1.5642685973588948</v>
      </c>
      <c r="AX79" s="510">
        <v>0.18446154219557775</v>
      </c>
      <c r="AY79" s="510">
        <v>0.16086269311171164</v>
      </c>
      <c r="AZ79" s="510">
        <v>1001.8528676488423</v>
      </c>
      <c r="BA79" s="510">
        <v>994.36628766634374</v>
      </c>
      <c r="BB79" s="510">
        <v>444.92123977573397</v>
      </c>
      <c r="BC79" s="569">
        <v>397.74450619487078</v>
      </c>
      <c r="BD79" s="510">
        <v>2.8882794106939151</v>
      </c>
      <c r="BE79" s="510">
        <v>2.6232600825982768</v>
      </c>
      <c r="BF79" s="512">
        <v>0.71953196799091435</v>
      </c>
      <c r="BG79" s="513">
        <v>0.82500005518797526</v>
      </c>
      <c r="BH79" s="513">
        <v>0.71953196799091435</v>
      </c>
      <c r="BI79" s="513">
        <v>0.84255324131963039</v>
      </c>
      <c r="BJ79" s="510">
        <v>40.125</v>
      </c>
      <c r="BK79" s="510">
        <v>435.00099999999998</v>
      </c>
      <c r="BL79" s="510">
        <v>3.1102803738317757</v>
      </c>
      <c r="BM79" s="510">
        <v>2.7422925464539158</v>
      </c>
      <c r="BN79" s="514">
        <v>0</v>
      </c>
      <c r="BO79" s="514">
        <v>0</v>
      </c>
      <c r="BP79" s="514">
        <v>1295.3130866043507</v>
      </c>
      <c r="BQ79" s="514">
        <v>1128.4341819903857</v>
      </c>
      <c r="BR79" s="514">
        <v>0</v>
      </c>
      <c r="BS79" s="515">
        <v>0</v>
      </c>
      <c r="BT79" s="512">
        <v>0.73928462722957766</v>
      </c>
      <c r="BU79" s="513">
        <v>0.11276735752957592</v>
      </c>
      <c r="BV79" s="513">
        <v>0.73928462722957766</v>
      </c>
      <c r="BW79" s="513">
        <v>0.64115706501251613</v>
      </c>
      <c r="BX79" s="510">
        <v>38.145000000000003</v>
      </c>
      <c r="BY79" s="510">
        <v>59.376000000000005</v>
      </c>
      <c r="BZ79" s="514">
        <v>99.602258379038304</v>
      </c>
      <c r="CA79" s="514">
        <v>110.6142059767036</v>
      </c>
      <c r="CB79" s="510">
        <v>2.4957399397037618</v>
      </c>
      <c r="CC79" s="510">
        <v>2.7233225545675017</v>
      </c>
      <c r="CD79" s="514">
        <v>0</v>
      </c>
      <c r="CE79" s="514">
        <v>0</v>
      </c>
      <c r="CF79" s="514">
        <v>938.93255734691513</v>
      </c>
      <c r="CG79" s="514">
        <v>1317.8449609269417</v>
      </c>
      <c r="CH79" s="514">
        <v>0</v>
      </c>
      <c r="CI79" s="514">
        <v>0</v>
      </c>
      <c r="CJ79" s="514"/>
      <c r="CK79" s="515"/>
    </row>
    <row r="80" spans="1:89" ht="12.75" customHeight="1">
      <c r="A80" s="560">
        <v>45941</v>
      </c>
      <c r="B80" s="512">
        <v>0.89387041756401464</v>
      </c>
      <c r="C80" s="513">
        <v>0.8256257101164387</v>
      </c>
      <c r="D80" s="513">
        <v>0.89387041756401464</v>
      </c>
      <c r="E80" s="513">
        <v>0.84719060678933611</v>
      </c>
      <c r="F80" s="510">
        <v>49.890999999999998</v>
      </c>
      <c r="G80" s="510">
        <v>626.01999999999987</v>
      </c>
      <c r="H80" s="510">
        <v>2.4571165140005209</v>
      </c>
      <c r="I80" s="510">
        <v>2.3326203635666598</v>
      </c>
      <c r="J80" s="510">
        <v>1140.3415445671437</v>
      </c>
      <c r="K80" s="511">
        <v>935.48912175329701</v>
      </c>
      <c r="L80" s="512">
        <v>0.90271028045520296</v>
      </c>
      <c r="M80" s="513">
        <v>0.77990833074190624</v>
      </c>
      <c r="N80" s="513">
        <v>0.90271028045520296</v>
      </c>
      <c r="O80" s="513">
        <v>0.8773938357591381</v>
      </c>
      <c r="P80" s="510">
        <v>60.802999999999997</v>
      </c>
      <c r="Q80" s="510">
        <v>554.21500000000003</v>
      </c>
      <c r="R80" s="510">
        <v>2.2938177392562871</v>
      </c>
      <c r="S80" s="510">
        <v>2.3708217929864763</v>
      </c>
      <c r="T80" s="510">
        <v>0.18913540450306729</v>
      </c>
      <c r="U80" s="510">
        <v>0.20948548848371115</v>
      </c>
      <c r="V80" s="510">
        <v>583.7897801095296</v>
      </c>
      <c r="W80" s="510">
        <v>619.06778055447739</v>
      </c>
      <c r="X80" s="510">
        <v>472.20443070243249</v>
      </c>
      <c r="Y80" s="569">
        <v>548.36513988253671</v>
      </c>
      <c r="Z80" s="512">
        <v>0.91753522389796827</v>
      </c>
      <c r="AA80" s="513">
        <v>0.8392586297168001</v>
      </c>
      <c r="AB80" s="513">
        <v>0.91753522389796827</v>
      </c>
      <c r="AC80" s="513">
        <v>0.87906946096754845</v>
      </c>
      <c r="AD80" s="510">
        <v>40.204999999999998</v>
      </c>
      <c r="AE80" s="510">
        <v>403.375</v>
      </c>
      <c r="AF80" s="510">
        <v>102.55969455379909</v>
      </c>
      <c r="AG80" s="510">
        <v>113.34138981578219</v>
      </c>
      <c r="AH80" s="510">
        <v>1.4699664220868052</v>
      </c>
      <c r="AI80" s="510">
        <v>1.5625658506352649</v>
      </c>
      <c r="AJ80" s="510">
        <v>967.61049620694848</v>
      </c>
      <c r="AK80" s="569">
        <v>1019.0837310195237</v>
      </c>
      <c r="AL80" s="576">
        <v>0</v>
      </c>
      <c r="AM80" s="577">
        <v>0</v>
      </c>
      <c r="AN80" s="512">
        <v>0.86145438064165158</v>
      </c>
      <c r="AO80" s="513">
        <v>0.7613829543496774</v>
      </c>
      <c r="AP80" s="513">
        <v>0.86145438064165158</v>
      </c>
      <c r="AQ80" s="513">
        <v>0.76971273880408997</v>
      </c>
      <c r="AR80" s="510">
        <v>44.362000000000002</v>
      </c>
      <c r="AS80" s="510">
        <v>436.62200000000001</v>
      </c>
      <c r="AT80" s="514">
        <v>122.18345207177428</v>
      </c>
      <c r="AU80" s="514">
        <v>131.79547207728803</v>
      </c>
      <c r="AV80" s="510">
        <v>1.4426761642847481</v>
      </c>
      <c r="AW80" s="510">
        <v>1.5519144706405084</v>
      </c>
      <c r="AX80" s="510">
        <v>0.1870970650556783</v>
      </c>
      <c r="AY80" s="510">
        <v>0.16352817769145853</v>
      </c>
      <c r="AZ80" s="510">
        <v>950.65100761913368</v>
      </c>
      <c r="BA80" s="510">
        <v>989.92469458708001</v>
      </c>
      <c r="BB80" s="510">
        <v>444.86844596726951</v>
      </c>
      <c r="BC80" s="569">
        <v>402.53242850795431</v>
      </c>
      <c r="BD80" s="510">
        <v>2.6914927189942586</v>
      </c>
      <c r="BE80" s="510">
        <v>2.6301927067349409</v>
      </c>
      <c r="BF80" s="512">
        <v>0.97475648960176264</v>
      </c>
      <c r="BG80" s="513">
        <v>0.83913282875750539</v>
      </c>
      <c r="BH80" s="513">
        <v>0.97475648960176264</v>
      </c>
      <c r="BI80" s="513">
        <v>0.85526940948150421</v>
      </c>
      <c r="BJ80" s="510">
        <v>53.558</v>
      </c>
      <c r="BK80" s="510">
        <v>488.55899999999997</v>
      </c>
      <c r="BL80" s="510">
        <v>2.259232981067254</v>
      </c>
      <c r="BM80" s="510">
        <v>2.6893374188173791</v>
      </c>
      <c r="BN80" s="514">
        <v>0</v>
      </c>
      <c r="BO80" s="514">
        <v>0</v>
      </c>
      <c r="BP80" s="514">
        <v>910.47406549908487</v>
      </c>
      <c r="BQ80" s="514">
        <v>1104.540429303318</v>
      </c>
      <c r="BR80" s="514">
        <v>0</v>
      </c>
      <c r="BS80" s="515">
        <v>0</v>
      </c>
      <c r="BT80" s="512">
        <v>0.68754318232120826</v>
      </c>
      <c r="BU80" s="513">
        <v>0.16405009032838719</v>
      </c>
      <c r="BV80" s="513">
        <v>0.68754318232120826</v>
      </c>
      <c r="BW80" s="513">
        <v>0.6577508568407836</v>
      </c>
      <c r="BX80" s="510">
        <v>35.463999999999999</v>
      </c>
      <c r="BY80" s="510">
        <v>94.84</v>
      </c>
      <c r="BZ80" s="514">
        <v>116.09759699008728</v>
      </c>
      <c r="CA80" s="514">
        <v>112.66463806125275</v>
      </c>
      <c r="CB80" s="510">
        <v>2.7746447101285812</v>
      </c>
      <c r="CC80" s="510">
        <v>2.7425137072964993</v>
      </c>
      <c r="CD80" s="514">
        <v>0</v>
      </c>
      <c r="CE80" s="514">
        <v>0</v>
      </c>
      <c r="CF80" s="514">
        <v>1129.8547823145291</v>
      </c>
      <c r="CG80" s="514">
        <v>1247.5488443694703</v>
      </c>
      <c r="CH80" s="514">
        <v>0</v>
      </c>
      <c r="CI80" s="514">
        <v>0</v>
      </c>
      <c r="CJ80" s="514"/>
      <c r="CK80" s="515"/>
    </row>
    <row r="81" spans="1:89" ht="12.75" customHeight="1">
      <c r="A81" s="560">
        <v>45942</v>
      </c>
      <c r="B81" s="512">
        <v>0.80351983008855832</v>
      </c>
      <c r="C81" s="513">
        <v>0.82398318947921234</v>
      </c>
      <c r="D81" s="513">
        <v>0.80351983008855832</v>
      </c>
      <c r="E81" s="513">
        <v>0.84386745766727733</v>
      </c>
      <c r="F81" s="510">
        <v>48.902999999999999</v>
      </c>
      <c r="G81" s="510">
        <v>674.92299999999989</v>
      </c>
      <c r="H81" s="510">
        <v>2.5551193178332614</v>
      </c>
      <c r="I81" s="510">
        <v>2.3487420046434933</v>
      </c>
      <c r="J81" s="510">
        <v>1167.8440995439896</v>
      </c>
      <c r="K81" s="511">
        <v>952.32490224810635</v>
      </c>
      <c r="L81" s="512">
        <v>0.75947246589182571</v>
      </c>
      <c r="M81" s="513">
        <v>0.77813980472477973</v>
      </c>
      <c r="N81" s="513">
        <v>0.75947246589182571</v>
      </c>
      <c r="O81" s="513">
        <v>0.86603616323194743</v>
      </c>
      <c r="P81" s="510">
        <v>51.13</v>
      </c>
      <c r="Q81" s="510">
        <v>605.34500000000003</v>
      </c>
      <c r="R81" s="510">
        <v>2.4602777234500293</v>
      </c>
      <c r="S81" s="510">
        <v>2.3783776193740764</v>
      </c>
      <c r="T81" s="510">
        <v>0.19949149227459415</v>
      </c>
      <c r="U81" s="510">
        <v>0.20864135327788283</v>
      </c>
      <c r="V81" s="510">
        <v>658.86211617445122</v>
      </c>
      <c r="W81" s="510">
        <v>622.42897851638224</v>
      </c>
      <c r="X81" s="510">
        <v>555.87134754547219</v>
      </c>
      <c r="Y81" s="569">
        <v>548.99914594157065</v>
      </c>
      <c r="Z81" s="512">
        <v>0.87740189909938582</v>
      </c>
      <c r="AA81" s="513">
        <v>0.84261756093813134</v>
      </c>
      <c r="AB81" s="513">
        <v>0.87740189909938582</v>
      </c>
      <c r="AC81" s="513">
        <v>0.87891628798864918</v>
      </c>
      <c r="AD81" s="510">
        <v>40.722000000000001</v>
      </c>
      <c r="AE81" s="510">
        <v>444.09699999999998</v>
      </c>
      <c r="AF81" s="510">
        <v>102.71236554443426</v>
      </c>
      <c r="AG81" s="510">
        <v>112.36674885586166</v>
      </c>
      <c r="AH81" s="510">
        <v>1.4832277393055351</v>
      </c>
      <c r="AI81" s="510">
        <v>1.5552908486209094</v>
      </c>
      <c r="AJ81" s="510">
        <v>930.48180344775892</v>
      </c>
      <c r="AK81" s="569">
        <v>1010.9592724112073</v>
      </c>
      <c r="AL81" s="576">
        <v>0</v>
      </c>
      <c r="AM81" s="577">
        <v>0</v>
      </c>
      <c r="AN81" s="512">
        <v>0.83798892214390186</v>
      </c>
      <c r="AO81" s="513">
        <v>0.76770865847960823</v>
      </c>
      <c r="AP81" s="513">
        <v>0.83798892214390186</v>
      </c>
      <c r="AQ81" s="513">
        <v>0.77540715059851373</v>
      </c>
      <c r="AR81" s="510">
        <v>43.253</v>
      </c>
      <c r="AS81" s="510">
        <v>479.875</v>
      </c>
      <c r="AT81" s="514">
        <v>121.73825402856171</v>
      </c>
      <c r="AU81" s="514">
        <v>130.88897590169736</v>
      </c>
      <c r="AV81" s="510">
        <v>1.5027859339236584</v>
      </c>
      <c r="AW81" s="510">
        <v>1.5474863245636885</v>
      </c>
      <c r="AX81" s="510">
        <v>0.20114211730978196</v>
      </c>
      <c r="AY81" s="510">
        <v>0.16691846835113314</v>
      </c>
      <c r="AZ81" s="510">
        <v>970.82468268097011</v>
      </c>
      <c r="BA81" s="510">
        <v>988.20313623339416</v>
      </c>
      <c r="BB81" s="510">
        <v>534.95937854021668</v>
      </c>
      <c r="BC81" s="569">
        <v>414.46858452722068</v>
      </c>
      <c r="BD81" s="510">
        <v>2.8113656856166442</v>
      </c>
      <c r="BE81" s="510">
        <v>2.6465225319093513</v>
      </c>
      <c r="BF81" s="512">
        <v>0.91862460150190139</v>
      </c>
      <c r="BG81" s="513">
        <v>0.84603596192248465</v>
      </c>
      <c r="BH81" s="513">
        <v>0.91862460150190139</v>
      </c>
      <c r="BI81" s="513">
        <v>0.86086767973304945</v>
      </c>
      <c r="BJ81" s="510">
        <v>50.863</v>
      </c>
      <c r="BK81" s="510">
        <v>539.42200000000003</v>
      </c>
      <c r="BL81" s="510">
        <v>2.4084304897469675</v>
      </c>
      <c r="BM81" s="510">
        <v>2.6628502359933406</v>
      </c>
      <c r="BN81" s="514">
        <v>0</v>
      </c>
      <c r="BO81" s="514">
        <v>0</v>
      </c>
      <c r="BP81" s="514">
        <v>982.53386548178696</v>
      </c>
      <c r="BQ81" s="514">
        <v>1093.0362269243742</v>
      </c>
      <c r="BR81" s="514">
        <v>0</v>
      </c>
      <c r="BS81" s="515">
        <v>0</v>
      </c>
      <c r="BT81" s="512">
        <v>0.86841445826486119</v>
      </c>
      <c r="BU81" s="513">
        <v>0.2217134582497351</v>
      </c>
      <c r="BV81" s="513">
        <v>0.86841445826486119</v>
      </c>
      <c r="BW81" s="513">
        <v>0.71322999059258263</v>
      </c>
      <c r="BX81" s="510">
        <v>44.765000000000001</v>
      </c>
      <c r="BY81" s="510">
        <v>139.60500000000002</v>
      </c>
      <c r="BZ81" s="514">
        <v>80.058133559749095</v>
      </c>
      <c r="CA81" s="514">
        <v>102.20920900061873</v>
      </c>
      <c r="CB81" s="510">
        <v>2.0194348263152015</v>
      </c>
      <c r="CC81" s="510">
        <v>2.510655062497761</v>
      </c>
      <c r="CD81" s="514">
        <v>0</v>
      </c>
      <c r="CE81" s="514">
        <v>0</v>
      </c>
      <c r="CF81" s="514">
        <v>830.70747235562874</v>
      </c>
      <c r="CG81" s="514">
        <v>1113.8866974678574</v>
      </c>
      <c r="CH81" s="514">
        <v>0</v>
      </c>
      <c r="CI81" s="514">
        <v>0</v>
      </c>
      <c r="CJ81" s="514"/>
      <c r="CK81" s="515"/>
    </row>
    <row r="82" spans="1:89" ht="12.75" customHeight="1">
      <c r="A82" s="560">
        <v>45943</v>
      </c>
      <c r="B82" s="512">
        <v>0.92987400806071141</v>
      </c>
      <c r="C82" s="513">
        <v>0.83112327334542857</v>
      </c>
      <c r="D82" s="513">
        <v>0.92987400806071141</v>
      </c>
      <c r="E82" s="513">
        <v>0.84979707029067475</v>
      </c>
      <c r="F82" s="510">
        <v>55.070999999999998</v>
      </c>
      <c r="G82" s="510">
        <v>729.99399999999991</v>
      </c>
      <c r="H82" s="510">
        <v>2.1780428900873421</v>
      </c>
      <c r="I82" s="510">
        <v>2.3358644043649677</v>
      </c>
      <c r="J82" s="510">
        <v>963.35530496999252</v>
      </c>
      <c r="K82" s="511">
        <v>953.15703964690294</v>
      </c>
      <c r="L82" s="512">
        <v>0.81169826659739297</v>
      </c>
      <c r="M82" s="513">
        <v>0.78081265503044217</v>
      </c>
      <c r="N82" s="513">
        <v>0.81169826659739297</v>
      </c>
      <c r="O82" s="513">
        <v>0.8612623652182807</v>
      </c>
      <c r="P82" s="510">
        <v>54.646000000000001</v>
      </c>
      <c r="Q82" s="510">
        <v>659.99099999999999</v>
      </c>
      <c r="R82" s="510">
        <v>2.4825604801815322</v>
      </c>
      <c r="S82" s="510">
        <v>2.3870037621725149</v>
      </c>
      <c r="T82" s="510">
        <v>0.18665593090070634</v>
      </c>
      <c r="U82" s="510">
        <v>0.2068210021045741</v>
      </c>
      <c r="V82" s="510">
        <v>595.07393038833004</v>
      </c>
      <c r="W82" s="510">
        <v>620.16403253983788</v>
      </c>
      <c r="X82" s="510">
        <v>482.10848003513524</v>
      </c>
      <c r="Y82" s="569">
        <v>543.46072597959676</v>
      </c>
      <c r="Z82" s="512">
        <v>0.85364740091566238</v>
      </c>
      <c r="AA82" s="513">
        <v>0.84350837338063034</v>
      </c>
      <c r="AB82" s="513">
        <v>0.85364740091566238</v>
      </c>
      <c r="AC82" s="513">
        <v>0.87679494049977957</v>
      </c>
      <c r="AD82" s="510">
        <v>39.529000000000003</v>
      </c>
      <c r="AE82" s="510">
        <v>483.62599999999998</v>
      </c>
      <c r="AF82" s="510">
        <v>107.56070984325689</v>
      </c>
      <c r="AG82" s="510">
        <v>111.97392895757403</v>
      </c>
      <c r="AH82" s="510">
        <v>1.5431708366009764</v>
      </c>
      <c r="AI82" s="510">
        <v>1.5543002237265986</v>
      </c>
      <c r="AJ82" s="510">
        <v>950.76880265121815</v>
      </c>
      <c r="AK82" s="569">
        <v>1006.0396256611515</v>
      </c>
      <c r="AL82" s="576">
        <v>0</v>
      </c>
      <c r="AM82" s="577">
        <v>0</v>
      </c>
      <c r="AN82" s="512">
        <v>0.65129982659244623</v>
      </c>
      <c r="AO82" s="513">
        <v>0.7584916204685016</v>
      </c>
      <c r="AP82" s="513">
        <v>0.65129982659244623</v>
      </c>
      <c r="AQ82" s="513">
        <v>0.76548989438961834</v>
      </c>
      <c r="AR82" s="510">
        <v>35.006</v>
      </c>
      <c r="AS82" s="510">
        <v>514.88099999999997</v>
      </c>
      <c r="AT82" s="514">
        <v>134.85413111011059</v>
      </c>
      <c r="AU82" s="514">
        <v>131.1585609577117</v>
      </c>
      <c r="AV82" s="510">
        <v>1.6025824144432383</v>
      </c>
      <c r="AW82" s="510">
        <v>1.5512322264756324</v>
      </c>
      <c r="AX82" s="510">
        <v>0.19710906701708281</v>
      </c>
      <c r="AY82" s="510">
        <v>0.16897108263851263</v>
      </c>
      <c r="AZ82" s="510">
        <v>935.63789064731645</v>
      </c>
      <c r="BA82" s="510">
        <v>984.62930269324363</v>
      </c>
      <c r="BB82" s="510">
        <v>496.2492144203851</v>
      </c>
      <c r="BC82" s="569">
        <v>420.02872896844133</v>
      </c>
      <c r="BD82" s="510">
        <v>3.1423184596926239</v>
      </c>
      <c r="BE82" s="510">
        <v>2.6802309659901997</v>
      </c>
      <c r="BF82" s="512">
        <v>0.88299529872078708</v>
      </c>
      <c r="BG82" s="513">
        <v>0.84889086658475921</v>
      </c>
      <c r="BH82" s="513">
        <v>0.88299529872078708</v>
      </c>
      <c r="BI82" s="513">
        <v>0.86260452847271474</v>
      </c>
      <c r="BJ82" s="510">
        <v>47.128</v>
      </c>
      <c r="BK82" s="510">
        <v>586.55000000000007</v>
      </c>
      <c r="BL82" s="510">
        <v>2.595060261415719</v>
      </c>
      <c r="BM82" s="510">
        <v>2.6574034609155222</v>
      </c>
      <c r="BN82" s="514">
        <v>0</v>
      </c>
      <c r="BO82" s="514">
        <v>0</v>
      </c>
      <c r="BP82" s="514">
        <v>947.30117976575184</v>
      </c>
      <c r="BQ82" s="514">
        <v>1081.3267370215669</v>
      </c>
      <c r="BR82" s="514">
        <v>0</v>
      </c>
      <c r="BS82" s="515">
        <v>0</v>
      </c>
      <c r="BT82" s="512">
        <v>0.81946711240461079</v>
      </c>
      <c r="BU82" s="513">
        <v>0.26693727592403049</v>
      </c>
      <c r="BV82" s="513">
        <v>0.81946711240461079</v>
      </c>
      <c r="BW82" s="513">
        <v>0.73537211105124856</v>
      </c>
      <c r="BX82" s="510">
        <v>42.232999999999997</v>
      </c>
      <c r="BY82" s="510">
        <v>181.83800000000002</v>
      </c>
      <c r="BZ82" s="514">
        <v>93.920133236222071</v>
      </c>
      <c r="CA82" s="514">
        <v>100.28401989406363</v>
      </c>
      <c r="CB82" s="510">
        <v>2.2328510880117443</v>
      </c>
      <c r="CC82" s="510">
        <v>2.4461333714625102</v>
      </c>
      <c r="CD82" s="514">
        <v>0</v>
      </c>
      <c r="CE82" s="514">
        <v>0</v>
      </c>
      <c r="CF82" s="514">
        <v>951.49314517083803</v>
      </c>
      <c r="CG82" s="514">
        <v>1076.1697906928159</v>
      </c>
      <c r="CH82" s="514">
        <v>0</v>
      </c>
      <c r="CI82" s="514">
        <v>0</v>
      </c>
      <c r="CJ82" s="514"/>
      <c r="CK82" s="515"/>
    </row>
    <row r="83" spans="1:89" ht="12.75" customHeight="1">
      <c r="A83" s="560">
        <v>45944</v>
      </c>
      <c r="B83" s="512">
        <v>1.0189127140142467</v>
      </c>
      <c r="C83" s="513">
        <v>0.84304816694164642</v>
      </c>
      <c r="D83" s="513">
        <v>1.0189127140142467</v>
      </c>
      <c r="E83" s="513">
        <v>0.86076179471901171</v>
      </c>
      <c r="F83" s="510">
        <v>60.683</v>
      </c>
      <c r="G83" s="510">
        <v>790.67699999999991</v>
      </c>
      <c r="H83" s="510">
        <v>1.939933754099171</v>
      </c>
      <c r="I83" s="510">
        <v>2.305477457925297</v>
      </c>
      <c r="J83" s="510">
        <v>878.86887596193685</v>
      </c>
      <c r="K83" s="511">
        <v>947.45556023508891</v>
      </c>
      <c r="L83" s="512">
        <v>1.055614176867316</v>
      </c>
      <c r="M83" s="513">
        <v>0.80080352282001854</v>
      </c>
      <c r="N83" s="513">
        <v>1.055614176867316</v>
      </c>
      <c r="O83" s="513">
        <v>0.87674150050881572</v>
      </c>
      <c r="P83" s="510">
        <v>70.001999999999995</v>
      </c>
      <c r="Q83" s="510">
        <v>729.99299999999994</v>
      </c>
      <c r="R83" s="510">
        <v>2.0351275677837775</v>
      </c>
      <c r="S83" s="510">
        <v>2.3532609216800715</v>
      </c>
      <c r="T83" s="510">
        <v>0.23713608182623358</v>
      </c>
      <c r="U83" s="510">
        <v>0.20972803848804028</v>
      </c>
      <c r="V83" s="510">
        <v>482.06622667923557</v>
      </c>
      <c r="W83" s="510">
        <v>606.92127184781225</v>
      </c>
      <c r="X83" s="510">
        <v>547.41864518156581</v>
      </c>
      <c r="Y83" s="569">
        <v>543.84026696146407</v>
      </c>
      <c r="Z83" s="512">
        <v>0.74835821284914428</v>
      </c>
      <c r="AA83" s="513">
        <v>0.83636387529272782</v>
      </c>
      <c r="AB83" s="513">
        <v>0.74835821284914428</v>
      </c>
      <c r="AC83" s="513">
        <v>0.86680011707468763</v>
      </c>
      <c r="AD83" s="510">
        <v>34.832999999999998</v>
      </c>
      <c r="AE83" s="510">
        <v>518.45899999999995</v>
      </c>
      <c r="AF83" s="510">
        <v>117.4128187457826</v>
      </c>
      <c r="AG83" s="510">
        <v>112.33934425172973</v>
      </c>
      <c r="AH83" s="510">
        <v>1.7138919989664974</v>
      </c>
      <c r="AI83" s="510">
        <v>1.5650224993683204</v>
      </c>
      <c r="AJ83" s="510">
        <v>1070.0312921654754</v>
      </c>
      <c r="AK83" s="569">
        <v>1010.3389467633895</v>
      </c>
      <c r="AL83" s="576">
        <v>0</v>
      </c>
      <c r="AM83" s="577">
        <v>0</v>
      </c>
      <c r="AN83" s="512">
        <v>0.87682703784411364</v>
      </c>
      <c r="AO83" s="513">
        <v>0.7670764405273538</v>
      </c>
      <c r="AP83" s="513">
        <v>0.87682703784411364</v>
      </c>
      <c r="AQ83" s="513">
        <v>0.77363608558089947</v>
      </c>
      <c r="AR83" s="510">
        <v>46.558</v>
      </c>
      <c r="AS83" s="510">
        <v>561.43899999999996</v>
      </c>
      <c r="AT83" s="514">
        <v>114.47302957648822</v>
      </c>
      <c r="AU83" s="514">
        <v>129.77489332855342</v>
      </c>
      <c r="AV83" s="510">
        <v>1.3402637570342368</v>
      </c>
      <c r="AW83" s="510">
        <v>1.5337374140378564</v>
      </c>
      <c r="AX83" s="510">
        <v>0.18471583830920571</v>
      </c>
      <c r="AY83" s="510">
        <v>0.17027673531763918</v>
      </c>
      <c r="AZ83" s="510">
        <v>865.20898664032188</v>
      </c>
      <c r="BA83" s="510">
        <v>974.72623027612985</v>
      </c>
      <c r="BB83" s="510">
        <v>481.54130332058901</v>
      </c>
      <c r="BC83" s="569">
        <v>425.12973270471059</v>
      </c>
      <c r="BD83" s="510">
        <v>3.0070020189870701</v>
      </c>
      <c r="BE83" s="510">
        <v>2.7073288460545135</v>
      </c>
      <c r="BF83" s="512">
        <v>0.78521739195970297</v>
      </c>
      <c r="BG83" s="513">
        <v>0.84429088868958402</v>
      </c>
      <c r="BH83" s="513">
        <v>0.78521739195970297</v>
      </c>
      <c r="BI83" s="513">
        <v>0.85693013710340848</v>
      </c>
      <c r="BJ83" s="510">
        <v>42.247999999999998</v>
      </c>
      <c r="BK83" s="510">
        <v>628.79800000000012</v>
      </c>
      <c r="BL83" s="510">
        <v>3.0604999053209623</v>
      </c>
      <c r="BM83" s="510">
        <v>2.6844869099456417</v>
      </c>
      <c r="BN83" s="514">
        <v>0</v>
      </c>
      <c r="BO83" s="514">
        <v>0</v>
      </c>
      <c r="BP83" s="514">
        <v>1034.5720507479562</v>
      </c>
      <c r="BQ83" s="514">
        <v>1078.185359368191</v>
      </c>
      <c r="BR83" s="514">
        <v>0</v>
      </c>
      <c r="BS83" s="515">
        <v>0</v>
      </c>
      <c r="BT83" s="512">
        <v>0.75745989323230734</v>
      </c>
      <c r="BU83" s="513">
        <v>0.30178191955444045</v>
      </c>
      <c r="BV83" s="513">
        <v>0.75745989323230734</v>
      </c>
      <c r="BW83" s="513">
        <v>0.73921543427824876</v>
      </c>
      <c r="BX83" s="510">
        <v>39.456000000000003</v>
      </c>
      <c r="BY83" s="510">
        <v>221.29400000000004</v>
      </c>
      <c r="BZ83" s="514">
        <v>104.12925723859529</v>
      </c>
      <c r="CA83" s="514">
        <v>100.96961319829168</v>
      </c>
      <c r="CB83" s="510">
        <v>2.417883211678832</v>
      </c>
      <c r="CC83" s="510">
        <v>2.4410964599130565</v>
      </c>
      <c r="CD83" s="514">
        <v>0</v>
      </c>
      <c r="CE83" s="514">
        <v>0</v>
      </c>
      <c r="CF83" s="514">
        <v>1067.736212489863</v>
      </c>
      <c r="CG83" s="514">
        <v>1074.6661111462593</v>
      </c>
      <c r="CH83" s="514">
        <v>0</v>
      </c>
      <c r="CI83" s="514">
        <v>0</v>
      </c>
      <c r="CJ83" s="514"/>
      <c r="CK83" s="515"/>
    </row>
    <row r="84" spans="1:89" ht="12.75" customHeight="1">
      <c r="A84" s="560">
        <v>45945</v>
      </c>
      <c r="B84" s="512">
        <v>0.9112013660383923</v>
      </c>
      <c r="C84" s="513">
        <v>0.84721353314679637</v>
      </c>
      <c r="D84" s="513">
        <v>0.9112013660383923</v>
      </c>
      <c r="E84" s="513">
        <v>0.86390528103462205</v>
      </c>
      <c r="F84" s="510">
        <v>55.631</v>
      </c>
      <c r="G84" s="510">
        <v>846.30799999999988</v>
      </c>
      <c r="H84" s="510">
        <v>2.1223598353436031</v>
      </c>
      <c r="I84" s="510">
        <v>2.2934404495762775</v>
      </c>
      <c r="J84" s="510">
        <v>1023.6594704391748</v>
      </c>
      <c r="K84" s="511">
        <v>952.46472915298102</v>
      </c>
      <c r="L84" s="512">
        <v>0.89034242852245338</v>
      </c>
      <c r="M84" s="513">
        <v>0.80598669319466654</v>
      </c>
      <c r="N84" s="513">
        <v>0.89034242852245338</v>
      </c>
      <c r="O84" s="513">
        <v>0.87759877594802538</v>
      </c>
      <c r="P84" s="510">
        <v>49.869</v>
      </c>
      <c r="Q84" s="510">
        <v>779.86199999999997</v>
      </c>
      <c r="R84" s="510">
        <v>2.5088331428342259</v>
      </c>
      <c r="S84" s="510">
        <v>2.3632091318720496</v>
      </c>
      <c r="T84" s="510">
        <v>0.33688263249714251</v>
      </c>
      <c r="U84" s="510">
        <v>0.21785905711523318</v>
      </c>
      <c r="V84" s="510">
        <v>714.64837875234764</v>
      </c>
      <c r="W84" s="510">
        <v>613.80998176600576</v>
      </c>
      <c r="X84" s="510">
        <v>518.79925404559947</v>
      </c>
      <c r="Y84" s="569">
        <v>542.2389961300845</v>
      </c>
      <c r="Z84" s="512">
        <v>0.77149255241027948</v>
      </c>
      <c r="AA84" s="513">
        <v>0.83197872851952948</v>
      </c>
      <c r="AB84" s="513">
        <v>0.77149255241027948</v>
      </c>
      <c r="AC84" s="513">
        <v>0.86013948546296204</v>
      </c>
      <c r="AD84" s="510">
        <v>34.671999999999997</v>
      </c>
      <c r="AE84" s="510">
        <v>553.13099999999997</v>
      </c>
      <c r="AF84" s="510">
        <v>103.40786054954407</v>
      </c>
      <c r="AG84" s="510">
        <v>111.77949061322062</v>
      </c>
      <c r="AH84" s="510">
        <v>1.6526303645592986</v>
      </c>
      <c r="AI84" s="510">
        <v>1.5705140373618545</v>
      </c>
      <c r="AJ84" s="510">
        <v>1122.7272727272516</v>
      </c>
      <c r="AK84" s="569">
        <v>1017.383802390391</v>
      </c>
      <c r="AL84" s="576">
        <v>0</v>
      </c>
      <c r="AM84" s="577">
        <v>0</v>
      </c>
      <c r="AN84" s="512">
        <v>0.49950639028801003</v>
      </c>
      <c r="AO84" s="513">
        <v>0.7486610267583178</v>
      </c>
      <c r="AP84" s="513">
        <v>0.49950639028801003</v>
      </c>
      <c r="AQ84" s="513">
        <v>0.75461905920763817</v>
      </c>
      <c r="AR84" s="510">
        <v>27.021999999999998</v>
      </c>
      <c r="AS84" s="510">
        <v>588.46100000000001</v>
      </c>
      <c r="AT84" s="514">
        <v>111.14337625539872</v>
      </c>
      <c r="AU84" s="514">
        <v>128.91933815267805</v>
      </c>
      <c r="AV84" s="510">
        <v>1.5357856561320407</v>
      </c>
      <c r="AW84" s="510">
        <v>1.5338314688653965</v>
      </c>
      <c r="AX84" s="510">
        <v>0.36636814447487237</v>
      </c>
      <c r="AY84" s="510">
        <v>0.17928120979979983</v>
      </c>
      <c r="AZ84" s="510">
        <v>1081.9776478424947</v>
      </c>
      <c r="BA84" s="510">
        <v>979.65119183769184</v>
      </c>
      <c r="BB84" s="510">
        <v>895.56657538302795</v>
      </c>
      <c r="BC84" s="569">
        <v>446.73208929733693</v>
      </c>
      <c r="BD84" s="510">
        <v>2.5904818296203094</v>
      </c>
      <c r="BE84" s="510">
        <v>2.7019632566984049</v>
      </c>
      <c r="BF84" s="512">
        <v>0.87302044167031734</v>
      </c>
      <c r="BG84" s="513">
        <v>0.84623166893951685</v>
      </c>
      <c r="BH84" s="513">
        <v>0.87302044167031734</v>
      </c>
      <c r="BI84" s="513">
        <v>0.8580322500335219</v>
      </c>
      <c r="BJ84" s="510">
        <v>47.104999999999997</v>
      </c>
      <c r="BK84" s="510">
        <v>675.90300000000013</v>
      </c>
      <c r="BL84" s="510">
        <v>2.7767752892474262</v>
      </c>
      <c r="BM84" s="510">
        <v>2.6909186673235648</v>
      </c>
      <c r="BN84" s="514">
        <v>0</v>
      </c>
      <c r="BO84" s="514">
        <v>0</v>
      </c>
      <c r="BP84" s="514">
        <v>939.19541449952305</v>
      </c>
      <c r="BQ84" s="514">
        <v>1068.4988786852548</v>
      </c>
      <c r="BR84" s="514">
        <v>0</v>
      </c>
      <c r="BS84" s="515">
        <v>0</v>
      </c>
      <c r="BT84" s="512">
        <v>0.76448884990270061</v>
      </c>
      <c r="BU84" s="513">
        <v>0.33238779618664105</v>
      </c>
      <c r="BV84" s="513">
        <v>0.76448884990270061</v>
      </c>
      <c r="BW84" s="513">
        <v>0.74295205032030054</v>
      </c>
      <c r="BX84" s="510">
        <v>39.707000000000001</v>
      </c>
      <c r="BY84" s="510">
        <v>261.00100000000003</v>
      </c>
      <c r="BZ84" s="514">
        <v>98.70618142526061</v>
      </c>
      <c r="CA84" s="514">
        <v>100.62526936278246</v>
      </c>
      <c r="CB84" s="510">
        <v>2.3874883521797163</v>
      </c>
      <c r="CC84" s="510">
        <v>2.4329408699583523</v>
      </c>
      <c r="CD84" s="514">
        <v>0</v>
      </c>
      <c r="CE84" s="514">
        <v>0</v>
      </c>
      <c r="CF84" s="514">
        <v>1051.4720326390757</v>
      </c>
      <c r="CG84" s="514">
        <v>1071.1375144156539</v>
      </c>
      <c r="CH84" s="514">
        <v>0</v>
      </c>
      <c r="CI84" s="514">
        <v>0</v>
      </c>
      <c r="CJ84" s="514"/>
      <c r="CK84" s="515"/>
    </row>
    <row r="85" spans="1:89" ht="12.75" customHeight="1">
      <c r="A85" s="560">
        <v>45946</v>
      </c>
      <c r="B85" s="512">
        <v>0.74194393845244266</v>
      </c>
      <c r="C85" s="513">
        <v>0.84118275561384037</v>
      </c>
      <c r="D85" s="513">
        <v>0.74194393845244266</v>
      </c>
      <c r="E85" s="513">
        <v>0.85678862647613074</v>
      </c>
      <c r="F85" s="510">
        <v>45.04</v>
      </c>
      <c r="G85" s="510">
        <v>891.34799999999984</v>
      </c>
      <c r="H85" s="510">
        <v>2.6407415630550619</v>
      </c>
      <c r="I85" s="510">
        <v>2.3109896471411839</v>
      </c>
      <c r="J85" s="510">
        <v>1236.9094138543576</v>
      </c>
      <c r="K85" s="511">
        <v>966.83777828637221</v>
      </c>
      <c r="L85" s="512">
        <v>0.46310174493534839</v>
      </c>
      <c r="M85" s="513">
        <v>0.78819439093348731</v>
      </c>
      <c r="N85" s="513">
        <v>0.46310174493534839</v>
      </c>
      <c r="O85" s="513">
        <v>0.85428698703684336</v>
      </c>
      <c r="P85" s="510">
        <v>24.524000000000001</v>
      </c>
      <c r="Q85" s="510">
        <v>804.38599999999997</v>
      </c>
      <c r="R85" s="510">
        <v>5.2697357690425708</v>
      </c>
      <c r="S85" s="510">
        <v>2.4518228810546185</v>
      </c>
      <c r="T85" s="510">
        <v>0.55455879954330445</v>
      </c>
      <c r="U85" s="510">
        <v>0.22812430847876514</v>
      </c>
      <c r="V85" s="510">
        <v>1259.8107975859455</v>
      </c>
      <c r="W85" s="510">
        <v>633.50515797141986</v>
      </c>
      <c r="X85" s="510">
        <v>1005.0154950252814</v>
      </c>
      <c r="Y85" s="569">
        <v>556.34805677871066</v>
      </c>
      <c r="Z85" s="512">
        <v>0.84942606328376835</v>
      </c>
      <c r="AA85" s="513">
        <v>0.83309034735560317</v>
      </c>
      <c r="AB85" s="513">
        <v>0.84942606328376835</v>
      </c>
      <c r="AC85" s="513">
        <v>0.85943531773638726</v>
      </c>
      <c r="AD85" s="510">
        <v>38.429000000000002</v>
      </c>
      <c r="AE85" s="510">
        <v>591.55999999999995</v>
      </c>
      <c r="AF85" s="510">
        <v>92.76214505899658</v>
      </c>
      <c r="AG85" s="510">
        <v>110.54408326265047</v>
      </c>
      <c r="AH85" s="510">
        <v>1.6289781154857008</v>
      </c>
      <c r="AI85" s="510">
        <v>1.5743119886402057</v>
      </c>
      <c r="AJ85" s="510">
        <v>905.31629758777819</v>
      </c>
      <c r="AK85" s="569">
        <v>1010.1036581242818</v>
      </c>
      <c r="AL85" s="576">
        <v>0</v>
      </c>
      <c r="AM85" s="577">
        <v>0</v>
      </c>
      <c r="AN85" s="512">
        <v>0.64699367035031441</v>
      </c>
      <c r="AO85" s="513">
        <v>0.74200664432572949</v>
      </c>
      <c r="AP85" s="513">
        <v>0.64699367035031441</v>
      </c>
      <c r="AQ85" s="513">
        <v>0.74752234454745936</v>
      </c>
      <c r="AR85" s="510">
        <v>35.616999999999997</v>
      </c>
      <c r="AS85" s="510">
        <v>624.07799999999997</v>
      </c>
      <c r="AT85" s="514">
        <v>114.70880255823872</v>
      </c>
      <c r="AU85" s="514">
        <v>128.10832310925858</v>
      </c>
      <c r="AV85" s="510">
        <v>1.6003593789482551</v>
      </c>
      <c r="AW85" s="510">
        <v>1.5376283092818528</v>
      </c>
      <c r="AX85" s="510">
        <v>0.22741949069264678</v>
      </c>
      <c r="AY85" s="510">
        <v>0.18202852848522141</v>
      </c>
      <c r="AZ85" s="510">
        <v>931.86961282533684</v>
      </c>
      <c r="BA85" s="510">
        <v>976.92423062501814</v>
      </c>
      <c r="BB85" s="510">
        <v>576.12937642137183</v>
      </c>
      <c r="BC85" s="569">
        <v>454.11697255791773</v>
      </c>
      <c r="BD85" s="510">
        <v>2.8076480332425526</v>
      </c>
      <c r="BE85" s="510">
        <v>2.707994833979086</v>
      </c>
      <c r="BF85" s="512">
        <v>0.95223504770126577</v>
      </c>
      <c r="BG85" s="513">
        <v>0.85300467534243063</v>
      </c>
      <c r="BH85" s="513">
        <v>0.95223504770126577</v>
      </c>
      <c r="BI85" s="513">
        <v>0.86412976863281843</v>
      </c>
      <c r="BJ85" s="510">
        <v>51.912999999999997</v>
      </c>
      <c r="BK85" s="510">
        <v>727.81600000000014</v>
      </c>
      <c r="BL85" s="510">
        <v>2.5041897020014257</v>
      </c>
      <c r="BM85" s="510">
        <v>2.6775998329248041</v>
      </c>
      <c r="BN85" s="514">
        <v>0</v>
      </c>
      <c r="BO85" s="514">
        <v>0</v>
      </c>
      <c r="BP85" s="514">
        <v>952.75942442162807</v>
      </c>
      <c r="BQ85" s="514">
        <v>1060.2435197907159</v>
      </c>
      <c r="BR85" s="514">
        <v>0</v>
      </c>
      <c r="BS85" s="515">
        <v>0</v>
      </c>
      <c r="BT85" s="512">
        <v>0.83539903279744832</v>
      </c>
      <c r="BU85" s="513">
        <v>0.36398765963483876</v>
      </c>
      <c r="BV85" s="513">
        <v>0.83539903279744832</v>
      </c>
      <c r="BW85" s="513">
        <v>0.7549985174013798</v>
      </c>
      <c r="BX85" s="510">
        <v>43.972000000000001</v>
      </c>
      <c r="BY85" s="510">
        <v>304.97300000000001</v>
      </c>
      <c r="BZ85" s="514">
        <v>89.321843600723909</v>
      </c>
      <c r="CA85" s="514">
        <v>98.995504637350251</v>
      </c>
      <c r="CB85" s="510">
        <v>2.3151096152096788</v>
      </c>
      <c r="CC85" s="510">
        <v>2.4159515760411576</v>
      </c>
      <c r="CD85" s="514">
        <v>0</v>
      </c>
      <c r="CE85" s="514">
        <v>0</v>
      </c>
      <c r="CF85" s="514">
        <v>956.53142909124028</v>
      </c>
      <c r="CG85" s="514">
        <v>1054.6132359258036</v>
      </c>
      <c r="CH85" s="514">
        <v>0</v>
      </c>
      <c r="CI85" s="514">
        <v>0</v>
      </c>
      <c r="CJ85" s="514"/>
      <c r="CK85" s="515"/>
    </row>
    <row r="86" spans="1:89" ht="12.75" customHeight="1">
      <c r="A86" s="560">
        <v>45947</v>
      </c>
      <c r="B86" s="512">
        <v>0.93396511391766379</v>
      </c>
      <c r="C86" s="513">
        <v>0.84646521385609053</v>
      </c>
      <c r="D86" s="513">
        <v>0.93396511391766379</v>
      </c>
      <c r="E86" s="513">
        <v>0.86125937789192686</v>
      </c>
      <c r="F86" s="510">
        <v>59.747</v>
      </c>
      <c r="G86" s="510">
        <v>951.0949999999998</v>
      </c>
      <c r="H86" s="510">
        <v>2.0287211073359335</v>
      </c>
      <c r="I86" s="510">
        <v>2.2932577713057056</v>
      </c>
      <c r="J86" s="510">
        <v>959.35795939544596</v>
      </c>
      <c r="K86" s="511">
        <v>966.36790226002779</v>
      </c>
      <c r="L86" s="512">
        <v>0.81809221905780738</v>
      </c>
      <c r="M86" s="513">
        <v>0.78965831964460775</v>
      </c>
      <c r="N86" s="513">
        <v>0.81809221905780738</v>
      </c>
      <c r="O86" s="513">
        <v>0.85237397786684244</v>
      </c>
      <c r="P86" s="510">
        <v>42.984999999999999</v>
      </c>
      <c r="Q86" s="510">
        <v>847.37099999999998</v>
      </c>
      <c r="R86" s="510">
        <v>2.4458997324648135</v>
      </c>
      <c r="S86" s="510">
        <v>2.4515224146212233</v>
      </c>
      <c r="T86" s="510">
        <v>0.19774339886006748</v>
      </c>
      <c r="U86" s="510">
        <v>0.22658316133075121</v>
      </c>
      <c r="V86" s="510">
        <v>780.44527160640394</v>
      </c>
      <c r="W86" s="510">
        <v>640.95906043515743</v>
      </c>
      <c r="X86" s="510">
        <v>403.18715831103873</v>
      </c>
      <c r="Y86" s="569">
        <v>548.57858954342305</v>
      </c>
      <c r="Z86" s="512">
        <v>0.86844313177403898</v>
      </c>
      <c r="AA86" s="513">
        <v>0.83503482959920494</v>
      </c>
      <c r="AB86" s="513">
        <v>0.86844313177403898</v>
      </c>
      <c r="AC86" s="513">
        <v>0.8599455479011644</v>
      </c>
      <c r="AD86" s="510">
        <v>35.892000000000003</v>
      </c>
      <c r="AE86" s="510">
        <v>627.452</v>
      </c>
      <c r="AF86" s="510">
        <v>92.78774098012525</v>
      </c>
      <c r="AG86" s="510">
        <v>109.52837108513826</v>
      </c>
      <c r="AH86" s="510">
        <v>1.6521787584977152</v>
      </c>
      <c r="AI86" s="510">
        <v>1.5787661845049501</v>
      </c>
      <c r="AJ86" s="510">
        <v>1106.6187451242617</v>
      </c>
      <c r="AK86" s="569">
        <v>1015.624589610042</v>
      </c>
      <c r="AL86" s="576">
        <v>0</v>
      </c>
      <c r="AM86" s="577">
        <v>0</v>
      </c>
      <c r="AN86" s="512">
        <v>0.73755848014438041</v>
      </c>
      <c r="AO86" s="513">
        <v>0.74173332686755777</v>
      </c>
      <c r="AP86" s="513">
        <v>0.73755848014438041</v>
      </c>
      <c r="AQ86" s="513">
        <v>0.74690584545905725</v>
      </c>
      <c r="AR86" s="510">
        <v>40.612000000000002</v>
      </c>
      <c r="AS86" s="510">
        <v>664.68999999999994</v>
      </c>
      <c r="AT86" s="514">
        <v>109.2805830117926</v>
      </c>
      <c r="AU86" s="514">
        <v>126.95796402331132</v>
      </c>
      <c r="AV86" s="510">
        <v>1.4773958435930266</v>
      </c>
      <c r="AW86" s="510">
        <v>1.5339481562833803</v>
      </c>
      <c r="AX86" s="510">
        <v>0.22160937653895399</v>
      </c>
      <c r="AY86" s="510">
        <v>0.18444688501406672</v>
      </c>
      <c r="AZ86" s="510">
        <v>955.35211267605746</v>
      </c>
      <c r="BA86" s="510">
        <v>975.6061923603487</v>
      </c>
      <c r="BB86" s="510">
        <v>547.12892741061762</v>
      </c>
      <c r="BC86" s="569">
        <v>459.79992477696408</v>
      </c>
      <c r="BD86" s="510">
        <v>3.2010243277848911</v>
      </c>
      <c r="BE86" s="510">
        <v>2.7381185214159989</v>
      </c>
      <c r="BF86" s="512">
        <v>0.89401389437451462</v>
      </c>
      <c r="BG86" s="513">
        <v>0.85537787286234113</v>
      </c>
      <c r="BH86" s="513">
        <v>0.89401389437451462</v>
      </c>
      <c r="BI86" s="513">
        <v>0.86588039246242343</v>
      </c>
      <c r="BJ86" s="510">
        <v>46.854999999999997</v>
      </c>
      <c r="BK86" s="510">
        <v>774.67100000000016</v>
      </c>
      <c r="BL86" s="510">
        <v>2.7745171273076514</v>
      </c>
      <c r="BM86" s="510">
        <v>2.6834617534411374</v>
      </c>
      <c r="BN86" s="514">
        <v>0</v>
      </c>
      <c r="BO86" s="514">
        <v>0</v>
      </c>
      <c r="BP86" s="514">
        <v>1083.9428022622949</v>
      </c>
      <c r="BQ86" s="514">
        <v>1061.6769410498127</v>
      </c>
      <c r="BR86" s="514">
        <v>0</v>
      </c>
      <c r="BS86" s="515">
        <v>0</v>
      </c>
      <c r="BT86" s="512">
        <v>1.0551597752404343</v>
      </c>
      <c r="BU86" s="513">
        <v>0.40450480002206313</v>
      </c>
      <c r="BV86" s="513">
        <v>1.0551597752404343</v>
      </c>
      <c r="BW86" s="513">
        <v>0.78933409825383793</v>
      </c>
      <c r="BX86" s="510">
        <v>55.052999999999997</v>
      </c>
      <c r="BY86" s="510">
        <v>360.02600000000001</v>
      </c>
      <c r="BZ86" s="514">
        <v>75.246750648764362</v>
      </c>
      <c r="CA86" s="514">
        <v>95.363988709796075</v>
      </c>
      <c r="CB86" s="510">
        <v>1.8999872849799284</v>
      </c>
      <c r="CC86" s="510">
        <v>2.3370534350296923</v>
      </c>
      <c r="CD86" s="514">
        <v>0</v>
      </c>
      <c r="CE86" s="514">
        <v>0</v>
      </c>
      <c r="CF86" s="514">
        <v>808.82313407080449</v>
      </c>
      <c r="CG86" s="514">
        <v>1017.0284990528464</v>
      </c>
      <c r="CH86" s="514">
        <v>0</v>
      </c>
      <c r="CI86" s="514">
        <v>0</v>
      </c>
      <c r="CJ86" s="514"/>
      <c r="CK86" s="515"/>
    </row>
    <row r="87" spans="1:89" ht="12.75" customHeight="1">
      <c r="A87" s="560">
        <v>45948</v>
      </c>
      <c r="B87" s="512">
        <v>0.87887573724610002</v>
      </c>
      <c r="C87" s="513">
        <v>0.8481489295855662</v>
      </c>
      <c r="D87" s="513">
        <v>0.87887573724610002</v>
      </c>
      <c r="E87" s="513">
        <v>0.86218969197114026</v>
      </c>
      <c r="F87" s="510">
        <v>54.112000000000002</v>
      </c>
      <c r="G87" s="510">
        <v>1005.2069999999998</v>
      </c>
      <c r="H87" s="510">
        <v>2.1798492016558249</v>
      </c>
      <c r="I87" s="510">
        <v>2.2871527953943818</v>
      </c>
      <c r="J87" s="510">
        <v>1059.2471170904714</v>
      </c>
      <c r="K87" s="511">
        <v>971.36774813545935</v>
      </c>
      <c r="L87" s="512">
        <v>0.46954830222551791</v>
      </c>
      <c r="M87" s="513">
        <v>0.77475031092943591</v>
      </c>
      <c r="N87" s="513">
        <v>0.46954830222551791</v>
      </c>
      <c r="O87" s="513">
        <v>0.83320014194286229</v>
      </c>
      <c r="P87" s="510">
        <v>24.611999999999998</v>
      </c>
      <c r="Q87" s="510">
        <v>871.98299999999995</v>
      </c>
      <c r="R87" s="510">
        <v>3.2520315293352837</v>
      </c>
      <c r="S87" s="510">
        <v>2.4741170412725948</v>
      </c>
      <c r="T87" s="510">
        <v>0.45099951243295955</v>
      </c>
      <c r="U87" s="510">
        <v>0.23291738485727356</v>
      </c>
      <c r="V87" s="510">
        <v>855.11417194867101</v>
      </c>
      <c r="W87" s="510">
        <v>647.00365718139051</v>
      </c>
      <c r="X87" s="510">
        <v>703.11230294165455</v>
      </c>
      <c r="Y87" s="569">
        <v>552.94035319495902</v>
      </c>
      <c r="Z87" s="512">
        <v>0.83094229705022715</v>
      </c>
      <c r="AA87" s="513">
        <v>0.83481596307228922</v>
      </c>
      <c r="AB87" s="513">
        <v>0.83094229705022715</v>
      </c>
      <c r="AC87" s="513">
        <v>0.85835074166619774</v>
      </c>
      <c r="AD87" s="510">
        <v>35.277999999999999</v>
      </c>
      <c r="AE87" s="510">
        <v>662.73</v>
      </c>
      <c r="AF87" s="510">
        <v>89.860944163747604</v>
      </c>
      <c r="AG87" s="510">
        <v>108.48144777257836</v>
      </c>
      <c r="AH87" s="510">
        <v>1.7149498270877035</v>
      </c>
      <c r="AI87" s="510">
        <v>1.5860154210613673</v>
      </c>
      <c r="AJ87" s="510">
        <v>1057.2589149044629</v>
      </c>
      <c r="AK87" s="569">
        <v>1017.8408401611512</v>
      </c>
      <c r="AL87" s="576">
        <v>0</v>
      </c>
      <c r="AM87" s="577">
        <v>0</v>
      </c>
      <c r="AN87" s="512">
        <v>0.79962302060702928</v>
      </c>
      <c r="AO87" s="513">
        <v>0.74508771586096323</v>
      </c>
      <c r="AP87" s="513">
        <v>0.79962302060702928</v>
      </c>
      <c r="AQ87" s="513">
        <v>0.74998057495874293</v>
      </c>
      <c r="AR87" s="510">
        <v>44.075000000000003</v>
      </c>
      <c r="AS87" s="510">
        <v>708.76499999999999</v>
      </c>
      <c r="AT87" s="514">
        <v>97.561036475996829</v>
      </c>
      <c r="AU87" s="514">
        <v>125.129897482712</v>
      </c>
      <c r="AV87" s="510">
        <v>1.3998865570051049</v>
      </c>
      <c r="AW87" s="510">
        <v>1.5256114509040373</v>
      </c>
      <c r="AX87" s="510">
        <v>0.21554169030062392</v>
      </c>
      <c r="AY87" s="510">
        <v>0.18638053515622247</v>
      </c>
      <c r="AZ87" s="510">
        <v>826.0460578559273</v>
      </c>
      <c r="BA87" s="510">
        <v>966.30570076118329</v>
      </c>
      <c r="BB87" s="510">
        <v>577.87861599545909</v>
      </c>
      <c r="BC87" s="569">
        <v>467.1427229053354</v>
      </c>
      <c r="BD87" s="510">
        <v>2.949517867271696</v>
      </c>
      <c r="BE87" s="510">
        <v>2.7512645235021482</v>
      </c>
      <c r="BF87" s="512">
        <v>0.87901943184681275</v>
      </c>
      <c r="BG87" s="513">
        <v>0.85663362666432008</v>
      </c>
      <c r="BH87" s="513">
        <v>0.87901943184681275</v>
      </c>
      <c r="BI87" s="513">
        <v>0.86658639905218848</v>
      </c>
      <c r="BJ87" s="510">
        <v>44.656999999999996</v>
      </c>
      <c r="BK87" s="510">
        <v>819.3280000000002</v>
      </c>
      <c r="BL87" s="510">
        <v>2.837181181001859</v>
      </c>
      <c r="BM87" s="510">
        <v>2.6918401421652853</v>
      </c>
      <c r="BN87" s="514">
        <v>0</v>
      </c>
      <c r="BO87" s="514">
        <v>0</v>
      </c>
      <c r="BP87" s="514">
        <v>1173.2084555612741</v>
      </c>
      <c r="BQ87" s="514">
        <v>1067.7559019098569</v>
      </c>
      <c r="BR87" s="514">
        <v>0</v>
      </c>
      <c r="BS87" s="515">
        <v>0</v>
      </c>
      <c r="BT87" s="512">
        <v>0.92884415584716962</v>
      </c>
      <c r="BU87" s="513">
        <v>0.43329510068281685</v>
      </c>
      <c r="BV87" s="513">
        <v>0.92884415584716962</v>
      </c>
      <c r="BW87" s="513">
        <v>0.8035398061272897</v>
      </c>
      <c r="BX87" s="510">
        <v>48.03</v>
      </c>
      <c r="BY87" s="510">
        <v>408.05600000000004</v>
      </c>
      <c r="BZ87" s="514">
        <v>80.822047243634216</v>
      </c>
      <c r="CA87" s="514">
        <v>93.652337738802501</v>
      </c>
      <c r="CB87" s="510">
        <v>2.1403289610660003</v>
      </c>
      <c r="CC87" s="510">
        <v>2.3138980924186874</v>
      </c>
      <c r="CD87" s="514">
        <v>0</v>
      </c>
      <c r="CE87" s="514">
        <v>0</v>
      </c>
      <c r="CF87" s="514">
        <v>972.14178638351359</v>
      </c>
      <c r="CG87" s="514">
        <v>1011.745134001216</v>
      </c>
      <c r="CH87" s="514">
        <v>0</v>
      </c>
      <c r="CI87" s="514">
        <v>0</v>
      </c>
      <c r="CJ87" s="514"/>
      <c r="CK87" s="515"/>
    </row>
    <row r="88" spans="1:89" ht="12.75" customHeight="1">
      <c r="A88" s="560">
        <v>45949</v>
      </c>
      <c r="B88" s="512">
        <v>0.88803708994347652</v>
      </c>
      <c r="C88" s="513">
        <v>0.85009310185886</v>
      </c>
      <c r="D88" s="513">
        <v>0.88803708994347652</v>
      </c>
      <c r="E88" s="513">
        <v>0.86346933251938585</v>
      </c>
      <c r="F88" s="510">
        <v>53.927</v>
      </c>
      <c r="G88" s="510">
        <v>1059.1339999999998</v>
      </c>
      <c r="H88" s="510">
        <v>2.1540972054814844</v>
      </c>
      <c r="I88" s="510">
        <v>2.2803781202378555</v>
      </c>
      <c r="J88" s="510">
        <v>1111.6246036308212</v>
      </c>
      <c r="K88" s="511">
        <v>978.50908383641729</v>
      </c>
      <c r="L88" s="512">
        <v>0.93570071635595453</v>
      </c>
      <c r="M88" s="513">
        <v>0.78191246299180694</v>
      </c>
      <c r="N88" s="513">
        <v>0.93570071635595453</v>
      </c>
      <c r="O88" s="513">
        <v>0.83808902647970596</v>
      </c>
      <c r="P88" s="510">
        <v>49.045999999999999</v>
      </c>
      <c r="Q88" s="510">
        <v>921.029</v>
      </c>
      <c r="R88" s="510">
        <v>2.4711495330913835</v>
      </c>
      <c r="S88" s="510">
        <v>2.4739590175770805</v>
      </c>
      <c r="T88" s="510">
        <v>0.24466827060310728</v>
      </c>
      <c r="U88" s="510">
        <v>0.23354313490671844</v>
      </c>
      <c r="V88" s="510">
        <v>764.68152346774866</v>
      </c>
      <c r="W88" s="510">
        <v>653.27015761718656</v>
      </c>
      <c r="X88" s="510">
        <v>393.36541206214577</v>
      </c>
      <c r="Y88" s="569">
        <v>544.44277867472147</v>
      </c>
      <c r="Z88" s="512">
        <v>6.5665038564767561E-2</v>
      </c>
      <c r="AA88" s="513">
        <v>0.79532967621636808</v>
      </c>
      <c r="AB88" s="513">
        <v>3.6368329051255883</v>
      </c>
      <c r="AC88" s="513">
        <v>0.86113929798363087</v>
      </c>
      <c r="AD88" s="510">
        <v>2.8210000000000002</v>
      </c>
      <c r="AE88" s="510">
        <v>665.55100000000004</v>
      </c>
      <c r="AF88" s="510">
        <v>0</v>
      </c>
      <c r="AG88" s="510">
        <v>108.02163903640871</v>
      </c>
      <c r="AH88" s="510">
        <v>5.9198865650478547</v>
      </c>
      <c r="AI88" s="510">
        <v>1.6043849381940676</v>
      </c>
      <c r="AJ88" s="510">
        <v>2894.9237858917859</v>
      </c>
      <c r="AK88" s="569">
        <v>1025.7970313319347</v>
      </c>
      <c r="AL88" s="576">
        <v>0</v>
      </c>
      <c r="AM88" s="577">
        <v>0</v>
      </c>
      <c r="AN88" s="512">
        <v>0.87991102737070404</v>
      </c>
      <c r="AO88" s="513">
        <v>0.75245188354108128</v>
      </c>
      <c r="AP88" s="513">
        <v>0.87991102737070404</v>
      </c>
      <c r="AQ88" s="513">
        <v>0.75712153320566267</v>
      </c>
      <c r="AR88" s="510">
        <v>48.36</v>
      </c>
      <c r="AS88" s="510">
        <v>757.125</v>
      </c>
      <c r="AT88" s="514">
        <v>113.2691803261843</v>
      </c>
      <c r="AU88" s="514">
        <v>124.37231546958381</v>
      </c>
      <c r="AV88" s="510">
        <v>1.317204301075269</v>
      </c>
      <c r="AW88" s="510">
        <v>1.5122998183919432</v>
      </c>
      <c r="AX88" s="510">
        <v>0.17783291976840362</v>
      </c>
      <c r="AY88" s="510">
        <v>0.18583457157008423</v>
      </c>
      <c r="AZ88" s="510">
        <v>747.86145574855345</v>
      </c>
      <c r="BA88" s="510">
        <v>952.35296681525517</v>
      </c>
      <c r="BB88" s="510">
        <v>480.76923076923265</v>
      </c>
      <c r="BC88" s="569">
        <v>468.01309162951981</v>
      </c>
      <c r="BD88" s="510">
        <v>2.688172043010753</v>
      </c>
      <c r="BE88" s="510">
        <v>2.7472346045897309</v>
      </c>
      <c r="BF88" s="512">
        <v>0.9208868732678257</v>
      </c>
      <c r="BG88" s="513">
        <v>0.85987438840450869</v>
      </c>
      <c r="BH88" s="513">
        <v>0.9208868732678257</v>
      </c>
      <c r="BI88" s="513">
        <v>0.86935536729506502</v>
      </c>
      <c r="BJ88" s="510">
        <v>46.783999999999999</v>
      </c>
      <c r="BK88" s="510">
        <v>866.11200000000019</v>
      </c>
      <c r="BL88" s="510">
        <v>2.7466655266757867</v>
      </c>
      <c r="BM88" s="510">
        <v>2.6948015960984248</v>
      </c>
      <c r="BN88" s="514">
        <v>0</v>
      </c>
      <c r="BO88" s="514">
        <v>0</v>
      </c>
      <c r="BP88" s="514">
        <v>1160.7573101915339</v>
      </c>
      <c r="BQ88" s="514">
        <v>1072.7794760954703</v>
      </c>
      <c r="BR88" s="514">
        <v>0</v>
      </c>
      <c r="BS88" s="515">
        <v>0</v>
      </c>
      <c r="BT88" s="512">
        <v>0.86881282319173403</v>
      </c>
      <c r="BU88" s="513">
        <v>0.45631364018158782</v>
      </c>
      <c r="BV88" s="513">
        <v>0.86881282319173403</v>
      </c>
      <c r="BW88" s="513">
        <v>0.80966113142886742</v>
      </c>
      <c r="BX88" s="510">
        <v>45.658000000000001</v>
      </c>
      <c r="BY88" s="510">
        <v>453.71400000000006</v>
      </c>
      <c r="BZ88" s="514">
        <v>104.19428006977368</v>
      </c>
      <c r="CA88" s="514">
        <v>94.713191058178765</v>
      </c>
      <c r="CB88" s="510">
        <v>2.2537123833720267</v>
      </c>
      <c r="CC88" s="510">
        <v>2.3078415036785285</v>
      </c>
      <c r="CD88" s="514">
        <v>0</v>
      </c>
      <c r="CE88" s="514">
        <v>0</v>
      </c>
      <c r="CF88" s="514">
        <v>863.48219370099264</v>
      </c>
      <c r="CG88" s="514">
        <v>996.82518591006703</v>
      </c>
      <c r="CH88" s="514">
        <v>0</v>
      </c>
      <c r="CI88" s="514">
        <v>0</v>
      </c>
      <c r="CJ88" s="514"/>
      <c r="CK88" s="515"/>
    </row>
    <row r="89" spans="1:89" ht="12.75" customHeight="1">
      <c r="A89" s="560">
        <v>45950</v>
      </c>
      <c r="B89" s="512">
        <v>0.91003752668508053</v>
      </c>
      <c r="C89" s="513">
        <v>0.85287903994443404</v>
      </c>
      <c r="D89" s="513">
        <v>0.91003752668508053</v>
      </c>
      <c r="E89" s="513">
        <v>0.86566605404753139</v>
      </c>
      <c r="F89" s="510">
        <v>55.262999999999998</v>
      </c>
      <c r="G89" s="510">
        <v>1114.3969999999997</v>
      </c>
      <c r="H89" s="510">
        <v>2.1257984546622515</v>
      </c>
      <c r="I89" s="510">
        <v>2.2727125073021561</v>
      </c>
      <c r="J89" s="510">
        <v>1027.7259649313155</v>
      </c>
      <c r="K89" s="511">
        <v>980.94975130047851</v>
      </c>
      <c r="L89" s="512">
        <v>0.94678504772248417</v>
      </c>
      <c r="M89" s="513">
        <v>0.78893658147763324</v>
      </c>
      <c r="N89" s="513">
        <v>0.94678504772248417</v>
      </c>
      <c r="O89" s="513">
        <v>0.84303739201452055</v>
      </c>
      <c r="P89" s="510">
        <v>49.627000000000002</v>
      </c>
      <c r="Q89" s="510">
        <v>970.65599999999995</v>
      </c>
      <c r="R89" s="510">
        <v>2.4346222822254013</v>
      </c>
      <c r="S89" s="510">
        <v>2.4719478373388726</v>
      </c>
      <c r="T89" s="510">
        <v>0.29016462812581861</v>
      </c>
      <c r="U89" s="510">
        <v>0.23643803778063494</v>
      </c>
      <c r="V89" s="510">
        <v>710.17248675114706</v>
      </c>
      <c r="W89" s="510">
        <v>656.17941886723906</v>
      </c>
      <c r="X89" s="510">
        <v>461.38190904144921</v>
      </c>
      <c r="Y89" s="569">
        <v>540.19610242969702</v>
      </c>
      <c r="Z89" s="512">
        <v>0</v>
      </c>
      <c r="AA89" s="513">
        <v>0.75649320505378692</v>
      </c>
      <c r="AB89" s="513" t="e">
        <v>#DIV/0!</v>
      </c>
      <c r="AC89" s="513">
        <v>0.86113929798363087</v>
      </c>
      <c r="AD89" s="510">
        <v>0</v>
      </c>
      <c r="AE89" s="510">
        <v>665.55100000000004</v>
      </c>
      <c r="AF89" s="510">
        <v>0</v>
      </c>
      <c r="AG89" s="510">
        <v>108.02163903640871</v>
      </c>
      <c r="AH89" s="510">
        <v>0</v>
      </c>
      <c r="AI89" s="510">
        <v>1.6557709326557994</v>
      </c>
      <c r="AJ89" s="510">
        <v>0</v>
      </c>
      <c r="AK89" s="569">
        <v>1033.3174467471304</v>
      </c>
      <c r="AL89" s="576">
        <v>0</v>
      </c>
      <c r="AM89" s="577">
        <v>0</v>
      </c>
      <c r="AN89" s="512">
        <v>1.0228372712514033</v>
      </c>
      <c r="AO89" s="513">
        <v>0.7665394413062202</v>
      </c>
      <c r="AP89" s="513">
        <v>1.0228372712514033</v>
      </c>
      <c r="AQ89" s="513">
        <v>0.77104720749091249</v>
      </c>
      <c r="AR89" s="510">
        <v>56.57</v>
      </c>
      <c r="AS89" s="510">
        <v>813.69500000000005</v>
      </c>
      <c r="AT89" s="514">
        <v>98.749055339009274</v>
      </c>
      <c r="AU89" s="514">
        <v>122.59092585113143</v>
      </c>
      <c r="AV89" s="510">
        <v>1.1967473926109247</v>
      </c>
      <c r="AW89" s="510">
        <v>1.4903618677760093</v>
      </c>
      <c r="AX89" s="510">
        <v>0.17500441930351776</v>
      </c>
      <c r="AY89" s="510">
        <v>0.18508163378169956</v>
      </c>
      <c r="AZ89" s="510">
        <v>618.61799540392337</v>
      </c>
      <c r="BA89" s="510">
        <v>929.15092264300517</v>
      </c>
      <c r="BB89" s="510">
        <v>499.20452536680062</v>
      </c>
      <c r="BC89" s="569">
        <v>470.18159384044401</v>
      </c>
      <c r="BD89" s="510">
        <v>3.0051263920806077</v>
      </c>
      <c r="BE89" s="510">
        <v>2.7651638513202119</v>
      </c>
      <c r="BF89" s="512">
        <v>1.006362058993638</v>
      </c>
      <c r="BG89" s="513">
        <v>0.86677509103043548</v>
      </c>
      <c r="BH89" s="513">
        <v>1.006362058993638</v>
      </c>
      <c r="BI89" s="513">
        <v>0.87587721761002035</v>
      </c>
      <c r="BJ89" s="510">
        <v>50.112000000000002</v>
      </c>
      <c r="BK89" s="510">
        <v>916.22400000000016</v>
      </c>
      <c r="BL89" s="510">
        <v>2.5762292464878676</v>
      </c>
      <c r="BM89" s="510">
        <v>2.6883163942442012</v>
      </c>
      <c r="BN89" s="514">
        <v>0</v>
      </c>
      <c r="BO89" s="514">
        <v>0</v>
      </c>
      <c r="BP89" s="514">
        <v>1025.2600175606613</v>
      </c>
      <c r="BQ89" s="514">
        <v>1070.1804445201174</v>
      </c>
      <c r="BR89" s="514">
        <v>0</v>
      </c>
      <c r="BS89" s="515">
        <v>0</v>
      </c>
      <c r="BT89" s="512">
        <v>0.93397021892165755</v>
      </c>
      <c r="BU89" s="513">
        <v>0.48022558162664908</v>
      </c>
      <c r="BV89" s="513">
        <v>0.93397021892165755</v>
      </c>
      <c r="BW89" s="513">
        <v>0.82029091851297264</v>
      </c>
      <c r="BX89" s="510">
        <v>48.939</v>
      </c>
      <c r="BY89" s="510">
        <v>502.65300000000008</v>
      </c>
      <c r="BZ89" s="514">
        <v>93.356340331274566</v>
      </c>
      <c r="CA89" s="514">
        <v>94.581086171260807</v>
      </c>
      <c r="CB89" s="510">
        <v>2.1026175442898305</v>
      </c>
      <c r="CC89" s="510">
        <v>2.2878606115948772</v>
      </c>
      <c r="CD89" s="514">
        <v>0</v>
      </c>
      <c r="CE89" s="514">
        <v>0</v>
      </c>
      <c r="CF89" s="514">
        <v>828.33384417335969</v>
      </c>
      <c r="CG89" s="514">
        <v>980.4206329217177</v>
      </c>
      <c r="CH89" s="514">
        <v>0</v>
      </c>
      <c r="CI89" s="514">
        <v>0</v>
      </c>
      <c r="CJ89" s="514"/>
      <c r="CK89" s="515"/>
    </row>
    <row r="90" spans="1:89" ht="12.75" customHeight="1">
      <c r="A90" s="560">
        <v>45951</v>
      </c>
      <c r="B90" s="512">
        <v>0.74059237433392344</v>
      </c>
      <c r="C90" s="513">
        <v>0.8483976262268661</v>
      </c>
      <c r="D90" s="513">
        <v>0.91047653979042764</v>
      </c>
      <c r="E90" s="513">
        <v>0.86715292483861728</v>
      </c>
      <c r="F90" s="510">
        <v>40.225999999999999</v>
      </c>
      <c r="G90" s="510">
        <v>1154.6229999999996</v>
      </c>
      <c r="H90" s="510">
        <v>2.6143539004623872</v>
      </c>
      <c r="I90" s="510">
        <v>2.2846149782223297</v>
      </c>
      <c r="J90" s="510">
        <v>1222.464575150404</v>
      </c>
      <c r="K90" s="511">
        <v>989.36390492827502</v>
      </c>
      <c r="L90" s="512">
        <v>0.89679113892552753</v>
      </c>
      <c r="M90" s="513">
        <v>0.79359268112004044</v>
      </c>
      <c r="N90" s="513">
        <v>0.89679113892552753</v>
      </c>
      <c r="O90" s="513">
        <v>0.84550976209433193</v>
      </c>
      <c r="P90" s="510">
        <v>49.780999999999999</v>
      </c>
      <c r="Q90" s="510">
        <v>1020.4369999999999</v>
      </c>
      <c r="R90" s="510">
        <v>2.5716237118579377</v>
      </c>
      <c r="S90" s="510">
        <v>2.4768104253373808</v>
      </c>
      <c r="T90" s="510">
        <v>0.24306462304895443</v>
      </c>
      <c r="U90" s="510">
        <v>0.23676130912540411</v>
      </c>
      <c r="V90" s="510">
        <v>743.27333721702144</v>
      </c>
      <c r="W90" s="510">
        <v>660.42820869882166</v>
      </c>
      <c r="X90" s="510">
        <v>389.14445270283841</v>
      </c>
      <c r="Y90" s="569">
        <v>532.82719854336926</v>
      </c>
      <c r="Z90" s="512">
        <v>0</v>
      </c>
      <c r="AA90" s="513">
        <v>0.72127297148871838</v>
      </c>
      <c r="AB90" s="513" t="e">
        <v>#DIV/0!</v>
      </c>
      <c r="AC90" s="513">
        <v>0.86113929798363087</v>
      </c>
      <c r="AD90" s="510">
        <v>0</v>
      </c>
      <c r="AE90" s="510">
        <v>665.55100000000004</v>
      </c>
      <c r="AF90" s="510">
        <v>0</v>
      </c>
      <c r="AG90" s="510">
        <v>108.02163903640871</v>
      </c>
      <c r="AH90" s="510">
        <v>0</v>
      </c>
      <c r="AI90" s="510">
        <v>1.7112137161539838</v>
      </c>
      <c r="AJ90" s="510">
        <v>0</v>
      </c>
      <c r="AK90" s="569">
        <v>1042.6403386066568</v>
      </c>
      <c r="AL90" s="576">
        <v>0</v>
      </c>
      <c r="AM90" s="577">
        <v>0</v>
      </c>
      <c r="AN90" s="512">
        <v>0.85285087255454772</v>
      </c>
      <c r="AO90" s="513">
        <v>0.77060678562481499</v>
      </c>
      <c r="AP90" s="513">
        <v>0.85285087255454772</v>
      </c>
      <c r="AQ90" s="513">
        <v>0.77492372285689293</v>
      </c>
      <c r="AR90" s="510">
        <v>44.771999999999998</v>
      </c>
      <c r="AS90" s="510">
        <v>858.4670000000001</v>
      </c>
      <c r="AT90" s="514">
        <v>129.46024022603922</v>
      </c>
      <c r="AU90" s="514">
        <v>122.94918416879929</v>
      </c>
      <c r="AV90" s="510">
        <v>1.516572858036273</v>
      </c>
      <c r="AW90" s="510">
        <v>1.4917288608647741</v>
      </c>
      <c r="AX90" s="510">
        <v>0.22112034307156259</v>
      </c>
      <c r="AY90" s="510">
        <v>0.18696117614305502</v>
      </c>
      <c r="AZ90" s="510">
        <v>850.86348610738776</v>
      </c>
      <c r="BA90" s="510">
        <v>925.06796417334613</v>
      </c>
      <c r="BB90" s="510">
        <v>606.40578933262066</v>
      </c>
      <c r="BC90" s="569">
        <v>477.28615310780742</v>
      </c>
      <c r="BD90" s="510">
        <v>3.3503082283570089</v>
      </c>
      <c r="BE90" s="510">
        <v>2.7956811385877378</v>
      </c>
      <c r="BF90" s="512">
        <v>0.81316847105021561</v>
      </c>
      <c r="BG90" s="513">
        <v>0.86425918758821818</v>
      </c>
      <c r="BH90" s="513">
        <v>0.81316847105021561</v>
      </c>
      <c r="BI90" s="513">
        <v>0.87290468598092164</v>
      </c>
      <c r="BJ90" s="510">
        <v>42.328000000000003</v>
      </c>
      <c r="BK90" s="510">
        <v>958.55200000000013</v>
      </c>
      <c r="BL90" s="510">
        <v>3.113778113778114</v>
      </c>
      <c r="BM90" s="510">
        <v>2.7071040486066478</v>
      </c>
      <c r="BN90" s="514">
        <v>0</v>
      </c>
      <c r="BO90" s="514">
        <v>0</v>
      </c>
      <c r="BP90" s="514">
        <v>1136.8902381402249</v>
      </c>
      <c r="BQ90" s="514">
        <v>1073.1262337358842</v>
      </c>
      <c r="BR90" s="514">
        <v>0</v>
      </c>
      <c r="BS90" s="515">
        <v>0</v>
      </c>
      <c r="BT90" s="512">
        <v>0.815387169305125</v>
      </c>
      <c r="BU90" s="513">
        <v>0.49463714927567271</v>
      </c>
      <c r="BV90" s="513">
        <v>0.815387169305125</v>
      </c>
      <c r="BW90" s="513">
        <v>0.81994139104052155</v>
      </c>
      <c r="BX90" s="510">
        <v>38.347000000000001</v>
      </c>
      <c r="BY90" s="510">
        <v>541.00000000000011</v>
      </c>
      <c r="BZ90" s="514">
        <v>117.99635237697272</v>
      </c>
      <c r="CA90" s="514">
        <v>96.240800058858653</v>
      </c>
      <c r="CB90" s="510">
        <v>2.3939291209221061</v>
      </c>
      <c r="CC90" s="510">
        <v>2.2953789279112748</v>
      </c>
      <c r="CD90" s="514">
        <v>0</v>
      </c>
      <c r="CE90" s="514">
        <v>0</v>
      </c>
      <c r="CF90" s="514">
        <v>1095.060630557799</v>
      </c>
      <c r="CG90" s="514">
        <v>988.5465109057302</v>
      </c>
      <c r="CH90" s="514">
        <v>0</v>
      </c>
      <c r="CI90" s="514">
        <v>0</v>
      </c>
      <c r="CJ90" s="514"/>
      <c r="CK90" s="515"/>
    </row>
    <row r="91" spans="1:89" ht="12.75" customHeight="1">
      <c r="A91" s="560">
        <v>45952</v>
      </c>
      <c r="B91" s="512">
        <v>0.95425820406309725</v>
      </c>
      <c r="C91" s="513">
        <v>0.85251914800085171</v>
      </c>
      <c r="D91" s="513">
        <v>0.95425820406309725</v>
      </c>
      <c r="E91" s="513">
        <v>0.8706162273756648</v>
      </c>
      <c r="F91" s="510">
        <v>52.610999999999997</v>
      </c>
      <c r="G91" s="510">
        <v>1207.2339999999997</v>
      </c>
      <c r="H91" s="510">
        <v>2.2892550987436087</v>
      </c>
      <c r="I91" s="510">
        <v>2.2848171936840753</v>
      </c>
      <c r="J91" s="510">
        <v>1049.732565433095</v>
      </c>
      <c r="K91" s="511">
        <v>991.99475826558898</v>
      </c>
      <c r="L91" s="512">
        <v>0.81392113754927475</v>
      </c>
      <c r="M91" s="513">
        <v>0.79454384876481365</v>
      </c>
      <c r="N91" s="513">
        <v>0.81392113754927475</v>
      </c>
      <c r="O91" s="513">
        <v>0.84393984397142885</v>
      </c>
      <c r="P91" s="510">
        <v>51.372999999999998</v>
      </c>
      <c r="Q91" s="510">
        <v>1071.81</v>
      </c>
      <c r="R91" s="510">
        <v>2.5981741381659629</v>
      </c>
      <c r="S91" s="510">
        <v>2.4826275179369484</v>
      </c>
      <c r="T91" s="510">
        <v>0.34259241235668547</v>
      </c>
      <c r="U91" s="510">
        <v>0.24183390712906205</v>
      </c>
      <c r="V91" s="510">
        <v>713.39263815622644</v>
      </c>
      <c r="W91" s="510">
        <v>662.96685046789946</v>
      </c>
      <c r="X91" s="510">
        <v>537.03307184707921</v>
      </c>
      <c r="Y91" s="569">
        <v>533.02879055056394</v>
      </c>
      <c r="Z91" s="512">
        <v>0</v>
      </c>
      <c r="AA91" s="513">
        <v>0.68918635873105194</v>
      </c>
      <c r="AB91" s="513" t="e">
        <v>#DIV/0!</v>
      </c>
      <c r="AC91" s="513">
        <v>0.86113929798363087</v>
      </c>
      <c r="AD91" s="510">
        <v>0</v>
      </c>
      <c r="AE91" s="510">
        <v>665.55100000000004</v>
      </c>
      <c r="AF91" s="510">
        <v>0</v>
      </c>
      <c r="AG91" s="510">
        <v>108.02163903640871</v>
      </c>
      <c r="AH91" s="510">
        <v>0</v>
      </c>
      <c r="AI91" s="510">
        <v>1.7366062104932607</v>
      </c>
      <c r="AJ91" s="510">
        <v>0</v>
      </c>
      <c r="AK91" s="569">
        <v>1051.7718401745306</v>
      </c>
      <c r="AL91" s="576">
        <v>0</v>
      </c>
      <c r="AM91" s="577">
        <v>0</v>
      </c>
      <c r="AN91" s="512">
        <v>0.96970922546271421</v>
      </c>
      <c r="AO91" s="513">
        <v>0.77940576858532828</v>
      </c>
      <c r="AP91" s="513">
        <v>0.96970922546271421</v>
      </c>
      <c r="AQ91" s="513">
        <v>0.78357800694030377</v>
      </c>
      <c r="AR91" s="510">
        <v>49.948</v>
      </c>
      <c r="AS91" s="510">
        <v>908.41500000000008</v>
      </c>
      <c r="AT91" s="514">
        <v>114.21301051796424</v>
      </c>
      <c r="AU91" s="514">
        <v>122.46883718915683</v>
      </c>
      <c r="AV91" s="510">
        <v>1.4074637623128052</v>
      </c>
      <c r="AW91" s="510">
        <v>1.4870956556199535</v>
      </c>
      <c r="AX91" s="510">
        <v>0.19019780571794667</v>
      </c>
      <c r="AY91" s="510">
        <v>0.18713913794906514</v>
      </c>
      <c r="AZ91" s="510">
        <v>792.77408504845232</v>
      </c>
      <c r="BA91" s="510">
        <v>917.79395980911818</v>
      </c>
      <c r="BB91" s="510">
        <v>510.73116040682396</v>
      </c>
      <c r="BC91" s="569">
        <v>479.12508269898689</v>
      </c>
      <c r="BD91" s="510">
        <v>2.8029150316328981</v>
      </c>
      <c r="BE91" s="510">
        <v>2.7960788846507376</v>
      </c>
      <c r="BF91" s="512">
        <v>0.9509244795551024</v>
      </c>
      <c r="BG91" s="513">
        <v>0.86842517031950572</v>
      </c>
      <c r="BH91" s="513">
        <v>0.9509244795551024</v>
      </c>
      <c r="BI91" s="513">
        <v>0.87669077737378776</v>
      </c>
      <c r="BJ91" s="510">
        <v>53.258000000000003</v>
      </c>
      <c r="BK91" s="510">
        <v>1011.8100000000002</v>
      </c>
      <c r="BL91" s="510">
        <v>2.5198092305381348</v>
      </c>
      <c r="BM91" s="510">
        <v>2.6972455302873057</v>
      </c>
      <c r="BN91" s="514">
        <v>0</v>
      </c>
      <c r="BO91" s="514">
        <v>0</v>
      </c>
      <c r="BP91" s="514">
        <v>830.03905516542068</v>
      </c>
      <c r="BQ91" s="514">
        <v>1060.3310083909028</v>
      </c>
      <c r="BR91" s="514">
        <v>0</v>
      </c>
      <c r="BS91" s="515">
        <v>0</v>
      </c>
      <c r="BT91" s="512">
        <v>0.83047657000280273</v>
      </c>
      <c r="BU91" s="513">
        <v>0.50809846652076174</v>
      </c>
      <c r="BV91" s="513">
        <v>0.83047657000280273</v>
      </c>
      <c r="BW91" s="513">
        <v>0.82062340587383142</v>
      </c>
      <c r="BX91" s="510">
        <v>37.927999999999997</v>
      </c>
      <c r="BY91" s="510">
        <v>578.92800000000011</v>
      </c>
      <c r="BZ91" s="514">
        <v>121.34276921136684</v>
      </c>
      <c r="CA91" s="514">
        <v>97.885335279156052</v>
      </c>
      <c r="CB91" s="510">
        <v>2.4098291499683615</v>
      </c>
      <c r="CC91" s="510">
        <v>2.3028770417046678</v>
      </c>
      <c r="CD91" s="514">
        <v>0</v>
      </c>
      <c r="CE91" s="514">
        <v>0</v>
      </c>
      <c r="CF91" s="514">
        <v>1117.8079519088797</v>
      </c>
      <c r="CG91" s="514">
        <v>997.01496973716939</v>
      </c>
      <c r="CH91" s="514">
        <v>0</v>
      </c>
      <c r="CI91" s="514">
        <v>0</v>
      </c>
      <c r="CJ91" s="514"/>
      <c r="CK91" s="515"/>
    </row>
    <row r="92" spans="1:89" ht="12.75" customHeight="1">
      <c r="A92" s="560">
        <v>45953</v>
      </c>
      <c r="B92" s="512">
        <v>0.9626202669149595</v>
      </c>
      <c r="C92" s="513">
        <v>0.85671392674254199</v>
      </c>
      <c r="D92" s="513">
        <v>0.9626202669149595</v>
      </c>
      <c r="E92" s="513">
        <v>0.87419303627638945</v>
      </c>
      <c r="F92" s="510">
        <v>53.991999999999997</v>
      </c>
      <c r="G92" s="510">
        <v>1261.2259999999997</v>
      </c>
      <c r="H92" s="510">
        <v>2.2411468365683809</v>
      </c>
      <c r="I92" s="510">
        <v>2.2829477032665051</v>
      </c>
      <c r="J92" s="510">
        <v>1019.112831530588</v>
      </c>
      <c r="K92" s="511">
        <v>993.15565965179871</v>
      </c>
      <c r="L92" s="512">
        <v>1.0250072621696076</v>
      </c>
      <c r="M92" s="513">
        <v>0.80570668371982901</v>
      </c>
      <c r="N92" s="513">
        <v>1.0250072621696076</v>
      </c>
      <c r="O92" s="513">
        <v>0.85322738277724575</v>
      </c>
      <c r="P92" s="510">
        <v>70.382000000000005</v>
      </c>
      <c r="Q92" s="510">
        <v>1142.192</v>
      </c>
      <c r="R92" s="510">
        <v>1.9997584609701344</v>
      </c>
      <c r="S92" s="510">
        <v>2.452873072127979</v>
      </c>
      <c r="T92" s="510">
        <v>0.2386973942201131</v>
      </c>
      <c r="U92" s="510">
        <v>0.24164063484948239</v>
      </c>
      <c r="V92" s="510">
        <v>520.80659827797592</v>
      </c>
      <c r="W92" s="510">
        <v>654.20691967725202</v>
      </c>
      <c r="X92" s="510">
        <v>373.2204256770197</v>
      </c>
      <c r="Y92" s="569">
        <v>523.1813810637791</v>
      </c>
      <c r="Z92" s="512">
        <v>0</v>
      </c>
      <c r="AA92" s="513">
        <v>0.65983297122143314</v>
      </c>
      <c r="AB92" s="513" t="e">
        <v>#DIV/0!</v>
      </c>
      <c r="AC92" s="513">
        <v>0.86113929798363087</v>
      </c>
      <c r="AD92" s="510">
        <v>0</v>
      </c>
      <c r="AE92" s="510">
        <v>665.55100000000004</v>
      </c>
      <c r="AF92" s="510">
        <v>0</v>
      </c>
      <c r="AG92" s="510">
        <v>108.02163903640871</v>
      </c>
      <c r="AH92" s="510">
        <v>0</v>
      </c>
      <c r="AI92" s="510">
        <v>1.7624494591699211</v>
      </c>
      <c r="AJ92" s="510">
        <v>0</v>
      </c>
      <c r="AK92" s="569">
        <v>1058.5991757205679</v>
      </c>
      <c r="AL92" s="576">
        <v>0</v>
      </c>
      <c r="AM92" s="577">
        <v>0</v>
      </c>
      <c r="AN92" s="512">
        <v>0.9739415593129358</v>
      </c>
      <c r="AO92" s="513">
        <v>0.78763907976127889</v>
      </c>
      <c r="AP92" s="513">
        <v>0.9739415593129358</v>
      </c>
      <c r="AQ92" s="513">
        <v>0.79167603087244942</v>
      </c>
      <c r="AR92" s="510">
        <v>50.165999999999997</v>
      </c>
      <c r="AS92" s="510">
        <v>958.58100000000013</v>
      </c>
      <c r="AT92" s="514">
        <v>114.1190442624054</v>
      </c>
      <c r="AU92" s="514">
        <v>122.03186241919641</v>
      </c>
      <c r="AV92" s="510">
        <v>1.3973607622692661</v>
      </c>
      <c r="AW92" s="510">
        <v>1.4823995051018117</v>
      </c>
      <c r="AX92" s="510">
        <v>0.18937128732607744</v>
      </c>
      <c r="AY92" s="510">
        <v>0.18725595437422607</v>
      </c>
      <c r="AZ92" s="510">
        <v>772.11537694853064</v>
      </c>
      <c r="BA92" s="510">
        <v>910.17007430775277</v>
      </c>
      <c r="BB92" s="510">
        <v>484.98983375193995</v>
      </c>
      <c r="BC92" s="569">
        <v>479.43200626759761</v>
      </c>
      <c r="BD92" s="510">
        <v>2.7907347605948249</v>
      </c>
      <c r="BE92" s="510">
        <v>2.7957992073700604</v>
      </c>
      <c r="BF92" s="512">
        <v>0.67091061566078947</v>
      </c>
      <c r="BG92" s="513">
        <v>0.85930990015527031</v>
      </c>
      <c r="BH92" s="513">
        <v>0.76272745024648581</v>
      </c>
      <c r="BI92" s="513">
        <v>0.8719962094218594</v>
      </c>
      <c r="BJ92" s="510">
        <v>37.82</v>
      </c>
      <c r="BK92" s="510">
        <v>1049.6300000000001</v>
      </c>
      <c r="BL92" s="510">
        <v>3.4082496033844527</v>
      </c>
      <c r="BM92" s="510">
        <v>2.7228642474014646</v>
      </c>
      <c r="BN92" s="514">
        <v>0</v>
      </c>
      <c r="BO92" s="514">
        <v>0</v>
      </c>
      <c r="BP92" s="514">
        <v>1127.3376520359652</v>
      </c>
      <c r="BQ92" s="514">
        <v>1062.7453746558306</v>
      </c>
      <c r="BR92" s="514">
        <v>0</v>
      </c>
      <c r="BS92" s="515">
        <v>0</v>
      </c>
      <c r="BT92" s="512">
        <v>0.83073164472014116</v>
      </c>
      <c r="BU92" s="513">
        <v>0.52187274663598016</v>
      </c>
      <c r="BV92" s="513">
        <v>0.83073164472014116</v>
      </c>
      <c r="BW92" s="513">
        <v>0.82130256875662688</v>
      </c>
      <c r="BX92" s="510">
        <v>42.213000000000001</v>
      </c>
      <c r="BY92" s="510">
        <v>621.14100000000008</v>
      </c>
      <c r="BZ92" s="514">
        <v>110.86878510250803</v>
      </c>
      <c r="CA92" s="514">
        <v>98.767695914491924</v>
      </c>
      <c r="CB92" s="510">
        <v>2.2812877549570039</v>
      </c>
      <c r="CC92" s="510">
        <v>2.3014098248223829</v>
      </c>
      <c r="CD92" s="514">
        <v>0</v>
      </c>
      <c r="CE92" s="514">
        <v>0</v>
      </c>
      <c r="CF92" s="514">
        <v>1052.422476488289</v>
      </c>
      <c r="CG92" s="514">
        <v>1000.7804868781809</v>
      </c>
      <c r="CH92" s="514">
        <v>0</v>
      </c>
      <c r="CI92" s="514">
        <v>0</v>
      </c>
      <c r="CJ92" s="514"/>
      <c r="CK92" s="515"/>
    </row>
    <row r="93" spans="1:89" ht="12.75" customHeight="1">
      <c r="A93" s="560">
        <v>45954</v>
      </c>
      <c r="B93" s="512">
        <v>0.49253600332099595</v>
      </c>
      <c r="C93" s="513">
        <v>0.8425928011410283</v>
      </c>
      <c r="D93" s="513">
        <v>0.6548955168811027</v>
      </c>
      <c r="E93" s="513">
        <v>0.86760795461155571</v>
      </c>
      <c r="F93" s="510">
        <v>29.25</v>
      </c>
      <c r="G93" s="510">
        <v>1290.4759999999997</v>
      </c>
      <c r="H93" s="510">
        <v>3.6125470085470086</v>
      </c>
      <c r="I93" s="510">
        <v>2.3130844742560117</v>
      </c>
      <c r="J93" s="510">
        <v>1263.4345299145266</v>
      </c>
      <c r="K93" s="511">
        <v>999.2818153921495</v>
      </c>
      <c r="L93" s="512">
        <v>0.98454249440749664</v>
      </c>
      <c r="M93" s="513">
        <v>0.81418748443585043</v>
      </c>
      <c r="N93" s="513">
        <v>0.98454249440749664</v>
      </c>
      <c r="O93" s="513">
        <v>0.85980353536926135</v>
      </c>
      <c r="P93" s="510">
        <v>69.483000000000004</v>
      </c>
      <c r="Q93" s="510">
        <v>1211.675</v>
      </c>
      <c r="R93" s="510">
        <v>1.8538491429558308</v>
      </c>
      <c r="S93" s="510">
        <v>2.4185222935193025</v>
      </c>
      <c r="T93" s="510">
        <v>0.26481297583581592</v>
      </c>
      <c r="U93" s="510">
        <v>0.24296944312625085</v>
      </c>
      <c r="V93" s="510">
        <v>464.11625865319559</v>
      </c>
      <c r="W93" s="510">
        <v>643.30624961313868</v>
      </c>
      <c r="X93" s="510">
        <v>403.10579566224828</v>
      </c>
      <c r="Y93" s="569">
        <v>516.29569645325682</v>
      </c>
      <c r="Z93" s="512">
        <v>0</v>
      </c>
      <c r="AA93" s="513">
        <v>0.63287784035049799</v>
      </c>
      <c r="AB93" s="513" t="e">
        <v>#DIV/0!</v>
      </c>
      <c r="AC93" s="513">
        <v>0.86113929798363087</v>
      </c>
      <c r="AD93" s="510">
        <v>0</v>
      </c>
      <c r="AE93" s="510">
        <v>665.55100000000004</v>
      </c>
      <c r="AF93" s="510">
        <v>0</v>
      </c>
      <c r="AG93" s="510">
        <v>108.02163903640871</v>
      </c>
      <c r="AH93" s="510">
        <v>0</v>
      </c>
      <c r="AI93" s="510">
        <v>1.7882927078465816</v>
      </c>
      <c r="AJ93" s="510">
        <v>0</v>
      </c>
      <c r="AK93" s="569">
        <v>1069.3954332575549</v>
      </c>
      <c r="AL93" s="576">
        <v>0</v>
      </c>
      <c r="AM93" s="577">
        <v>0</v>
      </c>
      <c r="AN93" s="512">
        <v>0.93084164579232986</v>
      </c>
      <c r="AO93" s="513">
        <v>0.79345372941085435</v>
      </c>
      <c r="AP93" s="513">
        <v>0.93084164579232986</v>
      </c>
      <c r="AQ93" s="513">
        <v>0.79735454306174236</v>
      </c>
      <c r="AR93" s="510">
        <v>47.945999999999998</v>
      </c>
      <c r="AS93" s="510">
        <v>1006.5270000000002</v>
      </c>
      <c r="AT93" s="514">
        <v>111.57051764572327</v>
      </c>
      <c r="AU93" s="514">
        <v>121.53353536338078</v>
      </c>
      <c r="AV93" s="510">
        <v>1.4495474075001042</v>
      </c>
      <c r="AW93" s="510">
        <v>1.4808345926140081</v>
      </c>
      <c r="AX93" s="510">
        <v>0.20648229257915157</v>
      </c>
      <c r="AY93" s="510">
        <v>0.18817180264414168</v>
      </c>
      <c r="AZ93" s="510">
        <v>864.83669127768576</v>
      </c>
      <c r="BA93" s="510">
        <v>908.01061471773721</v>
      </c>
      <c r="BB93" s="510">
        <v>533.30830517665709</v>
      </c>
      <c r="BC93" s="569">
        <v>481.99840838844858</v>
      </c>
      <c r="BD93" s="510">
        <v>3.128519584532599</v>
      </c>
      <c r="BE93" s="510">
        <v>2.8116483710819478</v>
      </c>
      <c r="BF93" s="512">
        <v>0.77639116918864315</v>
      </c>
      <c r="BG93" s="513">
        <v>0.85572903697865932</v>
      </c>
      <c r="BH93" s="513">
        <v>0.77639116918864315</v>
      </c>
      <c r="BI93" s="513">
        <v>0.86780920084649926</v>
      </c>
      <c r="BJ93" s="510">
        <v>42.802999999999997</v>
      </c>
      <c r="BK93" s="510">
        <v>1092.433</v>
      </c>
      <c r="BL93" s="510">
        <v>3.0838959885989303</v>
      </c>
      <c r="BM93" s="510">
        <v>2.7370099585054639</v>
      </c>
      <c r="BN93" s="514">
        <v>0</v>
      </c>
      <c r="BO93" s="514">
        <v>0</v>
      </c>
      <c r="BP93" s="514">
        <v>1102.9177861364892</v>
      </c>
      <c r="BQ93" s="514">
        <v>1064.3193839805276</v>
      </c>
      <c r="BR93" s="514">
        <v>0</v>
      </c>
      <c r="BS93" s="515">
        <v>0</v>
      </c>
      <c r="BT93" s="512">
        <v>0.80693926922324177</v>
      </c>
      <c r="BU93" s="513">
        <v>0.53287600769733623</v>
      </c>
      <c r="BV93" s="513">
        <v>0.83318679818975483</v>
      </c>
      <c r="BW93" s="513">
        <v>0.82198787382093152</v>
      </c>
      <c r="BX93" s="510">
        <v>38.56</v>
      </c>
      <c r="BY93" s="510">
        <v>659.70100000000002</v>
      </c>
      <c r="BZ93" s="514">
        <v>110.54564214103092</v>
      </c>
      <c r="CA93" s="514">
        <v>99.456125379500079</v>
      </c>
      <c r="CB93" s="510">
        <v>2.3314315352697097</v>
      </c>
      <c r="CC93" s="510">
        <v>2.3031646154848939</v>
      </c>
      <c r="CD93" s="514">
        <v>0</v>
      </c>
      <c r="CE93" s="514">
        <v>0</v>
      </c>
      <c r="CF93" s="514">
        <v>1166.7061721991709</v>
      </c>
      <c r="CG93" s="514">
        <v>1010.4789630453801</v>
      </c>
      <c r="CH93" s="514">
        <v>0</v>
      </c>
      <c r="CI93" s="514">
        <v>0</v>
      </c>
      <c r="CJ93" s="514"/>
      <c r="CK93" s="515"/>
    </row>
    <row r="94" spans="1:89" ht="12.75" customHeight="1">
      <c r="A94" s="560">
        <v>45955</v>
      </c>
      <c r="B94" s="512">
        <v>0.67129498069958682</v>
      </c>
      <c r="C94" s="513">
        <v>0.83528664300508237</v>
      </c>
      <c r="D94" s="513">
        <v>0.67129498069958682</v>
      </c>
      <c r="E94" s="513">
        <v>0.85899717582447566</v>
      </c>
      <c r="F94" s="510">
        <v>45.805</v>
      </c>
      <c r="G94" s="510">
        <v>1336.2809999999997</v>
      </c>
      <c r="H94" s="510">
        <v>2.9895644580285996</v>
      </c>
      <c r="I94" s="510">
        <v>2.3362728348303992</v>
      </c>
      <c r="J94" s="510">
        <v>1031.9973801986364</v>
      </c>
      <c r="K94" s="511">
        <v>1000.4032385403954</v>
      </c>
      <c r="L94" s="512">
        <v>0.97513906297977015</v>
      </c>
      <c r="M94" s="513">
        <v>0.82116510293691014</v>
      </c>
      <c r="N94" s="513">
        <v>0.97513906297977015</v>
      </c>
      <c r="O94" s="513">
        <v>0.865070935658247</v>
      </c>
      <c r="P94" s="510">
        <v>65.763999999999996</v>
      </c>
      <c r="Q94" s="510">
        <v>1277.4389999999999</v>
      </c>
      <c r="R94" s="510">
        <v>1.8971017578006204</v>
      </c>
      <c r="S94" s="510">
        <v>2.3916789764521051</v>
      </c>
      <c r="T94" s="510">
        <v>0.29195304421872148</v>
      </c>
      <c r="U94" s="510">
        <v>0.2454911741382563</v>
      </c>
      <c r="V94" s="510">
        <v>471.32412870263062</v>
      </c>
      <c r="W94" s="510">
        <v>634.45241612319626</v>
      </c>
      <c r="X94" s="510">
        <v>448.11751110029803</v>
      </c>
      <c r="Y94" s="569">
        <v>512.78580660211571</v>
      </c>
      <c r="Z94" s="512">
        <v>0</v>
      </c>
      <c r="AA94" s="513">
        <v>0.60803858504017794</v>
      </c>
      <c r="AB94" s="513" t="e">
        <v>#DIV/0!</v>
      </c>
      <c r="AC94" s="513">
        <v>0.86113929798363087</v>
      </c>
      <c r="AD94" s="510">
        <v>0</v>
      </c>
      <c r="AE94" s="510">
        <v>665.55100000000004</v>
      </c>
      <c r="AF94" s="510">
        <v>0</v>
      </c>
      <c r="AG94" s="510">
        <v>108.02163903640871</v>
      </c>
      <c r="AH94" s="510">
        <v>0</v>
      </c>
      <c r="AI94" s="510">
        <v>1.8088771559204333</v>
      </c>
      <c r="AJ94" s="510">
        <v>0</v>
      </c>
      <c r="AK94" s="569">
        <v>1078.3363558915846</v>
      </c>
      <c r="AL94" s="576">
        <v>0</v>
      </c>
      <c r="AM94" s="577">
        <v>0</v>
      </c>
      <c r="AN94" s="512">
        <v>0.8343555785071024</v>
      </c>
      <c r="AO94" s="513">
        <v>0.79508764768484597</v>
      </c>
      <c r="AP94" s="513">
        <v>0.8343555785071024</v>
      </c>
      <c r="AQ94" s="513">
        <v>0.79883960938519316</v>
      </c>
      <c r="AR94" s="510">
        <v>44.04</v>
      </c>
      <c r="AS94" s="510">
        <v>1050.5670000000002</v>
      </c>
      <c r="AT94" s="514">
        <v>83.64112792172709</v>
      </c>
      <c r="AU94" s="514">
        <v>119.94507729861152</v>
      </c>
      <c r="AV94" s="510">
        <v>1.530426884650318</v>
      </c>
      <c r="AW94" s="510">
        <v>1.4829135124175801</v>
      </c>
      <c r="AX94" s="510">
        <v>0.22479564032697549</v>
      </c>
      <c r="AY94" s="510">
        <v>0.18970708198525177</v>
      </c>
      <c r="AZ94" s="510">
        <v>866.49954586739307</v>
      </c>
      <c r="BA94" s="510">
        <v>906.27046156979986</v>
      </c>
      <c r="BB94" s="510">
        <v>535.87647593097188</v>
      </c>
      <c r="BC94" s="569">
        <v>484.25698884507125</v>
      </c>
      <c r="BD94" s="510">
        <v>2.7247956403269753</v>
      </c>
      <c r="BE94" s="510">
        <v>2.8080074854816486</v>
      </c>
      <c r="BF94" s="512">
        <v>0.88950665109299365</v>
      </c>
      <c r="BG94" s="513">
        <v>0.85705205286257669</v>
      </c>
      <c r="BH94" s="513">
        <v>0.88950665109299365</v>
      </c>
      <c r="BI94" s="513">
        <v>0.8686705767165499</v>
      </c>
      <c r="BJ94" s="510">
        <v>46.290999999999997</v>
      </c>
      <c r="BK94" s="510">
        <v>1138.7239999999999</v>
      </c>
      <c r="BL94" s="510">
        <v>2.9141733814348365</v>
      </c>
      <c r="BM94" s="510">
        <v>2.7442119424900149</v>
      </c>
      <c r="BN94" s="514">
        <v>0</v>
      </c>
      <c r="BO94" s="514">
        <v>0</v>
      </c>
      <c r="BP94" s="514">
        <v>1077.4439955930961</v>
      </c>
      <c r="BQ94" s="514">
        <v>1064.8529209887556</v>
      </c>
      <c r="BR94" s="514">
        <v>0</v>
      </c>
      <c r="BS94" s="515">
        <v>0</v>
      </c>
      <c r="BT94" s="512">
        <v>0.46427469827431206</v>
      </c>
      <c r="BU94" s="513">
        <v>0.53022159835193838</v>
      </c>
      <c r="BV94" s="513">
        <v>0.46427469827431206</v>
      </c>
      <c r="BW94" s="513">
        <v>0.80107629163125771</v>
      </c>
      <c r="BX94" s="510">
        <v>23.135000000000002</v>
      </c>
      <c r="BY94" s="510">
        <v>682.83600000000001</v>
      </c>
      <c r="BZ94" s="514">
        <v>134.53402750495522</v>
      </c>
      <c r="CA94" s="514">
        <v>100.6445912273353</v>
      </c>
      <c r="CB94" s="510">
        <v>3.7907931705208555</v>
      </c>
      <c r="CC94" s="510">
        <v>2.3535665957858112</v>
      </c>
      <c r="CD94" s="514">
        <v>0</v>
      </c>
      <c r="CE94" s="514">
        <v>0</v>
      </c>
      <c r="CF94" s="514">
        <v>1845.0814782796624</v>
      </c>
      <c r="CG94" s="514">
        <v>1038.7559273383365</v>
      </c>
      <c r="CH94" s="514">
        <v>0</v>
      </c>
      <c r="CI94" s="514">
        <v>0</v>
      </c>
      <c r="CJ94" s="514"/>
      <c r="CK94" s="515"/>
    </row>
    <row r="95" spans="1:89" ht="12.75" customHeight="1">
      <c r="A95" s="560">
        <v>45956</v>
      </c>
      <c r="B95" s="512">
        <v>0.66534898440076218</v>
      </c>
      <c r="C95" s="513">
        <v>0.82857742267349421</v>
      </c>
      <c r="D95" s="513">
        <v>0.66534898440076218</v>
      </c>
      <c r="E95" s="513">
        <v>0.8511436327751507</v>
      </c>
      <c r="F95" s="510">
        <v>43.750999999999998</v>
      </c>
      <c r="G95" s="510">
        <v>1380.0319999999997</v>
      </c>
      <c r="H95" s="510">
        <v>2.857671824644008</v>
      </c>
      <c r="I95" s="510">
        <v>2.3528026886333073</v>
      </c>
      <c r="J95" s="510">
        <v>1026.9529839318816</v>
      </c>
      <c r="K95" s="511">
        <v>1001.2449421462703</v>
      </c>
      <c r="L95" s="512">
        <v>0.97980613190252985</v>
      </c>
      <c r="M95" s="513">
        <v>0.82770200876517019</v>
      </c>
      <c r="N95" s="513">
        <v>0.97026283953750847</v>
      </c>
      <c r="O95" s="513">
        <v>0.86967000824856766</v>
      </c>
      <c r="P95" s="510">
        <v>65.506</v>
      </c>
      <c r="Q95" s="510">
        <v>1342.9449999999999</v>
      </c>
      <c r="R95" s="510">
        <v>1.8967728147039966</v>
      </c>
      <c r="S95" s="510">
        <v>2.3675385067891841</v>
      </c>
      <c r="T95" s="510">
        <v>0.19540194791316826</v>
      </c>
      <c r="U95" s="510">
        <v>0.24304792824724764</v>
      </c>
      <c r="V95" s="510">
        <v>499.03413427777895</v>
      </c>
      <c r="W95" s="510">
        <v>627.84700043560963</v>
      </c>
      <c r="X95" s="510">
        <v>307.13217109883061</v>
      </c>
      <c r="Y95" s="569">
        <v>502.75445978800326</v>
      </c>
      <c r="Z95" s="512">
        <v>0</v>
      </c>
      <c r="AA95" s="513">
        <v>0.58507548167555523</v>
      </c>
      <c r="AB95" s="513" t="e">
        <v>#DIV/0!</v>
      </c>
      <c r="AC95" s="513">
        <v>0.86113929798363087</v>
      </c>
      <c r="AD95" s="510">
        <v>0</v>
      </c>
      <c r="AE95" s="510">
        <v>665.55100000000004</v>
      </c>
      <c r="AF95" s="510">
        <v>0</v>
      </c>
      <c r="AG95" s="510">
        <v>108.15280690087724</v>
      </c>
      <c r="AH95" s="510">
        <v>0</v>
      </c>
      <c r="AI95" s="510">
        <v>1.8494450462849583</v>
      </c>
      <c r="AJ95" s="510">
        <v>0</v>
      </c>
      <c r="AK95" s="569">
        <v>1085.3985043971074</v>
      </c>
      <c r="AL95" s="576">
        <v>0</v>
      </c>
      <c r="AM95" s="577">
        <v>0</v>
      </c>
      <c r="AN95" s="512">
        <v>0.32501563337149919</v>
      </c>
      <c r="AO95" s="513">
        <v>0.77689869989566374</v>
      </c>
      <c r="AP95" s="513">
        <v>0.6056308259807226</v>
      </c>
      <c r="AQ95" s="513">
        <v>0.79473544720239964</v>
      </c>
      <c r="AR95" s="510">
        <v>17.286000000000001</v>
      </c>
      <c r="AS95" s="510">
        <v>1067.8530000000003</v>
      </c>
      <c r="AT95" s="514">
        <v>106.76847015210043</v>
      </c>
      <c r="AU95" s="514">
        <v>119.73177937171091</v>
      </c>
      <c r="AV95" s="510">
        <v>3.5346523197963666</v>
      </c>
      <c r="AW95" s="510">
        <v>1.5161262832992926</v>
      </c>
      <c r="AX95" s="510">
        <v>0.30082147402522269</v>
      </c>
      <c r="AY95" s="510">
        <v>0.1915057596878971</v>
      </c>
      <c r="AZ95" s="510">
        <v>1938.5757260210582</v>
      </c>
      <c r="BA95" s="510">
        <v>922.98102828760125</v>
      </c>
      <c r="BB95" s="510">
        <v>670.48478537544827</v>
      </c>
      <c r="BC95" s="569">
        <v>487.27157389640706</v>
      </c>
      <c r="BD95" s="510">
        <v>4.0495198426472285</v>
      </c>
      <c r="BE95" s="510">
        <v>2.8281046173958395</v>
      </c>
      <c r="BF95" s="512">
        <v>0.81208703577124641</v>
      </c>
      <c r="BG95" s="513">
        <v>0.85533759323814884</v>
      </c>
      <c r="BH95" s="513">
        <v>0.81208703577124641</v>
      </c>
      <c r="BI95" s="513">
        <v>0.866484999728655</v>
      </c>
      <c r="BJ95" s="510">
        <v>42.771000000000001</v>
      </c>
      <c r="BK95" s="510">
        <v>1181.4949999999999</v>
      </c>
      <c r="BL95" s="510">
        <v>3.175048514180169</v>
      </c>
      <c r="BM95" s="510">
        <v>2.7598085476451444</v>
      </c>
      <c r="BN95" s="514">
        <v>0</v>
      </c>
      <c r="BO95" s="514">
        <v>0</v>
      </c>
      <c r="BP95" s="514">
        <v>1108.9366626920107</v>
      </c>
      <c r="BQ95" s="514">
        <v>1066.4487853101366</v>
      </c>
      <c r="BR95" s="514">
        <v>0</v>
      </c>
      <c r="BS95" s="515">
        <v>0</v>
      </c>
      <c r="BT95" s="512">
        <v>0.49465140196536939</v>
      </c>
      <c r="BU95" s="513">
        <v>0.5289248069736836</v>
      </c>
      <c r="BV95" s="513">
        <v>0.83570358095048725</v>
      </c>
      <c r="BW95" s="513">
        <v>0.80220958732884828</v>
      </c>
      <c r="BX95" s="510">
        <v>24.103000000000002</v>
      </c>
      <c r="BY95" s="510">
        <v>706.93899999999996</v>
      </c>
      <c r="BZ95" s="514">
        <v>51.242638741480434</v>
      </c>
      <c r="CA95" s="514">
        <v>98.960237611582656</v>
      </c>
      <c r="CB95" s="510">
        <v>3.2858980209932374</v>
      </c>
      <c r="CC95" s="510">
        <v>2.3853543233574612</v>
      </c>
      <c r="CD95" s="514">
        <v>0</v>
      </c>
      <c r="CE95" s="514">
        <v>0</v>
      </c>
      <c r="CF95" s="514">
        <v>1365.4038916317477</v>
      </c>
      <c r="CG95" s="514">
        <v>1049.8929503111308</v>
      </c>
      <c r="CH95" s="514">
        <v>0</v>
      </c>
      <c r="CI95" s="514">
        <v>0</v>
      </c>
      <c r="CJ95" s="514"/>
      <c r="CK95" s="515"/>
    </row>
    <row r="96" spans="1:89" ht="12.75" customHeight="1">
      <c r="A96" s="560">
        <v>45957</v>
      </c>
      <c r="B96" s="512">
        <v>0.72930116213233642</v>
      </c>
      <c r="C96" s="513">
        <v>0.82457683940231963</v>
      </c>
      <c r="D96" s="513">
        <v>0.72930116213233642</v>
      </c>
      <c r="E96" s="513">
        <v>0.84610549563665283</v>
      </c>
      <c r="F96" s="510">
        <v>51.003999999999998</v>
      </c>
      <c r="G96" s="510">
        <v>1431.0359999999996</v>
      </c>
      <c r="H96" s="510">
        <v>2.6512430397615874</v>
      </c>
      <c r="I96" s="510">
        <v>2.3634394941846333</v>
      </c>
      <c r="J96" s="510">
        <v>975.25331346554935</v>
      </c>
      <c r="K96" s="511">
        <v>1000.31856640923</v>
      </c>
      <c r="L96" s="512">
        <v>0.90811978066880017</v>
      </c>
      <c r="M96" s="513">
        <v>0.83081240986881533</v>
      </c>
      <c r="N96" s="513">
        <v>0.90811978066880017</v>
      </c>
      <c r="O96" s="513">
        <v>0.87122951672795923</v>
      </c>
      <c r="P96" s="510">
        <v>59.281999999999996</v>
      </c>
      <c r="Q96" s="510">
        <v>1402.2269999999999</v>
      </c>
      <c r="R96" s="510">
        <v>1.9202962113289026</v>
      </c>
      <c r="S96" s="510">
        <v>2.3486304285967972</v>
      </c>
      <c r="T96" s="510">
        <v>0.32387571269525323</v>
      </c>
      <c r="U96" s="510">
        <v>0.24646508732181024</v>
      </c>
      <c r="V96" s="510">
        <v>494.61944603758582</v>
      </c>
      <c r="W96" s="510">
        <v>622.21453445126929</v>
      </c>
      <c r="X96" s="510">
        <v>486.94376033197261</v>
      </c>
      <c r="Y96" s="569">
        <v>502.08603029324075</v>
      </c>
      <c r="Z96" s="512">
        <v>0.27892518175260894</v>
      </c>
      <c r="AA96" s="513">
        <v>0.57172778935844437</v>
      </c>
      <c r="AB96" s="513">
        <v>0.44040818171464569</v>
      </c>
      <c r="AC96" s="513">
        <v>0.84398960799525446</v>
      </c>
      <c r="AD96" s="510">
        <v>14.464</v>
      </c>
      <c r="AE96" s="510">
        <v>680.0150000000001</v>
      </c>
      <c r="AF96" s="510">
        <v>191.76796484896425</v>
      </c>
      <c r="AG96" s="510">
        <v>109.93131126410617</v>
      </c>
      <c r="AH96" s="510">
        <v>3.2148783185840708</v>
      </c>
      <c r="AI96" s="510">
        <v>1.8784879745299738</v>
      </c>
      <c r="AJ96" s="510">
        <v>1643.5163163717568</v>
      </c>
      <c r="AK96" s="569">
        <v>1097.2697366969851</v>
      </c>
      <c r="AL96" s="576">
        <v>0</v>
      </c>
      <c r="AM96" s="577">
        <v>0</v>
      </c>
      <c r="AN96" s="512">
        <v>0.91180863207174212</v>
      </c>
      <c r="AO96" s="513">
        <v>0.78205065864074841</v>
      </c>
      <c r="AP96" s="513">
        <v>0.91180863207174212</v>
      </c>
      <c r="AQ96" s="513">
        <v>0.79930489237715385</v>
      </c>
      <c r="AR96" s="510">
        <v>49.761000000000003</v>
      </c>
      <c r="AS96" s="510">
        <v>1117.6140000000003</v>
      </c>
      <c r="AT96" s="514">
        <v>114.200154893877</v>
      </c>
      <c r="AU96" s="514">
        <v>119.48548757003208</v>
      </c>
      <c r="AV96" s="510">
        <v>1.2459556680934869</v>
      </c>
      <c r="AW96" s="510">
        <v>1.5040971211885317</v>
      </c>
      <c r="AX96" s="510">
        <v>0.1728261088000643</v>
      </c>
      <c r="AY96" s="510">
        <v>0.19067406099064613</v>
      </c>
      <c r="AZ96" s="510">
        <v>784.18480336006235</v>
      </c>
      <c r="BA96" s="510">
        <v>916.80122117296298</v>
      </c>
      <c r="BB96" s="510">
        <v>445.73059223086631</v>
      </c>
      <c r="BC96" s="569">
        <v>485.42199006096934</v>
      </c>
      <c r="BD96" s="510">
        <v>2.8134482827917444</v>
      </c>
      <c r="BE96" s="510">
        <v>2.8274520541081261</v>
      </c>
      <c r="BF96" s="512">
        <v>0.73505445590878105</v>
      </c>
      <c r="BG96" s="513">
        <v>0.85098125627830346</v>
      </c>
      <c r="BH96" s="513">
        <v>0.73505445590878105</v>
      </c>
      <c r="BI96" s="513">
        <v>0.86166517143131294</v>
      </c>
      <c r="BJ96" s="510">
        <v>38.155000000000001</v>
      </c>
      <c r="BK96" s="510">
        <v>1219.6499999999999</v>
      </c>
      <c r="BL96" s="510">
        <v>3.4884025684707112</v>
      </c>
      <c r="BM96" s="510">
        <v>2.7826015660230397</v>
      </c>
      <c r="BN96" s="514">
        <v>0</v>
      </c>
      <c r="BO96" s="514">
        <v>0</v>
      </c>
      <c r="BP96" s="514">
        <v>1310.3847464290407</v>
      </c>
      <c r="BQ96" s="514">
        <v>1074.0799717951872</v>
      </c>
      <c r="BR96" s="514">
        <v>0</v>
      </c>
      <c r="BS96" s="515">
        <v>0</v>
      </c>
      <c r="BT96" s="512">
        <v>0.56080583350215796</v>
      </c>
      <c r="BU96" s="513">
        <v>0.53005399515933571</v>
      </c>
      <c r="BV96" s="513">
        <v>0.56080583350215796</v>
      </c>
      <c r="BW96" s="513">
        <v>0.78947466982232872</v>
      </c>
      <c r="BX96" s="510">
        <v>27.523</v>
      </c>
      <c r="BY96" s="510">
        <v>734.46199999999999</v>
      </c>
      <c r="BZ96" s="514">
        <v>119.15685967192412</v>
      </c>
      <c r="CA96" s="514">
        <v>99.717079529839523</v>
      </c>
      <c r="CB96" s="510">
        <v>2.8594266613377903</v>
      </c>
      <c r="CC96" s="510">
        <v>2.4031195623463164</v>
      </c>
      <c r="CD96" s="514">
        <v>0</v>
      </c>
      <c r="CE96" s="514">
        <v>0</v>
      </c>
      <c r="CF96" s="514">
        <v>1336.6177378919385</v>
      </c>
      <c r="CG96" s="514">
        <v>1060.6375856068798</v>
      </c>
      <c r="CH96" s="514">
        <v>0</v>
      </c>
      <c r="CI96" s="514">
        <v>0</v>
      </c>
      <c r="CJ96" s="514"/>
      <c r="CK96" s="515"/>
    </row>
    <row r="97" spans="1:89" ht="12.75" customHeight="1">
      <c r="A97" s="560">
        <v>45958</v>
      </c>
      <c r="B97" s="512">
        <v>0.7313933022456568</v>
      </c>
      <c r="C97" s="513">
        <v>0.8211548736172527</v>
      </c>
      <c r="D97" s="513">
        <v>0.7313933022456568</v>
      </c>
      <c r="E97" s="513">
        <v>0.84178709190901391</v>
      </c>
      <c r="F97" s="510">
        <v>48.39</v>
      </c>
      <c r="G97" s="510">
        <v>1479.4259999999997</v>
      </c>
      <c r="H97" s="510">
        <v>2.6605290349245712</v>
      </c>
      <c r="I97" s="510">
        <v>2.3731568865222057</v>
      </c>
      <c r="J97" s="510">
        <v>922.47943790044064</v>
      </c>
      <c r="K97" s="511">
        <v>997.77255503147899</v>
      </c>
      <c r="L97" s="512">
        <v>0.97036088299112544</v>
      </c>
      <c r="M97" s="513">
        <v>0.83605348193671636</v>
      </c>
      <c r="N97" s="513">
        <v>0.97036088299112544</v>
      </c>
      <c r="O97" s="513">
        <v>0.87512662950424813</v>
      </c>
      <c r="P97" s="510">
        <v>63.91</v>
      </c>
      <c r="Q97" s="510">
        <v>1466.1369999999999</v>
      </c>
      <c r="R97" s="510">
        <v>1.8992332968236583</v>
      </c>
      <c r="S97" s="510">
        <v>2.3290408740792987</v>
      </c>
      <c r="T97" s="510">
        <v>0.28321076513847604</v>
      </c>
      <c r="U97" s="510">
        <v>0.24806685869055894</v>
      </c>
      <c r="V97" s="510">
        <v>420.42356438741388</v>
      </c>
      <c r="W97" s="510">
        <v>613.41831629649857</v>
      </c>
      <c r="X97" s="510">
        <v>461.86825222969804</v>
      </c>
      <c r="Y97" s="569">
        <v>500.33290749773039</v>
      </c>
      <c r="Z97" s="512">
        <v>0.2042365760857677</v>
      </c>
      <c r="AA97" s="513">
        <v>0.55695656792940307</v>
      </c>
      <c r="AB97" s="513">
        <v>0.2042365760857677</v>
      </c>
      <c r="AC97" s="513">
        <v>0.80674226632022272</v>
      </c>
      <c r="AD97" s="510">
        <v>10.173</v>
      </c>
      <c r="AE97" s="510">
        <v>690.1880000000001</v>
      </c>
      <c r="AF97" s="510">
        <v>191.48266055033284</v>
      </c>
      <c r="AG97" s="510">
        <v>111.13333430172604</v>
      </c>
      <c r="AH97" s="510">
        <v>3.6862282512533175</v>
      </c>
      <c r="AI97" s="510">
        <v>1.9051330941714433</v>
      </c>
      <c r="AJ97" s="510">
        <v>1898.041875552791</v>
      </c>
      <c r="AK97" s="569">
        <v>1109.072687441681</v>
      </c>
      <c r="AL97" s="576">
        <v>0</v>
      </c>
      <c r="AM97" s="577">
        <v>0</v>
      </c>
      <c r="AN97" s="512">
        <v>0.88749759282178886</v>
      </c>
      <c r="AO97" s="513">
        <v>0.78592278373794733</v>
      </c>
      <c r="AP97" s="513">
        <v>0.88749759282178886</v>
      </c>
      <c r="AQ97" s="513">
        <v>0.80261219502265613</v>
      </c>
      <c r="AR97" s="510">
        <v>48.348999999999997</v>
      </c>
      <c r="AS97" s="510">
        <v>1165.9630000000002</v>
      </c>
      <c r="AT97" s="514">
        <v>120.94420605671908</v>
      </c>
      <c r="AU97" s="514">
        <v>119.54597626488162</v>
      </c>
      <c r="AV97" s="510">
        <v>1.2761380793811663</v>
      </c>
      <c r="AW97" s="510">
        <v>1.4946443412012214</v>
      </c>
      <c r="AX97" s="510">
        <v>0.17787337897371197</v>
      </c>
      <c r="AY97" s="510">
        <v>0.19014325497464327</v>
      </c>
      <c r="AZ97" s="510">
        <v>811.16010672402717</v>
      </c>
      <c r="BA97" s="510">
        <v>912.42059996758042</v>
      </c>
      <c r="BB97" s="510">
        <v>467.0210345612121</v>
      </c>
      <c r="BC97" s="569">
        <v>484.65895744547652</v>
      </c>
      <c r="BD97" s="510">
        <v>2.8956131460836834</v>
      </c>
      <c r="BE97" s="510">
        <v>2.8302784908268954</v>
      </c>
      <c r="BF97" s="512">
        <v>0.79284083043622589</v>
      </c>
      <c r="BG97" s="513">
        <v>0.84898180014360647</v>
      </c>
      <c r="BH97" s="513">
        <v>0.79284083043622589</v>
      </c>
      <c r="BI97" s="513">
        <v>0.85926961278484226</v>
      </c>
      <c r="BJ97" s="510">
        <v>40.47</v>
      </c>
      <c r="BK97" s="510">
        <v>1260.1199999999999</v>
      </c>
      <c r="BL97" s="510">
        <v>3.3012107734124041</v>
      </c>
      <c r="BM97" s="510">
        <v>2.7992572135987048</v>
      </c>
      <c r="BN97" s="514">
        <v>0</v>
      </c>
      <c r="BO97" s="514">
        <v>0</v>
      </c>
      <c r="BP97" s="514">
        <v>1117.2021250308771</v>
      </c>
      <c r="BQ97" s="514">
        <v>1075.4648823921527</v>
      </c>
      <c r="BR97" s="514">
        <v>0</v>
      </c>
      <c r="BS97" s="515">
        <v>0</v>
      </c>
      <c r="BT97" s="512">
        <v>1.0354079048772293</v>
      </c>
      <c r="BU97" s="513">
        <v>0.54731994830388797</v>
      </c>
      <c r="BV97" s="513">
        <v>1.0354079048772293</v>
      </c>
      <c r="BW97" s="513">
        <v>0.80178382261850023</v>
      </c>
      <c r="BX97" s="510">
        <v>50.752000000000002</v>
      </c>
      <c r="BY97" s="510">
        <v>785.21399999999994</v>
      </c>
      <c r="BZ97" s="514">
        <v>78.568637208093321</v>
      </c>
      <c r="CA97" s="514">
        <v>98.350158225948789</v>
      </c>
      <c r="CB97" s="510">
        <v>1.8087957124842369</v>
      </c>
      <c r="CC97" s="510">
        <v>2.3647056725937139</v>
      </c>
      <c r="CD97" s="514">
        <v>0</v>
      </c>
      <c r="CE97" s="514">
        <v>0</v>
      </c>
      <c r="CF97" s="514">
        <v>812.05016551071867</v>
      </c>
      <c r="CG97" s="514">
        <v>1044.5702348659097</v>
      </c>
      <c r="CH97" s="514">
        <v>0</v>
      </c>
      <c r="CI97" s="514">
        <v>0</v>
      </c>
      <c r="CJ97" s="514"/>
      <c r="CK97" s="515"/>
    </row>
    <row r="98" spans="1:89" ht="12.75" customHeight="1">
      <c r="A98" s="560">
        <v>45959</v>
      </c>
      <c r="B98" s="512">
        <v>0.94014828377734716</v>
      </c>
      <c r="C98" s="513">
        <v>0.82534027937267795</v>
      </c>
      <c r="D98" s="513">
        <v>0.94014828377734716</v>
      </c>
      <c r="E98" s="513">
        <v>0.8453305881987182</v>
      </c>
      <c r="F98" s="510">
        <v>61.749000000000002</v>
      </c>
      <c r="G98" s="510">
        <v>1541.1749999999997</v>
      </c>
      <c r="H98" s="510">
        <v>2.0970542033069361</v>
      </c>
      <c r="I98" s="510">
        <v>2.3620945058153686</v>
      </c>
      <c r="J98" s="510">
        <v>860.25393123773779</v>
      </c>
      <c r="K98" s="511">
        <v>992.26270864762273</v>
      </c>
      <c r="L98" s="512">
        <v>0.98321760510606426</v>
      </c>
      <c r="M98" s="513">
        <v>0.84202816349355303</v>
      </c>
      <c r="N98" s="513">
        <v>0.98321760510606426</v>
      </c>
      <c r="O98" s="513">
        <v>0.87971138147126959</v>
      </c>
      <c r="P98" s="510">
        <v>72.962999999999994</v>
      </c>
      <c r="Q98" s="510">
        <v>1539.1</v>
      </c>
      <c r="R98" s="510">
        <v>1.98750051395913</v>
      </c>
      <c r="S98" s="510">
        <v>2.3128497173672931</v>
      </c>
      <c r="T98" s="510">
        <v>0.17406082534983486</v>
      </c>
      <c r="U98" s="510">
        <v>0.24455850821908909</v>
      </c>
      <c r="V98" s="510">
        <v>567.89523457095231</v>
      </c>
      <c r="W98" s="510">
        <v>611.26023650185164</v>
      </c>
      <c r="X98" s="510">
        <v>314.1181146608555</v>
      </c>
      <c r="Y98" s="569">
        <v>491.50515755961277</v>
      </c>
      <c r="Z98" s="512">
        <v>0.23000544920340599</v>
      </c>
      <c r="AA98" s="513">
        <v>0.54544356618776801</v>
      </c>
      <c r="AB98" s="513">
        <v>0.86028012169585621</v>
      </c>
      <c r="AC98" s="513">
        <v>0.80748845980230732</v>
      </c>
      <c r="AD98" s="510">
        <v>10.403</v>
      </c>
      <c r="AE98" s="510">
        <v>700.59100000000012</v>
      </c>
      <c r="AF98" s="510">
        <v>56.619495384260659</v>
      </c>
      <c r="AG98" s="510">
        <v>110.32386420254063</v>
      </c>
      <c r="AH98" s="510">
        <v>1.3361530327790061</v>
      </c>
      <c r="AI98" s="510">
        <v>1.8966843707669669</v>
      </c>
      <c r="AJ98" s="510">
        <v>1347.6074209363733</v>
      </c>
      <c r="AK98" s="569">
        <v>1112.6146639051885</v>
      </c>
      <c r="AL98" s="576">
        <v>0</v>
      </c>
      <c r="AM98" s="577">
        <v>0</v>
      </c>
      <c r="AN98" s="512">
        <v>0.84773450984723719</v>
      </c>
      <c r="AO98" s="513">
        <v>0.78803843059556644</v>
      </c>
      <c r="AP98" s="513">
        <v>0.84773450984723719</v>
      </c>
      <c r="AQ98" s="513">
        <v>0.80418825959973583</v>
      </c>
      <c r="AR98" s="510">
        <v>44.572000000000003</v>
      </c>
      <c r="AS98" s="510">
        <v>1210.5350000000003</v>
      </c>
      <c r="AT98" s="514">
        <v>124.64298229155791</v>
      </c>
      <c r="AU98" s="514">
        <v>119.73364845331153</v>
      </c>
      <c r="AV98" s="510">
        <v>1.4201741003320469</v>
      </c>
      <c r="AW98" s="510">
        <v>1.4919023407005989</v>
      </c>
      <c r="AX98" s="510">
        <v>0.24230458583864309</v>
      </c>
      <c r="AY98" s="510">
        <v>0.19206383954202066</v>
      </c>
      <c r="AZ98" s="510">
        <v>917.37323880462986</v>
      </c>
      <c r="BA98" s="510">
        <v>912.60295654400727</v>
      </c>
      <c r="BB98" s="510">
        <v>608.67809387059049</v>
      </c>
      <c r="BC98" s="569">
        <v>489.22535242681965</v>
      </c>
      <c r="BD98" s="510">
        <v>2.9166292739836668</v>
      </c>
      <c r="BE98" s="510">
        <v>2.8334579338887349</v>
      </c>
      <c r="BF98" s="512">
        <v>0.82674455884845854</v>
      </c>
      <c r="BG98" s="513">
        <v>0.84822770152224869</v>
      </c>
      <c r="BH98" s="513">
        <v>0.82674455884845854</v>
      </c>
      <c r="BI98" s="513">
        <v>0.85815373172199161</v>
      </c>
      <c r="BJ98" s="510">
        <v>43.073999999999998</v>
      </c>
      <c r="BK98" s="510">
        <v>1303.194</v>
      </c>
      <c r="BL98" s="510">
        <v>3.1620002785903329</v>
      </c>
      <c r="BM98" s="510">
        <v>2.8112468289448844</v>
      </c>
      <c r="BN98" s="514">
        <v>0</v>
      </c>
      <c r="BO98" s="514">
        <v>0</v>
      </c>
      <c r="BP98" s="514">
        <v>1139.2891303338567</v>
      </c>
      <c r="BQ98" s="514">
        <v>1077.5744421782174</v>
      </c>
      <c r="BR98" s="514">
        <v>0</v>
      </c>
      <c r="BS98" s="515">
        <v>0</v>
      </c>
      <c r="BT98" s="512">
        <v>0.82954698594074572</v>
      </c>
      <c r="BU98" s="513">
        <v>0.55677131086856846</v>
      </c>
      <c r="BV98" s="513">
        <v>0.82954698594074572</v>
      </c>
      <c r="BW98" s="513">
        <v>0.80312495307355136</v>
      </c>
      <c r="BX98" s="510">
        <v>41.235999999999997</v>
      </c>
      <c r="BY98" s="510">
        <v>826.44999999999993</v>
      </c>
      <c r="BZ98" s="514">
        <v>100.31041766461873</v>
      </c>
      <c r="CA98" s="514">
        <v>98.447966028251415</v>
      </c>
      <c r="CB98" s="510">
        <v>2.2553108933941219</v>
      </c>
      <c r="CC98" s="510">
        <v>2.3592473833867751</v>
      </c>
      <c r="CD98" s="514">
        <v>0</v>
      </c>
      <c r="CE98" s="514">
        <v>0</v>
      </c>
      <c r="CF98" s="514">
        <v>1070.999611989525</v>
      </c>
      <c r="CG98" s="514">
        <v>1045.8889375037816</v>
      </c>
      <c r="CH98" s="514">
        <v>0</v>
      </c>
      <c r="CI98" s="514">
        <v>0</v>
      </c>
      <c r="CJ98" s="514"/>
      <c r="CK98" s="515"/>
    </row>
    <row r="99" spans="1:89" ht="12.75" customHeight="1">
      <c r="A99" s="560">
        <v>45960</v>
      </c>
      <c r="B99" s="512">
        <v>0.70458464433047752</v>
      </c>
      <c r="C99" s="513">
        <v>0.82060090513527884</v>
      </c>
      <c r="D99" s="513">
        <v>0.70458464433047752</v>
      </c>
      <c r="E99" s="513">
        <v>0.83967822080759025</v>
      </c>
      <c r="F99" s="510">
        <v>53.747</v>
      </c>
      <c r="G99" s="510">
        <v>1594.9219999999998</v>
      </c>
      <c r="H99" s="510">
        <v>2.7069975998660389</v>
      </c>
      <c r="I99" s="510">
        <v>2.3737173353932044</v>
      </c>
      <c r="J99" s="510">
        <v>934.00450257687919</v>
      </c>
      <c r="K99" s="511">
        <v>990.29947546024152</v>
      </c>
      <c r="L99" s="512">
        <v>0.91218582770484657</v>
      </c>
      <c r="M99" s="513">
        <v>0.84479646872284542</v>
      </c>
      <c r="N99" s="513">
        <v>0.91218582770484657</v>
      </c>
      <c r="O99" s="513">
        <v>0.88104775530928203</v>
      </c>
      <c r="P99" s="510">
        <v>68.492999999999995</v>
      </c>
      <c r="Q99" s="510">
        <v>1607.5929999999998</v>
      </c>
      <c r="R99" s="510">
        <v>2.0809425780736714</v>
      </c>
      <c r="S99" s="510">
        <v>2.3029690972777321</v>
      </c>
      <c r="T99" s="510">
        <v>0.23360051392113065</v>
      </c>
      <c r="U99" s="510">
        <v>0.24409163264582517</v>
      </c>
      <c r="V99" s="510">
        <v>552.68421590527578</v>
      </c>
      <c r="W99" s="510">
        <v>608.76455048012781</v>
      </c>
      <c r="X99" s="510">
        <v>348.09396580672473</v>
      </c>
      <c r="Y99" s="569">
        <v>485.39498990105091</v>
      </c>
      <c r="Z99" s="512">
        <v>0</v>
      </c>
      <c r="AA99" s="513">
        <v>0.52756301818136786</v>
      </c>
      <c r="AB99" s="513" t="e">
        <v>#DIV/0!</v>
      </c>
      <c r="AC99" s="513">
        <v>0.80748845980230732</v>
      </c>
      <c r="AD99" s="510">
        <v>0</v>
      </c>
      <c r="AE99" s="510">
        <v>700.59100000000012</v>
      </c>
      <c r="AF99" s="510">
        <v>0</v>
      </c>
      <c r="AG99" s="510">
        <v>110.32386420254063</v>
      </c>
      <c r="AH99" s="510">
        <v>0</v>
      </c>
      <c r="AI99" s="510">
        <v>1.9172384458264526</v>
      </c>
      <c r="AJ99" s="510">
        <v>0</v>
      </c>
      <c r="AK99" s="569">
        <v>1119.8522675855097</v>
      </c>
      <c r="AL99" s="576">
        <v>0</v>
      </c>
      <c r="AM99" s="577">
        <v>0</v>
      </c>
      <c r="AN99" s="512">
        <v>0.82012367549707033</v>
      </c>
      <c r="AO99" s="513">
        <v>0.78914349694359243</v>
      </c>
      <c r="AP99" s="513">
        <v>0.82012367549707033</v>
      </c>
      <c r="AQ99" s="513">
        <v>0.80474795314266201</v>
      </c>
      <c r="AR99" s="510">
        <v>44.938000000000002</v>
      </c>
      <c r="AS99" s="510">
        <v>1255.4730000000004</v>
      </c>
      <c r="AT99" s="514">
        <v>124.21549961800871</v>
      </c>
      <c r="AU99" s="514">
        <v>119.89407040395415</v>
      </c>
      <c r="AV99" s="510">
        <v>1.4108327028350169</v>
      </c>
      <c r="AW99" s="510">
        <v>1.4890005599483218</v>
      </c>
      <c r="AX99" s="510">
        <v>0.26480929280341803</v>
      </c>
      <c r="AY99" s="510">
        <v>0.19466766708642874</v>
      </c>
      <c r="AZ99" s="510">
        <v>912.82656103965553</v>
      </c>
      <c r="BA99" s="510">
        <v>912.6109601719827</v>
      </c>
      <c r="BB99" s="510">
        <v>600.0756597979431</v>
      </c>
      <c r="BC99" s="569">
        <v>493.19309296177613</v>
      </c>
      <c r="BD99" s="510">
        <v>5.1181628020828693</v>
      </c>
      <c r="BE99" s="510">
        <v>2.9152359309997098</v>
      </c>
      <c r="BF99" s="512">
        <v>0.74764744878637046</v>
      </c>
      <c r="BG99" s="513">
        <v>0.84492620435648247</v>
      </c>
      <c r="BH99" s="513">
        <v>0.74764744878637046</v>
      </c>
      <c r="BI99" s="513">
        <v>0.85448537945354086</v>
      </c>
      <c r="BJ99" s="510">
        <v>38.984000000000002</v>
      </c>
      <c r="BK99" s="510">
        <v>1342.1779999999999</v>
      </c>
      <c r="BL99" s="510">
        <v>3.5476092756002462</v>
      </c>
      <c r="BM99" s="510">
        <v>2.8326347176007949</v>
      </c>
      <c r="BN99" s="514">
        <v>0</v>
      </c>
      <c r="BO99" s="514">
        <v>0</v>
      </c>
      <c r="BP99" s="514">
        <v>1413.8626103016481</v>
      </c>
      <c r="BQ99" s="514">
        <v>1087.3420422626502</v>
      </c>
      <c r="BR99" s="514">
        <v>0</v>
      </c>
      <c r="BS99" s="515">
        <v>0</v>
      </c>
      <c r="BT99" s="512">
        <v>0.73589135703641773</v>
      </c>
      <c r="BU99" s="513">
        <v>0.56292282912310532</v>
      </c>
      <c r="BV99" s="513">
        <v>0.74544484712513037</v>
      </c>
      <c r="BW99" s="513">
        <v>0.800344660182427</v>
      </c>
      <c r="BX99" s="510">
        <v>38.847999999999999</v>
      </c>
      <c r="BY99" s="510">
        <v>865.29799999999989</v>
      </c>
      <c r="BZ99" s="514">
        <v>105.66834529875221</v>
      </c>
      <c r="CA99" s="514">
        <v>98.772128679615932</v>
      </c>
      <c r="CB99" s="510">
        <v>2.3990939044481054</v>
      </c>
      <c r="CC99" s="510">
        <v>2.3610363135012453</v>
      </c>
      <c r="CD99" s="514">
        <v>0.11068780889621087</v>
      </c>
      <c r="CE99" s="514">
        <v>4.9693862692390374E-3</v>
      </c>
      <c r="CF99" s="514">
        <v>972.8629530477773</v>
      </c>
      <c r="CG99" s="514">
        <v>1042.6103982674183</v>
      </c>
      <c r="CH99" s="514">
        <v>256.73908566721553</v>
      </c>
      <c r="CI99" s="514">
        <v>11.526433667938663</v>
      </c>
      <c r="CJ99" s="514"/>
      <c r="CK99" s="515"/>
    </row>
    <row r="100" spans="1:89" ht="12.75" customHeight="1">
      <c r="A100" s="560">
        <v>45961</v>
      </c>
      <c r="B100" s="512">
        <v>0.79466554557845026</v>
      </c>
      <c r="C100" s="513">
        <v>0.81961610597326295</v>
      </c>
      <c r="D100" s="513">
        <v>0.79466554557845026</v>
      </c>
      <c r="E100" s="513">
        <v>0.83793083858755912</v>
      </c>
      <c r="F100" s="510">
        <v>60.962000000000003</v>
      </c>
      <c r="G100" s="510">
        <v>1655.8839999999998</v>
      </c>
      <c r="H100" s="510">
        <v>2.5448148026639545</v>
      </c>
      <c r="I100" s="510">
        <v>2.3800163538025614</v>
      </c>
      <c r="J100" s="510">
        <v>906.79406843608024</v>
      </c>
      <c r="K100" s="511">
        <v>987.22519210282826</v>
      </c>
      <c r="L100" s="512">
        <v>0.73917937601684491</v>
      </c>
      <c r="M100" s="513">
        <v>0.84175524031029192</v>
      </c>
      <c r="N100" s="513">
        <v>0.73917937601684491</v>
      </c>
      <c r="O100" s="513">
        <v>0.87679263832975451</v>
      </c>
      <c r="P100" s="510">
        <v>41.704000000000001</v>
      </c>
      <c r="Q100" s="510">
        <v>1649.2969999999998</v>
      </c>
      <c r="R100" s="510">
        <v>2.9641521197007483</v>
      </c>
      <c r="S100" s="510">
        <v>2.3196877214958866</v>
      </c>
      <c r="T100" s="510">
        <v>0.32610780740456552</v>
      </c>
      <c r="U100" s="510">
        <v>0.24616548747739192</v>
      </c>
      <c r="V100" s="510">
        <v>898.98259159794077</v>
      </c>
      <c r="W100" s="510">
        <v>616.10298205841684</v>
      </c>
      <c r="X100" s="510">
        <v>525.58507577210821</v>
      </c>
      <c r="Y100" s="569">
        <v>486.41123339216654</v>
      </c>
      <c r="Z100" s="512">
        <v>0</v>
      </c>
      <c r="AA100" s="513">
        <v>0.51081756803054779</v>
      </c>
      <c r="AB100" s="513" t="e">
        <v>#DIV/0!</v>
      </c>
      <c r="AC100" s="513">
        <v>0.80748845980230732</v>
      </c>
      <c r="AD100" s="510">
        <v>0</v>
      </c>
      <c r="AE100" s="510">
        <v>700.59100000000012</v>
      </c>
      <c r="AF100" s="510">
        <v>0</v>
      </c>
      <c r="AG100" s="510">
        <v>110.32386420254063</v>
      </c>
      <c r="AH100" s="510">
        <v>0</v>
      </c>
      <c r="AI100" s="510">
        <v>1.9417891465919492</v>
      </c>
      <c r="AJ100" s="510">
        <v>0</v>
      </c>
      <c r="AK100" s="569">
        <v>1127.8883114399123</v>
      </c>
      <c r="AL100" s="576">
        <v>0</v>
      </c>
      <c r="AM100" s="577">
        <v>0</v>
      </c>
      <c r="AN100" s="512">
        <v>0.78131922183136659</v>
      </c>
      <c r="AO100" s="513">
        <v>0.78888926318585439</v>
      </c>
      <c r="AP100" s="513">
        <v>0.78131922183136659</v>
      </c>
      <c r="AQ100" s="513">
        <v>0.80397212983171706</v>
      </c>
      <c r="AR100" s="510">
        <v>41.746000000000002</v>
      </c>
      <c r="AS100" s="510">
        <v>1297.2190000000005</v>
      </c>
      <c r="AT100" s="514">
        <v>124.92287478783395</v>
      </c>
      <c r="AU100" s="514">
        <v>120.055903115169</v>
      </c>
      <c r="AV100" s="510">
        <v>1.4779859148181862</v>
      </c>
      <c r="AW100" s="510">
        <v>1.4886460959945849</v>
      </c>
      <c r="AX100" s="510">
        <v>0.21319407847458438</v>
      </c>
      <c r="AY100" s="510">
        <v>0.19526386832138592</v>
      </c>
      <c r="AZ100" s="510">
        <v>931.10669285680035</v>
      </c>
      <c r="BA100" s="510">
        <v>913.20617413096761</v>
      </c>
      <c r="BB100" s="510">
        <v>501.86365160733959</v>
      </c>
      <c r="BC100" s="569">
        <v>493.47212151533398</v>
      </c>
      <c r="BD100" s="510">
        <v>5.5095098931634165</v>
      </c>
      <c r="BE100" s="510">
        <v>2.9987226520733956</v>
      </c>
      <c r="BF100" s="512">
        <v>0.84111558774454287</v>
      </c>
      <c r="BG100" s="513">
        <v>0.84480150722122049</v>
      </c>
      <c r="BH100" s="513">
        <v>0.84111558774454287</v>
      </c>
      <c r="BI100" s="513">
        <v>0.85404308554088593</v>
      </c>
      <c r="BJ100" s="510">
        <v>45.201999999999998</v>
      </c>
      <c r="BK100" s="510">
        <v>1387.3799999999999</v>
      </c>
      <c r="BL100" s="510">
        <v>3.1038449626122744</v>
      </c>
      <c r="BM100" s="510">
        <v>2.8414709740662256</v>
      </c>
      <c r="BN100" s="514">
        <v>0</v>
      </c>
      <c r="BO100" s="514">
        <v>0</v>
      </c>
      <c r="BP100" s="514">
        <v>1309.8969072165071</v>
      </c>
      <c r="BQ100" s="514">
        <v>1094.5930657786623</v>
      </c>
      <c r="BR100" s="514">
        <v>0</v>
      </c>
      <c r="BS100" s="515">
        <v>0</v>
      </c>
      <c r="BT100" s="512">
        <v>0.74858932356270591</v>
      </c>
      <c r="BU100" s="513">
        <v>0.56906056118136883</v>
      </c>
      <c r="BV100" s="513">
        <v>0.74858932356270591</v>
      </c>
      <c r="BW100" s="513">
        <v>0.79794558249051384</v>
      </c>
      <c r="BX100" s="510">
        <v>39.340000000000003</v>
      </c>
      <c r="BY100" s="510">
        <v>904.63799999999992</v>
      </c>
      <c r="BZ100" s="514">
        <v>85.230545732259358</v>
      </c>
      <c r="CA100" s="514">
        <v>98.183245752799891</v>
      </c>
      <c r="CB100" s="510">
        <v>2.0081342145399081</v>
      </c>
      <c r="CC100" s="510">
        <v>2.3456896570783012</v>
      </c>
      <c r="CD100" s="514">
        <v>0.20843924758515503</v>
      </c>
      <c r="CE100" s="514">
        <v>1.3817681768840134E-2</v>
      </c>
      <c r="CF100" s="514">
        <v>646.66954753431617</v>
      </c>
      <c r="CG100" s="514">
        <v>1025.3921152991588</v>
      </c>
      <c r="CH100" s="514">
        <v>491.5912557193696</v>
      </c>
      <c r="CI100" s="514">
        <v>32.403016455200856</v>
      </c>
      <c r="CJ100" s="514"/>
      <c r="CK100" s="515"/>
    </row>
    <row r="101" spans="1:89" ht="12.75" customHeight="1">
      <c r="A101" s="560"/>
      <c r="B101" s="512"/>
      <c r="C101" s="513"/>
      <c r="D101" s="513"/>
      <c r="E101" s="513"/>
      <c r="F101" s="510"/>
      <c r="G101" s="510"/>
      <c r="H101" s="510"/>
      <c r="I101" s="510"/>
      <c r="J101" s="510"/>
      <c r="K101" s="511"/>
      <c r="L101" s="512"/>
      <c r="M101" s="513"/>
      <c r="N101" s="513"/>
      <c r="O101" s="513"/>
      <c r="P101" s="510"/>
      <c r="Q101" s="510"/>
      <c r="R101" s="510"/>
      <c r="S101" s="510"/>
      <c r="T101" s="510"/>
      <c r="U101" s="510"/>
      <c r="V101" s="510"/>
      <c r="W101" s="510"/>
      <c r="X101" s="510"/>
      <c r="Y101" s="569"/>
      <c r="Z101" s="512"/>
      <c r="AA101" s="513"/>
      <c r="AB101" s="513"/>
      <c r="AC101" s="513"/>
      <c r="AD101" s="510"/>
      <c r="AE101" s="510"/>
      <c r="AF101" s="510"/>
      <c r="AG101" s="510"/>
      <c r="AH101" s="510"/>
      <c r="AI101" s="510"/>
      <c r="AJ101" s="510"/>
      <c r="AK101" s="569"/>
      <c r="AL101" s="510"/>
      <c r="AM101" s="569"/>
      <c r="AN101" s="512"/>
      <c r="AO101" s="513"/>
      <c r="AP101" s="513"/>
      <c r="AQ101" s="513"/>
      <c r="AR101" s="510"/>
      <c r="AS101" s="510"/>
      <c r="AT101" s="514"/>
      <c r="AU101" s="514"/>
      <c r="AV101" s="510"/>
      <c r="AW101" s="510"/>
      <c r="AX101" s="510"/>
      <c r="AY101" s="510"/>
      <c r="AZ101" s="510"/>
      <c r="BA101" s="510"/>
      <c r="BB101" s="510"/>
      <c r="BC101" s="569"/>
      <c r="BD101" s="510"/>
      <c r="BE101" s="511"/>
      <c r="BF101" s="512"/>
      <c r="BG101" s="513"/>
      <c r="BH101" s="513"/>
      <c r="BI101" s="513"/>
      <c r="BJ101" s="510"/>
      <c r="BK101" s="510"/>
      <c r="BL101" s="510"/>
      <c r="BM101" s="510"/>
      <c r="BN101" s="514"/>
      <c r="BO101" s="514"/>
      <c r="BP101" s="514"/>
      <c r="BQ101" s="514"/>
      <c r="BR101" s="514"/>
      <c r="BS101" s="515"/>
      <c r="BT101" s="512"/>
      <c r="BU101" s="513"/>
      <c r="BV101" s="513"/>
      <c r="BW101" s="513"/>
      <c r="BX101" s="510"/>
      <c r="BY101" s="510"/>
      <c r="BZ101" s="510"/>
      <c r="CA101" s="510"/>
      <c r="CB101" s="510"/>
      <c r="CC101" s="510"/>
      <c r="CD101" s="510"/>
      <c r="CE101" s="510"/>
      <c r="CF101" s="1023"/>
      <c r="CG101" s="514"/>
      <c r="CH101" s="514"/>
      <c r="CI101" s="514"/>
      <c r="CJ101" s="514"/>
      <c r="CK101" s="515"/>
    </row>
    <row r="102" spans="1:89" ht="12.75" customHeight="1" thickBot="1">
      <c r="A102" s="585" t="s">
        <v>225</v>
      </c>
      <c r="B102" s="679">
        <f>+'[8]eff all'!$B$38:$C$38</f>
        <v>0.81961610597326295</v>
      </c>
      <c r="C102" s="680"/>
      <c r="D102" s="682">
        <f>+'[8]eff all'!$D$38:$E$38</f>
        <v>0.83793083858755912</v>
      </c>
      <c r="E102" s="680"/>
      <c r="F102" s="676">
        <f>+'[8]eff all'!$F$38:$G$38</f>
        <v>1655.8839999999998</v>
      </c>
      <c r="G102" s="677"/>
      <c r="H102" s="674">
        <f>+'[8]eff all'!$H$38:$I$38</f>
        <v>2.3800163538025614</v>
      </c>
      <c r="I102" s="675"/>
      <c r="J102" s="676">
        <f>+'[8]eff all'!$J$38:$K$38</f>
        <v>987.22519210282826</v>
      </c>
      <c r="K102" s="685"/>
      <c r="L102" s="679">
        <f>+'[8]eff all'!$L$38:$M$38</f>
        <v>0.84175524031029192</v>
      </c>
      <c r="M102" s="680"/>
      <c r="N102" s="682">
        <f>+'[8]eff all'!$N$38:$O$38</f>
        <v>0.87679263832975451</v>
      </c>
      <c r="O102" s="680"/>
      <c r="P102" s="676">
        <f>+'[8]eff all'!$P$38:$Q$38</f>
        <v>1649.2969999999998</v>
      </c>
      <c r="Q102" s="677"/>
      <c r="R102" s="674">
        <f>+'[8]eff all'!$R$38:$S$38</f>
        <v>2.3196877214958866</v>
      </c>
      <c r="S102" s="675"/>
      <c r="T102" s="674">
        <f>+'[8]eff all'!$T$38:$U$38</f>
        <v>0.24616548747739192</v>
      </c>
      <c r="U102" s="675"/>
      <c r="V102" s="676">
        <f>+'[8]eff all'!$V$38:$W$38</f>
        <v>616.10298205841684</v>
      </c>
      <c r="W102" s="677"/>
      <c r="X102" s="674">
        <f>+'[8]eff all'!$X$38:$Y$38</f>
        <v>486.41123339216654</v>
      </c>
      <c r="Y102" s="678"/>
      <c r="Z102" s="679">
        <f>+'[8]eff all'!$Z$38:$AA$38</f>
        <v>0.51081756803054779</v>
      </c>
      <c r="AA102" s="680"/>
      <c r="AB102" s="682">
        <f>+'[8]eff all'!$AB$38:$AC$38</f>
        <v>0.80748845980230732</v>
      </c>
      <c r="AC102" s="680"/>
      <c r="AD102" s="676">
        <f>+'[8]eff all'!$AD$38:$AE$38</f>
        <v>700.59100000000012</v>
      </c>
      <c r="AE102" s="677"/>
      <c r="AF102" s="674">
        <f>+'[8]eff all'!$AF$38:$AG$38</f>
        <v>110.32386420254063</v>
      </c>
      <c r="AG102" s="675"/>
      <c r="AH102" s="674">
        <f>+'[8]eff all'!$AH$38:$AI$38</f>
        <v>1.9417891465919492</v>
      </c>
      <c r="AI102" s="675"/>
      <c r="AJ102" s="674">
        <f>+'[8]eff all'!$AJ$38:$AK$38</f>
        <v>1127.8883114399123</v>
      </c>
      <c r="AK102" s="675"/>
      <c r="AL102" s="676">
        <f>+'[8]eff all'!$AL$38:$AM$38</f>
        <v>0</v>
      </c>
      <c r="AM102" s="685"/>
      <c r="AN102" s="679">
        <f>+'[8]eff all'!$AN$38:$AO$38</f>
        <v>0.78888926318585439</v>
      </c>
      <c r="AO102" s="680"/>
      <c r="AP102" s="682">
        <f>+'[8]eff all'!$AP$38:$AQ$38</f>
        <v>0.80397212983171706</v>
      </c>
      <c r="AQ102" s="680"/>
      <c r="AR102" s="686">
        <f>+'[8]eff all'!$AR$38:$AS$38</f>
        <v>1297.2190000000005</v>
      </c>
      <c r="AS102" s="687"/>
      <c r="AT102" s="674">
        <f>+'[8]eff all'!$AT$38:$AU$38</f>
        <v>120.055903115169</v>
      </c>
      <c r="AU102" s="675"/>
      <c r="AV102" s="674">
        <f>+'[8]eff all'!$AV$38:$AW$38</f>
        <v>1.4886460959945849</v>
      </c>
      <c r="AW102" s="675"/>
      <c r="AX102" s="674">
        <f>+'[8]eff all'!$AX$38:$AY$38</f>
        <v>0.19526386832138592</v>
      </c>
      <c r="AY102" s="675"/>
      <c r="AZ102" s="676">
        <f>+'[8]eff all'!$AZ$38:$BA$38</f>
        <v>913.20617413096761</v>
      </c>
      <c r="BA102" s="677"/>
      <c r="BB102" s="676">
        <f>+'[8]eff all'!$BB$38:$BC$38</f>
        <v>493.47212151533398</v>
      </c>
      <c r="BC102" s="677"/>
      <c r="BD102" s="676">
        <f>+'[8]eff all'!$BD$38:$BE$38</f>
        <v>2.9987226520733956</v>
      </c>
      <c r="BE102" s="685"/>
      <c r="BF102" s="679">
        <f>+'[8]eff all'!$BF$38:$BG$38</f>
        <v>0.84480150722122049</v>
      </c>
      <c r="BG102" s="680"/>
      <c r="BH102" s="682">
        <f>+'[8]eff all'!$BH$38:$BI$38</f>
        <v>0.85404308554088593</v>
      </c>
      <c r="BI102" s="680"/>
      <c r="BJ102" s="676">
        <f>+'[8]eff all'!$BJ$38:$BK$38</f>
        <v>1387.3799999999999</v>
      </c>
      <c r="BK102" s="677"/>
      <c r="BL102" s="674">
        <f>+'[8]eff all'!$BL$38:$BM$38</f>
        <v>2.8414709740662256</v>
      </c>
      <c r="BM102" s="675"/>
      <c r="BN102" s="674">
        <f>+'[8]eff all'!$BN$38:$BO$38</f>
        <v>0</v>
      </c>
      <c r="BO102" s="675"/>
      <c r="BP102" s="676">
        <f>+'[8]eff all'!$BP$38:$BQ$38</f>
        <v>1094.5930657786623</v>
      </c>
      <c r="BQ102" s="677"/>
      <c r="BR102" s="676">
        <f>+'[8]eff all'!$BR$38:$BS$38</f>
        <v>0</v>
      </c>
      <c r="BS102" s="685"/>
      <c r="BT102" s="679">
        <f>+'[8]eff all'!$BT$38:$BU$38</f>
        <v>0.56906056118136883</v>
      </c>
      <c r="BU102" s="680"/>
      <c r="BV102" s="682">
        <f>+'[8]eff all'!$BV$38:$BW$38</f>
        <v>0.79794558249051384</v>
      </c>
      <c r="BW102" s="680"/>
      <c r="BX102" s="676">
        <f>+'[8]eff all'!$BX$38:$BY$38</f>
        <v>904.63799999999992</v>
      </c>
      <c r="BY102" s="677"/>
      <c r="BZ102" s="683">
        <f>+'[8]eff all'!$BZ$38:$CA$38</f>
        <v>98.183245752799891</v>
      </c>
      <c r="CA102" s="683"/>
      <c r="CB102" s="683">
        <f>+'[8]eff all'!$CB$38:$CC$38</f>
        <v>2.3456896570783012</v>
      </c>
      <c r="CC102" s="683"/>
      <c r="CD102" s="683">
        <f>+'[8]eff all'!$CD$38:$CE$38</f>
        <v>1.3817681768840134E-2</v>
      </c>
      <c r="CE102" s="683"/>
      <c r="CF102" s="676">
        <f>+'[8]eff all'!$CF$38:$CG$38</f>
        <v>1025.3921152991588</v>
      </c>
      <c r="CG102" s="677"/>
      <c r="CH102" s="681">
        <f>+'[8]eff all'!$CH$38:$CI$38</f>
        <v>32.403016455200856</v>
      </c>
      <c r="CI102" s="681"/>
      <c r="CJ102" s="681">
        <f>+'[8]eff all'!$CJ$38:$CK$38</f>
        <v>0</v>
      </c>
      <c r="CK102" s="805"/>
    </row>
    <row r="103" spans="1:89" ht="14.25" customHeight="1" thickTop="1">
      <c r="A103" s="559">
        <v>45901</v>
      </c>
      <c r="B103" s="518">
        <v>1.0678219023892546</v>
      </c>
      <c r="C103" s="519">
        <v>1.0678219023892546</v>
      </c>
      <c r="D103" s="519">
        <v>1.0678219023892546</v>
      </c>
      <c r="E103" s="519">
        <v>1.0678219023892546</v>
      </c>
      <c r="F103" s="520">
        <v>64.293999999999997</v>
      </c>
      <c r="G103" s="520">
        <v>64.293999999999997</v>
      </c>
      <c r="H103" s="520">
        <v>1.8991974367748157</v>
      </c>
      <c r="I103" s="520">
        <v>1.8991974367748157</v>
      </c>
      <c r="J103" s="520">
        <v>888.52770087414706</v>
      </c>
      <c r="K103" s="548">
        <v>888.52770087414706</v>
      </c>
      <c r="L103" s="518">
        <v>0.9832308263296845</v>
      </c>
      <c r="M103" s="519">
        <v>0.9832308263296845</v>
      </c>
      <c r="N103" s="519">
        <v>0.9832308263296845</v>
      </c>
      <c r="O103" s="519">
        <v>0.9832308263296845</v>
      </c>
      <c r="P103" s="520">
        <v>73.316000000000003</v>
      </c>
      <c r="Q103" s="520">
        <v>73.316000000000003</v>
      </c>
      <c r="R103" s="520">
        <v>1.8645043373888375</v>
      </c>
      <c r="S103" s="520">
        <v>1.8645043373888375</v>
      </c>
      <c r="T103" s="520">
        <v>0.24551257569971083</v>
      </c>
      <c r="U103" s="520">
        <v>0.24551257569971083</v>
      </c>
      <c r="V103" s="520">
        <v>431.76114354301649</v>
      </c>
      <c r="W103" s="520">
        <v>431.76114354301649</v>
      </c>
      <c r="X103" s="520">
        <v>436.37132413115825</v>
      </c>
      <c r="Y103" s="556">
        <v>436.37132413115825</v>
      </c>
      <c r="Z103" s="518">
        <v>0.96558565393253748</v>
      </c>
      <c r="AA103" s="519">
        <v>0.96558565393253748</v>
      </c>
      <c r="AB103" s="519">
        <v>0.96558565393253748</v>
      </c>
      <c r="AC103" s="519">
        <v>0.96558565393253748</v>
      </c>
      <c r="AD103" s="520">
        <v>41.481999999999999</v>
      </c>
      <c r="AE103" s="520">
        <v>41.481999999999999</v>
      </c>
      <c r="AF103" s="520">
        <v>82.606975407396845</v>
      </c>
      <c r="AG103" s="520">
        <v>82.606975407396845</v>
      </c>
      <c r="AH103" s="520">
        <v>1.4223036497758064</v>
      </c>
      <c r="AI103" s="520">
        <v>1.4223036497758064</v>
      </c>
      <c r="AJ103" s="520">
        <v>852.82773251052163</v>
      </c>
      <c r="AK103" s="520">
        <v>852.82773251052163</v>
      </c>
      <c r="AL103" s="576">
        <v>0</v>
      </c>
      <c r="AM103" s="577">
        <v>0</v>
      </c>
      <c r="AN103" s="518">
        <v>0.98361101353937685</v>
      </c>
      <c r="AO103" s="519">
        <v>0.98361101353937685</v>
      </c>
      <c r="AP103" s="519">
        <v>0.98361101353937685</v>
      </c>
      <c r="AQ103" s="519">
        <v>0.98361101353937685</v>
      </c>
      <c r="AR103" s="520">
        <v>52.709000000000003</v>
      </c>
      <c r="AS103" s="520">
        <v>52.709000000000003</v>
      </c>
      <c r="AT103" s="521">
        <v>94.546489423274096</v>
      </c>
      <c r="AU103" s="521">
        <v>94.546489423274082</v>
      </c>
      <c r="AV103" s="520">
        <v>1.392551556660153</v>
      </c>
      <c r="AW103" s="520">
        <v>1.392551556660153</v>
      </c>
      <c r="AX103" s="520">
        <v>0.22766510463108766</v>
      </c>
      <c r="AY103" s="520">
        <v>0.22766510463108766</v>
      </c>
      <c r="AZ103" s="520">
        <v>697.92635033865292</v>
      </c>
      <c r="BA103" s="520">
        <v>697.92635033865292</v>
      </c>
      <c r="BB103" s="520">
        <v>582.05524673205707</v>
      </c>
      <c r="BC103" s="520">
        <v>582.05524673205707</v>
      </c>
      <c r="BD103" s="520">
        <v>6.0710694568290045</v>
      </c>
      <c r="BE103" s="520">
        <v>6.0710694568290045</v>
      </c>
      <c r="BF103" s="518">
        <v>0.80314429534067</v>
      </c>
      <c r="BG103" s="519">
        <v>0.80314429534067</v>
      </c>
      <c r="BH103" s="519">
        <v>0.80314429534067</v>
      </c>
      <c r="BI103" s="519">
        <v>0.80314429534067</v>
      </c>
      <c r="BJ103" s="520">
        <v>41.051000000000002</v>
      </c>
      <c r="BK103" s="520">
        <v>41.051000000000002</v>
      </c>
      <c r="BL103" s="520">
        <v>3.4469318652407979</v>
      </c>
      <c r="BM103" s="520">
        <v>3.4469318652407979</v>
      </c>
      <c r="BN103" s="521">
        <v>0</v>
      </c>
      <c r="BO103" s="521">
        <v>0</v>
      </c>
      <c r="BP103" s="521">
        <v>1086.9284548488604</v>
      </c>
      <c r="BQ103" s="521">
        <v>1086.9284548488604</v>
      </c>
      <c r="BR103" s="521">
        <v>0</v>
      </c>
      <c r="BS103" s="522">
        <v>0</v>
      </c>
      <c r="BT103" s="580">
        <v>0.88969890205635194</v>
      </c>
      <c r="BU103" s="581">
        <v>0.88969890205635194</v>
      </c>
      <c r="BV103" s="581">
        <v>0.88969890205635194</v>
      </c>
      <c r="BW103" s="581">
        <v>0.88969890205635194</v>
      </c>
      <c r="BX103" s="576">
        <v>48.402999999999999</v>
      </c>
      <c r="BY103" s="576">
        <v>48.402999999999999</v>
      </c>
      <c r="BZ103" s="582">
        <v>72.988172946697716</v>
      </c>
      <c r="CA103" s="582">
        <v>72.988172946697716</v>
      </c>
      <c r="CB103" s="576">
        <v>1.9110385719893395</v>
      </c>
      <c r="CC103" s="576">
        <v>1.9110385719893395</v>
      </c>
      <c r="CD103" s="582">
        <v>0.19833481395781252</v>
      </c>
      <c r="CE103" s="582">
        <v>0.19833481395781252</v>
      </c>
      <c r="CF103" s="582">
        <v>724.55219717786019</v>
      </c>
      <c r="CG103" s="582">
        <v>724.55219717786019</v>
      </c>
      <c r="CH103" s="582">
        <v>518.59285581472227</v>
      </c>
      <c r="CI103" s="582">
        <v>518.59285581472227</v>
      </c>
      <c r="CJ103" s="582">
        <v>0</v>
      </c>
      <c r="CK103" s="583">
        <v>0</v>
      </c>
    </row>
    <row r="104" spans="1:89" ht="14.25" customHeight="1">
      <c r="A104" s="560">
        <v>45902</v>
      </c>
      <c r="B104" s="512">
        <v>0.85276139449337374</v>
      </c>
      <c r="C104" s="513">
        <v>0.94741911110144361</v>
      </c>
      <c r="D104" s="513">
        <v>0.85276139449337374</v>
      </c>
      <c r="E104" s="513">
        <v>0.94741911110144361</v>
      </c>
      <c r="F104" s="510">
        <v>65.31</v>
      </c>
      <c r="G104" s="510">
        <v>129.60399999999998</v>
      </c>
      <c r="H104" s="510">
        <v>2.1482621344357677</v>
      </c>
      <c r="I104" s="510">
        <v>2.024706027591741</v>
      </c>
      <c r="J104" s="510">
        <v>816.14301025873885</v>
      </c>
      <c r="K104" s="511">
        <v>852.05163420882582</v>
      </c>
      <c r="L104" s="512">
        <v>0.95719612996515158</v>
      </c>
      <c r="M104" s="513">
        <v>0.97141642430780972</v>
      </c>
      <c r="N104" s="513">
        <v>0.95719612996515158</v>
      </c>
      <c r="O104" s="513">
        <v>0.97141642430780972</v>
      </c>
      <c r="P104" s="510">
        <v>59.298999999999999</v>
      </c>
      <c r="Q104" s="510">
        <v>132.61500000000001</v>
      </c>
      <c r="R104" s="510">
        <v>1.7975682557884618</v>
      </c>
      <c r="S104" s="510">
        <v>1.8345737661652151</v>
      </c>
      <c r="T104" s="510">
        <v>0.22934619470817383</v>
      </c>
      <c r="U104" s="510">
        <v>0.23828375372318364</v>
      </c>
      <c r="V104" s="510">
        <v>615.57783436481827</v>
      </c>
      <c r="W104" s="510">
        <v>513.95505787429136</v>
      </c>
      <c r="X104" s="510">
        <v>394.66095549672002</v>
      </c>
      <c r="Y104" s="569">
        <v>417.72046902688231</v>
      </c>
      <c r="Z104" s="512">
        <v>0.73741505056736756</v>
      </c>
      <c r="AA104" s="513">
        <v>0.85158808549660114</v>
      </c>
      <c r="AB104" s="513">
        <v>0.73741505056736756</v>
      </c>
      <c r="AC104" s="513">
        <v>0.85158808549660114</v>
      </c>
      <c r="AD104" s="510">
        <v>31.631</v>
      </c>
      <c r="AE104" s="510">
        <v>73.113</v>
      </c>
      <c r="AF104" s="510">
        <v>118.65273416664152</v>
      </c>
      <c r="AG104" s="510">
        <v>98.201512566502174</v>
      </c>
      <c r="AH104" s="510">
        <v>1.8589358540672125</v>
      </c>
      <c r="AI104" s="510">
        <v>1.6112045737420158</v>
      </c>
      <c r="AJ104" s="510">
        <v>1119.5441181119443</v>
      </c>
      <c r="AK104" s="569">
        <v>968.21769042441656</v>
      </c>
      <c r="AL104" s="576">
        <v>0</v>
      </c>
      <c r="AM104" s="577">
        <v>0</v>
      </c>
      <c r="AN104" s="512">
        <v>0.9414768618196101</v>
      </c>
      <c r="AO104" s="513">
        <v>0.96236531279142412</v>
      </c>
      <c r="AP104" s="513">
        <v>0.9414768618196101</v>
      </c>
      <c r="AQ104" s="513">
        <v>0.96236531279142412</v>
      </c>
      <c r="AR104" s="510">
        <v>51.314</v>
      </c>
      <c r="AS104" s="510">
        <v>104.023</v>
      </c>
      <c r="AT104" s="514">
        <v>102.94912330282754</v>
      </c>
      <c r="AU104" s="514">
        <v>98.69146462006141</v>
      </c>
      <c r="AV104" s="510">
        <v>1.4323576411895389</v>
      </c>
      <c r="AW104" s="510">
        <v>1.412187689261029</v>
      </c>
      <c r="AX104" s="510">
        <v>0.18318587519975058</v>
      </c>
      <c r="AY104" s="510">
        <v>0.205723734174173</v>
      </c>
      <c r="AZ104" s="510">
        <v>817.36563121175334</v>
      </c>
      <c r="BA104" s="510">
        <v>756.84512079059391</v>
      </c>
      <c r="BB104" s="510">
        <v>488.98935962895121</v>
      </c>
      <c r="BC104" s="569">
        <v>536.14633302250468</v>
      </c>
      <c r="BD104" s="510">
        <v>6.430993491055073</v>
      </c>
      <c r="BE104" s="510">
        <v>6.2486180940753488</v>
      </c>
      <c r="BF104" s="512">
        <v>0.87043464248027047</v>
      </c>
      <c r="BG104" s="513">
        <v>0.83667816156933705</v>
      </c>
      <c r="BH104" s="513">
        <v>0.87043464248027047</v>
      </c>
      <c r="BI104" s="513">
        <v>0.83667816156933705</v>
      </c>
      <c r="BJ104" s="510">
        <v>44.197000000000003</v>
      </c>
      <c r="BK104" s="510">
        <v>85.248000000000005</v>
      </c>
      <c r="BL104" s="510">
        <v>3.1088082901554404</v>
      </c>
      <c r="BM104" s="510">
        <v>3.2716310060060056</v>
      </c>
      <c r="BN104" s="514">
        <v>0</v>
      </c>
      <c r="BO104" s="514">
        <v>0</v>
      </c>
      <c r="BP104" s="514">
        <v>934.4401203701608</v>
      </c>
      <c r="BQ104" s="514">
        <v>1007.870565878385</v>
      </c>
      <c r="BR104" s="514">
        <v>0</v>
      </c>
      <c r="BS104" s="515">
        <v>0</v>
      </c>
      <c r="BT104" s="512">
        <v>0.9508767274000347</v>
      </c>
      <c r="BU104" s="513">
        <v>0.92065518845353889</v>
      </c>
      <c r="BV104" s="513">
        <v>0.9508767274000347</v>
      </c>
      <c r="BW104" s="513">
        <v>0.92065518845353889</v>
      </c>
      <c r="BX104" s="510">
        <v>52.988999999999997</v>
      </c>
      <c r="BY104" s="510">
        <v>101.392</v>
      </c>
      <c r="BZ104" s="514">
        <v>71.093322244497358</v>
      </c>
      <c r="CA104" s="514">
        <v>71.997895174695046</v>
      </c>
      <c r="CB104" s="510">
        <v>1.7626299798071299</v>
      </c>
      <c r="CC104" s="510">
        <v>1.8334779864289097</v>
      </c>
      <c r="CD104" s="514">
        <v>0.17928249259280229</v>
      </c>
      <c r="CE104" s="514">
        <v>0.18837778128451951</v>
      </c>
      <c r="CF104" s="514">
        <v>644.16105229387244</v>
      </c>
      <c r="CG104" s="514">
        <v>682.53856320025227</v>
      </c>
      <c r="CH104" s="514">
        <v>473.53224254090469</v>
      </c>
      <c r="CI104" s="514">
        <v>495.04349455578347</v>
      </c>
      <c r="CJ104" s="514">
        <v>0</v>
      </c>
      <c r="CK104" s="515">
        <v>0</v>
      </c>
    </row>
    <row r="105" spans="1:89" ht="12.75" customHeight="1">
      <c r="A105" s="560">
        <v>45903</v>
      </c>
      <c r="B105" s="512">
        <v>0.95985014603628172</v>
      </c>
      <c r="C105" s="513">
        <v>0.95208777986293947</v>
      </c>
      <c r="D105" s="513">
        <v>0.95985014603628172</v>
      </c>
      <c r="E105" s="513">
        <v>0.95208777986293947</v>
      </c>
      <c r="F105" s="510">
        <v>78.972999999999999</v>
      </c>
      <c r="G105" s="510">
        <v>208.577</v>
      </c>
      <c r="H105" s="510">
        <v>2.0789890215643321</v>
      </c>
      <c r="I105" s="510">
        <v>2.0452590649975786</v>
      </c>
      <c r="J105" s="510">
        <v>643.38571410482655</v>
      </c>
      <c r="K105" s="511">
        <v>773.04496660706184</v>
      </c>
      <c r="L105" s="512">
        <v>0.72036837260782394</v>
      </c>
      <c r="M105" s="513">
        <v>0.89730710083642029</v>
      </c>
      <c r="N105" s="513">
        <v>0.8495036655111774</v>
      </c>
      <c r="O105" s="513">
        <v>0.93946472888962052</v>
      </c>
      <c r="P105" s="510">
        <v>41.19</v>
      </c>
      <c r="Q105" s="510">
        <v>173.80500000000001</v>
      </c>
      <c r="R105" s="510">
        <v>2.6957271182325808</v>
      </c>
      <c r="S105" s="510">
        <v>2.0386582664480306</v>
      </c>
      <c r="T105" s="510">
        <v>0.38844379703811605</v>
      </c>
      <c r="U105" s="510">
        <v>0.27387014182560915</v>
      </c>
      <c r="V105" s="510">
        <v>771.70065549890273</v>
      </c>
      <c r="W105" s="510">
        <v>575.03811743044764</v>
      </c>
      <c r="X105" s="510">
        <v>659.6989560572955</v>
      </c>
      <c r="Y105" s="569">
        <v>475.0668853024942</v>
      </c>
      <c r="Z105" s="512">
        <v>0.75118846449180465</v>
      </c>
      <c r="AA105" s="513">
        <v>0.81847180376833528</v>
      </c>
      <c r="AB105" s="513">
        <v>0.75118846449180465</v>
      </c>
      <c r="AC105" s="513">
        <v>0.81847180376833528</v>
      </c>
      <c r="AD105" s="510">
        <v>31.742999999999999</v>
      </c>
      <c r="AE105" s="510">
        <v>104.85599999999999</v>
      </c>
      <c r="AF105" s="510">
        <v>119.74717506964285</v>
      </c>
      <c r="AG105" s="510">
        <v>104.72401928845605</v>
      </c>
      <c r="AH105" s="510">
        <v>1.7421163721135369</v>
      </c>
      <c r="AI105" s="510">
        <v>1.6508354314488443</v>
      </c>
      <c r="AJ105" s="510">
        <v>1059.1342973253829</v>
      </c>
      <c r="AK105" s="569">
        <v>995.74082551308447</v>
      </c>
      <c r="AL105" s="576">
        <v>0</v>
      </c>
      <c r="AM105" s="577">
        <v>0</v>
      </c>
      <c r="AN105" s="512">
        <v>0.95395307232819126</v>
      </c>
      <c r="AO105" s="513">
        <v>0.95954542703052415</v>
      </c>
      <c r="AP105" s="513">
        <v>0.95395307232819126</v>
      </c>
      <c r="AQ105" s="513">
        <v>0.95954542703052415</v>
      </c>
      <c r="AR105" s="510">
        <v>51.994</v>
      </c>
      <c r="AS105" s="510">
        <v>156.017</v>
      </c>
      <c r="AT105" s="514">
        <v>102.29934459794674</v>
      </c>
      <c r="AU105" s="514">
        <v>99.89382148867297</v>
      </c>
      <c r="AV105" s="510">
        <v>1.4193945455244836</v>
      </c>
      <c r="AW105" s="510">
        <v>1.4145894357666151</v>
      </c>
      <c r="AX105" s="510">
        <v>0.18271339000653922</v>
      </c>
      <c r="AY105" s="510">
        <v>0.1980553401231917</v>
      </c>
      <c r="AZ105" s="510">
        <v>710.08385582951962</v>
      </c>
      <c r="BA105" s="510">
        <v>741.26152919233152</v>
      </c>
      <c r="BB105" s="510">
        <v>473.67965534484745</v>
      </c>
      <c r="BC105" s="569">
        <v>515.32877827416246</v>
      </c>
      <c r="BD105" s="510">
        <v>5.9622264107397012</v>
      </c>
      <c r="BE105" s="510">
        <v>6.1531756154778003</v>
      </c>
      <c r="BF105" s="512">
        <v>0.33684821400987414</v>
      </c>
      <c r="BG105" s="513">
        <v>0.6730164421025665</v>
      </c>
      <c r="BH105" s="513">
        <v>0.33684821400987414</v>
      </c>
      <c r="BI105" s="513">
        <v>0.6730164421025665</v>
      </c>
      <c r="BJ105" s="510">
        <v>16.709</v>
      </c>
      <c r="BK105" s="510">
        <v>101.95700000000001</v>
      </c>
      <c r="BL105" s="510">
        <v>3.6447423544197739</v>
      </c>
      <c r="BM105" s="510">
        <v>3.3327775434742088</v>
      </c>
      <c r="BN105" s="514">
        <v>0</v>
      </c>
      <c r="BO105" s="514">
        <v>0</v>
      </c>
      <c r="BP105" s="514">
        <v>2815.4377880183988</v>
      </c>
      <c r="BQ105" s="514">
        <v>1304.0997675490644</v>
      </c>
      <c r="BR105" s="514">
        <v>0</v>
      </c>
      <c r="BS105" s="515">
        <v>0</v>
      </c>
      <c r="BT105" s="512">
        <v>0.93061928217864665</v>
      </c>
      <c r="BU105" s="513">
        <v>0.92397514090384647</v>
      </c>
      <c r="BV105" s="513">
        <v>0.93061928217864665</v>
      </c>
      <c r="BW105" s="513">
        <v>0.92397514090384647</v>
      </c>
      <c r="BX105" s="510">
        <v>51.212000000000003</v>
      </c>
      <c r="BY105" s="510">
        <v>152.60399999999998</v>
      </c>
      <c r="BZ105" s="514">
        <v>73.594339192741629</v>
      </c>
      <c r="CA105" s="514">
        <v>72.533641885477223</v>
      </c>
      <c r="CB105" s="510">
        <v>1.7945012887604468</v>
      </c>
      <c r="CC105" s="510">
        <v>1.8203978925847293</v>
      </c>
      <c r="CD105" s="514">
        <v>0.18355073029758651</v>
      </c>
      <c r="CE105" s="514">
        <v>0.18675788314854133</v>
      </c>
      <c r="CF105" s="514">
        <v>594.3948683902214</v>
      </c>
      <c r="CG105" s="514">
        <v>652.95863804356395</v>
      </c>
      <c r="CH105" s="514">
        <v>480.91267671639457</v>
      </c>
      <c r="CI105" s="514">
        <v>490.3013682472282</v>
      </c>
      <c r="CJ105" s="514">
        <v>0</v>
      </c>
      <c r="CK105" s="515">
        <v>0</v>
      </c>
    </row>
    <row r="106" spans="1:89" ht="12.75" customHeight="1">
      <c r="A106" s="560">
        <v>45904</v>
      </c>
      <c r="B106" s="512">
        <v>0.89540384911031812</v>
      </c>
      <c r="C106" s="513">
        <v>0.93685700966366126</v>
      </c>
      <c r="D106" s="513">
        <v>0.89540384911031812</v>
      </c>
      <c r="E106" s="513">
        <v>0.93685700966366126</v>
      </c>
      <c r="F106" s="510">
        <v>72.072999999999993</v>
      </c>
      <c r="G106" s="510">
        <v>280.64999999999998</v>
      </c>
      <c r="H106" s="510">
        <v>2.3098802602916488</v>
      </c>
      <c r="I106" s="510">
        <v>2.1132157491537504</v>
      </c>
      <c r="J106" s="510">
        <v>875.77761436322635</v>
      </c>
      <c r="K106" s="511">
        <v>799.42747194014589</v>
      </c>
      <c r="L106" s="512">
        <v>0.90779744875104751</v>
      </c>
      <c r="M106" s="513">
        <v>0.89950372201346962</v>
      </c>
      <c r="N106" s="513">
        <v>0.90779744875104751</v>
      </c>
      <c r="O106" s="513">
        <v>0.93258987033243124</v>
      </c>
      <c r="P106" s="510">
        <v>46.570999999999998</v>
      </c>
      <c r="Q106" s="510">
        <v>220.376</v>
      </c>
      <c r="R106" s="510">
        <v>2.365484958450538</v>
      </c>
      <c r="S106" s="510">
        <v>2.1077249791265835</v>
      </c>
      <c r="T106" s="510">
        <v>0.35644499796010398</v>
      </c>
      <c r="U106" s="510">
        <v>0.2913202889606854</v>
      </c>
      <c r="V106" s="510">
        <v>923.11696119902581</v>
      </c>
      <c r="W106" s="510">
        <v>648.59594511198497</v>
      </c>
      <c r="X106" s="510">
        <v>515.98634343260835</v>
      </c>
      <c r="Y106" s="569">
        <v>483.71419755327258</v>
      </c>
      <c r="Z106" s="512">
        <v>0.93365626458741036</v>
      </c>
      <c r="AA106" s="513">
        <v>0.84769114097064213</v>
      </c>
      <c r="AB106" s="513">
        <v>0.93365626458741036</v>
      </c>
      <c r="AC106" s="513">
        <v>0.84769114097064213</v>
      </c>
      <c r="AD106" s="510">
        <v>40.655999999999999</v>
      </c>
      <c r="AE106" s="510">
        <v>145.512</v>
      </c>
      <c r="AF106" s="510">
        <v>92.692371239157595</v>
      </c>
      <c r="AG106" s="510">
        <v>101.36238118924581</v>
      </c>
      <c r="AH106" s="510">
        <v>1.468417945690673</v>
      </c>
      <c r="AI106" s="510">
        <v>1.5998680521194129</v>
      </c>
      <c r="AJ106" s="510">
        <v>922.12514757971985</v>
      </c>
      <c r="AK106" s="569">
        <v>975.17263181044234</v>
      </c>
      <c r="AL106" s="576">
        <v>0</v>
      </c>
      <c r="AM106" s="577">
        <v>0</v>
      </c>
      <c r="AN106" s="512">
        <v>0.91641847721904435</v>
      </c>
      <c r="AO106" s="513">
        <v>0.94877725086536702</v>
      </c>
      <c r="AP106" s="513">
        <v>0.91641847721904435</v>
      </c>
      <c r="AQ106" s="513">
        <v>0.94877725086536702</v>
      </c>
      <c r="AR106" s="510">
        <v>49.585000000000001</v>
      </c>
      <c r="AS106" s="510">
        <v>205.602</v>
      </c>
      <c r="AT106" s="514">
        <v>106.72399357506701</v>
      </c>
      <c r="AU106" s="514">
        <v>101.54105294996151</v>
      </c>
      <c r="AV106" s="510">
        <v>1.4540687707976201</v>
      </c>
      <c r="AW106" s="510">
        <v>1.4241106604021359</v>
      </c>
      <c r="AX106" s="510">
        <v>0.17948976504991429</v>
      </c>
      <c r="AY106" s="510">
        <v>0.19357788348362368</v>
      </c>
      <c r="AZ106" s="510">
        <v>863.76767167490129</v>
      </c>
      <c r="BA106" s="510">
        <v>770.80631511366619</v>
      </c>
      <c r="BB106" s="510">
        <v>460.7096904305738</v>
      </c>
      <c r="BC106" s="569">
        <v>502.15630198149819</v>
      </c>
      <c r="BD106" s="510">
        <v>0.6050216799435314</v>
      </c>
      <c r="BE106" s="510">
        <v>4.8151282575072223</v>
      </c>
      <c r="BF106" s="512">
        <v>0.86412217389286428</v>
      </c>
      <c r="BG106" s="513">
        <v>0.72096836126103758</v>
      </c>
      <c r="BH106" s="513">
        <v>0.86412217389286428</v>
      </c>
      <c r="BI106" s="513">
        <v>0.72096836126103758</v>
      </c>
      <c r="BJ106" s="510">
        <v>43.85</v>
      </c>
      <c r="BK106" s="510">
        <v>145.80700000000002</v>
      </c>
      <c r="BL106" s="510">
        <v>2.6773090079817559</v>
      </c>
      <c r="BM106" s="510">
        <v>3.1356519234330307</v>
      </c>
      <c r="BN106" s="514">
        <v>0</v>
      </c>
      <c r="BO106" s="514">
        <v>0</v>
      </c>
      <c r="BP106" s="514">
        <v>764.28460661345582</v>
      </c>
      <c r="BQ106" s="514">
        <v>1141.7557456089212</v>
      </c>
      <c r="BR106" s="514">
        <v>0</v>
      </c>
      <c r="BS106" s="515">
        <v>0</v>
      </c>
      <c r="BT106" s="512">
        <v>0.95234777302880769</v>
      </c>
      <c r="BU106" s="513">
        <v>0.93094676151196687</v>
      </c>
      <c r="BV106" s="513">
        <v>0.95234777302880769</v>
      </c>
      <c r="BW106" s="513">
        <v>0.93094676151196687</v>
      </c>
      <c r="BX106" s="510">
        <v>51.238999999999997</v>
      </c>
      <c r="BY106" s="510">
        <v>203.84299999999999</v>
      </c>
      <c r="BZ106" s="514">
        <v>73.47117885753255</v>
      </c>
      <c r="CA106" s="514">
        <v>72.769305886257939</v>
      </c>
      <c r="CB106" s="510">
        <v>1.893089248424052</v>
      </c>
      <c r="CC106" s="510">
        <v>1.8386699567804636</v>
      </c>
      <c r="CD106" s="514">
        <v>0.1775990944397822</v>
      </c>
      <c r="CE106" s="514">
        <v>0.18445568403133786</v>
      </c>
      <c r="CF106" s="514">
        <v>728.83701867717855</v>
      </c>
      <c r="CG106" s="514">
        <v>672.0318087940226</v>
      </c>
      <c r="CH106" s="514">
        <v>464.03540272058393</v>
      </c>
      <c r="CI106" s="514">
        <v>483.69902326790719</v>
      </c>
      <c r="CJ106" s="514">
        <v>0</v>
      </c>
      <c r="CK106" s="515">
        <v>0</v>
      </c>
    </row>
    <row r="107" spans="1:89" ht="12.75" customHeight="1">
      <c r="A107" s="560">
        <v>45905</v>
      </c>
      <c r="B107" s="512">
        <v>0.89387055517939562</v>
      </c>
      <c r="C107" s="513">
        <v>0.92787500881370188</v>
      </c>
      <c r="D107" s="513">
        <v>0.89387055517939562</v>
      </c>
      <c r="E107" s="513">
        <v>0.92787500881370188</v>
      </c>
      <c r="F107" s="510">
        <v>70.73</v>
      </c>
      <c r="G107" s="510">
        <v>351.38</v>
      </c>
      <c r="H107" s="510">
        <v>2.2907818464583625</v>
      </c>
      <c r="I107" s="510">
        <v>2.1489583926233706</v>
      </c>
      <c r="J107" s="510">
        <v>815.6292945001876</v>
      </c>
      <c r="K107" s="511">
        <v>802.68876999260124</v>
      </c>
      <c r="L107" s="512">
        <v>0.92861571924698105</v>
      </c>
      <c r="M107" s="513">
        <v>0.90454417171956114</v>
      </c>
      <c r="N107" s="513">
        <v>0.92861571924698105</v>
      </c>
      <c r="O107" s="513">
        <v>0.93188099097280253</v>
      </c>
      <c r="P107" s="510">
        <v>47.639000000000003</v>
      </c>
      <c r="Q107" s="510">
        <v>268.01499999999999</v>
      </c>
      <c r="R107" s="510">
        <v>2.2947794873947815</v>
      </c>
      <c r="S107" s="510">
        <v>2.1409734529783782</v>
      </c>
      <c r="T107" s="510">
        <v>0.30437246793593481</v>
      </c>
      <c r="U107" s="510">
        <v>0.29364028132753767</v>
      </c>
      <c r="V107" s="510">
        <v>778.75879006696334</v>
      </c>
      <c r="W107" s="510">
        <v>671.73206723503858</v>
      </c>
      <c r="X107" s="510">
        <v>453.01118831209726</v>
      </c>
      <c r="Y107" s="569">
        <v>478.25681398429191</v>
      </c>
      <c r="Z107" s="512">
        <v>0.93246798870105096</v>
      </c>
      <c r="AA107" s="513">
        <v>0.86518585137669168</v>
      </c>
      <c r="AB107" s="513">
        <v>0.93246798870105096</v>
      </c>
      <c r="AC107" s="513">
        <v>0.86518585137669168</v>
      </c>
      <c r="AD107" s="510">
        <v>41.62</v>
      </c>
      <c r="AE107" s="510">
        <v>187.13200000000001</v>
      </c>
      <c r="AF107" s="510">
        <v>89.915270420817208</v>
      </c>
      <c r="AG107" s="510">
        <v>98.816431003377019</v>
      </c>
      <c r="AH107" s="510">
        <v>1.4632388274867854</v>
      </c>
      <c r="AI107" s="510">
        <v>1.5694803667999058</v>
      </c>
      <c r="AJ107" s="510">
        <v>819.30466122055827</v>
      </c>
      <c r="AK107" s="569">
        <v>940.50605989355495</v>
      </c>
      <c r="AL107" s="576">
        <v>0</v>
      </c>
      <c r="AM107" s="577">
        <v>0</v>
      </c>
      <c r="AN107" s="512">
        <v>0.87475930894322718</v>
      </c>
      <c r="AO107" s="513">
        <v>0.93403909330327806</v>
      </c>
      <c r="AP107" s="513">
        <v>0.87475930894322718</v>
      </c>
      <c r="AQ107" s="513">
        <v>0.93403909330327806</v>
      </c>
      <c r="AR107" s="510">
        <v>47.128999999999998</v>
      </c>
      <c r="AS107" s="510">
        <v>252.73099999999999</v>
      </c>
      <c r="AT107" s="514">
        <v>112.48354006379887</v>
      </c>
      <c r="AU107" s="514">
        <v>103.58159595888422</v>
      </c>
      <c r="AV107" s="510">
        <v>1.5171126058265612</v>
      </c>
      <c r="AW107" s="510">
        <v>1.4414535612963979</v>
      </c>
      <c r="AX107" s="510">
        <v>0.21430541704682893</v>
      </c>
      <c r="AY107" s="510">
        <v>0.19744313123439547</v>
      </c>
      <c r="AZ107" s="510">
        <v>813.28820895839056</v>
      </c>
      <c r="BA107" s="510">
        <v>778.72829213669854</v>
      </c>
      <c r="BB107" s="510">
        <v>557.77228458061495</v>
      </c>
      <c r="BC107" s="569">
        <v>512.52750948637004</v>
      </c>
      <c r="BD107" s="510">
        <v>12.094464130365592</v>
      </c>
      <c r="BE107" s="510">
        <v>6.1725708361855096</v>
      </c>
      <c r="BF107" s="512">
        <v>0.91309238146695226</v>
      </c>
      <c r="BG107" s="513">
        <v>0.75950599203232305</v>
      </c>
      <c r="BH107" s="513">
        <v>0.91309238146695226</v>
      </c>
      <c r="BI107" s="513">
        <v>0.75950599203232305</v>
      </c>
      <c r="BJ107" s="510">
        <v>46.335000000000001</v>
      </c>
      <c r="BK107" s="510">
        <v>192.14200000000002</v>
      </c>
      <c r="BL107" s="510">
        <v>2.5337218085680373</v>
      </c>
      <c r="BM107" s="510">
        <v>2.9904966118807956</v>
      </c>
      <c r="BN107" s="514">
        <v>0</v>
      </c>
      <c r="BO107" s="514">
        <v>0</v>
      </c>
      <c r="BP107" s="514">
        <v>1061.3400237401686</v>
      </c>
      <c r="BQ107" s="514">
        <v>1122.3635124022894</v>
      </c>
      <c r="BR107" s="514">
        <v>0</v>
      </c>
      <c r="BS107" s="515">
        <v>0</v>
      </c>
      <c r="BT107" s="512">
        <v>0.78086978645678684</v>
      </c>
      <c r="BU107" s="513">
        <v>0.90134421933911268</v>
      </c>
      <c r="BV107" s="513">
        <v>0.78086978645678684</v>
      </c>
      <c r="BW107" s="513">
        <v>0.90134421933911268</v>
      </c>
      <c r="BX107" s="510">
        <v>42.012999999999998</v>
      </c>
      <c r="BY107" s="510">
        <v>245.85599999999999</v>
      </c>
      <c r="BZ107" s="514">
        <v>77.797102930493182</v>
      </c>
      <c r="CA107" s="514">
        <v>73.628478886792607</v>
      </c>
      <c r="CB107" s="510">
        <v>1.9493966153333495</v>
      </c>
      <c r="CC107" s="510">
        <v>1.857591435637121</v>
      </c>
      <c r="CD107" s="514">
        <v>0.19993811439316403</v>
      </c>
      <c r="CE107" s="514">
        <v>0.18710139268514903</v>
      </c>
      <c r="CF107" s="514">
        <v>901.13036441101588</v>
      </c>
      <c r="CG107" s="514">
        <v>711.18121990108011</v>
      </c>
      <c r="CH107" s="514">
        <v>511.93083093327863</v>
      </c>
      <c r="CI107" s="514">
        <v>488.52340394377131</v>
      </c>
      <c r="CJ107" s="514">
        <v>0</v>
      </c>
      <c r="CK107" s="515">
        <v>0</v>
      </c>
    </row>
    <row r="108" spans="1:89" ht="12.75" customHeight="1">
      <c r="A108" s="560">
        <v>45906</v>
      </c>
      <c r="B108" s="512">
        <v>0.586101003842182</v>
      </c>
      <c r="C108" s="513">
        <v>0.87347793157883213</v>
      </c>
      <c r="D108" s="513">
        <v>0.586101003842182</v>
      </c>
      <c r="E108" s="513">
        <v>0.87347793157883213</v>
      </c>
      <c r="F108" s="510">
        <v>42.012999999999998</v>
      </c>
      <c r="G108" s="510">
        <v>393.39299999999997</v>
      </c>
      <c r="H108" s="510">
        <v>2.5762026039559185</v>
      </c>
      <c r="I108" s="510">
        <v>2.1945865838995608</v>
      </c>
      <c r="J108" s="510">
        <v>698.74086592250615</v>
      </c>
      <c r="K108" s="511">
        <v>791.58749647299885</v>
      </c>
      <c r="L108" s="512">
        <v>0.92731398991053215</v>
      </c>
      <c r="M108" s="513">
        <v>0.90791689859326996</v>
      </c>
      <c r="N108" s="513">
        <v>0.92731398991053215</v>
      </c>
      <c r="O108" s="513">
        <v>0.93118717609288015</v>
      </c>
      <c r="P108" s="510">
        <v>47.774999999999999</v>
      </c>
      <c r="Q108" s="510">
        <v>315.78999999999996</v>
      </c>
      <c r="R108" s="510">
        <v>2.2993406593406593</v>
      </c>
      <c r="S108" s="510">
        <v>2.164932391779347</v>
      </c>
      <c r="T108" s="510">
        <v>0.25745682888540034</v>
      </c>
      <c r="U108" s="510">
        <v>0.28816618638968938</v>
      </c>
      <c r="V108" s="510">
        <v>730.79644165359161</v>
      </c>
      <c r="W108" s="510">
        <v>680.66775388707447</v>
      </c>
      <c r="X108" s="510">
        <v>387.37833594976451</v>
      </c>
      <c r="Y108" s="569">
        <v>464.50805915323485</v>
      </c>
      <c r="Z108" s="512">
        <v>0.50696505642305101</v>
      </c>
      <c r="AA108" s="513">
        <v>0.80390811997871192</v>
      </c>
      <c r="AB108" s="513">
        <v>0.50696505642305101</v>
      </c>
      <c r="AC108" s="513">
        <v>0.80390811997871192</v>
      </c>
      <c r="AD108" s="510">
        <v>22.628</v>
      </c>
      <c r="AE108" s="510">
        <v>209.76</v>
      </c>
      <c r="AF108" s="510">
        <v>113.73292983598651</v>
      </c>
      <c r="AG108" s="510">
        <v>100.42555827065529</v>
      </c>
      <c r="AH108" s="510">
        <v>2.0107831005833479</v>
      </c>
      <c r="AI108" s="510">
        <v>1.6170861937452328</v>
      </c>
      <c r="AJ108" s="510">
        <v>1050.3005126392079</v>
      </c>
      <c r="AK108" s="569">
        <v>952.35020976354281</v>
      </c>
      <c r="AL108" s="576">
        <v>0</v>
      </c>
      <c r="AM108" s="577">
        <v>0</v>
      </c>
      <c r="AN108" s="512">
        <v>0.82301129413464358</v>
      </c>
      <c r="AO108" s="513">
        <v>0.9156439477591205</v>
      </c>
      <c r="AP108" s="513">
        <v>0.82301129413464358</v>
      </c>
      <c r="AQ108" s="513">
        <v>0.9156439477591205</v>
      </c>
      <c r="AR108" s="510">
        <v>44.222000000000001</v>
      </c>
      <c r="AS108" s="510">
        <v>296.95299999999997</v>
      </c>
      <c r="AT108" s="514">
        <v>102.29386419630309</v>
      </c>
      <c r="AU108" s="514">
        <v>103.3898279888524</v>
      </c>
      <c r="AV108" s="510">
        <v>1.5218669440549952</v>
      </c>
      <c r="AW108" s="510">
        <v>1.4534286570602082</v>
      </c>
      <c r="AX108" s="510">
        <v>0.19447333906200531</v>
      </c>
      <c r="AY108" s="510">
        <v>0.19700087219189572</v>
      </c>
      <c r="AZ108" s="510">
        <v>844.74243589163825</v>
      </c>
      <c r="BA108" s="510">
        <v>788.55906490252653</v>
      </c>
      <c r="BB108" s="510">
        <v>501.30794627109111</v>
      </c>
      <c r="BC108" s="569">
        <v>510.85670122881402</v>
      </c>
      <c r="BD108" s="510">
        <v>0.45226357921396593</v>
      </c>
      <c r="BE108" s="510">
        <v>5.3207073173195765</v>
      </c>
      <c r="BF108" s="512">
        <v>0.88211277238278052</v>
      </c>
      <c r="BG108" s="513">
        <v>0.78015979361738252</v>
      </c>
      <c r="BH108" s="513">
        <v>0.88211277238278052</v>
      </c>
      <c r="BI108" s="513">
        <v>0.78015979361738252</v>
      </c>
      <c r="BJ108" s="510">
        <v>45.207999999999998</v>
      </c>
      <c r="BK108" s="510">
        <v>237.35000000000002</v>
      </c>
      <c r="BL108" s="510">
        <v>2.6190054857547338</v>
      </c>
      <c r="BM108" s="510">
        <v>2.9197387823888765</v>
      </c>
      <c r="BN108" s="514">
        <v>0</v>
      </c>
      <c r="BO108" s="514">
        <v>0</v>
      </c>
      <c r="BP108" s="514">
        <v>807.00982127055943</v>
      </c>
      <c r="BQ108" s="514">
        <v>1062.2981672635356</v>
      </c>
      <c r="BR108" s="514">
        <v>0</v>
      </c>
      <c r="BS108" s="515">
        <v>0</v>
      </c>
      <c r="BT108" s="512">
        <v>0.64662175625174978</v>
      </c>
      <c r="BU108" s="513">
        <v>0.86016098380323402</v>
      </c>
      <c r="BV108" s="513">
        <v>0.64662175625174978</v>
      </c>
      <c r="BW108" s="513">
        <v>0.86016098380323402</v>
      </c>
      <c r="BX108" s="510">
        <v>34.015999999999998</v>
      </c>
      <c r="BY108" s="510">
        <v>279.87200000000001</v>
      </c>
      <c r="BZ108" s="514">
        <v>94.097248388475506</v>
      </c>
      <c r="CA108" s="514">
        <v>76.116279250420433</v>
      </c>
      <c r="CB108" s="510">
        <v>2.4253292568203202</v>
      </c>
      <c r="CC108" s="510">
        <v>1.9265950148639379</v>
      </c>
      <c r="CD108" s="514">
        <v>0.22342427093132644</v>
      </c>
      <c r="CE108" s="514">
        <v>0.19151612165561399</v>
      </c>
      <c r="CF108" s="514">
        <v>1057.1289981185378</v>
      </c>
      <c r="CG108" s="514">
        <v>753.22815429910872</v>
      </c>
      <c r="CH108" s="514">
        <v>577.9386171213597</v>
      </c>
      <c r="CI108" s="514">
        <v>499.39104304825065</v>
      </c>
      <c r="CJ108" s="514">
        <v>0</v>
      </c>
      <c r="CK108" s="515">
        <v>0</v>
      </c>
    </row>
    <row r="109" spans="1:89" ht="12.75" customHeight="1">
      <c r="A109" s="560">
        <v>45907</v>
      </c>
      <c r="B109" s="512">
        <v>0.75330194266761441</v>
      </c>
      <c r="C109" s="513">
        <v>0.8575893152542422</v>
      </c>
      <c r="D109" s="513">
        <v>0.75330194266761441</v>
      </c>
      <c r="E109" s="513">
        <v>0.8575893152542422</v>
      </c>
      <c r="F109" s="510">
        <v>51.689</v>
      </c>
      <c r="G109" s="510">
        <v>445.08199999999999</v>
      </c>
      <c r="H109" s="510">
        <v>2.847317611097139</v>
      </c>
      <c r="I109" s="510">
        <v>2.2703906246489409</v>
      </c>
      <c r="J109" s="510">
        <v>952.14803923465172</v>
      </c>
      <c r="K109" s="511">
        <v>810.23397935661808</v>
      </c>
      <c r="L109" s="512">
        <v>0.73773035183348035</v>
      </c>
      <c r="M109" s="513">
        <v>0.88495401237169591</v>
      </c>
      <c r="N109" s="513">
        <v>0.73773035183348035</v>
      </c>
      <c r="O109" s="513">
        <v>0.90450772562241577</v>
      </c>
      <c r="P109" s="510">
        <v>40.021999999999998</v>
      </c>
      <c r="Q109" s="510">
        <v>355.81199999999995</v>
      </c>
      <c r="R109" s="510">
        <v>2.7579831092898908</v>
      </c>
      <c r="S109" s="510">
        <v>2.2316391802412512</v>
      </c>
      <c r="T109" s="510">
        <v>0.38228974064264659</v>
      </c>
      <c r="U109" s="510">
        <v>0.29875327420098258</v>
      </c>
      <c r="V109" s="510">
        <v>977.54909799609925</v>
      </c>
      <c r="W109" s="510">
        <v>714.06118961698633</v>
      </c>
      <c r="X109" s="510">
        <v>552.89590725101186</v>
      </c>
      <c r="Y109" s="569">
        <v>474.44999044439209</v>
      </c>
      <c r="Z109" s="512">
        <v>0.8294654519238559</v>
      </c>
      <c r="AA109" s="513">
        <v>0.80742101416242806</v>
      </c>
      <c r="AB109" s="513">
        <v>0.8294654519238559</v>
      </c>
      <c r="AC109" s="513">
        <v>0.80742101416242806</v>
      </c>
      <c r="AD109" s="510">
        <v>34.488999999999997</v>
      </c>
      <c r="AE109" s="510">
        <v>244.249</v>
      </c>
      <c r="AF109" s="510">
        <v>92.209442494817651</v>
      </c>
      <c r="AG109" s="510">
        <v>99.265407698931909</v>
      </c>
      <c r="AH109" s="510">
        <v>1.5976108324393286</v>
      </c>
      <c r="AI109" s="510">
        <v>1.6143361897080439</v>
      </c>
      <c r="AJ109" s="510">
        <v>1041.6532807561621</v>
      </c>
      <c r="AK109" s="569">
        <v>964.96018407444865</v>
      </c>
      <c r="AL109" s="576">
        <v>0</v>
      </c>
      <c r="AM109" s="577">
        <v>0</v>
      </c>
      <c r="AN109" s="512">
        <v>0.9534867049514465</v>
      </c>
      <c r="AO109" s="513">
        <v>0.92101795880757675</v>
      </c>
      <c r="AP109" s="513">
        <v>0.9534867049514465</v>
      </c>
      <c r="AQ109" s="513">
        <v>0.92101795880757675</v>
      </c>
      <c r="AR109" s="510">
        <v>51.180999999999997</v>
      </c>
      <c r="AS109" s="510">
        <v>348.13399999999996</v>
      </c>
      <c r="AT109" s="514">
        <v>92.018747642482424</v>
      </c>
      <c r="AU109" s="514">
        <v>101.71810599902216</v>
      </c>
      <c r="AV109" s="510">
        <v>1.4575721459135225</v>
      </c>
      <c r="AW109" s="510">
        <v>1.4540378130260188</v>
      </c>
      <c r="AX109" s="510">
        <v>0.19733885621617397</v>
      </c>
      <c r="AY109" s="510">
        <v>0.19705056099088283</v>
      </c>
      <c r="AZ109" s="510">
        <v>767.38594400265686</v>
      </c>
      <c r="BA109" s="510">
        <v>785.44629366852996</v>
      </c>
      <c r="BB109" s="510">
        <v>506.92092768800921</v>
      </c>
      <c r="BC109" s="569">
        <v>510.27808257739838</v>
      </c>
      <c r="BD109" s="510">
        <v>10.961098845274613</v>
      </c>
      <c r="BE109" s="510">
        <v>6.1499307737825095</v>
      </c>
      <c r="BF109" s="512">
        <v>0.87181187962525619</v>
      </c>
      <c r="BG109" s="513">
        <v>0.79351594548569893</v>
      </c>
      <c r="BH109" s="513">
        <v>0.87181187962525619</v>
      </c>
      <c r="BI109" s="513">
        <v>0.79351594548569893</v>
      </c>
      <c r="BJ109" s="510">
        <v>45.244999999999997</v>
      </c>
      <c r="BK109" s="510">
        <v>282.59500000000003</v>
      </c>
      <c r="BL109" s="510">
        <v>2.6301248756768705</v>
      </c>
      <c r="BM109" s="510">
        <v>2.8733700171623693</v>
      </c>
      <c r="BN109" s="514">
        <v>0</v>
      </c>
      <c r="BO109" s="514">
        <v>0</v>
      </c>
      <c r="BP109" s="514">
        <v>1224.0108299259621</v>
      </c>
      <c r="BQ109" s="514">
        <v>1088.1892460942352</v>
      </c>
      <c r="BR109" s="514">
        <v>0</v>
      </c>
      <c r="BS109" s="515">
        <v>0</v>
      </c>
      <c r="BT109" s="512">
        <v>0.91407344290902615</v>
      </c>
      <c r="BU109" s="513">
        <v>0.86763390950303199</v>
      </c>
      <c r="BV109" s="513">
        <v>0.91407344290902615</v>
      </c>
      <c r="BW109" s="513">
        <v>0.86763390950303199</v>
      </c>
      <c r="BX109" s="510">
        <v>47.859000000000002</v>
      </c>
      <c r="BY109" s="510">
        <v>327.73099999999999</v>
      </c>
      <c r="BZ109" s="514">
        <v>79.131971305425125</v>
      </c>
      <c r="CA109" s="514">
        <v>76.556664829021386</v>
      </c>
      <c r="CB109" s="510">
        <v>1.9954449528824254</v>
      </c>
      <c r="CC109" s="510">
        <v>1.9366492641831259</v>
      </c>
      <c r="CD109" s="514">
        <v>0.20267870202051858</v>
      </c>
      <c r="CE109" s="514">
        <v>0.19314620832328952</v>
      </c>
      <c r="CF109" s="514">
        <v>842.02281702500807</v>
      </c>
      <c r="CG109" s="514">
        <v>766.1949586703729</v>
      </c>
      <c r="CH109" s="514">
        <v>520.84832528886932</v>
      </c>
      <c r="CI109" s="514">
        <v>502.52447891716076</v>
      </c>
      <c r="CJ109" s="514">
        <v>0</v>
      </c>
      <c r="CK109" s="515">
        <v>0</v>
      </c>
    </row>
    <row r="110" spans="1:89" ht="12.75" customHeight="1">
      <c r="A110" s="560">
        <v>45908</v>
      </c>
      <c r="B110" s="512">
        <v>1.0296637337776751</v>
      </c>
      <c r="C110" s="513">
        <v>0.87734579906181631</v>
      </c>
      <c r="D110" s="513">
        <v>1.0296637337776751</v>
      </c>
      <c r="E110" s="513">
        <v>0.87734579906181631</v>
      </c>
      <c r="F110" s="510">
        <v>69.313000000000002</v>
      </c>
      <c r="G110" s="510">
        <v>514.39499999999998</v>
      </c>
      <c r="H110" s="510">
        <v>2.107670999668172</v>
      </c>
      <c r="I110" s="510">
        <v>2.2484647012509842</v>
      </c>
      <c r="J110" s="510">
        <v>796.06567310604555</v>
      </c>
      <c r="K110" s="511">
        <v>808.32484763654713</v>
      </c>
      <c r="L110" s="512">
        <v>0.94951568908975192</v>
      </c>
      <c r="M110" s="513">
        <v>0.89299408968084648</v>
      </c>
      <c r="N110" s="513">
        <v>0.94951568908975192</v>
      </c>
      <c r="O110" s="513">
        <v>0.91022084076222187</v>
      </c>
      <c r="P110" s="510">
        <v>54.305999999999997</v>
      </c>
      <c r="Q110" s="510">
        <v>410.11799999999994</v>
      </c>
      <c r="R110" s="510">
        <v>2.1364674253305345</v>
      </c>
      <c r="S110" s="510">
        <v>2.2190369600944124</v>
      </c>
      <c r="T110" s="510">
        <v>0.25043273303134095</v>
      </c>
      <c r="U110" s="510">
        <v>0.29235488322872932</v>
      </c>
      <c r="V110" s="510">
        <v>672.74058115124853</v>
      </c>
      <c r="W110" s="510">
        <v>708.58969857455384</v>
      </c>
      <c r="X110" s="510">
        <v>407.04526203366112</v>
      </c>
      <c r="Y110" s="569">
        <v>465.52455634719769</v>
      </c>
      <c r="Z110" s="512">
        <v>0</v>
      </c>
      <c r="AA110" s="513">
        <v>0.71088685189563416</v>
      </c>
      <c r="AB110" s="513">
        <v>0</v>
      </c>
      <c r="AC110" s="513">
        <v>0.71088685189563416</v>
      </c>
      <c r="AD110" s="510">
        <v>0</v>
      </c>
      <c r="AE110" s="510">
        <v>244.249</v>
      </c>
      <c r="AF110" s="510">
        <v>0</v>
      </c>
      <c r="AG110" s="510">
        <v>100.44779550777027</v>
      </c>
      <c r="AH110" s="510">
        <v>0</v>
      </c>
      <c r="AI110" s="510">
        <v>1.6790242744084931</v>
      </c>
      <c r="AJ110" s="510">
        <v>0</v>
      </c>
      <c r="AK110" s="569">
        <v>992.54555801661729</v>
      </c>
      <c r="AL110" s="576">
        <v>0</v>
      </c>
      <c r="AM110" s="577">
        <v>0</v>
      </c>
      <c r="AN110" s="512">
        <v>0.92090401102002384</v>
      </c>
      <c r="AO110" s="513">
        <v>0.92100436446751288</v>
      </c>
      <c r="AP110" s="513">
        <v>0.92090401102002384</v>
      </c>
      <c r="AQ110" s="513">
        <v>0.92100436446751288</v>
      </c>
      <c r="AR110" s="510">
        <v>47.154000000000003</v>
      </c>
      <c r="AS110" s="510">
        <v>395.28799999999995</v>
      </c>
      <c r="AT110" s="514">
        <v>118.7585065317772</v>
      </c>
      <c r="AU110" s="514">
        <v>103.75085945149613</v>
      </c>
      <c r="AV110" s="510">
        <v>1.6138609661958687</v>
      </c>
      <c r="AW110" s="510">
        <v>1.4731031551678777</v>
      </c>
      <c r="AX110" s="510">
        <v>0.20358824277897949</v>
      </c>
      <c r="AY110" s="510">
        <v>0.19783044261399282</v>
      </c>
      <c r="AZ110" s="510">
        <v>861.80811808118119</v>
      </c>
      <c r="BA110" s="510">
        <v>794.5555139543826</v>
      </c>
      <c r="BB110" s="510">
        <v>475.29605123637447</v>
      </c>
      <c r="BC110" s="569">
        <v>506.10506769747633</v>
      </c>
      <c r="BD110" s="510">
        <v>6.6590321075624548</v>
      </c>
      <c r="BE110" s="510">
        <v>6.2106615935722829</v>
      </c>
      <c r="BF110" s="512">
        <v>1.0447145638239472</v>
      </c>
      <c r="BG110" s="513">
        <v>0.82579687464015006</v>
      </c>
      <c r="BH110" s="513">
        <v>1.0447145638239472</v>
      </c>
      <c r="BI110" s="513">
        <v>0.82579687464015006</v>
      </c>
      <c r="BJ110" s="510">
        <v>54.862000000000002</v>
      </c>
      <c r="BK110" s="510">
        <v>337.45700000000005</v>
      </c>
      <c r="BL110" s="510">
        <v>2.1344464292224123</v>
      </c>
      <c r="BM110" s="510">
        <v>2.7532396720174712</v>
      </c>
      <c r="BN110" s="514">
        <v>0</v>
      </c>
      <c r="BO110" s="514">
        <v>0</v>
      </c>
      <c r="BP110" s="514">
        <v>793.60121760052516</v>
      </c>
      <c r="BQ110" s="514">
        <v>1040.296660018907</v>
      </c>
      <c r="BR110" s="514">
        <v>0</v>
      </c>
      <c r="BS110" s="515">
        <v>0</v>
      </c>
      <c r="BT110" s="512">
        <v>0.92391060421727611</v>
      </c>
      <c r="BU110" s="513">
        <v>0.87465040474143718</v>
      </c>
      <c r="BV110" s="513">
        <v>0.92391060421727611</v>
      </c>
      <c r="BW110" s="513">
        <v>0.87465040474143718</v>
      </c>
      <c r="BX110" s="510">
        <v>49.709000000000003</v>
      </c>
      <c r="BY110" s="510">
        <v>377.44</v>
      </c>
      <c r="BZ110" s="514">
        <v>78.783808627806167</v>
      </c>
      <c r="CA110" s="514">
        <v>76.849980564221127</v>
      </c>
      <c r="CB110" s="510">
        <v>1.9453217727172141</v>
      </c>
      <c r="CC110" s="510">
        <v>1.9377914370495974</v>
      </c>
      <c r="CD110" s="514">
        <v>0.20519423042105048</v>
      </c>
      <c r="CE110" s="514">
        <v>0.19473293768545993</v>
      </c>
      <c r="CF110" s="514">
        <v>759.75276106942385</v>
      </c>
      <c r="CG110" s="514">
        <v>765.34651865197122</v>
      </c>
      <c r="CH110" s="514">
        <v>469.26894526142149</v>
      </c>
      <c r="CI110" s="514">
        <v>498.14471174226367</v>
      </c>
      <c r="CJ110" s="514">
        <v>0</v>
      </c>
      <c r="CK110" s="515">
        <v>0</v>
      </c>
    </row>
    <row r="111" spans="1:89" ht="12.75" customHeight="1">
      <c r="A111" s="560">
        <v>45909</v>
      </c>
      <c r="B111" s="512">
        <v>1.0228547725272858</v>
      </c>
      <c r="C111" s="513">
        <v>0.89114554229635767</v>
      </c>
      <c r="D111" s="513">
        <v>1.0228547725272858</v>
      </c>
      <c r="E111" s="513">
        <v>0.89114554229635767</v>
      </c>
      <c r="F111" s="510">
        <v>62.834000000000003</v>
      </c>
      <c r="G111" s="510">
        <v>577.22900000000004</v>
      </c>
      <c r="H111" s="510">
        <v>2.0939141229270777</v>
      </c>
      <c r="I111" s="510">
        <v>2.2316411684097641</v>
      </c>
      <c r="J111" s="510">
        <v>886.77499442978274</v>
      </c>
      <c r="K111" s="511">
        <v>816.86450264973291</v>
      </c>
      <c r="L111" s="512">
        <v>0.89713475003321752</v>
      </c>
      <c r="M111" s="513">
        <v>0.89349628050317176</v>
      </c>
      <c r="N111" s="513">
        <v>0.89713475003321752</v>
      </c>
      <c r="O111" s="513">
        <v>0.90860688226069652</v>
      </c>
      <c r="P111" s="510">
        <v>56.868000000000002</v>
      </c>
      <c r="Q111" s="510">
        <v>466.98599999999993</v>
      </c>
      <c r="R111" s="510">
        <v>2.1506646971935006</v>
      </c>
      <c r="S111" s="510">
        <v>2.2107108136004081</v>
      </c>
      <c r="T111" s="510">
        <v>0.2549764366603362</v>
      </c>
      <c r="U111" s="510">
        <v>0.28780306047718773</v>
      </c>
      <c r="V111" s="510">
        <v>732.27878596048254</v>
      </c>
      <c r="W111" s="510">
        <v>711.47447675090814</v>
      </c>
      <c r="X111" s="510">
        <v>404.69156643455017</v>
      </c>
      <c r="Y111" s="569">
        <v>458.11651741165696</v>
      </c>
      <c r="Z111" s="512">
        <v>0.75825127882432952</v>
      </c>
      <c r="AA111" s="513">
        <v>0.71642962568792634</v>
      </c>
      <c r="AB111" s="513">
        <v>0.75825127882432952</v>
      </c>
      <c r="AC111" s="513">
        <v>0.71642962568792634</v>
      </c>
      <c r="AD111" s="510">
        <v>34.527999999999999</v>
      </c>
      <c r="AE111" s="510">
        <v>278.77699999999999</v>
      </c>
      <c r="AF111" s="510">
        <v>106.64211638231241</v>
      </c>
      <c r="AG111" s="510">
        <v>101.21499477871511</v>
      </c>
      <c r="AH111" s="510">
        <v>1.8680491195551436</v>
      </c>
      <c r="AI111" s="510">
        <v>1.7024359972307617</v>
      </c>
      <c r="AJ111" s="510">
        <v>1032.7739805375243</v>
      </c>
      <c r="AK111" s="569">
        <v>997.52806006234493</v>
      </c>
      <c r="AL111" s="576">
        <v>0</v>
      </c>
      <c r="AM111" s="577">
        <v>0</v>
      </c>
      <c r="AN111" s="512">
        <v>0.69590702139574145</v>
      </c>
      <c r="AO111" s="513">
        <v>0.89705537037513405</v>
      </c>
      <c r="AP111" s="513">
        <v>0.69590702139574145</v>
      </c>
      <c r="AQ111" s="513">
        <v>0.89705537037513405</v>
      </c>
      <c r="AR111" s="510">
        <v>35.561</v>
      </c>
      <c r="AS111" s="510">
        <v>430.84899999999993</v>
      </c>
      <c r="AT111" s="514">
        <v>111.93649196146703</v>
      </c>
      <c r="AU111" s="514">
        <v>104.42647730760601</v>
      </c>
      <c r="AV111" s="510">
        <v>1.7969123477967437</v>
      </c>
      <c r="AW111" s="510">
        <v>1.499829406590244</v>
      </c>
      <c r="AX111" s="510">
        <v>0.20809313573859003</v>
      </c>
      <c r="AY111" s="510">
        <v>0.19867749489960521</v>
      </c>
      <c r="AZ111" s="510">
        <v>1009.8034363488086</v>
      </c>
      <c r="BA111" s="510">
        <v>812.32143976195835</v>
      </c>
      <c r="BB111" s="510">
        <v>568.1015719467955</v>
      </c>
      <c r="BC111" s="569">
        <v>511.22207548352219</v>
      </c>
      <c r="BD111" s="510">
        <v>6.8895700345884539</v>
      </c>
      <c r="BE111" s="510">
        <v>6.2666966849174548</v>
      </c>
      <c r="BF111" s="512">
        <v>0.92890614931331139</v>
      </c>
      <c r="BG111" s="513">
        <v>0.83696193742357206</v>
      </c>
      <c r="BH111" s="513">
        <v>0.92890614931331139</v>
      </c>
      <c r="BI111" s="513">
        <v>0.83696193742357206</v>
      </c>
      <c r="BJ111" s="510">
        <v>46.094999999999999</v>
      </c>
      <c r="BK111" s="510">
        <v>383.55200000000002</v>
      </c>
      <c r="BL111" s="510">
        <v>2.5382362512203058</v>
      </c>
      <c r="BM111" s="510">
        <v>2.727400717503754</v>
      </c>
      <c r="BN111" s="514">
        <v>0</v>
      </c>
      <c r="BO111" s="514">
        <v>0</v>
      </c>
      <c r="BP111" s="514">
        <v>1123.7103807354379</v>
      </c>
      <c r="BQ111" s="514">
        <v>1050.321260220258</v>
      </c>
      <c r="BR111" s="514">
        <v>0</v>
      </c>
      <c r="BS111" s="515">
        <v>0</v>
      </c>
      <c r="BT111" s="512">
        <v>0.85675117828340908</v>
      </c>
      <c r="BU111" s="513">
        <v>0.87268679225273171</v>
      </c>
      <c r="BV111" s="513">
        <v>0.85675117828340908</v>
      </c>
      <c r="BW111" s="513">
        <v>0.87268679225273171</v>
      </c>
      <c r="BX111" s="510">
        <v>45.557000000000002</v>
      </c>
      <c r="BY111" s="510">
        <v>422.99700000000001</v>
      </c>
      <c r="BZ111" s="514">
        <v>71.872322912171285</v>
      </c>
      <c r="CA111" s="514">
        <v>76.313884209744771</v>
      </c>
      <c r="CB111" s="510">
        <v>2.0282283732467019</v>
      </c>
      <c r="CC111" s="510">
        <v>1.9475315427768993</v>
      </c>
      <c r="CD111" s="514">
        <v>0.21292007814386371</v>
      </c>
      <c r="CE111" s="514">
        <v>0.19669170230521729</v>
      </c>
      <c r="CF111" s="514">
        <v>902.15400487301588</v>
      </c>
      <c r="CG111" s="514">
        <v>780.0807570739272</v>
      </c>
      <c r="CH111" s="514">
        <v>587.82931272910866</v>
      </c>
      <c r="CI111" s="514">
        <v>507.80379057061862</v>
      </c>
      <c r="CJ111" s="514">
        <v>0</v>
      </c>
      <c r="CK111" s="515">
        <v>0</v>
      </c>
    </row>
    <row r="112" spans="1:89" ht="12.75" customHeight="1">
      <c r="A112" s="560">
        <v>45910</v>
      </c>
      <c r="B112" s="512">
        <v>0.89912883772146091</v>
      </c>
      <c r="C112" s="513">
        <v>0.89179470835641739</v>
      </c>
      <c r="D112" s="513">
        <v>0.89912883772146091</v>
      </c>
      <c r="E112" s="513">
        <v>0.89179470835641739</v>
      </c>
      <c r="F112" s="510">
        <v>51.55</v>
      </c>
      <c r="G112" s="510">
        <v>628.779</v>
      </c>
      <c r="H112" s="510">
        <v>2.4567216294859362</v>
      </c>
      <c r="I112" s="510">
        <v>2.2500942302462388</v>
      </c>
      <c r="J112" s="510">
        <v>931.19573229872947</v>
      </c>
      <c r="K112" s="511">
        <v>826.23786735880515</v>
      </c>
      <c r="L112" s="512">
        <v>0.89034204980662124</v>
      </c>
      <c r="M112" s="513">
        <v>0.89314508319678232</v>
      </c>
      <c r="N112" s="513">
        <v>0.89034204980662124</v>
      </c>
      <c r="O112" s="513">
        <v>0.90654273970597699</v>
      </c>
      <c r="P112" s="510">
        <v>58.302999999999997</v>
      </c>
      <c r="Q112" s="510">
        <v>525.28899999999999</v>
      </c>
      <c r="R112" s="510">
        <v>2.1253108759412038</v>
      </c>
      <c r="S112" s="510">
        <v>2.201232083672036</v>
      </c>
      <c r="T112" s="510">
        <v>0.3344596332950277</v>
      </c>
      <c r="U112" s="510">
        <v>0.29298157776005207</v>
      </c>
      <c r="V112" s="510">
        <v>484.85000771828896</v>
      </c>
      <c r="W112" s="510">
        <v>686.32092048376967</v>
      </c>
      <c r="X112" s="510">
        <v>498.99662110011491</v>
      </c>
      <c r="Y112" s="569">
        <v>462.65389147688222</v>
      </c>
      <c r="Z112" s="512">
        <v>0.85091417551168358</v>
      </c>
      <c r="AA112" s="513">
        <v>0.7300647484123769</v>
      </c>
      <c r="AB112" s="513">
        <v>0.85091417551168358</v>
      </c>
      <c r="AC112" s="513">
        <v>0.7300647484123769</v>
      </c>
      <c r="AD112" s="510">
        <v>37.357999999999997</v>
      </c>
      <c r="AE112" s="510">
        <v>316.13499999999999</v>
      </c>
      <c r="AF112" s="510">
        <v>113.73494559176052</v>
      </c>
      <c r="AG112" s="510">
        <v>102.69449031851219</v>
      </c>
      <c r="AH112" s="510">
        <v>1.5632528507950105</v>
      </c>
      <c r="AI112" s="510">
        <v>1.685988580827811</v>
      </c>
      <c r="AJ112" s="510">
        <v>915.01525777612187</v>
      </c>
      <c r="AK112" s="569">
        <v>987.7774368545106</v>
      </c>
      <c r="AL112" s="576">
        <v>0</v>
      </c>
      <c r="AM112" s="577">
        <v>0</v>
      </c>
      <c r="AN112" s="512">
        <v>8.8056890096573623E-2</v>
      </c>
      <c r="AO112" s="513">
        <v>0.81891191468065283</v>
      </c>
      <c r="AP112" s="513">
        <v>0.13176083136620226</v>
      </c>
      <c r="AQ112" s="513">
        <v>0.84601748331613491</v>
      </c>
      <c r="AR112" s="510">
        <v>4.5220000000000002</v>
      </c>
      <c r="AS112" s="510">
        <v>435.37099999999992</v>
      </c>
      <c r="AT112" s="514">
        <v>412.2670571212339</v>
      </c>
      <c r="AU112" s="514">
        <v>107.62387700101053</v>
      </c>
      <c r="AV112" s="510">
        <v>5.1525873507297657</v>
      </c>
      <c r="AW112" s="510">
        <v>1.5377689372971557</v>
      </c>
      <c r="AX112" s="510">
        <v>0</v>
      </c>
      <c r="AY112" s="510">
        <v>0.19661392237884473</v>
      </c>
      <c r="AZ112" s="510">
        <v>3306.7536488279529</v>
      </c>
      <c r="BA112" s="510">
        <v>838.22996938243477</v>
      </c>
      <c r="BB112" s="510">
        <v>0</v>
      </c>
      <c r="BC112" s="569">
        <v>505.91224495889719</v>
      </c>
      <c r="BD112" s="510">
        <v>0</v>
      </c>
      <c r="BE112" s="510">
        <v>6.2016073647532801</v>
      </c>
      <c r="BF112" s="512">
        <v>0.82268927965397098</v>
      </c>
      <c r="BG112" s="513">
        <v>0.8355297716730592</v>
      </c>
      <c r="BH112" s="513">
        <v>0.82268927965397098</v>
      </c>
      <c r="BI112" s="513">
        <v>0.8355297716730592</v>
      </c>
      <c r="BJ112" s="510">
        <v>42.05</v>
      </c>
      <c r="BK112" s="510">
        <v>425.60200000000003</v>
      </c>
      <c r="BL112" s="510">
        <v>2.8038049940546972</v>
      </c>
      <c r="BM112" s="510">
        <v>2.7349495538084874</v>
      </c>
      <c r="BN112" s="514">
        <v>0</v>
      </c>
      <c r="BO112" s="514">
        <v>0</v>
      </c>
      <c r="BP112" s="514">
        <v>970.21902497027349</v>
      </c>
      <c r="BQ112" s="514">
        <v>1042.4070610570445</v>
      </c>
      <c r="BR112" s="514">
        <v>0</v>
      </c>
      <c r="BS112" s="515">
        <v>0</v>
      </c>
      <c r="BT112" s="512">
        <v>0.72851204363364597</v>
      </c>
      <c r="BU112" s="513">
        <v>0.85809656554364377</v>
      </c>
      <c r="BV112" s="513">
        <v>0.72851204363364597</v>
      </c>
      <c r="BW112" s="513">
        <v>0.85809656554364377</v>
      </c>
      <c r="BX112" s="510">
        <v>39.758000000000003</v>
      </c>
      <c r="BY112" s="510">
        <v>462.755</v>
      </c>
      <c r="BZ112" s="514">
        <v>84.909157157824595</v>
      </c>
      <c r="CA112" s="514">
        <v>77.052354592279286</v>
      </c>
      <c r="CB112" s="510">
        <v>2.1203279843050451</v>
      </c>
      <c r="CC112" s="510">
        <v>1.9623774999729879</v>
      </c>
      <c r="CD112" s="514">
        <v>0.23894562100709291</v>
      </c>
      <c r="CE112" s="514">
        <v>0.20032198463549827</v>
      </c>
      <c r="CF112" s="514">
        <v>685.01207304190689</v>
      </c>
      <c r="CG112" s="514">
        <v>771.91284805134501</v>
      </c>
      <c r="CH112" s="514">
        <v>578.17294632526443</v>
      </c>
      <c r="CI112" s="514">
        <v>513.84961804842703</v>
      </c>
      <c r="CJ112" s="514">
        <v>3.2697821822023241</v>
      </c>
      <c r="CK112" s="515">
        <v>0.28092619204546687</v>
      </c>
    </row>
    <row r="113" spans="1:89" ht="12.75" customHeight="1">
      <c r="A113" s="560">
        <v>45911</v>
      </c>
      <c r="B113" s="512">
        <v>0.92092365429328416</v>
      </c>
      <c r="C113" s="513">
        <v>0.89467601205893754</v>
      </c>
      <c r="D113" s="513">
        <v>0.92092365429328416</v>
      </c>
      <c r="E113" s="513">
        <v>0.89467601205893754</v>
      </c>
      <c r="F113" s="510">
        <v>71.278000000000006</v>
      </c>
      <c r="G113" s="510">
        <v>700.05700000000002</v>
      </c>
      <c r="H113" s="510">
        <v>2.3866129801621816</v>
      </c>
      <c r="I113" s="510">
        <v>2.2639942176137087</v>
      </c>
      <c r="J113" s="510">
        <v>746.49906001852878</v>
      </c>
      <c r="K113" s="511">
        <v>818.11906744736893</v>
      </c>
      <c r="L113" s="512">
        <v>0.85668999127194967</v>
      </c>
      <c r="M113" s="513">
        <v>0.89002893943404604</v>
      </c>
      <c r="N113" s="513">
        <v>0.85668999127194967</v>
      </c>
      <c r="O113" s="513">
        <v>0.90222299423787911</v>
      </c>
      <c r="P113" s="510">
        <v>47.094000000000001</v>
      </c>
      <c r="Q113" s="510">
        <v>572.38300000000004</v>
      </c>
      <c r="R113" s="510">
        <v>2.3791778145835987</v>
      </c>
      <c r="S113" s="510">
        <v>2.2158729382249298</v>
      </c>
      <c r="T113" s="510">
        <v>0.36098016732492461</v>
      </c>
      <c r="U113" s="510">
        <v>0.29857630293003107</v>
      </c>
      <c r="V113" s="510">
        <v>816.16002038476745</v>
      </c>
      <c r="W113" s="510">
        <v>697.0037020666216</v>
      </c>
      <c r="X113" s="510">
        <v>550.81326708285565</v>
      </c>
      <c r="Y113" s="569">
        <v>469.90738718655166</v>
      </c>
      <c r="Z113" s="512">
        <v>0.87485288103060255</v>
      </c>
      <c r="AA113" s="513">
        <v>0.74355839367154164</v>
      </c>
      <c r="AB113" s="513">
        <v>0.87485288103060255</v>
      </c>
      <c r="AC113" s="513">
        <v>0.74355839367154164</v>
      </c>
      <c r="AD113" s="510">
        <v>38.933999999999997</v>
      </c>
      <c r="AE113" s="510">
        <v>355.06899999999996</v>
      </c>
      <c r="AF113" s="510">
        <v>88.454075335217553</v>
      </c>
      <c r="AG113" s="510">
        <v>101.13300137703999</v>
      </c>
      <c r="AH113" s="510">
        <v>1.5462064005753329</v>
      </c>
      <c r="AI113" s="510">
        <v>1.6706611954296211</v>
      </c>
      <c r="AJ113" s="510">
        <v>955.95006934810885</v>
      </c>
      <c r="AK113" s="569">
        <v>984.28750468218857</v>
      </c>
      <c r="AL113" s="576">
        <v>0</v>
      </c>
      <c r="AM113" s="577">
        <v>0</v>
      </c>
      <c r="AN113" s="512">
        <v>0.6905247974393357</v>
      </c>
      <c r="AO113" s="513">
        <v>0.80798101635765474</v>
      </c>
      <c r="AP113" s="513">
        <v>0.6905247974393357</v>
      </c>
      <c r="AQ113" s="513">
        <v>0.83237905396147704</v>
      </c>
      <c r="AR113" s="510">
        <v>34.164999999999999</v>
      </c>
      <c r="AS113" s="510">
        <v>469.53599999999994</v>
      </c>
      <c r="AT113" s="514">
        <v>127.84170492295479</v>
      </c>
      <c r="AU113" s="514">
        <v>109.09499336046588</v>
      </c>
      <c r="AV113" s="510">
        <v>1.715205619786331</v>
      </c>
      <c r="AW113" s="510">
        <v>1.5506798200776937</v>
      </c>
      <c r="AX113" s="510">
        <v>0</v>
      </c>
      <c r="AY113" s="510">
        <v>0.1823076398827779</v>
      </c>
      <c r="AZ113" s="510">
        <v>1099.9256549099948</v>
      </c>
      <c r="BA113" s="510">
        <v>857.27181728344567</v>
      </c>
      <c r="BB113" s="510">
        <v>0</v>
      </c>
      <c r="BC113" s="569">
        <v>469.1003884686159</v>
      </c>
      <c r="BD113" s="510">
        <v>0</v>
      </c>
      <c r="BE113" s="510">
        <v>5.7503578000408924</v>
      </c>
      <c r="BF113" s="512">
        <v>0.84799197847296848</v>
      </c>
      <c r="BG113" s="513">
        <v>0.83670737297305653</v>
      </c>
      <c r="BH113" s="513">
        <v>0.84799197847296848</v>
      </c>
      <c r="BI113" s="513">
        <v>0.83670737297305653</v>
      </c>
      <c r="BJ113" s="510">
        <v>45.076000000000001</v>
      </c>
      <c r="BK113" s="510">
        <v>470.67800000000005</v>
      </c>
      <c r="BL113" s="510">
        <v>2.5911793415564821</v>
      </c>
      <c r="BM113" s="510">
        <v>2.7211809347366986</v>
      </c>
      <c r="BN113" s="514">
        <v>0</v>
      </c>
      <c r="BO113" s="514">
        <v>0</v>
      </c>
      <c r="BP113" s="514">
        <v>1012.2113763421773</v>
      </c>
      <c r="BQ113" s="514">
        <v>1039.5152737115402</v>
      </c>
      <c r="BR113" s="514">
        <v>0</v>
      </c>
      <c r="BS113" s="515">
        <v>0</v>
      </c>
      <c r="BT113" s="512">
        <v>0.58932350996216432</v>
      </c>
      <c r="BU113" s="513">
        <v>0.83249136027234472</v>
      </c>
      <c r="BV113" s="513">
        <v>0.58932350996216432</v>
      </c>
      <c r="BW113" s="513">
        <v>0.83249136027234472</v>
      </c>
      <c r="BX113" s="510">
        <v>33.465000000000003</v>
      </c>
      <c r="BY113" s="510">
        <v>496.22</v>
      </c>
      <c r="BZ113" s="514">
        <v>89.748010823424167</v>
      </c>
      <c r="CA113" s="514">
        <v>77.908547683600204</v>
      </c>
      <c r="CB113" s="510">
        <v>2.2650530404900637</v>
      </c>
      <c r="CC113" s="510">
        <v>1.9827898915803472</v>
      </c>
      <c r="CD113" s="514">
        <v>0.24204392649036302</v>
      </c>
      <c r="CE113" s="514">
        <v>0.20313570593688282</v>
      </c>
      <c r="CF113" s="514">
        <v>1089.1510533393098</v>
      </c>
      <c r="CG113" s="514">
        <v>793.30734351698868</v>
      </c>
      <c r="CH113" s="514">
        <v>456.95502764081874</v>
      </c>
      <c r="CI113" s="514">
        <v>510.01265567691712</v>
      </c>
      <c r="CJ113" s="514">
        <v>4.1834752726729425</v>
      </c>
      <c r="CK113" s="515">
        <v>0.54411349804522191</v>
      </c>
    </row>
    <row r="114" spans="1:89" ht="12.75" customHeight="1">
      <c r="A114" s="560">
        <v>45912</v>
      </c>
      <c r="B114" s="512">
        <v>0.94480048753665846</v>
      </c>
      <c r="C114" s="513">
        <v>0.8990424938192294</v>
      </c>
      <c r="D114" s="513">
        <v>0.94480048753665846</v>
      </c>
      <c r="E114" s="513">
        <v>0.8990424938192294</v>
      </c>
      <c r="F114" s="510">
        <v>70.546000000000006</v>
      </c>
      <c r="G114" s="510">
        <v>770.60300000000007</v>
      </c>
      <c r="H114" s="510">
        <v>2.3801774728545912</v>
      </c>
      <c r="I114" s="510">
        <v>2.274630386852893</v>
      </c>
      <c r="J114" s="510">
        <v>768.72678819492694</v>
      </c>
      <c r="K114" s="511">
        <v>813.59737763803412</v>
      </c>
      <c r="L114" s="512">
        <v>0.88279398036360901</v>
      </c>
      <c r="M114" s="513">
        <v>0.88948880639810368</v>
      </c>
      <c r="N114" s="513">
        <v>0.88279398036360901</v>
      </c>
      <c r="O114" s="513">
        <v>0.90075413155961037</v>
      </c>
      <c r="P114" s="510">
        <v>45.804000000000002</v>
      </c>
      <c r="Q114" s="510">
        <v>618.18700000000001</v>
      </c>
      <c r="R114" s="510">
        <v>2.4771199021919483</v>
      </c>
      <c r="S114" s="510">
        <v>2.2352297929267362</v>
      </c>
      <c r="T114" s="510">
        <v>0.29691729979914416</v>
      </c>
      <c r="U114" s="510">
        <v>0.29845338061136834</v>
      </c>
      <c r="V114" s="510">
        <v>806.81599860274309</v>
      </c>
      <c r="W114" s="510">
        <v>705.14014367820596</v>
      </c>
      <c r="X114" s="510">
        <v>513.95074665968036</v>
      </c>
      <c r="Y114" s="569">
        <v>473.17073959821221</v>
      </c>
      <c r="Z114" s="512">
        <v>0.88333888551721618</v>
      </c>
      <c r="AA114" s="513">
        <v>0.75566094878963064</v>
      </c>
      <c r="AB114" s="513">
        <v>0.88333888551721618</v>
      </c>
      <c r="AC114" s="513">
        <v>0.75566094878963064</v>
      </c>
      <c r="AD114" s="510">
        <v>39.984000000000002</v>
      </c>
      <c r="AE114" s="510">
        <v>395.05299999999994</v>
      </c>
      <c r="AF114" s="510">
        <v>101.34047038614617</v>
      </c>
      <c r="AG114" s="510">
        <v>101.15399967564829</v>
      </c>
      <c r="AH114" s="510">
        <v>1.5206082432973187</v>
      </c>
      <c r="AI114" s="510">
        <v>1.6554740756303588</v>
      </c>
      <c r="AJ114" s="510">
        <v>997.16386554622761</v>
      </c>
      <c r="AK114" s="569">
        <v>985.59074352049072</v>
      </c>
      <c r="AL114" s="576">
        <v>0</v>
      </c>
      <c r="AM114" s="577">
        <v>0</v>
      </c>
      <c r="AN114" s="512">
        <v>0.84628732110847471</v>
      </c>
      <c r="AO114" s="513">
        <v>0.81101755052640789</v>
      </c>
      <c r="AP114" s="513">
        <v>0.84628732110847471</v>
      </c>
      <c r="AQ114" s="513">
        <v>0.83351213928335743</v>
      </c>
      <c r="AR114" s="510">
        <v>42.341000000000001</v>
      </c>
      <c r="AS114" s="510">
        <v>511.87699999999995</v>
      </c>
      <c r="AT114" s="514">
        <v>148.1188427021107</v>
      </c>
      <c r="AU114" s="514">
        <v>112.32293445759387</v>
      </c>
      <c r="AV114" s="510">
        <v>1.5729434826763655</v>
      </c>
      <c r="AW114" s="510">
        <v>1.552521406509767</v>
      </c>
      <c r="AX114" s="510">
        <v>0</v>
      </c>
      <c r="AY114" s="510">
        <v>0.16722767383570664</v>
      </c>
      <c r="AZ114" s="510">
        <v>1016.0506364989017</v>
      </c>
      <c r="BA114" s="510">
        <v>870.40554664499473</v>
      </c>
      <c r="BB114" s="510">
        <v>0</v>
      </c>
      <c r="BC114" s="569">
        <v>430.29774731038913</v>
      </c>
      <c r="BD114" s="510">
        <v>0</v>
      </c>
      <c r="BE114" s="510">
        <v>5.2747046653785974</v>
      </c>
      <c r="BF114" s="512">
        <v>0.85446468333646508</v>
      </c>
      <c r="BG114" s="513">
        <v>0.83821018036903439</v>
      </c>
      <c r="BH114" s="513">
        <v>0.85446468333646508</v>
      </c>
      <c r="BI114" s="513">
        <v>0.83821018036903439</v>
      </c>
      <c r="BJ114" s="510">
        <v>44.44</v>
      </c>
      <c r="BK114" s="510">
        <v>515.11800000000005</v>
      </c>
      <c r="BL114" s="510">
        <v>2.5810081008100814</v>
      </c>
      <c r="BM114" s="510">
        <v>2.7090880147849616</v>
      </c>
      <c r="BN114" s="514">
        <v>0</v>
      </c>
      <c r="BO114" s="514">
        <v>0</v>
      </c>
      <c r="BP114" s="514">
        <v>1126.6629162916297</v>
      </c>
      <c r="BQ114" s="514">
        <v>1047.0336311291787</v>
      </c>
      <c r="BR114" s="514">
        <v>0</v>
      </c>
      <c r="BS114" s="515">
        <v>0</v>
      </c>
      <c r="BT114" s="512">
        <v>0.78381752889479717</v>
      </c>
      <c r="BU114" s="513">
        <v>0.82858614428000088</v>
      </c>
      <c r="BV114" s="513">
        <v>0.78381752889479717</v>
      </c>
      <c r="BW114" s="513">
        <v>0.82858614428000088</v>
      </c>
      <c r="BX114" s="510">
        <v>40.755000000000003</v>
      </c>
      <c r="BY114" s="510">
        <v>536.97500000000002</v>
      </c>
      <c r="BZ114" s="514">
        <v>86.6029373875662</v>
      </c>
      <c r="CA114" s="514">
        <v>78.568429153659579</v>
      </c>
      <c r="CB114" s="510">
        <v>1.9752177646914488</v>
      </c>
      <c r="CC114" s="510">
        <v>1.9822151869267657</v>
      </c>
      <c r="CD114" s="514">
        <v>0.21101705312231625</v>
      </c>
      <c r="CE114" s="514">
        <v>0.20373387960333347</v>
      </c>
      <c r="CF114" s="514">
        <v>874.27064163906221</v>
      </c>
      <c r="CG114" s="514">
        <v>799.45224638018556</v>
      </c>
      <c r="CH114" s="514">
        <v>648.06772175193225</v>
      </c>
      <c r="CI114" s="514">
        <v>520.49067461241179</v>
      </c>
      <c r="CJ114" s="514">
        <v>3.68052999631947</v>
      </c>
      <c r="CK114" s="515">
        <v>0.78215931840402253</v>
      </c>
    </row>
    <row r="115" spans="1:89" ht="12.75" customHeight="1">
      <c r="A115" s="560">
        <v>45913</v>
      </c>
      <c r="B115" s="512">
        <v>1.0056968624384355</v>
      </c>
      <c r="C115" s="513">
        <v>0.90709240713612138</v>
      </c>
      <c r="D115" s="513">
        <v>1.0056968624384355</v>
      </c>
      <c r="E115" s="513">
        <v>0.90709240713612138</v>
      </c>
      <c r="F115" s="510">
        <v>70.373999999999995</v>
      </c>
      <c r="G115" s="510">
        <v>840.97700000000009</v>
      </c>
      <c r="H115" s="510">
        <v>2.1514337681530113</v>
      </c>
      <c r="I115" s="510">
        <v>2.2643211407684154</v>
      </c>
      <c r="J115" s="510">
        <v>813.66498991105004</v>
      </c>
      <c r="K115" s="511">
        <v>813.60303551702623</v>
      </c>
      <c r="L115" s="512">
        <v>0.9920540839565779</v>
      </c>
      <c r="M115" s="513">
        <v>0.89709598766434062</v>
      </c>
      <c r="N115" s="513">
        <v>0.9920540839565779</v>
      </c>
      <c r="O115" s="513">
        <v>0.90760510004406958</v>
      </c>
      <c r="P115" s="510">
        <v>55.234000000000002</v>
      </c>
      <c r="Q115" s="510">
        <v>673.42100000000005</v>
      </c>
      <c r="R115" s="510">
        <v>2.078629105261252</v>
      </c>
      <c r="S115" s="510">
        <v>2.2223854022966316</v>
      </c>
      <c r="T115" s="510">
        <v>0.29329760654669224</v>
      </c>
      <c r="U115" s="510">
        <v>0.29803050394923819</v>
      </c>
      <c r="V115" s="510">
        <v>757.21095701922638</v>
      </c>
      <c r="W115" s="510">
        <v>709.41099252918912</v>
      </c>
      <c r="X115" s="510">
        <v>444.67176014773509</v>
      </c>
      <c r="Y115" s="569">
        <v>470.83325289826126</v>
      </c>
      <c r="Z115" s="512">
        <v>0.4257918480315484</v>
      </c>
      <c r="AA115" s="513">
        <v>0.7301993334815845</v>
      </c>
      <c r="AB115" s="513">
        <v>1.3276665708884197</v>
      </c>
      <c r="AC115" s="513">
        <v>0.77060412200599582</v>
      </c>
      <c r="AD115" s="510">
        <v>18.619</v>
      </c>
      <c r="AE115" s="510">
        <v>413.67199999999991</v>
      </c>
      <c r="AF115" s="510">
        <v>59.524309886925721</v>
      </c>
      <c r="AG115" s="510">
        <v>99.280285249300306</v>
      </c>
      <c r="AH115" s="510">
        <v>1.0312046833879371</v>
      </c>
      <c r="AI115" s="510">
        <v>1.6273762787909265</v>
      </c>
      <c r="AJ115" s="510">
        <v>1133.8342553306154</v>
      </c>
      <c r="AK115" s="569">
        <v>992.26304898567275</v>
      </c>
      <c r="AL115" s="576">
        <v>0</v>
      </c>
      <c r="AM115" s="577">
        <v>0</v>
      </c>
      <c r="AN115" s="512">
        <v>0.95309049041172644</v>
      </c>
      <c r="AO115" s="513">
        <v>0.82134542666441857</v>
      </c>
      <c r="AP115" s="513">
        <v>0.95309049041172644</v>
      </c>
      <c r="AQ115" s="513">
        <v>0.84242791469392497</v>
      </c>
      <c r="AR115" s="510">
        <v>47.156999999999996</v>
      </c>
      <c r="AS115" s="510">
        <v>559.03399999999999</v>
      </c>
      <c r="AT115" s="514">
        <v>142.3109026370505</v>
      </c>
      <c r="AU115" s="514">
        <v>114.85255271952182</v>
      </c>
      <c r="AV115" s="510">
        <v>1.3677714867357975</v>
      </c>
      <c r="AW115" s="510">
        <v>1.5369369304908109</v>
      </c>
      <c r="AX115" s="510">
        <v>0</v>
      </c>
      <c r="AY115" s="510">
        <v>0.15312127706007148</v>
      </c>
      <c r="AZ115" s="510">
        <v>923.9531776830604</v>
      </c>
      <c r="BA115" s="510">
        <v>874.92252707348746</v>
      </c>
      <c r="BB115" s="510">
        <v>0</v>
      </c>
      <c r="BC115" s="569">
        <v>394.00022181119579</v>
      </c>
      <c r="BD115" s="510">
        <v>0</v>
      </c>
      <c r="BE115" s="510">
        <v>4.8297599072686097</v>
      </c>
      <c r="BF115" s="512">
        <v>0.72921320395452871</v>
      </c>
      <c r="BG115" s="513">
        <v>0.8301531725200948</v>
      </c>
      <c r="BH115" s="513">
        <v>0.72921320395452871</v>
      </c>
      <c r="BI115" s="513">
        <v>0.8301531725200948</v>
      </c>
      <c r="BJ115" s="510">
        <v>35.770000000000003</v>
      </c>
      <c r="BK115" s="510">
        <v>550.88800000000003</v>
      </c>
      <c r="BL115" s="510">
        <v>3.2065977075761811</v>
      </c>
      <c r="BM115" s="510">
        <v>2.7413920796967806</v>
      </c>
      <c r="BN115" s="514">
        <v>0</v>
      </c>
      <c r="BO115" s="514">
        <v>0</v>
      </c>
      <c r="BP115" s="514">
        <v>1242.0265585686316</v>
      </c>
      <c r="BQ115" s="514">
        <v>1059.69481999971</v>
      </c>
      <c r="BR115" s="514">
        <v>0</v>
      </c>
      <c r="BS115" s="515">
        <v>0</v>
      </c>
      <c r="BT115" s="512">
        <v>0.88586478219662002</v>
      </c>
      <c r="BU115" s="513">
        <v>0.83284041406998088</v>
      </c>
      <c r="BV115" s="513">
        <v>0.88586478219662002</v>
      </c>
      <c r="BW115" s="513">
        <v>0.83284041406998088</v>
      </c>
      <c r="BX115" s="510">
        <v>46.061</v>
      </c>
      <c r="BY115" s="510">
        <v>583.03600000000006</v>
      </c>
      <c r="BZ115" s="514">
        <v>80.279664761076404</v>
      </c>
      <c r="CA115" s="514">
        <v>78.703620159554973</v>
      </c>
      <c r="CB115" s="510">
        <v>1.8540630902498862</v>
      </c>
      <c r="CC115" s="510">
        <v>1.972090917198938</v>
      </c>
      <c r="CD115" s="514">
        <v>0.21493237228892123</v>
      </c>
      <c r="CE115" s="514">
        <v>0.20461858272902528</v>
      </c>
      <c r="CF115" s="514">
        <v>815.79405570873507</v>
      </c>
      <c r="CG115" s="514">
        <v>800.74328171845332</v>
      </c>
      <c r="CH115" s="514">
        <v>568.35500749006746</v>
      </c>
      <c r="CI115" s="514">
        <v>524.27205181155171</v>
      </c>
      <c r="CJ115" s="514">
        <v>0.21710340635244568</v>
      </c>
      <c r="CK115" s="515">
        <v>0.73751878100151624</v>
      </c>
    </row>
    <row r="116" spans="1:89" ht="12.75" customHeight="1">
      <c r="A116" s="560">
        <v>45914</v>
      </c>
      <c r="B116" s="512">
        <v>0.92250382108673612</v>
      </c>
      <c r="C116" s="513">
        <v>0.90822796254503291</v>
      </c>
      <c r="D116" s="513">
        <v>0.92250382108673612</v>
      </c>
      <c r="E116" s="513">
        <v>0.90822796254503291</v>
      </c>
      <c r="F116" s="510">
        <v>68.031000000000006</v>
      </c>
      <c r="G116" s="510">
        <v>909.00800000000004</v>
      </c>
      <c r="H116" s="510">
        <v>2.3596742661433758</v>
      </c>
      <c r="I116" s="510">
        <v>2.2714574569200709</v>
      </c>
      <c r="J116" s="510">
        <v>759.82625567754906</v>
      </c>
      <c r="K116" s="511">
        <v>809.57833154383854</v>
      </c>
      <c r="L116" s="512">
        <v>0.90324046614324005</v>
      </c>
      <c r="M116" s="513">
        <v>0.89754626115648617</v>
      </c>
      <c r="N116" s="513">
        <v>0.90324046614324005</v>
      </c>
      <c r="O116" s="513">
        <v>0.90728178603345411</v>
      </c>
      <c r="P116" s="510">
        <v>53.616</v>
      </c>
      <c r="Q116" s="510">
        <v>727.03700000000003</v>
      </c>
      <c r="R116" s="510">
        <v>2.1854856759176364</v>
      </c>
      <c r="S116" s="510">
        <v>2.21966419865839</v>
      </c>
      <c r="T116" s="510">
        <v>0.25365562518651147</v>
      </c>
      <c r="U116" s="510">
        <v>0.29475803844921228</v>
      </c>
      <c r="V116" s="510">
        <v>680.14230826617109</v>
      </c>
      <c r="W116" s="510">
        <v>707.25254698178787</v>
      </c>
      <c r="X116" s="510">
        <v>415.41703968964487</v>
      </c>
      <c r="Y116" s="569">
        <v>466.74653422040416</v>
      </c>
      <c r="Z116" s="512">
        <v>0</v>
      </c>
      <c r="AA116" s="513">
        <v>0.67845643269066969</v>
      </c>
      <c r="AB116" s="513" t="e">
        <v>#DIV/0!</v>
      </c>
      <c r="AC116" s="513">
        <v>0.77060412200599582</v>
      </c>
      <c r="AD116" s="510">
        <v>0</v>
      </c>
      <c r="AE116" s="510">
        <v>413.67199999999991</v>
      </c>
      <c r="AF116" s="510">
        <v>0</v>
      </c>
      <c r="AG116" s="510">
        <v>99.280285249300306</v>
      </c>
      <c r="AH116" s="510">
        <v>0</v>
      </c>
      <c r="AI116" s="510">
        <v>1.6322110270939298</v>
      </c>
      <c r="AJ116" s="510">
        <v>0</v>
      </c>
      <c r="AK116" s="569">
        <v>1008.6812257053928</v>
      </c>
      <c r="AL116" s="576">
        <v>0</v>
      </c>
      <c r="AM116" s="577">
        <v>0</v>
      </c>
      <c r="AN116" s="512">
        <v>0.714700513231872</v>
      </c>
      <c r="AO116" s="513">
        <v>0.8140962230849218</v>
      </c>
      <c r="AP116" s="513">
        <v>0.714700513231872</v>
      </c>
      <c r="AQ116" s="513">
        <v>0.83353827753101384</v>
      </c>
      <c r="AR116" s="510">
        <v>35.478000000000002</v>
      </c>
      <c r="AS116" s="510">
        <v>594.51199999999994</v>
      </c>
      <c r="AT116" s="514">
        <v>147.46385289256204</v>
      </c>
      <c r="AU116" s="514">
        <v>116.79865928682261</v>
      </c>
      <c r="AV116" s="510">
        <v>1.6319972940977505</v>
      </c>
      <c r="AW116" s="510">
        <v>1.5426097370616574</v>
      </c>
      <c r="AX116" s="510">
        <v>0</v>
      </c>
      <c r="AY116" s="510">
        <v>0.1439836369997578</v>
      </c>
      <c r="AZ116" s="510">
        <v>1095.93945543717</v>
      </c>
      <c r="BA116" s="510">
        <v>888.11189681621215</v>
      </c>
      <c r="BB116" s="510">
        <v>0</v>
      </c>
      <c r="BC116" s="569">
        <v>370.4879295960385</v>
      </c>
      <c r="BD116" s="510">
        <v>0</v>
      </c>
      <c r="BE116" s="510">
        <v>4.5415399520951638</v>
      </c>
      <c r="BF116" s="512">
        <v>0.90967646440908168</v>
      </c>
      <c r="BG116" s="513">
        <v>0.83562183070771534</v>
      </c>
      <c r="BH116" s="513">
        <v>0.90967646440908168</v>
      </c>
      <c r="BI116" s="513">
        <v>0.83562183070771534</v>
      </c>
      <c r="BJ116" s="510">
        <v>44.578000000000003</v>
      </c>
      <c r="BK116" s="510">
        <v>595.46600000000001</v>
      </c>
      <c r="BL116" s="510">
        <v>2.5102068284804164</v>
      </c>
      <c r="BM116" s="510">
        <v>2.7240850023343066</v>
      </c>
      <c r="BN116" s="514">
        <v>0</v>
      </c>
      <c r="BO116" s="514">
        <v>0</v>
      </c>
      <c r="BP116" s="514">
        <v>1044.7442684732387</v>
      </c>
      <c r="BQ116" s="514">
        <v>1058.575586179564</v>
      </c>
      <c r="BR116" s="514">
        <v>0</v>
      </c>
      <c r="BS116" s="515">
        <v>0</v>
      </c>
      <c r="BT116" s="512">
        <v>0.98329625321566172</v>
      </c>
      <c r="BU116" s="513">
        <v>0.84324264850128017</v>
      </c>
      <c r="BV116" s="513">
        <v>0.98329625321566172</v>
      </c>
      <c r="BW116" s="513">
        <v>0.84324264850128017</v>
      </c>
      <c r="BX116" s="510">
        <v>51.127000000000002</v>
      </c>
      <c r="BY116" s="510">
        <v>634.16300000000001</v>
      </c>
      <c r="BZ116" s="514">
        <v>72.961007433991526</v>
      </c>
      <c r="CA116" s="514">
        <v>78.240643667990696</v>
      </c>
      <c r="CB116" s="510">
        <v>1.8287793142566549</v>
      </c>
      <c r="CC116" s="510">
        <v>1.9605369597406348</v>
      </c>
      <c r="CD116" s="514">
        <v>0.17603223345785984</v>
      </c>
      <c r="CE116" s="514">
        <v>0.20231391613827993</v>
      </c>
      <c r="CF116" s="514">
        <v>733.12750601443406</v>
      </c>
      <c r="CG116" s="514">
        <v>795.29201482899521</v>
      </c>
      <c r="CH116" s="514">
        <v>474.30907348367788</v>
      </c>
      <c r="CI116" s="514">
        <v>520.24397512942232</v>
      </c>
      <c r="CJ116" s="514">
        <v>6.4545152267881942</v>
      </c>
      <c r="CK116" s="515">
        <v>1.1984300566258201</v>
      </c>
    </row>
    <row r="117" spans="1:89" ht="12.75" customHeight="1">
      <c r="A117" s="560">
        <v>45915</v>
      </c>
      <c r="B117" s="512">
        <v>1.0712136400815275</v>
      </c>
      <c r="C117" s="513">
        <v>0.91977512246583082</v>
      </c>
      <c r="D117" s="513">
        <v>1.0712136400815275</v>
      </c>
      <c r="E117" s="513">
        <v>0.91977512246583082</v>
      </c>
      <c r="F117" s="510">
        <v>81.75</v>
      </c>
      <c r="G117" s="510">
        <v>990.75800000000004</v>
      </c>
      <c r="H117" s="510">
        <v>1.8384342507645259</v>
      </c>
      <c r="I117" s="510">
        <v>2.2357275944277006</v>
      </c>
      <c r="J117" s="510">
        <v>676.26984709479791</v>
      </c>
      <c r="K117" s="511">
        <v>798.57870438593613</v>
      </c>
      <c r="L117" s="512">
        <v>0.83695326268618842</v>
      </c>
      <c r="M117" s="513">
        <v>0.89319426280756553</v>
      </c>
      <c r="N117" s="513">
        <v>0.83695326268618842</v>
      </c>
      <c r="O117" s="513">
        <v>0.90217973358705039</v>
      </c>
      <c r="P117" s="510">
        <v>52.460999999999999</v>
      </c>
      <c r="Q117" s="510">
        <v>779.49800000000005</v>
      </c>
      <c r="R117" s="510">
        <v>2.3626503497836491</v>
      </c>
      <c r="S117" s="510">
        <v>2.2292873105511495</v>
      </c>
      <c r="T117" s="510">
        <v>0.38886029622004914</v>
      </c>
      <c r="U117" s="510">
        <v>0.30109121511536907</v>
      </c>
      <c r="V117" s="510">
        <v>683.13013476678498</v>
      </c>
      <c r="W117" s="510">
        <v>705.62908435941904</v>
      </c>
      <c r="X117" s="510">
        <v>613.25556127408936</v>
      </c>
      <c r="Y117" s="569">
        <v>476.60673920908067</v>
      </c>
      <c r="Z117" s="512">
        <v>0</v>
      </c>
      <c r="AA117" s="513">
        <v>0.63356142338050958</v>
      </c>
      <c r="AB117" s="513" t="e">
        <v>#DIV/0!</v>
      </c>
      <c r="AC117" s="513">
        <v>0.77060412200599582</v>
      </c>
      <c r="AD117" s="510">
        <v>0</v>
      </c>
      <c r="AE117" s="510">
        <v>413.67199999999991</v>
      </c>
      <c r="AF117" s="510">
        <v>0</v>
      </c>
      <c r="AG117" s="510">
        <v>99.280285249300306</v>
      </c>
      <c r="AH117" s="510">
        <v>0</v>
      </c>
      <c r="AI117" s="510">
        <v>1.6384961998878345</v>
      </c>
      <c r="AJ117" s="510">
        <v>0</v>
      </c>
      <c r="AK117" s="569">
        <v>1023.2218762691227</v>
      </c>
      <c r="AL117" s="576">
        <v>0</v>
      </c>
      <c r="AM117" s="577">
        <v>0</v>
      </c>
      <c r="AN117" s="512">
        <v>0.95467822867671159</v>
      </c>
      <c r="AO117" s="513">
        <v>0.82305457762374767</v>
      </c>
      <c r="AP117" s="513">
        <v>0.95467822867671159</v>
      </c>
      <c r="AQ117" s="513">
        <v>0.84143006345286342</v>
      </c>
      <c r="AR117" s="510">
        <v>47.45</v>
      </c>
      <c r="AS117" s="510">
        <v>641.96199999999999</v>
      </c>
      <c r="AT117" s="514">
        <v>125.03541396220812</v>
      </c>
      <c r="AU117" s="514">
        <v>117.40747103790295</v>
      </c>
      <c r="AV117" s="510">
        <v>1.3466807165437302</v>
      </c>
      <c r="AW117" s="510">
        <v>1.528127833111617</v>
      </c>
      <c r="AX117" s="510">
        <v>0</v>
      </c>
      <c r="AY117" s="510">
        <v>0.13334122580464264</v>
      </c>
      <c r="AZ117" s="510">
        <v>882.9306638566926</v>
      </c>
      <c r="BA117" s="510">
        <v>887.72893099591568</v>
      </c>
      <c r="BB117" s="510">
        <v>0</v>
      </c>
      <c r="BC117" s="569">
        <v>343.10367280306315</v>
      </c>
      <c r="BD117" s="510">
        <v>0</v>
      </c>
      <c r="BE117" s="510">
        <v>4.2058564214081207</v>
      </c>
      <c r="BF117" s="512">
        <v>0.82573464307402755</v>
      </c>
      <c r="BG117" s="513">
        <v>0.83500822572927946</v>
      </c>
      <c r="BH117" s="513">
        <v>0.82573464307402755</v>
      </c>
      <c r="BI117" s="513">
        <v>0.83500822572927946</v>
      </c>
      <c r="BJ117" s="510">
        <v>38.933999999999997</v>
      </c>
      <c r="BK117" s="510">
        <v>634.4</v>
      </c>
      <c r="BL117" s="510">
        <v>2.8663892741562647</v>
      </c>
      <c r="BM117" s="510">
        <v>2.7328184110970999</v>
      </c>
      <c r="BN117" s="514">
        <v>0</v>
      </c>
      <c r="BO117" s="514">
        <v>0</v>
      </c>
      <c r="BP117" s="514">
        <v>1190.8252427184509</v>
      </c>
      <c r="BQ117" s="514">
        <v>1066.691929382094</v>
      </c>
      <c r="BR117" s="514">
        <v>0</v>
      </c>
      <c r="BS117" s="515">
        <v>0</v>
      </c>
      <c r="BT117" s="512">
        <v>0.90978992036236972</v>
      </c>
      <c r="BU117" s="513">
        <v>0.84754607143349114</v>
      </c>
      <c r="BV117" s="513">
        <v>0.90978992036236972</v>
      </c>
      <c r="BW117" s="513">
        <v>0.84754607143349114</v>
      </c>
      <c r="BX117" s="510">
        <v>47.305</v>
      </c>
      <c r="BY117" s="510">
        <v>681.46799999999996</v>
      </c>
      <c r="BZ117" s="514">
        <v>77.414007134409118</v>
      </c>
      <c r="CA117" s="514">
        <v>78.183261602771083</v>
      </c>
      <c r="CB117" s="510">
        <v>1.9427121868724238</v>
      </c>
      <c r="CC117" s="510">
        <v>1.9592996296231082</v>
      </c>
      <c r="CD117" s="514">
        <v>0.22830567593277667</v>
      </c>
      <c r="CE117" s="514">
        <v>0.20411816842463626</v>
      </c>
      <c r="CF117" s="514">
        <v>754.62614945566031</v>
      </c>
      <c r="CG117" s="514">
        <v>792.46914015038135</v>
      </c>
      <c r="CH117" s="514">
        <v>552.45745692844309</v>
      </c>
      <c r="CI117" s="514">
        <v>522.48011645447741</v>
      </c>
      <c r="CJ117" s="514">
        <v>3.59370045449741</v>
      </c>
      <c r="CK117" s="515">
        <v>1.3647009103875751</v>
      </c>
    </row>
    <row r="118" spans="1:89" ht="12.75" customHeight="1">
      <c r="A118" s="560">
        <v>45916</v>
      </c>
      <c r="B118" s="512">
        <v>0.9393575841176901</v>
      </c>
      <c r="C118" s="513">
        <v>0.92077235161187088</v>
      </c>
      <c r="D118" s="513">
        <v>0.9393575841176901</v>
      </c>
      <c r="E118" s="513">
        <v>0.92077235161187088</v>
      </c>
      <c r="F118" s="510">
        <v>54.292999999999999</v>
      </c>
      <c r="G118" s="510">
        <v>1045.0509999999999</v>
      </c>
      <c r="H118" s="510">
        <v>2.3761258357430979</v>
      </c>
      <c r="I118" s="510">
        <v>2.2430216324370775</v>
      </c>
      <c r="J118" s="510">
        <v>988.79082017942847</v>
      </c>
      <c r="K118" s="511">
        <v>808.46069713344423</v>
      </c>
      <c r="L118" s="512">
        <v>0.95235546987475128</v>
      </c>
      <c r="M118" s="513">
        <v>0.8972627391526059</v>
      </c>
      <c r="N118" s="513">
        <v>0.95235546987475128</v>
      </c>
      <c r="O118" s="513">
        <v>0.90566258797555355</v>
      </c>
      <c r="P118" s="510">
        <v>61.377000000000002</v>
      </c>
      <c r="Q118" s="510">
        <v>840.875</v>
      </c>
      <c r="R118" s="510">
        <v>2.0155921599296152</v>
      </c>
      <c r="S118" s="510">
        <v>2.2136893117288539</v>
      </c>
      <c r="T118" s="510">
        <v>0.33237206119556184</v>
      </c>
      <c r="U118" s="510">
        <v>0.30337446112680239</v>
      </c>
      <c r="V118" s="510">
        <v>590.29001091614271</v>
      </c>
      <c r="W118" s="510">
        <v>697.21027501114736</v>
      </c>
      <c r="X118" s="510">
        <v>477.78483796862014</v>
      </c>
      <c r="Y118" s="569">
        <v>476.69273078638327</v>
      </c>
      <c r="Z118" s="512">
        <v>0</v>
      </c>
      <c r="AA118" s="513">
        <v>0.5942392566581356</v>
      </c>
      <c r="AB118" s="513" t="e">
        <v>#DIV/0!</v>
      </c>
      <c r="AC118" s="513">
        <v>0.77060412200599582</v>
      </c>
      <c r="AD118" s="510">
        <v>0</v>
      </c>
      <c r="AE118" s="510">
        <v>413.67199999999991</v>
      </c>
      <c r="AF118" s="510">
        <v>0</v>
      </c>
      <c r="AG118" s="510">
        <v>99.280285249300306</v>
      </c>
      <c r="AH118" s="510">
        <v>0</v>
      </c>
      <c r="AI118" s="510">
        <v>1.67548202440581</v>
      </c>
      <c r="AJ118" s="510">
        <v>0</v>
      </c>
      <c r="AK118" s="569">
        <v>1043.6835463845775</v>
      </c>
      <c r="AL118" s="576">
        <v>0</v>
      </c>
      <c r="AM118" s="577">
        <v>0</v>
      </c>
      <c r="AN118" s="512">
        <v>0.91391190166774949</v>
      </c>
      <c r="AO118" s="513">
        <v>0.82824713586485277</v>
      </c>
      <c r="AP118" s="513">
        <v>0.91391190166774949</v>
      </c>
      <c r="AQ118" s="513">
        <v>0.84565953630414659</v>
      </c>
      <c r="AR118" s="510">
        <v>43.207999999999998</v>
      </c>
      <c r="AS118" s="510">
        <v>685.17</v>
      </c>
      <c r="AT118" s="514">
        <v>133.92510107362753</v>
      </c>
      <c r="AU118" s="514">
        <v>118.44910122980217</v>
      </c>
      <c r="AV118" s="510">
        <v>1.4696352527309757</v>
      </c>
      <c r="AW118" s="510">
        <v>1.5244391902739467</v>
      </c>
      <c r="AX118" s="510">
        <v>0</v>
      </c>
      <c r="AY118" s="510">
        <v>0.1249324985040209</v>
      </c>
      <c r="AZ118" s="510">
        <v>1076.523329013145</v>
      </c>
      <c r="BA118" s="510">
        <v>899.63463082154783</v>
      </c>
      <c r="BB118" s="510">
        <v>0</v>
      </c>
      <c r="BC118" s="569">
        <v>321.4669644029949</v>
      </c>
      <c r="BD118" s="510">
        <v>0</v>
      </c>
      <c r="BE118" s="510">
        <v>3.9406278733744911</v>
      </c>
      <c r="BF118" s="512">
        <v>0.79891050750517678</v>
      </c>
      <c r="BG118" s="513">
        <v>0.83271974078482236</v>
      </c>
      <c r="BH118" s="513">
        <v>0.79891050750517678</v>
      </c>
      <c r="BI118" s="513">
        <v>0.83271974078482236</v>
      </c>
      <c r="BJ118" s="510">
        <v>41.085000000000001</v>
      </c>
      <c r="BK118" s="510">
        <v>675.48500000000001</v>
      </c>
      <c r="BL118" s="510">
        <v>2.8501886333211632</v>
      </c>
      <c r="BM118" s="510">
        <v>2.7399572159263341</v>
      </c>
      <c r="BN118" s="514">
        <v>0</v>
      </c>
      <c r="BO118" s="514">
        <v>0</v>
      </c>
      <c r="BP118" s="514">
        <v>1168.7070707070643</v>
      </c>
      <c r="BQ118" s="514">
        <v>1072.896792674893</v>
      </c>
      <c r="BR118" s="514">
        <v>0</v>
      </c>
      <c r="BS118" s="515">
        <v>0</v>
      </c>
      <c r="BT118" s="512">
        <v>0.83431921985201341</v>
      </c>
      <c r="BU118" s="513">
        <v>0.84672917816503834</v>
      </c>
      <c r="BV118" s="513">
        <v>0.83431921985201341</v>
      </c>
      <c r="BW118" s="513">
        <v>0.84672917816503834</v>
      </c>
      <c r="BX118" s="510">
        <v>44.158000000000001</v>
      </c>
      <c r="BY118" s="510">
        <v>725.62599999999998</v>
      </c>
      <c r="BZ118" s="514">
        <v>74.377558603439937</v>
      </c>
      <c r="CA118" s="514">
        <v>77.951665390611566</v>
      </c>
      <c r="CB118" s="510">
        <v>1.8411159925721272</v>
      </c>
      <c r="CC118" s="510">
        <v>1.9521075595416926</v>
      </c>
      <c r="CD118" s="514">
        <v>0.22419493636487159</v>
      </c>
      <c r="CE118" s="514">
        <v>0.20533994096132172</v>
      </c>
      <c r="CF118" s="514">
        <v>809.10888174282786</v>
      </c>
      <c r="CG118" s="514">
        <v>793.48175230766253</v>
      </c>
      <c r="CH118" s="514">
        <v>596.00298926581127</v>
      </c>
      <c r="CI118" s="514">
        <v>526.95435389580803</v>
      </c>
      <c r="CJ118" s="514">
        <v>3.8113139182025537</v>
      </c>
      <c r="CK118" s="515">
        <v>1.5135896453544779</v>
      </c>
    </row>
    <row r="119" spans="1:89" ht="12.75" customHeight="1">
      <c r="A119" s="560">
        <v>45917</v>
      </c>
      <c r="B119" s="512">
        <v>0.83664623565034402</v>
      </c>
      <c r="C119" s="513">
        <v>0.91666157765517786</v>
      </c>
      <c r="D119" s="513">
        <v>0.83664623565034402</v>
      </c>
      <c r="E119" s="513">
        <v>0.91666157765517786</v>
      </c>
      <c r="F119" s="510">
        <v>48.783999999999999</v>
      </c>
      <c r="G119" s="510">
        <v>1093.835</v>
      </c>
      <c r="H119" s="510">
        <v>2.47689816333224</v>
      </c>
      <c r="I119" s="510">
        <v>2.2534523031352993</v>
      </c>
      <c r="J119" s="510">
        <v>1077.0072154804475</v>
      </c>
      <c r="K119" s="511">
        <v>820.43761627667891</v>
      </c>
      <c r="L119" s="512">
        <v>0.97707543032800803</v>
      </c>
      <c r="M119" s="513">
        <v>0.90260877456042488</v>
      </c>
      <c r="N119" s="513">
        <v>0.9722936158135812</v>
      </c>
      <c r="O119" s="513">
        <v>0.91018528301792745</v>
      </c>
      <c r="P119" s="510">
        <v>65.736999999999995</v>
      </c>
      <c r="Q119" s="510">
        <v>906.61199999999997</v>
      </c>
      <c r="R119" s="510">
        <v>1.864353408278443</v>
      </c>
      <c r="S119" s="510">
        <v>2.1883595187356883</v>
      </c>
      <c r="T119" s="510">
        <v>0.31032751722774082</v>
      </c>
      <c r="U119" s="510">
        <v>0.30387861621068324</v>
      </c>
      <c r="V119" s="510">
        <v>522.94871989898309</v>
      </c>
      <c r="W119" s="510">
        <v>684.57484568922325</v>
      </c>
      <c r="X119" s="510">
        <v>467.07333769414481</v>
      </c>
      <c r="Y119" s="569">
        <v>475.99524383087805</v>
      </c>
      <c r="Z119" s="512">
        <v>0</v>
      </c>
      <c r="AA119" s="513">
        <v>0.5595129303411005</v>
      </c>
      <c r="AB119" s="513" t="e">
        <v>#DIV/0!</v>
      </c>
      <c r="AC119" s="513">
        <v>0.77060412200599582</v>
      </c>
      <c r="AD119" s="510">
        <v>0</v>
      </c>
      <c r="AE119" s="510">
        <v>413.67199999999991</v>
      </c>
      <c r="AF119" s="510">
        <v>0</v>
      </c>
      <c r="AG119" s="510">
        <v>99.280285249300306</v>
      </c>
      <c r="AH119" s="510">
        <v>0</v>
      </c>
      <c r="AI119" s="510">
        <v>1.6887775822390692</v>
      </c>
      <c r="AJ119" s="510">
        <v>0</v>
      </c>
      <c r="AK119" s="569">
        <v>1061.4529869075029</v>
      </c>
      <c r="AL119" s="576">
        <v>0</v>
      </c>
      <c r="AM119" s="577">
        <v>0</v>
      </c>
      <c r="AN119" s="512">
        <v>1.0030864197530864</v>
      </c>
      <c r="AO119" s="513">
        <v>0.83769913250268246</v>
      </c>
      <c r="AP119" s="513">
        <v>1.0030864197530864</v>
      </c>
      <c r="AQ119" s="513">
        <v>0.85433925667856547</v>
      </c>
      <c r="AR119" s="510">
        <v>47.423999999999999</v>
      </c>
      <c r="AS119" s="510">
        <v>732.59399999999994</v>
      </c>
      <c r="AT119" s="514">
        <v>135.34058793024209</v>
      </c>
      <c r="AU119" s="514">
        <v>119.5425607248044</v>
      </c>
      <c r="AV119" s="510">
        <v>1.362179487179487</v>
      </c>
      <c r="AW119" s="510">
        <v>1.5139354130664462</v>
      </c>
      <c r="AX119" s="510">
        <v>0</v>
      </c>
      <c r="AY119" s="510">
        <v>0.11684507380622829</v>
      </c>
      <c r="AZ119" s="510">
        <v>961.34278002699023</v>
      </c>
      <c r="BA119" s="510">
        <v>903.62926805297343</v>
      </c>
      <c r="BB119" s="510">
        <v>0</v>
      </c>
      <c r="BC119" s="569">
        <v>300.65700783790209</v>
      </c>
      <c r="BD119" s="510">
        <v>0</v>
      </c>
      <c r="BE119" s="510">
        <v>3.6855338700562665</v>
      </c>
      <c r="BF119" s="512">
        <v>0.97077258078720075</v>
      </c>
      <c r="BG119" s="513">
        <v>0.84130318351198452</v>
      </c>
      <c r="BH119" s="513">
        <v>0.97077258078720075</v>
      </c>
      <c r="BI119" s="513">
        <v>0.84130318351198452</v>
      </c>
      <c r="BJ119" s="510">
        <v>52.207000000000001</v>
      </c>
      <c r="BK119" s="510">
        <v>727.69200000000001</v>
      </c>
      <c r="BL119" s="510">
        <v>2.2219242630298619</v>
      </c>
      <c r="BM119" s="510">
        <v>2.7027918405039495</v>
      </c>
      <c r="BN119" s="514">
        <v>0</v>
      </c>
      <c r="BO119" s="514">
        <v>0</v>
      </c>
      <c r="BP119" s="514">
        <v>939.81420116075674</v>
      </c>
      <c r="BQ119" s="514">
        <v>1063.34901304398</v>
      </c>
      <c r="BR119" s="514">
        <v>0</v>
      </c>
      <c r="BS119" s="515">
        <v>0</v>
      </c>
      <c r="BT119" s="512">
        <v>0.76490026743459272</v>
      </c>
      <c r="BU119" s="513">
        <v>0.84202886819082923</v>
      </c>
      <c r="BV119" s="513">
        <v>0.76490026743459272</v>
      </c>
      <c r="BW119" s="513">
        <v>0.84202886819082923</v>
      </c>
      <c r="BX119" s="510">
        <v>39.947000000000003</v>
      </c>
      <c r="BY119" s="510">
        <v>765.57299999999998</v>
      </c>
      <c r="BZ119" s="514">
        <v>96.943649285207883</v>
      </c>
      <c r="CA119" s="514">
        <v>78.942652247041252</v>
      </c>
      <c r="CB119" s="510">
        <v>2.2905349588204369</v>
      </c>
      <c r="CC119" s="510">
        <v>1.9697664363816387</v>
      </c>
      <c r="CD119" s="514">
        <v>0.27035822464765813</v>
      </c>
      <c r="CE119" s="514">
        <v>0.20873254412054768</v>
      </c>
      <c r="CF119" s="514">
        <v>965.38112999728173</v>
      </c>
      <c r="CG119" s="514">
        <v>802.45132730647663</v>
      </c>
      <c r="CH119" s="514">
        <v>642.75164593085344</v>
      </c>
      <c r="CI119" s="514">
        <v>532.9965659708472</v>
      </c>
      <c r="CJ119" s="514">
        <v>5.8026885623455442</v>
      </c>
      <c r="CK119" s="515">
        <v>1.7373914701798598</v>
      </c>
    </row>
    <row r="120" spans="1:89" ht="12.75" customHeight="1">
      <c r="A120" s="560">
        <v>45918</v>
      </c>
      <c r="B120" s="512">
        <v>0.62452108949898821</v>
      </c>
      <c r="C120" s="513">
        <v>0.90206360796701002</v>
      </c>
      <c r="D120" s="513">
        <v>0.63308350665439195</v>
      </c>
      <c r="E120" s="513">
        <v>0.9026736599738675</v>
      </c>
      <c r="F120" s="510">
        <v>39.197000000000003</v>
      </c>
      <c r="G120" s="510">
        <v>1133.0320000000002</v>
      </c>
      <c r="H120" s="510">
        <v>2.5626195882337934</v>
      </c>
      <c r="I120" s="510">
        <v>2.264147879318501</v>
      </c>
      <c r="J120" s="510">
        <v>1199.6361966477316</v>
      </c>
      <c r="K120" s="511">
        <v>833.55591015964421</v>
      </c>
      <c r="L120" s="512">
        <v>0.84258312932777923</v>
      </c>
      <c r="M120" s="513">
        <v>0.89883320358841901</v>
      </c>
      <c r="N120" s="513">
        <v>0.84258312932777923</v>
      </c>
      <c r="O120" s="513">
        <v>0.90589972524555162</v>
      </c>
      <c r="P120" s="510">
        <v>56.805999999999997</v>
      </c>
      <c r="Q120" s="510">
        <v>963.41800000000001</v>
      </c>
      <c r="R120" s="510">
        <v>1.8181706157800233</v>
      </c>
      <c r="S120" s="510">
        <v>2.166532076419581</v>
      </c>
      <c r="T120" s="510">
        <v>0.33799246558462137</v>
      </c>
      <c r="U120" s="510">
        <v>0.30589007056127238</v>
      </c>
      <c r="V120" s="510">
        <v>480.34873076788682</v>
      </c>
      <c r="W120" s="510">
        <v>672.53306456802613</v>
      </c>
      <c r="X120" s="510">
        <v>545.43534133718276</v>
      </c>
      <c r="Y120" s="569">
        <v>480.08963918050108</v>
      </c>
      <c r="Z120" s="512">
        <v>0</v>
      </c>
      <c r="AA120" s="513">
        <v>0.52862121047032884</v>
      </c>
      <c r="AB120" s="513" t="e">
        <v>#DIV/0!</v>
      </c>
      <c r="AC120" s="513">
        <v>0.77060412200599582</v>
      </c>
      <c r="AD120" s="510">
        <v>0</v>
      </c>
      <c r="AE120" s="510">
        <v>413.67199999999991</v>
      </c>
      <c r="AF120" s="510">
        <v>0</v>
      </c>
      <c r="AG120" s="510">
        <v>99.280285249300306</v>
      </c>
      <c r="AH120" s="510">
        <v>0</v>
      </c>
      <c r="AI120" s="510">
        <v>1.6953044924481238</v>
      </c>
      <c r="AJ120" s="510">
        <v>0</v>
      </c>
      <c r="AK120" s="569">
        <v>1073.9069601036574</v>
      </c>
      <c r="AL120" s="576">
        <v>0</v>
      </c>
      <c r="AM120" s="577">
        <v>0</v>
      </c>
      <c r="AN120" s="512">
        <v>0.83646118135607261</v>
      </c>
      <c r="AO120" s="513">
        <v>0.83762986416018181</v>
      </c>
      <c r="AP120" s="513">
        <v>0.83646118135607261</v>
      </c>
      <c r="AQ120" s="513">
        <v>0.85332016815860501</v>
      </c>
      <c r="AR120" s="510">
        <v>43.356999999999999</v>
      </c>
      <c r="AS120" s="510">
        <v>775.95099999999991</v>
      </c>
      <c r="AT120" s="514">
        <v>135.00870411778106</v>
      </c>
      <c r="AU120" s="514">
        <v>120.40674619410504</v>
      </c>
      <c r="AV120" s="510">
        <v>1.402311045505916</v>
      </c>
      <c r="AW120" s="510">
        <v>1.5076982953820537</v>
      </c>
      <c r="AX120" s="510">
        <v>0</v>
      </c>
      <c r="AY120" s="510">
        <v>0.11031624419583196</v>
      </c>
      <c r="AZ120" s="510">
        <v>931.38039993541975</v>
      </c>
      <c r="BA120" s="510">
        <v>905.17988893628592</v>
      </c>
      <c r="BB120" s="510">
        <v>0</v>
      </c>
      <c r="BC120" s="569">
        <v>283.85751162122358</v>
      </c>
      <c r="BD120" s="510">
        <v>0</v>
      </c>
      <c r="BE120" s="510">
        <v>3.4796011603825501</v>
      </c>
      <c r="BF120" s="512">
        <v>0.7629026269377146</v>
      </c>
      <c r="BG120" s="513">
        <v>0.83671395992689079</v>
      </c>
      <c r="BH120" s="513">
        <v>0.7629026269377146</v>
      </c>
      <c r="BI120" s="513">
        <v>0.83671395992689079</v>
      </c>
      <c r="BJ120" s="510">
        <v>41.027999999999999</v>
      </c>
      <c r="BK120" s="510">
        <v>768.72</v>
      </c>
      <c r="BL120" s="510">
        <v>2.7371551135809691</v>
      </c>
      <c r="BM120" s="510">
        <v>2.7046258715787279</v>
      </c>
      <c r="BN120" s="514">
        <v>0</v>
      </c>
      <c r="BO120" s="514">
        <v>0</v>
      </c>
      <c r="BP120" s="514">
        <v>1029.6648630203815</v>
      </c>
      <c r="BQ120" s="514">
        <v>1061.5512280154023</v>
      </c>
      <c r="BR120" s="514">
        <v>0</v>
      </c>
      <c r="BS120" s="515">
        <v>0</v>
      </c>
      <c r="BT120" s="512">
        <v>0.86479940992931958</v>
      </c>
      <c r="BU120" s="513">
        <v>0.84326403355938795</v>
      </c>
      <c r="BV120" s="513">
        <v>0.88887305517360471</v>
      </c>
      <c r="BW120" s="513">
        <v>0.84450470255840837</v>
      </c>
      <c r="BX120" s="510">
        <v>45.097000000000001</v>
      </c>
      <c r="BY120" s="510">
        <v>810.67</v>
      </c>
      <c r="BZ120" s="514">
        <v>74.892512042161727</v>
      </c>
      <c r="CA120" s="514">
        <v>78.717345805678605</v>
      </c>
      <c r="CB120" s="510">
        <v>1.7828236911546222</v>
      </c>
      <c r="CC120" s="510">
        <v>1.9593669433925029</v>
      </c>
      <c r="CD120" s="514">
        <v>0.19070004656629042</v>
      </c>
      <c r="CE120" s="514">
        <v>0.20772940900736434</v>
      </c>
      <c r="CF120" s="514">
        <v>763.74902986888765</v>
      </c>
      <c r="CG120" s="514">
        <v>800.29834581272098</v>
      </c>
      <c r="CH120" s="514">
        <v>488.54247510921624</v>
      </c>
      <c r="CI120" s="514">
        <v>530.52361626802497</v>
      </c>
      <c r="CJ120" s="514">
        <v>3.1886821739809181</v>
      </c>
      <c r="CK120" s="515">
        <v>1.8181257478382367</v>
      </c>
    </row>
    <row r="121" spans="1:89" ht="12.75" customHeight="1">
      <c r="A121" s="560">
        <v>45919</v>
      </c>
      <c r="B121" s="512">
        <v>0.83260151226482493</v>
      </c>
      <c r="C121" s="513">
        <v>0.89899527917140531</v>
      </c>
      <c r="D121" s="513">
        <v>0.83260151226482493</v>
      </c>
      <c r="E121" s="513">
        <v>0.89957638276700258</v>
      </c>
      <c r="F121" s="510">
        <v>48.33</v>
      </c>
      <c r="G121" s="510">
        <v>1181.3620000000001</v>
      </c>
      <c r="H121" s="510">
        <v>2.3319470308297121</v>
      </c>
      <c r="I121" s="510">
        <v>2.2669215701876309</v>
      </c>
      <c r="J121" s="510">
        <v>1191.1198013655796</v>
      </c>
      <c r="K121" s="511">
        <v>848.18399440645692</v>
      </c>
      <c r="L121" s="512">
        <v>0.94683083012893177</v>
      </c>
      <c r="M121" s="513">
        <v>0.90167363671158773</v>
      </c>
      <c r="N121" s="513">
        <v>0.94683083012893177</v>
      </c>
      <c r="O121" s="513">
        <v>0.90833987951659079</v>
      </c>
      <c r="P121" s="510">
        <v>63.835999999999999</v>
      </c>
      <c r="Q121" s="510">
        <v>1027.2539999999999</v>
      </c>
      <c r="R121" s="510">
        <v>1.6223447584435113</v>
      </c>
      <c r="S121" s="510">
        <v>2.1327149857776169</v>
      </c>
      <c r="T121" s="510">
        <v>0.30077072498276836</v>
      </c>
      <c r="U121" s="510">
        <v>0.30557194228496548</v>
      </c>
      <c r="V121" s="510">
        <v>477.38815088664785</v>
      </c>
      <c r="W121" s="510">
        <v>660.40629678735604</v>
      </c>
      <c r="X121" s="510">
        <v>479.72930634751549</v>
      </c>
      <c r="Y121" s="569">
        <v>480.06724724362238</v>
      </c>
      <c r="Z121" s="512">
        <v>0</v>
      </c>
      <c r="AA121" s="513">
        <v>0.50096218314773333</v>
      </c>
      <c r="AB121" s="513" t="e">
        <v>#DIV/0!</v>
      </c>
      <c r="AC121" s="513">
        <v>0.77060412200599582</v>
      </c>
      <c r="AD121" s="510">
        <v>0</v>
      </c>
      <c r="AE121" s="510">
        <v>413.67199999999991</v>
      </c>
      <c r="AF121" s="510">
        <v>0</v>
      </c>
      <c r="AG121" s="510">
        <v>99.280285249300306</v>
      </c>
      <c r="AH121" s="510">
        <v>0</v>
      </c>
      <c r="AI121" s="510">
        <v>1.7047322516389802</v>
      </c>
      <c r="AJ121" s="510">
        <v>0</v>
      </c>
      <c r="AK121" s="569">
        <v>1091.1841749018586</v>
      </c>
      <c r="AL121" s="576">
        <v>0</v>
      </c>
      <c r="AM121" s="577">
        <v>0</v>
      </c>
      <c r="AN121" s="512">
        <v>0.87163216997962856</v>
      </c>
      <c r="AO121" s="513">
        <v>0.8393532845707119</v>
      </c>
      <c r="AP121" s="513">
        <v>0.87163216997962856</v>
      </c>
      <c r="AQ121" s="513">
        <v>0.85426480832360963</v>
      </c>
      <c r="AR121" s="510">
        <v>43.110999999999997</v>
      </c>
      <c r="AS121" s="510">
        <v>819.0619999999999</v>
      </c>
      <c r="AT121" s="514">
        <v>141.80056507622916</v>
      </c>
      <c r="AU121" s="514">
        <v>121.53280127397355</v>
      </c>
      <c r="AV121" s="510">
        <v>1.4195912876064116</v>
      </c>
      <c r="AW121" s="510">
        <v>1.5030608183507477</v>
      </c>
      <c r="AX121" s="510">
        <v>0</v>
      </c>
      <c r="AY121" s="510">
        <v>0.10450979290945009</v>
      </c>
      <c r="AZ121" s="510">
        <v>1009.8837883602812</v>
      </c>
      <c r="BA121" s="510">
        <v>910.69093670564632</v>
      </c>
      <c r="BB121" s="510">
        <v>0</v>
      </c>
      <c r="BC121" s="569">
        <v>268.91678529830472</v>
      </c>
      <c r="BD121" s="510">
        <v>0</v>
      </c>
      <c r="BE121" s="510">
        <v>3.2964537483120941</v>
      </c>
      <c r="BF121" s="512">
        <v>0.95195476226177977</v>
      </c>
      <c r="BG121" s="513">
        <v>0.84308662180194138</v>
      </c>
      <c r="BH121" s="513">
        <v>0.95195476226177977</v>
      </c>
      <c r="BI121" s="513">
        <v>0.84308662180194138</v>
      </c>
      <c r="BJ121" s="510">
        <v>51.195</v>
      </c>
      <c r="BK121" s="510">
        <v>819.91500000000008</v>
      </c>
      <c r="BL121" s="510">
        <v>2.3752319562457269</v>
      </c>
      <c r="BM121" s="510">
        <v>2.6840587134032181</v>
      </c>
      <c r="BN121" s="514">
        <v>0</v>
      </c>
      <c r="BO121" s="514">
        <v>0</v>
      </c>
      <c r="BP121" s="514">
        <v>954.57075886319126</v>
      </c>
      <c r="BQ121" s="514">
        <v>1054.8714317947604</v>
      </c>
      <c r="BR121" s="514">
        <v>0</v>
      </c>
      <c r="BS121" s="515">
        <v>0</v>
      </c>
      <c r="BT121" s="512">
        <v>0.75815928933112131</v>
      </c>
      <c r="BU121" s="513">
        <v>0.83888514014449922</v>
      </c>
      <c r="BV121" s="513">
        <v>0.75815928933112131</v>
      </c>
      <c r="BW121" s="513">
        <v>0.84005577335107751</v>
      </c>
      <c r="BX121" s="510">
        <v>39.536000000000001</v>
      </c>
      <c r="BY121" s="510">
        <v>850.2059999999999</v>
      </c>
      <c r="BZ121" s="514">
        <v>87.106329395960273</v>
      </c>
      <c r="CA121" s="514">
        <v>79.107447563635361</v>
      </c>
      <c r="CB121" s="510">
        <v>2.1297045730473494</v>
      </c>
      <c r="CC121" s="510">
        <v>1.967287927866894</v>
      </c>
      <c r="CD121" s="514">
        <v>0.26558073654390935</v>
      </c>
      <c r="CE121" s="514">
        <v>0.21041959242818806</v>
      </c>
      <c r="CF121" s="514">
        <v>999.81915216515506</v>
      </c>
      <c r="CG121" s="514">
        <v>809.57639677913369</v>
      </c>
      <c r="CH121" s="514">
        <v>617.54097531363675</v>
      </c>
      <c r="CI121" s="514">
        <v>534.5700689009484</v>
      </c>
      <c r="CJ121" s="514">
        <v>4.4238162687169709</v>
      </c>
      <c r="CK121" s="515">
        <v>1.9392947121050872</v>
      </c>
    </row>
    <row r="122" spans="1:89" ht="12.75" customHeight="1">
      <c r="A122" s="560">
        <v>45920</v>
      </c>
      <c r="B122" s="512">
        <v>0.80866698733635989</v>
      </c>
      <c r="C122" s="513">
        <v>0.89526094056554817</v>
      </c>
      <c r="D122" s="513">
        <v>0.80866698733635989</v>
      </c>
      <c r="E122" s="513">
        <v>0.8958156913847094</v>
      </c>
      <c r="F122" s="510">
        <v>45.826999999999998</v>
      </c>
      <c r="G122" s="510">
        <v>1227.1890000000001</v>
      </c>
      <c r="H122" s="510">
        <v>2.5583607916730315</v>
      </c>
      <c r="I122" s="510">
        <v>2.2778048043129462</v>
      </c>
      <c r="J122" s="510">
        <v>1260.154057651637</v>
      </c>
      <c r="K122" s="511">
        <v>863.56821972817727</v>
      </c>
      <c r="L122" s="512">
        <v>0.99168951717031806</v>
      </c>
      <c r="M122" s="513">
        <v>0.90658664455513638</v>
      </c>
      <c r="N122" s="513">
        <v>0.99168951717031806</v>
      </c>
      <c r="O122" s="513">
        <v>0.91292083256540846</v>
      </c>
      <c r="P122" s="510">
        <v>65.224000000000004</v>
      </c>
      <c r="Q122" s="510">
        <v>1092.4779999999998</v>
      </c>
      <c r="R122" s="510">
        <v>1.6383999754691523</v>
      </c>
      <c r="S122" s="510">
        <v>2.1032029935614265</v>
      </c>
      <c r="T122" s="510">
        <v>0.2943701704893904</v>
      </c>
      <c r="U122" s="510">
        <v>0.30490316509806142</v>
      </c>
      <c r="V122" s="510">
        <v>484.05218937813413</v>
      </c>
      <c r="W122" s="510">
        <v>649.87746206330758</v>
      </c>
      <c r="X122" s="510">
        <v>484.59156138844588</v>
      </c>
      <c r="Y122" s="569">
        <v>480.33736148462498</v>
      </c>
      <c r="Z122" s="512">
        <v>0</v>
      </c>
      <c r="AA122" s="513">
        <v>0.47605364646081938</v>
      </c>
      <c r="AB122" s="513" t="e">
        <v>#DIV/0!</v>
      </c>
      <c r="AC122" s="513">
        <v>0.77060412200599582</v>
      </c>
      <c r="AD122" s="510">
        <v>0</v>
      </c>
      <c r="AE122" s="510">
        <v>413.67199999999991</v>
      </c>
      <c r="AF122" s="510">
        <v>0</v>
      </c>
      <c r="AG122" s="510">
        <v>99.280285249300306</v>
      </c>
      <c r="AH122" s="510">
        <v>0</v>
      </c>
      <c r="AI122" s="510">
        <v>1.708600050281383</v>
      </c>
      <c r="AJ122" s="510">
        <v>0</v>
      </c>
      <c r="AK122" s="569">
        <v>1106.628971745733</v>
      </c>
      <c r="AL122" s="576">
        <v>0</v>
      </c>
      <c r="AM122" s="577">
        <v>0</v>
      </c>
      <c r="AN122" s="512">
        <v>0.95419226004818924</v>
      </c>
      <c r="AO122" s="513">
        <v>0.84471910202506972</v>
      </c>
      <c r="AP122" s="513">
        <v>0.95419226004818924</v>
      </c>
      <c r="AQ122" s="513">
        <v>0.85901289639247125</v>
      </c>
      <c r="AR122" s="510">
        <v>45.639000000000003</v>
      </c>
      <c r="AS122" s="510">
        <v>864.70099999999991</v>
      </c>
      <c r="AT122" s="514">
        <v>134.08216450980004</v>
      </c>
      <c r="AU122" s="514">
        <v>122.19515784430234</v>
      </c>
      <c r="AV122" s="510">
        <v>1.4307938386029491</v>
      </c>
      <c r="AW122" s="510">
        <v>1.4992465603717355</v>
      </c>
      <c r="AX122" s="510">
        <v>0</v>
      </c>
      <c r="AY122" s="510">
        <v>9.8993756223249421E-2</v>
      </c>
      <c r="AZ122" s="510">
        <v>962.09557615197389</v>
      </c>
      <c r="BA122" s="510">
        <v>913.40407840398018</v>
      </c>
      <c r="BB122" s="510">
        <v>0</v>
      </c>
      <c r="BC122" s="569">
        <v>254.72333211133102</v>
      </c>
      <c r="BD122" s="510">
        <v>0</v>
      </c>
      <c r="BE122" s="510">
        <v>3.1224666098454845</v>
      </c>
      <c r="BF122" s="512">
        <v>0.72968058025363691</v>
      </c>
      <c r="BG122" s="513">
        <v>0.83718485793675668</v>
      </c>
      <c r="BH122" s="513">
        <v>0.72968058025363691</v>
      </c>
      <c r="BI122" s="513">
        <v>0.83718485793675668</v>
      </c>
      <c r="BJ122" s="510">
        <v>38.957000000000001</v>
      </c>
      <c r="BK122" s="510">
        <v>858.87200000000007</v>
      </c>
      <c r="BL122" s="510">
        <v>3.1573273095977616</v>
      </c>
      <c r="BM122" s="510">
        <v>2.7055253867863893</v>
      </c>
      <c r="BN122" s="514">
        <v>0</v>
      </c>
      <c r="BO122" s="514">
        <v>0</v>
      </c>
      <c r="BP122" s="514">
        <v>1219.7941319916679</v>
      </c>
      <c r="BQ122" s="514">
        <v>1062.3520501308699</v>
      </c>
      <c r="BR122" s="514">
        <v>0</v>
      </c>
      <c r="BS122" s="515">
        <v>0</v>
      </c>
      <c r="BT122" s="512">
        <v>0.73212554772516292</v>
      </c>
      <c r="BU122" s="513">
        <v>0.83361055858352417</v>
      </c>
      <c r="BV122" s="513">
        <v>0.73212554772516292</v>
      </c>
      <c r="BW122" s="513">
        <v>0.83471628223407002</v>
      </c>
      <c r="BX122" s="510">
        <v>38.564999999999998</v>
      </c>
      <c r="BY122" s="510">
        <v>888.77099999999996</v>
      </c>
      <c r="BZ122" s="514">
        <v>83.278208062679539</v>
      </c>
      <c r="CA122" s="514">
        <v>79.288422616428079</v>
      </c>
      <c r="CB122" s="510">
        <v>2.0925709840528981</v>
      </c>
      <c r="CC122" s="510">
        <v>1.9727241325380784</v>
      </c>
      <c r="CD122" s="514">
        <v>0.22300012965123817</v>
      </c>
      <c r="CE122" s="514">
        <v>0.21096547929669177</v>
      </c>
      <c r="CF122" s="514">
        <v>917.83793595233078</v>
      </c>
      <c r="CG122" s="514">
        <v>814.27401434115393</v>
      </c>
      <c r="CH122" s="514">
        <v>612.29093737845255</v>
      </c>
      <c r="CI122" s="514">
        <v>537.94248462202256</v>
      </c>
      <c r="CJ122" s="514">
        <v>4.0191883832490598</v>
      </c>
      <c r="CK122" s="515">
        <v>2.0295441682953399</v>
      </c>
    </row>
    <row r="123" spans="1:89" ht="12.75" customHeight="1">
      <c r="A123" s="560">
        <v>45921</v>
      </c>
      <c r="B123" s="512">
        <v>1.0106606927885997</v>
      </c>
      <c r="C123" s="513">
        <v>0.89997641408993745</v>
      </c>
      <c r="D123" s="513">
        <v>1.0106606927885997</v>
      </c>
      <c r="E123" s="513">
        <v>0.90051128565399519</v>
      </c>
      <c r="F123" s="510">
        <v>59.021000000000001</v>
      </c>
      <c r="G123" s="510">
        <v>1286.21</v>
      </c>
      <c r="H123" s="510">
        <v>2.1831043188017829</v>
      </c>
      <c r="I123" s="510">
        <v>2.2734592329401893</v>
      </c>
      <c r="J123" s="510">
        <v>982.624489588453</v>
      </c>
      <c r="K123" s="511">
        <v>869.03141788666096</v>
      </c>
      <c r="L123" s="512">
        <v>0.9863549963670506</v>
      </c>
      <c r="M123" s="513">
        <v>0.91078019180534764</v>
      </c>
      <c r="N123" s="513">
        <v>0.9863549963670506</v>
      </c>
      <c r="O123" s="513">
        <v>0.91680692731601698</v>
      </c>
      <c r="P123" s="510">
        <v>65.953999999999994</v>
      </c>
      <c r="Q123" s="510">
        <v>1158.4319999999998</v>
      </c>
      <c r="R123" s="510">
        <v>1.5748400400278983</v>
      </c>
      <c r="S123" s="510">
        <v>2.0731212535565318</v>
      </c>
      <c r="T123" s="510">
        <v>0.28807957060981898</v>
      </c>
      <c r="U123" s="510">
        <v>0.30394533300185078</v>
      </c>
      <c r="V123" s="510">
        <v>488.2921430087726</v>
      </c>
      <c r="W123" s="510">
        <v>640.67778687052726</v>
      </c>
      <c r="X123" s="510">
        <v>467.38636019043577</v>
      </c>
      <c r="Y123" s="569">
        <v>479.60001104941864</v>
      </c>
      <c r="Z123" s="512">
        <v>0</v>
      </c>
      <c r="AA123" s="513">
        <v>0.4535047589290378</v>
      </c>
      <c r="AB123" s="513" t="e">
        <v>#DIV/0!</v>
      </c>
      <c r="AC123" s="513">
        <v>0.77060412200599582</v>
      </c>
      <c r="AD123" s="510">
        <v>0</v>
      </c>
      <c r="AE123" s="510">
        <v>413.67199999999991</v>
      </c>
      <c r="AF123" s="510">
        <v>0</v>
      </c>
      <c r="AG123" s="510">
        <v>99.280285249300306</v>
      </c>
      <c r="AH123" s="510">
        <v>0</v>
      </c>
      <c r="AI123" s="510">
        <v>1.7262468815873451</v>
      </c>
      <c r="AJ123" s="510">
        <v>0</v>
      </c>
      <c r="AK123" s="569">
        <v>1128.7853661838376</v>
      </c>
      <c r="AL123" s="576">
        <v>0</v>
      </c>
      <c r="AM123" s="577">
        <v>0</v>
      </c>
      <c r="AN123" s="512">
        <v>0.97804401511276196</v>
      </c>
      <c r="AO123" s="513">
        <v>0.85067182426223131</v>
      </c>
      <c r="AP123" s="513">
        <v>0.97804401511276196</v>
      </c>
      <c r="AQ123" s="513">
        <v>0.86441327494315734</v>
      </c>
      <c r="AR123" s="510">
        <v>46.79</v>
      </c>
      <c r="AS123" s="510">
        <v>911.49099999999987</v>
      </c>
      <c r="AT123" s="514">
        <v>130.23035433819712</v>
      </c>
      <c r="AU123" s="514">
        <v>122.60763239857589</v>
      </c>
      <c r="AV123" s="510">
        <v>1.3464415473391751</v>
      </c>
      <c r="AW123" s="510">
        <v>1.4914025481326749</v>
      </c>
      <c r="AX123" s="510">
        <v>0</v>
      </c>
      <c r="AY123" s="510">
        <v>9.3912062763099144E-2</v>
      </c>
      <c r="AZ123" s="510">
        <v>954.16712972857442</v>
      </c>
      <c r="BA123" s="510">
        <v>915.49658745944828</v>
      </c>
      <c r="BB123" s="510">
        <v>0</v>
      </c>
      <c r="BC123" s="569">
        <v>241.64749843937028</v>
      </c>
      <c r="BD123" s="510">
        <v>0</v>
      </c>
      <c r="BE123" s="510">
        <v>2.9621795497706511</v>
      </c>
      <c r="BF123" s="512">
        <v>0.94799409492391951</v>
      </c>
      <c r="BG123" s="513">
        <v>0.84270424272966749</v>
      </c>
      <c r="BH123" s="513">
        <v>0.94799409492391951</v>
      </c>
      <c r="BI123" s="513">
        <v>0.84270424272966749</v>
      </c>
      <c r="BJ123" s="510">
        <v>50.981999999999999</v>
      </c>
      <c r="BK123" s="510">
        <v>909.85400000000004</v>
      </c>
      <c r="BL123" s="510">
        <v>2.3655407790985055</v>
      </c>
      <c r="BM123" s="510">
        <v>2.6864749729077406</v>
      </c>
      <c r="BN123" s="514">
        <v>0</v>
      </c>
      <c r="BO123" s="514">
        <v>0</v>
      </c>
      <c r="BP123" s="514">
        <v>936.16609783843626</v>
      </c>
      <c r="BQ123" s="514">
        <v>1055.2814517494012</v>
      </c>
      <c r="BR123" s="514">
        <v>0</v>
      </c>
      <c r="BS123" s="515">
        <v>0</v>
      </c>
      <c r="BT123" s="512">
        <v>1.0077560980424087</v>
      </c>
      <c r="BU123" s="513">
        <v>0.84169094243883358</v>
      </c>
      <c r="BV123" s="513">
        <v>1.0077560980424087</v>
      </c>
      <c r="BW123" s="513">
        <v>0.84275551551688177</v>
      </c>
      <c r="BX123" s="510">
        <v>52.28</v>
      </c>
      <c r="BY123" s="510">
        <v>941.05099999999993</v>
      </c>
      <c r="BZ123" s="514">
        <v>70.687102534731366</v>
      </c>
      <c r="CA123" s="514">
        <v>78.810577086407804</v>
      </c>
      <c r="CB123" s="510">
        <v>1.7540168324407039</v>
      </c>
      <c r="CC123" s="510">
        <v>1.9605738690039123</v>
      </c>
      <c r="CD123" s="514">
        <v>0.18171384850803365</v>
      </c>
      <c r="CE123" s="514">
        <v>0.20934040769310064</v>
      </c>
      <c r="CF123" s="514">
        <v>736.42348890588664</v>
      </c>
      <c r="CG123" s="514">
        <v>809.94903570582426</v>
      </c>
      <c r="CH123" s="514">
        <v>462.52869166029581</v>
      </c>
      <c r="CI123" s="514">
        <v>533.75287843060585</v>
      </c>
      <c r="CJ123" s="514">
        <v>3.3798775822490921</v>
      </c>
      <c r="CK123" s="515">
        <v>2.1045618143968818</v>
      </c>
    </row>
    <row r="124" spans="1:89" ht="12.75" customHeight="1">
      <c r="A124" s="560">
        <v>45922</v>
      </c>
      <c r="B124" s="512">
        <v>0.83474577713237319</v>
      </c>
      <c r="C124" s="513">
        <v>0.89718598726021026</v>
      </c>
      <c r="D124" s="513">
        <v>0.83474577713237319</v>
      </c>
      <c r="E124" s="513">
        <v>0.89769637773303834</v>
      </c>
      <c r="F124" s="510">
        <v>53.314</v>
      </c>
      <c r="G124" s="510">
        <v>1339.5240000000001</v>
      </c>
      <c r="H124" s="510">
        <v>2.4950294481749635</v>
      </c>
      <c r="I124" s="510">
        <v>2.2822778837855839</v>
      </c>
      <c r="J124" s="510">
        <v>1099.2913681209677</v>
      </c>
      <c r="K124" s="511">
        <v>878.19592631412615</v>
      </c>
      <c r="L124" s="512">
        <v>0.87744905155229413</v>
      </c>
      <c r="M124" s="513">
        <v>0.90908734518385925</v>
      </c>
      <c r="N124" s="513">
        <v>0.87744905155229413</v>
      </c>
      <c r="O124" s="513">
        <v>0.9147954392095573</v>
      </c>
      <c r="P124" s="510">
        <v>59.715000000000003</v>
      </c>
      <c r="Q124" s="510">
        <v>1218.1469999999997</v>
      </c>
      <c r="R124" s="510">
        <v>1.8503893494096959</v>
      </c>
      <c r="S124" s="510">
        <v>2.0622026734047703</v>
      </c>
      <c r="T124" s="510">
        <v>0.32152725445867869</v>
      </c>
      <c r="U124" s="510">
        <v>0.30480721948993017</v>
      </c>
      <c r="V124" s="510">
        <v>494.62664322196895</v>
      </c>
      <c r="W124" s="510">
        <v>633.51818787059244</v>
      </c>
      <c r="X124" s="510">
        <v>544.43607133885962</v>
      </c>
      <c r="Y124" s="569">
        <v>482.77835105286977</v>
      </c>
      <c r="Z124" s="512">
        <v>0</v>
      </c>
      <c r="AA124" s="513">
        <v>0.43299538100363333</v>
      </c>
      <c r="AB124" s="513" t="e">
        <v>#DIV/0!</v>
      </c>
      <c r="AC124" s="513">
        <v>0.77060412200599582</v>
      </c>
      <c r="AD124" s="510">
        <v>0</v>
      </c>
      <c r="AE124" s="510">
        <v>413.67199999999991</v>
      </c>
      <c r="AF124" s="510">
        <v>0</v>
      </c>
      <c r="AG124" s="510">
        <v>99.280285249300306</v>
      </c>
      <c r="AH124" s="510">
        <v>0</v>
      </c>
      <c r="AI124" s="510">
        <v>1.7702430911446756</v>
      </c>
      <c r="AJ124" s="510">
        <v>0</v>
      </c>
      <c r="AK124" s="569">
        <v>1141.8817807344954</v>
      </c>
      <c r="AL124" s="576">
        <v>0</v>
      </c>
      <c r="AM124" s="577">
        <v>0</v>
      </c>
      <c r="AN124" s="512">
        <v>0.94455989183030298</v>
      </c>
      <c r="AO124" s="513">
        <v>0.85469436321840009</v>
      </c>
      <c r="AP124" s="513">
        <v>0.94455989183030298</v>
      </c>
      <c r="AQ124" s="513">
        <v>0.86790013058057158</v>
      </c>
      <c r="AR124" s="510">
        <v>45.302999999999997</v>
      </c>
      <c r="AS124" s="510">
        <v>956.79399999999987</v>
      </c>
      <c r="AT124" s="514">
        <v>135.73411691086017</v>
      </c>
      <c r="AU124" s="514">
        <v>123.22915503339593</v>
      </c>
      <c r="AV124" s="510">
        <v>1.3840143036884975</v>
      </c>
      <c r="AW124" s="510">
        <v>1.4863178489831668</v>
      </c>
      <c r="AX124" s="510">
        <v>0</v>
      </c>
      <c r="AY124" s="510">
        <v>8.9465443972265718E-2</v>
      </c>
      <c r="AZ124" s="510">
        <v>923.94808290841729</v>
      </c>
      <c r="BA124" s="510">
        <v>915.8967552054047</v>
      </c>
      <c r="BB124" s="510">
        <v>0</v>
      </c>
      <c r="BC124" s="569">
        <v>230.20579142427738</v>
      </c>
      <c r="BD124" s="510">
        <v>0</v>
      </c>
      <c r="BE124" s="510">
        <v>2.8219240505270728</v>
      </c>
      <c r="BF124" s="512">
        <v>0.90556102983003572</v>
      </c>
      <c r="BG124" s="513">
        <v>0.845686576651829</v>
      </c>
      <c r="BH124" s="513">
        <v>0.90556102983003572</v>
      </c>
      <c r="BI124" s="513">
        <v>0.845686576651829</v>
      </c>
      <c r="BJ124" s="510">
        <v>48.7</v>
      </c>
      <c r="BK124" s="510">
        <v>958.55400000000009</v>
      </c>
      <c r="BL124" s="510">
        <v>2.4845995893223818</v>
      </c>
      <c r="BM124" s="510">
        <v>2.6762185541972592</v>
      </c>
      <c r="BN124" s="514">
        <v>0</v>
      </c>
      <c r="BO124" s="514">
        <v>0</v>
      </c>
      <c r="BP124" s="514">
        <v>950.65154004107922</v>
      </c>
      <c r="BQ124" s="514">
        <v>1049.9656566035926</v>
      </c>
      <c r="BR124" s="514">
        <v>0</v>
      </c>
      <c r="BS124" s="515">
        <v>0</v>
      </c>
      <c r="BT124" s="512">
        <v>0.99770950130813796</v>
      </c>
      <c r="BU124" s="513">
        <v>0.84880009612520857</v>
      </c>
      <c r="BV124" s="513">
        <v>0.99770950130813796</v>
      </c>
      <c r="BW124" s="513">
        <v>0.84982468369729869</v>
      </c>
      <c r="BX124" s="510">
        <v>53.255000000000003</v>
      </c>
      <c r="BY124" s="510">
        <v>994.30599999999993</v>
      </c>
      <c r="BZ124" s="514">
        <v>67.74645200614593</v>
      </c>
      <c r="CA124" s="514">
        <v>78.217982873811948</v>
      </c>
      <c r="CB124" s="510">
        <v>1.6937376772134072</v>
      </c>
      <c r="CC124" s="510">
        <v>1.9462821304507874</v>
      </c>
      <c r="CD124" s="514">
        <v>0.19716458548493099</v>
      </c>
      <c r="CE124" s="514">
        <v>0.20868827101516035</v>
      </c>
      <c r="CF124" s="514">
        <v>652.77307295086939</v>
      </c>
      <c r="CG124" s="514">
        <v>801.53069578178156</v>
      </c>
      <c r="CH124" s="514">
        <v>607.07539198197424</v>
      </c>
      <c r="CI124" s="514">
        <v>537.68003009134009</v>
      </c>
      <c r="CJ124" s="514">
        <v>4.3094545113134917</v>
      </c>
      <c r="CK124" s="515">
        <v>2.2226558021373704</v>
      </c>
    </row>
    <row r="125" spans="1:89" ht="12.75" customHeight="1">
      <c r="A125" s="560">
        <v>45923</v>
      </c>
      <c r="B125" s="512">
        <v>0.89085169671583797</v>
      </c>
      <c r="C125" s="513">
        <v>0.89692852540239998</v>
      </c>
      <c r="D125" s="513">
        <v>0.89085169671583797</v>
      </c>
      <c r="E125" s="513">
        <v>0.89741801885245354</v>
      </c>
      <c r="F125" s="510">
        <v>56.351999999999997</v>
      </c>
      <c r="G125" s="510">
        <v>1395.8760000000002</v>
      </c>
      <c r="H125" s="510">
        <v>2.3002377910278251</v>
      </c>
      <c r="I125" s="510">
        <v>2.2830029314924825</v>
      </c>
      <c r="J125" s="510">
        <v>1040.6001561612493</v>
      </c>
      <c r="K125" s="511">
        <v>884.75224160312382</v>
      </c>
      <c r="L125" s="512">
        <v>0.96324801036211749</v>
      </c>
      <c r="M125" s="513">
        <v>0.9116397674848139</v>
      </c>
      <c r="N125" s="513">
        <v>0.96324801036211749</v>
      </c>
      <c r="O125" s="513">
        <v>0.91709251463656305</v>
      </c>
      <c r="P125" s="510">
        <v>63.835999999999999</v>
      </c>
      <c r="Q125" s="510">
        <v>1281.9829999999997</v>
      </c>
      <c r="R125" s="510">
        <v>2.1791935584936399</v>
      </c>
      <c r="S125" s="510">
        <v>2.0680282031821018</v>
      </c>
      <c r="T125" s="510">
        <v>0.30547026756062412</v>
      </c>
      <c r="U125" s="510">
        <v>0.3048402357909582</v>
      </c>
      <c r="V125" s="510">
        <v>511.7747039288223</v>
      </c>
      <c r="W125" s="510">
        <v>627.45600370675652</v>
      </c>
      <c r="X125" s="510">
        <v>478.58575098690392</v>
      </c>
      <c r="Y125" s="569">
        <v>482.56958165591908</v>
      </c>
      <c r="Z125" s="512">
        <v>0</v>
      </c>
      <c r="AA125" s="513">
        <v>0.41426077960990954</v>
      </c>
      <c r="AB125" s="513" t="e">
        <v>#DIV/0!</v>
      </c>
      <c r="AC125" s="513">
        <v>0.77060412200599582</v>
      </c>
      <c r="AD125" s="510">
        <v>0</v>
      </c>
      <c r="AE125" s="510">
        <v>413.67199999999991</v>
      </c>
      <c r="AF125" s="510">
        <v>0</v>
      </c>
      <c r="AG125" s="510">
        <v>99.280285249300306</v>
      </c>
      <c r="AH125" s="510">
        <v>0</v>
      </c>
      <c r="AI125" s="510">
        <v>1.8212496857413609</v>
      </c>
      <c r="AJ125" s="510">
        <v>0</v>
      </c>
      <c r="AK125" s="569">
        <v>1159.8668026842563</v>
      </c>
      <c r="AL125" s="576">
        <v>0</v>
      </c>
      <c r="AM125" s="577">
        <v>0</v>
      </c>
      <c r="AN125" s="512">
        <v>0.91958415132004212</v>
      </c>
      <c r="AO125" s="513">
        <v>0.85759010939649993</v>
      </c>
      <c r="AP125" s="513">
        <v>0.91958415132004212</v>
      </c>
      <c r="AQ125" s="513">
        <v>0.87024058397374215</v>
      </c>
      <c r="AR125" s="510">
        <v>48.085000000000001</v>
      </c>
      <c r="AS125" s="510">
        <v>1004.8789999999999</v>
      </c>
      <c r="AT125" s="514">
        <v>121.41407935805732</v>
      </c>
      <c r="AU125" s="514">
        <v>123.14230088095702</v>
      </c>
      <c r="AV125" s="510">
        <v>1.2956223354476448</v>
      </c>
      <c r="AW125" s="510">
        <v>1.4771927764437311</v>
      </c>
      <c r="AX125" s="510">
        <v>0</v>
      </c>
      <c r="AY125" s="510">
        <v>8.5184385383712868E-2</v>
      </c>
      <c r="AZ125" s="510">
        <v>907.55745034834206</v>
      </c>
      <c r="BA125" s="510">
        <v>915.4977066890641</v>
      </c>
      <c r="BB125" s="510">
        <v>0</v>
      </c>
      <c r="BC125" s="569">
        <v>219.19009154336001</v>
      </c>
      <c r="BD125" s="510">
        <v>0</v>
      </c>
      <c r="BE125" s="510">
        <v>2.6868906604675789</v>
      </c>
      <c r="BF125" s="512">
        <v>0.7760304726678996</v>
      </c>
      <c r="BG125" s="513">
        <v>0.84253134373604044</v>
      </c>
      <c r="BH125" s="513">
        <v>0.7760304726678996</v>
      </c>
      <c r="BI125" s="513">
        <v>0.84253134373604044</v>
      </c>
      <c r="BJ125" s="510">
        <v>41.734000000000002</v>
      </c>
      <c r="BK125" s="510">
        <v>1000.2880000000001</v>
      </c>
      <c r="BL125" s="510">
        <v>2.920879858149231</v>
      </c>
      <c r="BM125" s="510">
        <v>2.6864263092229432</v>
      </c>
      <c r="BN125" s="514">
        <v>0</v>
      </c>
      <c r="BO125" s="514">
        <v>0</v>
      </c>
      <c r="BP125" s="514">
        <v>1157.086548138205</v>
      </c>
      <c r="BQ125" s="514">
        <v>1054.4349527336128</v>
      </c>
      <c r="BR125" s="514">
        <v>0</v>
      </c>
      <c r="BS125" s="515">
        <v>0</v>
      </c>
      <c r="BT125" s="512">
        <v>0.77364277746597288</v>
      </c>
      <c r="BU125" s="513">
        <v>0.84558165303159905</v>
      </c>
      <c r="BV125" s="513">
        <v>0.77364277746597288</v>
      </c>
      <c r="BW125" s="513">
        <v>0.84655859582579163</v>
      </c>
      <c r="BX125" s="510">
        <v>40.545000000000002</v>
      </c>
      <c r="BY125" s="510">
        <v>1034.8509999999999</v>
      </c>
      <c r="BZ125" s="514">
        <v>83.803280159521861</v>
      </c>
      <c r="CA125" s="514">
        <v>78.436812326988402</v>
      </c>
      <c r="CB125" s="510">
        <v>2.037242569983968</v>
      </c>
      <c r="CC125" s="510">
        <v>1.949845919847399</v>
      </c>
      <c r="CD125" s="514">
        <v>0.25897151313355532</v>
      </c>
      <c r="CE125" s="514">
        <v>0.2106583459841079</v>
      </c>
      <c r="CF125" s="514">
        <v>904.42348008385659</v>
      </c>
      <c r="CG125" s="514">
        <v>805.56198911727392</v>
      </c>
      <c r="CH125" s="514">
        <v>610.43285238623753</v>
      </c>
      <c r="CI125" s="514">
        <v>540.5304531763511</v>
      </c>
      <c r="CJ125" s="514">
        <v>0.49327907263534349</v>
      </c>
      <c r="CK125" s="515">
        <v>2.1548995942411033</v>
      </c>
    </row>
    <row r="126" spans="1:89" ht="12.75" customHeight="1">
      <c r="A126" s="560">
        <v>45924</v>
      </c>
      <c r="B126" s="512">
        <v>0.90059368382763683</v>
      </c>
      <c r="C126" s="513">
        <v>0.89705456292920427</v>
      </c>
      <c r="D126" s="513">
        <v>0.90059368382763683</v>
      </c>
      <c r="E126" s="513">
        <v>0.89752728121798631</v>
      </c>
      <c r="F126" s="510">
        <v>49.914000000000001</v>
      </c>
      <c r="G126" s="510">
        <v>1445.7900000000002</v>
      </c>
      <c r="H126" s="510">
        <v>2.573746844572665</v>
      </c>
      <c r="I126" s="510">
        <v>2.2930404830577054</v>
      </c>
      <c r="J126" s="510">
        <v>1178.0041671675228</v>
      </c>
      <c r="K126" s="511">
        <v>894.87637900386767</v>
      </c>
      <c r="L126" s="512">
        <v>0.87444972106134011</v>
      </c>
      <c r="M126" s="513">
        <v>0.90992987820015014</v>
      </c>
      <c r="N126" s="513">
        <v>0.87444972106134011</v>
      </c>
      <c r="O126" s="513">
        <v>0.91512073947915706</v>
      </c>
      <c r="P126" s="510">
        <v>59.262</v>
      </c>
      <c r="Q126" s="510">
        <v>1341.2449999999997</v>
      </c>
      <c r="R126" s="510">
        <v>2.2475279268333841</v>
      </c>
      <c r="S126" s="510">
        <v>2.0759592766422248</v>
      </c>
      <c r="T126" s="510">
        <v>0.28348688873139616</v>
      </c>
      <c r="U126" s="510">
        <v>0.30389675264399868</v>
      </c>
      <c r="V126" s="510">
        <v>509.0218014917005</v>
      </c>
      <c r="W126" s="510">
        <v>622.2230688651216</v>
      </c>
      <c r="X126" s="510">
        <v>367.19989200499475</v>
      </c>
      <c r="Y126" s="569">
        <v>477.47205022199529</v>
      </c>
      <c r="Z126" s="512">
        <v>0</v>
      </c>
      <c r="AA126" s="513">
        <v>0.39708013878138448</v>
      </c>
      <c r="AB126" s="513" t="e">
        <v>#DIV/0!</v>
      </c>
      <c r="AC126" s="513">
        <v>0.77060412200599582</v>
      </c>
      <c r="AD126" s="510">
        <v>0</v>
      </c>
      <c r="AE126" s="510">
        <v>413.67199999999991</v>
      </c>
      <c r="AF126" s="510">
        <v>0</v>
      </c>
      <c r="AG126" s="510">
        <v>99.280285249300306</v>
      </c>
      <c r="AH126" s="510">
        <v>0</v>
      </c>
      <c r="AI126" s="510">
        <v>1.8301939701019172</v>
      </c>
      <c r="AJ126" s="510">
        <v>0</v>
      </c>
      <c r="AK126" s="569">
        <v>1177.0275000483505</v>
      </c>
      <c r="AL126" s="576">
        <v>0</v>
      </c>
      <c r="AM126" s="577">
        <v>0</v>
      </c>
      <c r="AN126" s="512">
        <v>0.96607377767185754</v>
      </c>
      <c r="AO126" s="513">
        <v>0.86205371308186429</v>
      </c>
      <c r="AP126" s="513">
        <v>0.96607377767185754</v>
      </c>
      <c r="AQ126" s="513">
        <v>0.87423941712563991</v>
      </c>
      <c r="AR126" s="510">
        <v>48.575000000000003</v>
      </c>
      <c r="AS126" s="510">
        <v>1053.454</v>
      </c>
      <c r="AT126" s="514">
        <v>118.73817344711566</v>
      </c>
      <c r="AU126" s="514">
        <v>122.93922557809724</v>
      </c>
      <c r="AV126" s="510">
        <v>1.2825527534740091</v>
      </c>
      <c r="AW126" s="510">
        <v>1.4682178813692861</v>
      </c>
      <c r="AX126" s="510">
        <v>0</v>
      </c>
      <c r="AY126" s="510">
        <v>8.1256514285388826E-2</v>
      </c>
      <c r="AZ126" s="510">
        <v>891.99999999999966</v>
      </c>
      <c r="BA126" s="510">
        <v>914.41422216821991</v>
      </c>
      <c r="BB126" s="510">
        <v>0</v>
      </c>
      <c r="BC126" s="569">
        <v>209.08318730575803</v>
      </c>
      <c r="BD126" s="510">
        <v>0</v>
      </c>
      <c r="BE126" s="510">
        <v>2.5629975300297878</v>
      </c>
      <c r="BF126" s="512">
        <v>1.0147861938797611</v>
      </c>
      <c r="BG126" s="513">
        <v>0.84999589796921249</v>
      </c>
      <c r="BH126" s="513">
        <v>1.0147861938797611</v>
      </c>
      <c r="BI126" s="513">
        <v>0.84999589796921249</v>
      </c>
      <c r="BJ126" s="510">
        <v>54.573999999999998</v>
      </c>
      <c r="BK126" s="510">
        <v>1054.8620000000001</v>
      </c>
      <c r="BL126" s="510">
        <v>2.2391615054787994</v>
      </c>
      <c r="BM126" s="510">
        <v>2.6632867616806744</v>
      </c>
      <c r="BN126" s="514">
        <v>0</v>
      </c>
      <c r="BO126" s="514">
        <v>0</v>
      </c>
      <c r="BP126" s="514">
        <v>896.9170300875935</v>
      </c>
      <c r="BQ126" s="514">
        <v>1046.2856563228181</v>
      </c>
      <c r="BR126" s="514">
        <v>0</v>
      </c>
      <c r="BS126" s="515">
        <v>0</v>
      </c>
      <c r="BT126" s="512">
        <v>0.78325393111737573</v>
      </c>
      <c r="BU126" s="513">
        <v>0.84303917844126941</v>
      </c>
      <c r="BV126" s="513">
        <v>0.78325393111737573</v>
      </c>
      <c r="BW126" s="513">
        <v>0.8439734080981659</v>
      </c>
      <c r="BX126" s="510">
        <v>40.765000000000001</v>
      </c>
      <c r="BY126" s="510">
        <v>1075.616</v>
      </c>
      <c r="BZ126" s="514">
        <v>96.8549791440294</v>
      </c>
      <c r="CA126" s="514">
        <v>79.134846356136975</v>
      </c>
      <c r="CB126" s="510">
        <v>2.3255243468661839</v>
      </c>
      <c r="CC126" s="510">
        <v>1.9640838366108355</v>
      </c>
      <c r="CD126" s="514">
        <v>0.2575738991782166</v>
      </c>
      <c r="CE126" s="514">
        <v>0.21243640853241308</v>
      </c>
      <c r="CF126" s="514">
        <v>1003.2711885195642</v>
      </c>
      <c r="CG126" s="514">
        <v>813.05501219766165</v>
      </c>
      <c r="CH126" s="514">
        <v>648.10499202747451</v>
      </c>
      <c r="CI126" s="514">
        <v>544.60744354862697</v>
      </c>
      <c r="CJ126" s="514">
        <v>10.057647491720839</v>
      </c>
      <c r="CK126" s="515">
        <v>2.4544075208996521</v>
      </c>
    </row>
    <row r="127" spans="1:89" ht="12.75" customHeight="1">
      <c r="A127" s="560">
        <v>45925</v>
      </c>
      <c r="B127" s="512">
        <v>0.89080021639265494</v>
      </c>
      <c r="C127" s="513">
        <v>0.89684948253826935</v>
      </c>
      <c r="D127" s="513">
        <v>0.89080021639265494</v>
      </c>
      <c r="E127" s="513">
        <v>0.8973065879411064</v>
      </c>
      <c r="F127" s="510">
        <v>48.673000000000002</v>
      </c>
      <c r="G127" s="510">
        <v>1494.4630000000002</v>
      </c>
      <c r="H127" s="510">
        <v>2.4919565262054935</v>
      </c>
      <c r="I127" s="510">
        <v>2.2995189576456561</v>
      </c>
      <c r="J127" s="510">
        <v>1181.0617796313893</v>
      </c>
      <c r="K127" s="511">
        <v>904.19711963427699</v>
      </c>
      <c r="L127" s="512">
        <v>0.87728833192804145</v>
      </c>
      <c r="M127" s="513">
        <v>0.90851610151653051</v>
      </c>
      <c r="N127" s="513">
        <v>0.87728833192804145</v>
      </c>
      <c r="O127" s="513">
        <v>0.91347319461452459</v>
      </c>
      <c r="P127" s="510">
        <v>58.543999999999997</v>
      </c>
      <c r="Q127" s="510">
        <v>1399.7889999999998</v>
      </c>
      <c r="R127" s="510">
        <v>2.6080042361300904</v>
      </c>
      <c r="S127" s="510">
        <v>2.0982112304068687</v>
      </c>
      <c r="T127" s="510">
        <v>0.24596884394643348</v>
      </c>
      <c r="U127" s="510">
        <v>0.30147400786832868</v>
      </c>
      <c r="V127" s="510">
        <v>597.61939737632963</v>
      </c>
      <c r="W127" s="510">
        <v>621.19405853310741</v>
      </c>
      <c r="X127" s="510">
        <v>480.97157693358838</v>
      </c>
      <c r="Y127" s="569">
        <v>477.61841248931097</v>
      </c>
      <c r="Z127" s="512">
        <v>0</v>
      </c>
      <c r="AA127" s="513">
        <v>0.38126781543604787</v>
      </c>
      <c r="AB127" s="513" t="e">
        <v>#DIV/0!</v>
      </c>
      <c r="AC127" s="513">
        <v>0.77060412200599582</v>
      </c>
      <c r="AD127" s="510">
        <v>0</v>
      </c>
      <c r="AE127" s="510">
        <v>413.67199999999991</v>
      </c>
      <c r="AF127" s="510">
        <v>0</v>
      </c>
      <c r="AG127" s="510">
        <v>99.280285249300306</v>
      </c>
      <c r="AH127" s="510">
        <v>0</v>
      </c>
      <c r="AI127" s="510">
        <v>1.8413138911988249</v>
      </c>
      <c r="AJ127" s="510">
        <v>0</v>
      </c>
      <c r="AK127" s="569">
        <v>1196.2838674118636</v>
      </c>
      <c r="AL127" s="576">
        <v>0</v>
      </c>
      <c r="AM127" s="577">
        <v>0</v>
      </c>
      <c r="AN127" s="512">
        <v>0.94783790716193916</v>
      </c>
      <c r="AO127" s="513">
        <v>0.86546665723454907</v>
      </c>
      <c r="AP127" s="513">
        <v>0.94783790716193916</v>
      </c>
      <c r="AQ127" s="513">
        <v>0.87720727222228634</v>
      </c>
      <c r="AR127" s="510">
        <v>47.991999999999997</v>
      </c>
      <c r="AS127" s="510">
        <v>1101.4459999999999</v>
      </c>
      <c r="AT127" s="514">
        <v>124.3113675051581</v>
      </c>
      <c r="AU127" s="514">
        <v>122.99901229062196</v>
      </c>
      <c r="AV127" s="510">
        <v>1.3585597599599935</v>
      </c>
      <c r="AW127" s="510">
        <v>1.463439878123848</v>
      </c>
      <c r="AX127" s="510">
        <v>0</v>
      </c>
      <c r="AY127" s="510">
        <v>7.7716020576587511E-2</v>
      </c>
      <c r="AZ127" s="510">
        <v>965.49049841640203</v>
      </c>
      <c r="BA127" s="510">
        <v>916.63970816544781</v>
      </c>
      <c r="BB127" s="510">
        <v>0</v>
      </c>
      <c r="BC127" s="569">
        <v>199.97305360408046</v>
      </c>
      <c r="BD127" s="510">
        <v>0</v>
      </c>
      <c r="BE127" s="510">
        <v>2.4513230789344189</v>
      </c>
      <c r="BF127" s="512">
        <v>0.92307949476162277</v>
      </c>
      <c r="BG127" s="513">
        <v>0.85311748692264522</v>
      </c>
      <c r="BH127" s="513">
        <v>0.92307949476162277</v>
      </c>
      <c r="BI127" s="513">
        <v>0.85311748692264522</v>
      </c>
      <c r="BJ127" s="510">
        <v>51.113</v>
      </c>
      <c r="BK127" s="510">
        <v>1105.9750000000001</v>
      </c>
      <c r="BL127" s="510">
        <v>2.4044763563085714</v>
      </c>
      <c r="BM127" s="510">
        <v>2.6513257532946035</v>
      </c>
      <c r="BN127" s="514">
        <v>0</v>
      </c>
      <c r="BO127" s="514">
        <v>0</v>
      </c>
      <c r="BP127" s="514">
        <v>950.12482147397895</v>
      </c>
      <c r="BQ127" s="514">
        <v>1041.841551572142</v>
      </c>
      <c r="BR127" s="514">
        <v>0</v>
      </c>
      <c r="BS127" s="515">
        <v>0</v>
      </c>
      <c r="BT127" s="512">
        <v>0.77628687825431886</v>
      </c>
      <c r="BU127" s="513">
        <v>0.84038596505867813</v>
      </c>
      <c r="BV127" s="513">
        <v>0.77628687825431886</v>
      </c>
      <c r="BW127" s="513">
        <v>0.8412801990224027</v>
      </c>
      <c r="BX127" s="510">
        <v>40.997</v>
      </c>
      <c r="BY127" s="510">
        <v>1116.6130000000001</v>
      </c>
      <c r="BZ127" s="514">
        <v>86.666069485388036</v>
      </c>
      <c r="CA127" s="514">
        <v>79.411358947903238</v>
      </c>
      <c r="CB127" s="510">
        <v>2.058687221016172</v>
      </c>
      <c r="CC127" s="510">
        <v>1.9675572467811142</v>
      </c>
      <c r="CD127" s="514">
        <v>0.23172427250774447</v>
      </c>
      <c r="CE127" s="514">
        <v>0.21314457202271514</v>
      </c>
      <c r="CF127" s="514">
        <v>906.74268848940085</v>
      </c>
      <c r="CG127" s="514">
        <v>816.49480169046933</v>
      </c>
      <c r="CH127" s="514">
        <v>576.62755811400837</v>
      </c>
      <c r="CI127" s="514">
        <v>545.78307793299916</v>
      </c>
      <c r="CJ127" s="514">
        <v>4.8784057370051466</v>
      </c>
      <c r="CK127" s="515">
        <v>2.5434058174139116</v>
      </c>
    </row>
    <row r="128" spans="1:89" ht="12.75" customHeight="1">
      <c r="A128" s="560">
        <v>45926</v>
      </c>
      <c r="B128" s="512">
        <v>0.78737010391686646</v>
      </c>
      <c r="C128" s="513">
        <v>0.89328714110515739</v>
      </c>
      <c r="D128" s="513">
        <v>0.78737010391686646</v>
      </c>
      <c r="E128" s="513">
        <v>0.89372760891256786</v>
      </c>
      <c r="F128" s="510">
        <v>44.128</v>
      </c>
      <c r="G128" s="510">
        <v>1538.5910000000001</v>
      </c>
      <c r="H128" s="510">
        <v>2.8309236765772301</v>
      </c>
      <c r="I128" s="510">
        <v>2.3147600629407039</v>
      </c>
      <c r="J128" s="510">
        <v>1293.1884517766498</v>
      </c>
      <c r="K128" s="511">
        <v>915.35369698639886</v>
      </c>
      <c r="L128" s="512">
        <v>0.94505665022807583</v>
      </c>
      <c r="M128" s="513">
        <v>0.91005387049482256</v>
      </c>
      <c r="N128" s="513">
        <v>0.94505665022807583</v>
      </c>
      <c r="O128" s="513">
        <v>0.91480929516802389</v>
      </c>
      <c r="P128" s="510">
        <v>63.97</v>
      </c>
      <c r="Q128" s="510">
        <v>1463.7589999999998</v>
      </c>
      <c r="R128" s="510">
        <v>2.1710020322025949</v>
      </c>
      <c r="S128" s="510">
        <v>2.1013923740178542</v>
      </c>
      <c r="T128" s="510">
        <v>0.25011724245740191</v>
      </c>
      <c r="U128" s="510">
        <v>0.2992295862911859</v>
      </c>
      <c r="V128" s="510">
        <v>504.44005002343516</v>
      </c>
      <c r="W128" s="510">
        <v>616.09161070913922</v>
      </c>
      <c r="X128" s="510">
        <v>402.00093793965925</v>
      </c>
      <c r="Y128" s="569">
        <v>474.31373607267324</v>
      </c>
      <c r="Z128" s="512">
        <v>0</v>
      </c>
      <c r="AA128" s="513">
        <v>0.366666604389975</v>
      </c>
      <c r="AB128" s="513" t="e">
        <v>#DIV/0!</v>
      </c>
      <c r="AC128" s="513">
        <v>0.77060412200599582</v>
      </c>
      <c r="AD128" s="510">
        <v>0</v>
      </c>
      <c r="AE128" s="510">
        <v>413.67199999999991</v>
      </c>
      <c r="AF128" s="510">
        <v>0</v>
      </c>
      <c r="AG128" s="510">
        <v>99.280285249300306</v>
      </c>
      <c r="AH128" s="510">
        <v>0</v>
      </c>
      <c r="AI128" s="510">
        <v>1.8509833878048316</v>
      </c>
      <c r="AJ128" s="510">
        <v>0</v>
      </c>
      <c r="AK128" s="569">
        <v>1209.714363070259</v>
      </c>
      <c r="AL128" s="576">
        <v>0</v>
      </c>
      <c r="AM128" s="577">
        <v>0</v>
      </c>
      <c r="AN128" s="512">
        <v>0.93576499317115958</v>
      </c>
      <c r="AO128" s="513">
        <v>0.86813289894708401</v>
      </c>
      <c r="AP128" s="513">
        <v>0.93576499317115958</v>
      </c>
      <c r="AQ128" s="513">
        <v>0.87945719250045484</v>
      </c>
      <c r="AR128" s="510">
        <v>46.948999999999998</v>
      </c>
      <c r="AS128" s="510">
        <v>1148.395</v>
      </c>
      <c r="AT128" s="514">
        <v>123.56761914880002</v>
      </c>
      <c r="AU128" s="514">
        <v>123.02225823246653</v>
      </c>
      <c r="AV128" s="510">
        <v>1.3759611493322541</v>
      </c>
      <c r="AW128" s="510">
        <v>1.4598635486918699</v>
      </c>
      <c r="AX128" s="510">
        <v>0</v>
      </c>
      <c r="AY128" s="510">
        <v>7.4538812864911458E-2</v>
      </c>
      <c r="AZ128" s="510">
        <v>890.23876972885444</v>
      </c>
      <c r="BA128" s="510">
        <v>915.56037774459128</v>
      </c>
      <c r="BB128" s="510">
        <v>0</v>
      </c>
      <c r="BC128" s="569">
        <v>191.79770026863579</v>
      </c>
      <c r="BD128" s="510">
        <v>0</v>
      </c>
      <c r="BE128" s="510">
        <v>2.351107415131553</v>
      </c>
      <c r="BF128" s="512">
        <v>0.82446987945965944</v>
      </c>
      <c r="BG128" s="513">
        <v>0.8519578025715463</v>
      </c>
      <c r="BH128" s="513">
        <v>0.82446987945965944</v>
      </c>
      <c r="BI128" s="513">
        <v>0.8519578025715463</v>
      </c>
      <c r="BJ128" s="510">
        <v>45.093000000000004</v>
      </c>
      <c r="BK128" s="510">
        <v>1151.0680000000002</v>
      </c>
      <c r="BL128" s="510">
        <v>2.6168141396669102</v>
      </c>
      <c r="BM128" s="510">
        <v>2.6499737634961611</v>
      </c>
      <c r="BN128" s="514">
        <v>0</v>
      </c>
      <c r="BO128" s="514">
        <v>0</v>
      </c>
      <c r="BP128" s="514">
        <v>1029.9543166345152</v>
      </c>
      <c r="BQ128" s="514">
        <v>1041.3758700615429</v>
      </c>
      <c r="BR128" s="514">
        <v>0</v>
      </c>
      <c r="BS128" s="515">
        <v>0</v>
      </c>
      <c r="BT128" s="512">
        <v>0.90597492154546988</v>
      </c>
      <c r="BU128" s="513">
        <v>0.84286852178121363</v>
      </c>
      <c r="BV128" s="513">
        <v>0.90597492154546988</v>
      </c>
      <c r="BW128" s="513">
        <v>0.8437314156764012</v>
      </c>
      <c r="BX128" s="510">
        <v>47.354999999999997</v>
      </c>
      <c r="BY128" s="510">
        <v>1163.9680000000001</v>
      </c>
      <c r="BZ128" s="514">
        <v>84.439316832076599</v>
      </c>
      <c r="CA128" s="514">
        <v>79.615916930257583</v>
      </c>
      <c r="CB128" s="510">
        <v>1.8963150670467743</v>
      </c>
      <c r="CC128" s="510">
        <v>1.9646588222356633</v>
      </c>
      <c r="CD128" s="514">
        <v>0.22172949002217296</v>
      </c>
      <c r="CE128" s="514">
        <v>0.21349384175509981</v>
      </c>
      <c r="CF128" s="514">
        <v>799.57195649878588</v>
      </c>
      <c r="CG128" s="514">
        <v>815.80631082641446</v>
      </c>
      <c r="CH128" s="514">
        <v>542.70932319712801</v>
      </c>
      <c r="CI128" s="514">
        <v>545.65802496288552</v>
      </c>
      <c r="CJ128" s="514">
        <v>4.8569316861999789</v>
      </c>
      <c r="CK128" s="515">
        <v>2.637529554077088</v>
      </c>
    </row>
    <row r="129" spans="1:89" ht="12.75" customHeight="1">
      <c r="A129" s="560">
        <v>45927</v>
      </c>
      <c r="B129" s="512">
        <v>0.79144617930454331</v>
      </c>
      <c r="C129" s="513">
        <v>0.88977559497389092</v>
      </c>
      <c r="D129" s="513">
        <v>0.79144617930454331</v>
      </c>
      <c r="E129" s="513">
        <v>0.89019919615476162</v>
      </c>
      <c r="F129" s="510">
        <v>48.682000000000002</v>
      </c>
      <c r="G129" s="510">
        <v>1587.2730000000001</v>
      </c>
      <c r="H129" s="510">
        <v>2.5661024608684935</v>
      </c>
      <c r="I129" s="510">
        <v>2.3224687876628662</v>
      </c>
      <c r="J129" s="510">
        <v>1205.1743971077497</v>
      </c>
      <c r="K129" s="511">
        <v>924.24255940849503</v>
      </c>
      <c r="L129" s="512">
        <v>0.97523150801839309</v>
      </c>
      <c r="M129" s="513">
        <v>0.91286327688488589</v>
      </c>
      <c r="N129" s="513">
        <v>0.97523150801839309</v>
      </c>
      <c r="O129" s="513">
        <v>0.91742674422319748</v>
      </c>
      <c r="P129" s="510">
        <v>70.658000000000001</v>
      </c>
      <c r="Q129" s="510">
        <v>1534.4169999999997</v>
      </c>
      <c r="R129" s="510">
        <v>2.1174389311896742</v>
      </c>
      <c r="S129" s="510">
        <v>2.1021312980760776</v>
      </c>
      <c r="T129" s="510">
        <v>0.24059554473661865</v>
      </c>
      <c r="U129" s="510">
        <v>0.29652956139041731</v>
      </c>
      <c r="V129" s="510">
        <v>512.10266353420411</v>
      </c>
      <c r="W129" s="510">
        <v>611.30304864974698</v>
      </c>
      <c r="X129" s="510">
        <v>385.15100908601994</v>
      </c>
      <c r="Y129" s="569">
        <v>470.20790306676747</v>
      </c>
      <c r="Z129" s="512">
        <v>0</v>
      </c>
      <c r="AA129" s="513">
        <v>0.35314249384810936</v>
      </c>
      <c r="AB129" s="513" t="e">
        <v>#DIV/0!</v>
      </c>
      <c r="AC129" s="513">
        <v>0.77060412200599582</v>
      </c>
      <c r="AD129" s="510">
        <v>0</v>
      </c>
      <c r="AE129" s="510">
        <v>413.67199999999991</v>
      </c>
      <c r="AF129" s="510">
        <v>0</v>
      </c>
      <c r="AG129" s="510">
        <v>99.280285249300306</v>
      </c>
      <c r="AH129" s="510">
        <v>0</v>
      </c>
      <c r="AI129" s="510">
        <v>1.8596859347502377</v>
      </c>
      <c r="AJ129" s="510">
        <v>0</v>
      </c>
      <c r="AK129" s="569">
        <v>1224.291854416063</v>
      </c>
      <c r="AL129" s="576">
        <v>0</v>
      </c>
      <c r="AM129" s="577">
        <v>0</v>
      </c>
      <c r="AN129" s="512">
        <v>0.92876590359912181</v>
      </c>
      <c r="AO129" s="513">
        <v>0.87034527983783661</v>
      </c>
      <c r="AP129" s="513">
        <v>0.92876590359912181</v>
      </c>
      <c r="AQ129" s="513">
        <v>0.88127897400772759</v>
      </c>
      <c r="AR129" s="510">
        <v>46.527000000000001</v>
      </c>
      <c r="AS129" s="510">
        <v>1194.922</v>
      </c>
      <c r="AT129" s="514">
        <v>127.38799218135306</v>
      </c>
      <c r="AU129" s="514">
        <v>123.19224799199881</v>
      </c>
      <c r="AV129" s="510">
        <v>1.4249790444258172</v>
      </c>
      <c r="AW129" s="510">
        <v>1.4585052413462969</v>
      </c>
      <c r="AX129" s="510">
        <v>0</v>
      </c>
      <c r="AY129" s="510">
        <v>7.1636475016779333E-2</v>
      </c>
      <c r="AZ129" s="510">
        <v>951.49698024802774</v>
      </c>
      <c r="BA129" s="510">
        <v>916.95965092282177</v>
      </c>
      <c r="BB129" s="510">
        <v>0</v>
      </c>
      <c r="BC129" s="569">
        <v>184.32962151504449</v>
      </c>
      <c r="BD129" s="510">
        <v>0</v>
      </c>
      <c r="BE129" s="510">
        <v>2.2595617119778528</v>
      </c>
      <c r="BF129" s="512">
        <v>0.88416117174950914</v>
      </c>
      <c r="BG129" s="513">
        <v>0.85320366733179454</v>
      </c>
      <c r="BH129" s="513">
        <v>0.88416117174950914</v>
      </c>
      <c r="BI129" s="513">
        <v>0.85320366733179454</v>
      </c>
      <c r="BJ129" s="510">
        <v>48.075000000000003</v>
      </c>
      <c r="BK129" s="510">
        <v>1199.1430000000003</v>
      </c>
      <c r="BL129" s="510">
        <v>2.4940197607904318</v>
      </c>
      <c r="BM129" s="510">
        <v>2.6437213910267574</v>
      </c>
      <c r="BN129" s="514">
        <v>0</v>
      </c>
      <c r="BO129" s="514">
        <v>0</v>
      </c>
      <c r="BP129" s="514">
        <v>1009.7857514300574</v>
      </c>
      <c r="BQ129" s="514">
        <v>1040.1093864534921</v>
      </c>
      <c r="BR129" s="514">
        <v>0</v>
      </c>
      <c r="BS129" s="515">
        <v>0</v>
      </c>
      <c r="BT129" s="512">
        <v>0.80058769853597334</v>
      </c>
      <c r="BU129" s="513">
        <v>0.84132084761030246</v>
      </c>
      <c r="BV129" s="513">
        <v>0.80058769853597334</v>
      </c>
      <c r="BW129" s="513">
        <v>0.84215059804697456</v>
      </c>
      <c r="BX129" s="510">
        <v>42.006999999999998</v>
      </c>
      <c r="BY129" s="510">
        <v>1205.9750000000001</v>
      </c>
      <c r="BZ129" s="514">
        <v>85.771868683271521</v>
      </c>
      <c r="CA129" s="514">
        <v>79.830343485773952</v>
      </c>
      <c r="CB129" s="510">
        <v>1.9258694979408195</v>
      </c>
      <c r="CC129" s="510">
        <v>1.9633076970915653</v>
      </c>
      <c r="CD129" s="514">
        <v>0.20472778346466064</v>
      </c>
      <c r="CE129" s="514">
        <v>0.21318849893239908</v>
      </c>
      <c r="CF129" s="514">
        <v>826.89670769157499</v>
      </c>
      <c r="CG129" s="514">
        <v>816.19261593316583</v>
      </c>
      <c r="CH129" s="514">
        <v>488.72806913133525</v>
      </c>
      <c r="CI129" s="514">
        <v>543.67501813885019</v>
      </c>
      <c r="CJ129" s="514">
        <v>4.0469445568595708</v>
      </c>
      <c r="CK129" s="515">
        <v>2.6866228570243988</v>
      </c>
    </row>
    <row r="130" spans="1:89" ht="12.75" customHeight="1">
      <c r="A130" s="560">
        <v>45928</v>
      </c>
      <c r="B130" s="512">
        <v>1.012111209567075</v>
      </c>
      <c r="C130" s="513">
        <v>0.8939154719454554</v>
      </c>
      <c r="D130" s="513">
        <v>1.012111209567075</v>
      </c>
      <c r="E130" s="513">
        <v>0.89432663590254391</v>
      </c>
      <c r="F130" s="510">
        <v>63.238999999999997</v>
      </c>
      <c r="G130" s="510">
        <v>1650.5120000000002</v>
      </c>
      <c r="H130" s="510">
        <v>2.0034630528629487</v>
      </c>
      <c r="I130" s="510">
        <v>2.3102461539207231</v>
      </c>
      <c r="J130" s="510">
        <v>924.70469172508024</v>
      </c>
      <c r="K130" s="511">
        <v>924.2602659053689</v>
      </c>
      <c r="L130" s="512">
        <v>0.96572023577067267</v>
      </c>
      <c r="M130" s="513">
        <v>0.91504052725102314</v>
      </c>
      <c r="N130" s="513">
        <v>0.91984371686811772</v>
      </c>
      <c r="O130" s="513">
        <v>0.91753155257682439</v>
      </c>
      <c r="P130" s="510">
        <v>69.736999999999995</v>
      </c>
      <c r="Q130" s="510">
        <v>1604.1539999999998</v>
      </c>
      <c r="R130" s="510">
        <v>2.0654889083270001</v>
      </c>
      <c r="S130" s="510">
        <v>2.1005383523028343</v>
      </c>
      <c r="T130" s="510">
        <v>0.24377303296671782</v>
      </c>
      <c r="U130" s="510">
        <v>0.2942360895524993</v>
      </c>
      <c r="V130" s="510">
        <v>509.551601015247</v>
      </c>
      <c r="W130" s="510">
        <v>606.87963250411053</v>
      </c>
      <c r="X130" s="510">
        <v>368.82859887864407</v>
      </c>
      <c r="Y130" s="569">
        <v>465.800665023433</v>
      </c>
      <c r="Z130" s="512">
        <v>0</v>
      </c>
      <c r="AA130" s="513">
        <v>0.3405805402383581</v>
      </c>
      <c r="AB130" s="513" t="e">
        <v>#DIV/0!</v>
      </c>
      <c r="AC130" s="513">
        <v>0.77060412200599582</v>
      </c>
      <c r="AD130" s="510">
        <v>0</v>
      </c>
      <c r="AE130" s="510">
        <v>413.67199999999991</v>
      </c>
      <c r="AF130" s="510">
        <v>0</v>
      </c>
      <c r="AG130" s="510">
        <v>99.280285249300306</v>
      </c>
      <c r="AH130" s="510">
        <v>0</v>
      </c>
      <c r="AI130" s="510">
        <v>1.870322381016845</v>
      </c>
      <c r="AJ130" s="510">
        <v>0</v>
      </c>
      <c r="AK130" s="569">
        <v>1246.0661103482973</v>
      </c>
      <c r="AL130" s="576">
        <v>0</v>
      </c>
      <c r="AM130" s="577">
        <v>0</v>
      </c>
      <c r="AN130" s="512">
        <v>0.96729644978939522</v>
      </c>
      <c r="AO130" s="513">
        <v>0.87368933498025925</v>
      </c>
      <c r="AP130" s="513">
        <v>0.96729644978939522</v>
      </c>
      <c r="AQ130" s="513">
        <v>0.88428187323372831</v>
      </c>
      <c r="AR130" s="510">
        <v>47.442999999999998</v>
      </c>
      <c r="AS130" s="510">
        <v>1242.365</v>
      </c>
      <c r="AT130" s="514">
        <v>123.46800333278793</v>
      </c>
      <c r="AU130" s="514">
        <v>123.20277844048459</v>
      </c>
      <c r="AV130" s="510">
        <v>1.4037898109310118</v>
      </c>
      <c r="AW130" s="510">
        <v>1.456415787630849</v>
      </c>
      <c r="AX130" s="510">
        <v>0</v>
      </c>
      <c r="AY130" s="510">
        <v>6.8900846369625665E-2</v>
      </c>
      <c r="AZ130" s="510">
        <v>953.93208692536439</v>
      </c>
      <c r="BA130" s="510">
        <v>918.37154137471691</v>
      </c>
      <c r="BB130" s="510">
        <v>0</v>
      </c>
      <c r="BC130" s="569">
        <v>177.29050641317167</v>
      </c>
      <c r="BD130" s="510">
        <v>0</v>
      </c>
      <c r="BE130" s="510">
        <v>2.1732743597895952</v>
      </c>
      <c r="BF130" s="512">
        <v>0.85223148088645162</v>
      </c>
      <c r="BG130" s="513">
        <v>0.85316783833541054</v>
      </c>
      <c r="BH130" s="513">
        <v>0.85223148088645162</v>
      </c>
      <c r="BI130" s="513">
        <v>0.85316783833541054</v>
      </c>
      <c r="BJ130" s="510">
        <v>45.832000000000001</v>
      </c>
      <c r="BK130" s="510">
        <v>1244.9750000000004</v>
      </c>
      <c r="BL130" s="510">
        <v>2.3280677256065632</v>
      </c>
      <c r="BM130" s="510">
        <v>2.6321010462057459</v>
      </c>
      <c r="BN130" s="514">
        <v>0</v>
      </c>
      <c r="BO130" s="514">
        <v>0</v>
      </c>
      <c r="BP130" s="514">
        <v>936.26941874673048</v>
      </c>
      <c r="BQ130" s="514">
        <v>1036.286664390851</v>
      </c>
      <c r="BR130" s="514">
        <v>0</v>
      </c>
      <c r="BS130" s="515">
        <v>0</v>
      </c>
      <c r="BT130" s="512">
        <v>0.78519865793162769</v>
      </c>
      <c r="BU130" s="513">
        <v>0.83933574185680893</v>
      </c>
      <c r="BV130" s="513">
        <v>0.78519865793162769</v>
      </c>
      <c r="BW130" s="513">
        <v>0.84013422666538817</v>
      </c>
      <c r="BX130" s="510">
        <v>41.271000000000001</v>
      </c>
      <c r="BY130" s="510">
        <v>1247.2460000000001</v>
      </c>
      <c r="BZ130" s="514">
        <v>83.165116374271065</v>
      </c>
      <c r="CA130" s="514">
        <v>79.940690131007671</v>
      </c>
      <c r="CB130" s="510">
        <v>2.1274018075646337</v>
      </c>
      <c r="CC130" s="510">
        <v>1.9687375225095938</v>
      </c>
      <c r="CD130" s="514">
        <v>0.25441593370647669</v>
      </c>
      <c r="CE130" s="514">
        <v>0.21455270251417924</v>
      </c>
      <c r="CF130" s="514">
        <v>852.68348234838106</v>
      </c>
      <c r="CG130" s="514">
        <v>817.40008787360307</v>
      </c>
      <c r="CH130" s="514">
        <v>619.07877201909332</v>
      </c>
      <c r="CI130" s="514">
        <v>546.17010597748958</v>
      </c>
      <c r="CJ130" s="514">
        <v>4.3614160063967429</v>
      </c>
      <c r="CK130" s="515">
        <v>2.7420412653157435</v>
      </c>
    </row>
    <row r="131" spans="1:89" ht="12.75" customHeight="1">
      <c r="A131" s="560">
        <v>45929</v>
      </c>
      <c r="B131" s="512">
        <v>1.1723396253955682</v>
      </c>
      <c r="C131" s="513">
        <v>0.90343584697974955</v>
      </c>
      <c r="D131" s="513">
        <v>1.1723396253955682</v>
      </c>
      <c r="E131" s="513">
        <v>0.90383717461679292</v>
      </c>
      <c r="F131" s="510">
        <v>76.635999999999996</v>
      </c>
      <c r="G131" s="510">
        <v>1727.1480000000001</v>
      </c>
      <c r="H131" s="510">
        <v>1.7013153087321886</v>
      </c>
      <c r="I131" s="510">
        <v>2.2832270309203384</v>
      </c>
      <c r="J131" s="510">
        <v>717.06560885222837</v>
      </c>
      <c r="K131" s="511">
        <v>915.06674587238717</v>
      </c>
      <c r="L131" s="512">
        <v>0.87765580345109218</v>
      </c>
      <c r="M131" s="513">
        <v>0.91356832878425176</v>
      </c>
      <c r="N131" s="513">
        <v>0.87765580345109218</v>
      </c>
      <c r="O131" s="513">
        <v>0.9159571522809864</v>
      </c>
      <c r="P131" s="510">
        <v>63.073999999999998</v>
      </c>
      <c r="Q131" s="510">
        <v>1667.2279999999998</v>
      </c>
      <c r="R131" s="510">
        <v>2.1445127944953546</v>
      </c>
      <c r="S131" s="510">
        <v>2.1022019783736838</v>
      </c>
      <c r="T131" s="510">
        <v>0.2790373212417161</v>
      </c>
      <c r="U131" s="510">
        <v>0.29366109494322312</v>
      </c>
      <c r="V131" s="510">
        <v>453.16231727813158</v>
      </c>
      <c r="W131" s="510">
        <v>601.06425156007447</v>
      </c>
      <c r="X131" s="510">
        <v>430.43092240859943</v>
      </c>
      <c r="Y131" s="569">
        <v>464.4625690067586</v>
      </c>
      <c r="Z131" s="512">
        <v>0</v>
      </c>
      <c r="AA131" s="513">
        <v>0.32888159324277566</v>
      </c>
      <c r="AB131" s="513" t="e">
        <v>#DIV/0!</v>
      </c>
      <c r="AC131" s="513">
        <v>0.77060412200599582</v>
      </c>
      <c r="AD131" s="510">
        <v>0</v>
      </c>
      <c r="AE131" s="510">
        <v>413.67199999999991</v>
      </c>
      <c r="AF131" s="510">
        <v>0</v>
      </c>
      <c r="AG131" s="510">
        <v>99.280285249300306</v>
      </c>
      <c r="AH131" s="510">
        <v>0</v>
      </c>
      <c r="AI131" s="510">
        <v>1.8826509891895036</v>
      </c>
      <c r="AJ131" s="510">
        <v>0</v>
      </c>
      <c r="AK131" s="569">
        <v>1257.580160126864</v>
      </c>
      <c r="AL131" s="576">
        <v>0</v>
      </c>
      <c r="AM131" s="577">
        <v>0</v>
      </c>
      <c r="AN131" s="512">
        <v>0.94531792530095515</v>
      </c>
      <c r="AO131" s="513">
        <v>0.87616649713658823</v>
      </c>
      <c r="AP131" s="513">
        <v>0.94531792530095515</v>
      </c>
      <c r="AQ131" s="513">
        <v>0.88641740531387303</v>
      </c>
      <c r="AR131" s="510">
        <v>48.152999999999999</v>
      </c>
      <c r="AS131" s="510">
        <v>1290.518</v>
      </c>
      <c r="AT131" s="514">
        <v>117.27205183982281</v>
      </c>
      <c r="AU131" s="514">
        <v>122.98148568982039</v>
      </c>
      <c r="AV131" s="510">
        <v>1.4100886756796047</v>
      </c>
      <c r="AW131" s="510">
        <v>1.4546871876254339</v>
      </c>
      <c r="AX131" s="510">
        <v>0</v>
      </c>
      <c r="AY131" s="510">
        <v>6.6329954328416957E-2</v>
      </c>
      <c r="AZ131" s="510">
        <v>830.74865532780848</v>
      </c>
      <c r="BA131" s="510">
        <v>915.10207529069726</v>
      </c>
      <c r="BB131" s="510">
        <v>0</v>
      </c>
      <c r="BC131" s="569">
        <v>170.67527922896079</v>
      </c>
      <c r="BD131" s="510">
        <v>0</v>
      </c>
      <c r="BE131" s="510">
        <v>2.0921831388636192</v>
      </c>
      <c r="BF131" s="512">
        <v>0.88965465166247826</v>
      </c>
      <c r="BG131" s="513">
        <v>0.85442254743706425</v>
      </c>
      <c r="BH131" s="513">
        <v>0.88965465166247826</v>
      </c>
      <c r="BI131" s="513">
        <v>0.85442254743706425</v>
      </c>
      <c r="BJ131" s="510">
        <v>46.232999999999997</v>
      </c>
      <c r="BK131" s="510">
        <v>1291.2080000000003</v>
      </c>
      <c r="BL131" s="510">
        <v>2.509030346289447</v>
      </c>
      <c r="BM131" s="510">
        <v>2.6276943761191061</v>
      </c>
      <c r="BN131" s="514">
        <v>0</v>
      </c>
      <c r="BO131" s="514">
        <v>0</v>
      </c>
      <c r="BP131" s="514">
        <v>1080.3876019293666</v>
      </c>
      <c r="BQ131" s="514">
        <v>1037.8657427773067</v>
      </c>
      <c r="BR131" s="514">
        <v>0</v>
      </c>
      <c r="BS131" s="515">
        <v>0</v>
      </c>
      <c r="BT131" s="512">
        <v>0.94994069120017433</v>
      </c>
      <c r="BU131" s="513">
        <v>0.8432384213759706</v>
      </c>
      <c r="BV131" s="513">
        <v>1.0335223658727102</v>
      </c>
      <c r="BW131" s="513">
        <v>0.84642980067034757</v>
      </c>
      <c r="BX131" s="510">
        <v>51.63</v>
      </c>
      <c r="BY131" s="510">
        <v>1298.8760000000002</v>
      </c>
      <c r="BZ131" s="514">
        <v>72.670906212609168</v>
      </c>
      <c r="CA131" s="514">
        <v>79.651718016882128</v>
      </c>
      <c r="CB131" s="510">
        <v>1.8322680612047257</v>
      </c>
      <c r="CC131" s="510">
        <v>1.9633128951493448</v>
      </c>
      <c r="CD131" s="514">
        <v>0.1840015494867325</v>
      </c>
      <c r="CE131" s="514">
        <v>0.21333830173165105</v>
      </c>
      <c r="CF131" s="514">
        <v>812.30989734650336</v>
      </c>
      <c r="CG131" s="514">
        <v>817.19775405812402</v>
      </c>
      <c r="CH131" s="514">
        <v>498.15998450513268</v>
      </c>
      <c r="CI131" s="514">
        <v>544.26171551402888</v>
      </c>
      <c r="CJ131" s="514">
        <v>5.2295177222545028</v>
      </c>
      <c r="CK131" s="515">
        <v>2.8409178397321986</v>
      </c>
    </row>
    <row r="132" spans="1:89" ht="12.75" customHeight="1">
      <c r="A132" s="560">
        <v>45930</v>
      </c>
      <c r="B132" s="512">
        <v>0.92014387386198759</v>
      </c>
      <c r="C132" s="513">
        <v>0.903990808274441</v>
      </c>
      <c r="D132" s="513">
        <v>0.92014387386198759</v>
      </c>
      <c r="E132" s="513">
        <v>0.90437903832375621</v>
      </c>
      <c r="F132" s="510">
        <v>60.436</v>
      </c>
      <c r="G132" s="510">
        <v>1787.5840000000001</v>
      </c>
      <c r="H132" s="510">
        <v>2.1322556092395262</v>
      </c>
      <c r="I132" s="510">
        <v>2.2781228742257711</v>
      </c>
      <c r="J132" s="510">
        <v>938.62366801243616</v>
      </c>
      <c r="K132" s="511">
        <v>915.86317621997148</v>
      </c>
      <c r="L132" s="512">
        <v>0.88289351106810099</v>
      </c>
      <c r="M132" s="513">
        <v>0.9123567896542889</v>
      </c>
      <c r="N132" s="513">
        <v>0.92800485834895308</v>
      </c>
      <c r="O132" s="513">
        <v>0.91641187210867769</v>
      </c>
      <c r="P132" s="510">
        <v>66.254999999999995</v>
      </c>
      <c r="Q132" s="510">
        <v>1733.4829999999997</v>
      </c>
      <c r="R132" s="510">
        <v>2.0432722058712551</v>
      </c>
      <c r="S132" s="510">
        <v>2.0999496389638668</v>
      </c>
      <c r="T132" s="510">
        <v>0.23092596785148292</v>
      </c>
      <c r="U132" s="510">
        <v>0.29126331207170764</v>
      </c>
      <c r="V132" s="510">
        <v>431.33333333332439</v>
      </c>
      <c r="W132" s="510">
        <v>594.5770105619722</v>
      </c>
      <c r="X132" s="510">
        <v>337.51414987548111</v>
      </c>
      <c r="Y132" s="569">
        <v>459.61050670817082</v>
      </c>
      <c r="Z132" s="512">
        <v>0</v>
      </c>
      <c r="AA132" s="513">
        <v>0.31795967338482251</v>
      </c>
      <c r="AB132" s="513" t="e">
        <v>#DIV/0!</v>
      </c>
      <c r="AC132" s="513">
        <v>0.77060412200599582</v>
      </c>
      <c r="AD132" s="510">
        <v>0</v>
      </c>
      <c r="AE132" s="510">
        <v>413.67199999999991</v>
      </c>
      <c r="AF132" s="510">
        <v>0</v>
      </c>
      <c r="AG132" s="510">
        <v>99.280285249300306</v>
      </c>
      <c r="AH132" s="510">
        <v>0</v>
      </c>
      <c r="AI132" s="510">
        <v>1.8947378599470119</v>
      </c>
      <c r="AJ132" s="510">
        <v>0</v>
      </c>
      <c r="AK132" s="569">
        <v>1272.9030729660244</v>
      </c>
      <c r="AL132" s="576">
        <v>0</v>
      </c>
      <c r="AM132" s="577">
        <v>0</v>
      </c>
      <c r="AN132" s="512">
        <v>0.99888615093588218</v>
      </c>
      <c r="AO132" s="513">
        <v>0.880306580757235</v>
      </c>
      <c r="AP132" s="513">
        <v>0.99888615093588218</v>
      </c>
      <c r="AQ132" s="513">
        <v>0.89025454042732222</v>
      </c>
      <c r="AR132" s="510">
        <v>51.368000000000002</v>
      </c>
      <c r="AS132" s="510">
        <v>1341.886</v>
      </c>
      <c r="AT132" s="514">
        <v>105.20673475234753</v>
      </c>
      <c r="AU132" s="514">
        <v>122.30106022435156</v>
      </c>
      <c r="AV132" s="510">
        <v>1.337408503348388</v>
      </c>
      <c r="AW132" s="510">
        <v>1.4501977068096692</v>
      </c>
      <c r="AX132" s="510">
        <v>0</v>
      </c>
      <c r="AY132" s="510">
        <v>6.3790813824721321E-2</v>
      </c>
      <c r="AZ132" s="510">
        <v>789.37587603177076</v>
      </c>
      <c r="BA132" s="510">
        <v>910.28921979959557</v>
      </c>
      <c r="BB132" s="510">
        <v>0</v>
      </c>
      <c r="BC132" s="569">
        <v>164.14175272713183</v>
      </c>
      <c r="BD132" s="510">
        <v>0</v>
      </c>
      <c r="BE132" s="510">
        <v>2.0120934267143409</v>
      </c>
      <c r="BF132" s="512">
        <v>0.62175808756891815</v>
      </c>
      <c r="BG132" s="513">
        <v>0.84682779620148241</v>
      </c>
      <c r="BH132" s="513">
        <v>0.62175808756891815</v>
      </c>
      <c r="BI132" s="513">
        <v>0.84682779620148241</v>
      </c>
      <c r="BJ132" s="510">
        <v>31.706</v>
      </c>
      <c r="BK132" s="510">
        <v>1322.9140000000002</v>
      </c>
      <c r="BL132" s="510">
        <v>3.4756828360562673</v>
      </c>
      <c r="BM132" s="510">
        <v>2.6480179361621383</v>
      </c>
      <c r="BN132" s="514">
        <v>0</v>
      </c>
      <c r="BO132" s="514">
        <v>0</v>
      </c>
      <c r="BP132" s="514">
        <v>1360.8777518450595</v>
      </c>
      <c r="BQ132" s="514">
        <v>1045.6073032714144</v>
      </c>
      <c r="BR132" s="514">
        <v>0</v>
      </c>
      <c r="BS132" s="515">
        <v>0</v>
      </c>
      <c r="BT132" s="512">
        <v>0.90054702842800538</v>
      </c>
      <c r="BU132" s="513">
        <v>0.84513581917015268</v>
      </c>
      <c r="BV132" s="513">
        <v>0.90054702842800538</v>
      </c>
      <c r="BW132" s="513">
        <v>0.84822809271497868</v>
      </c>
      <c r="BX132" s="510">
        <v>47.499000000000002</v>
      </c>
      <c r="BY132" s="510">
        <v>1346.3750000000002</v>
      </c>
      <c r="BZ132" s="514">
        <v>68.774931035209434</v>
      </c>
      <c r="CA132" s="514">
        <v>79.267993939383302</v>
      </c>
      <c r="CB132" s="510">
        <v>1.787406050653698</v>
      </c>
      <c r="CC132" s="510">
        <v>1.9571070466994711</v>
      </c>
      <c r="CD132" s="514">
        <v>0.12000252636897618</v>
      </c>
      <c r="CE132" s="514">
        <v>0.21004549252622781</v>
      </c>
      <c r="CF132" s="514">
        <v>640.39221878355329</v>
      </c>
      <c r="CG132" s="514">
        <v>810.96020053848281</v>
      </c>
      <c r="CH132" s="514">
        <v>453.06216972988904</v>
      </c>
      <c r="CI132" s="514">
        <v>541.04427072695194</v>
      </c>
      <c r="CJ132" s="514">
        <v>4.2106149603149543</v>
      </c>
      <c r="CK132" s="515">
        <v>2.8892396249187628</v>
      </c>
    </row>
    <row r="133" spans="1:89" ht="12.75" hidden="1" customHeight="1">
      <c r="A133" s="560"/>
      <c r="B133" s="512"/>
      <c r="C133" s="513"/>
      <c r="D133" s="513"/>
      <c r="E133" s="513"/>
      <c r="F133" s="510"/>
      <c r="G133" s="510"/>
      <c r="H133" s="510"/>
      <c r="I133" s="510"/>
      <c r="J133" s="510"/>
      <c r="K133" s="511"/>
      <c r="L133" s="512"/>
      <c r="M133" s="513"/>
      <c r="N133" s="513"/>
      <c r="O133" s="513"/>
      <c r="P133" s="510"/>
      <c r="Q133" s="510"/>
      <c r="R133" s="510"/>
      <c r="S133" s="510"/>
      <c r="T133" s="510"/>
      <c r="U133" s="510"/>
      <c r="V133" s="510"/>
      <c r="W133" s="510"/>
      <c r="X133" s="510"/>
      <c r="Y133" s="569"/>
      <c r="Z133" s="512"/>
      <c r="AA133" s="513"/>
      <c r="AB133" s="513"/>
      <c r="AC133" s="513"/>
      <c r="AD133" s="510"/>
      <c r="AE133" s="510"/>
      <c r="AF133" s="510"/>
      <c r="AG133" s="510"/>
      <c r="AH133" s="510"/>
      <c r="AI133" s="510"/>
      <c r="AJ133" s="510"/>
      <c r="AK133" s="569"/>
      <c r="AL133" s="576"/>
      <c r="AM133" s="577"/>
      <c r="AN133" s="512"/>
      <c r="AO133" s="513"/>
      <c r="AP133" s="513"/>
      <c r="AQ133" s="513"/>
      <c r="AR133" s="510"/>
      <c r="AS133" s="510"/>
      <c r="AT133" s="514"/>
      <c r="AU133" s="514"/>
      <c r="AV133" s="510"/>
      <c r="AW133" s="510"/>
      <c r="AX133" s="510"/>
      <c r="AY133" s="510"/>
      <c r="AZ133" s="510"/>
      <c r="BA133" s="510"/>
      <c r="BB133" s="510"/>
      <c r="BC133" s="569"/>
      <c r="BD133" s="510"/>
      <c r="BE133" s="511"/>
      <c r="BF133" s="512"/>
      <c r="BG133" s="513"/>
      <c r="BH133" s="513"/>
      <c r="BI133" s="513"/>
      <c r="BJ133" s="510"/>
      <c r="BK133" s="510"/>
      <c r="BL133" s="510"/>
      <c r="BM133" s="510"/>
      <c r="BN133" s="514"/>
      <c r="BO133" s="514"/>
      <c r="BP133" s="514"/>
      <c r="BQ133" s="514"/>
      <c r="BR133" s="514"/>
      <c r="BS133" s="515"/>
      <c r="BT133" s="512"/>
      <c r="BU133" s="513"/>
      <c r="BV133" s="513"/>
      <c r="BW133" s="513"/>
      <c r="BX133" s="510"/>
      <c r="BY133" s="510"/>
      <c r="BZ133" s="514"/>
      <c r="CA133" s="514"/>
      <c r="CB133" s="510"/>
      <c r="CC133" s="510"/>
      <c r="CD133" s="514"/>
      <c r="CE133" s="514"/>
      <c r="CF133" s="514"/>
      <c r="CG133" s="514"/>
      <c r="CH133" s="514"/>
      <c r="CI133" s="514"/>
      <c r="CJ133" s="514"/>
      <c r="CK133" s="515"/>
    </row>
    <row r="134" spans="1:89" ht="12.75" customHeight="1">
      <c r="A134" s="560"/>
      <c r="B134" s="512"/>
      <c r="C134" s="513"/>
      <c r="D134" s="513"/>
      <c r="E134" s="513"/>
      <c r="F134" s="510"/>
      <c r="G134" s="510"/>
      <c r="H134" s="510"/>
      <c r="I134" s="510"/>
      <c r="J134" s="510"/>
      <c r="K134" s="511"/>
      <c r="L134" s="512"/>
      <c r="M134" s="513"/>
      <c r="N134" s="513"/>
      <c r="O134" s="513"/>
      <c r="P134" s="510"/>
      <c r="Q134" s="510"/>
      <c r="R134" s="510"/>
      <c r="S134" s="510"/>
      <c r="T134" s="510"/>
      <c r="U134" s="510"/>
      <c r="V134" s="510"/>
      <c r="W134" s="510"/>
      <c r="X134" s="510"/>
      <c r="Y134" s="569"/>
      <c r="Z134" s="512"/>
      <c r="AA134" s="513"/>
      <c r="AB134" s="513"/>
      <c r="AC134" s="513"/>
      <c r="AD134" s="510"/>
      <c r="AE134" s="510"/>
      <c r="AF134" s="510"/>
      <c r="AG134" s="510"/>
      <c r="AH134" s="510"/>
      <c r="AI134" s="510"/>
      <c r="AJ134" s="510"/>
      <c r="AK134" s="569"/>
      <c r="AL134" s="510"/>
      <c r="AM134" s="569"/>
      <c r="AN134" s="512"/>
      <c r="AO134" s="513"/>
      <c r="AP134" s="513"/>
      <c r="AQ134" s="513"/>
      <c r="AR134" s="510"/>
      <c r="AS134" s="510"/>
      <c r="AT134" s="514"/>
      <c r="AU134" s="514"/>
      <c r="AV134" s="510"/>
      <c r="AW134" s="510"/>
      <c r="AX134" s="510"/>
      <c r="AY134" s="510"/>
      <c r="AZ134" s="510"/>
      <c r="BA134" s="510"/>
      <c r="BB134" s="510"/>
      <c r="BC134" s="569"/>
      <c r="BD134" s="510"/>
      <c r="BE134" s="511"/>
      <c r="BF134" s="512"/>
      <c r="BG134" s="513"/>
      <c r="BH134" s="513"/>
      <c r="BI134" s="513"/>
      <c r="BJ134" s="510"/>
      <c r="BK134" s="510"/>
      <c r="BL134" s="510"/>
      <c r="BM134" s="510"/>
      <c r="BN134" s="514"/>
      <c r="BO134" s="514"/>
      <c r="BP134" s="514"/>
      <c r="BQ134" s="514"/>
      <c r="BR134" s="514"/>
      <c r="BS134" s="515"/>
      <c r="BT134" s="512"/>
      <c r="BU134" s="513"/>
      <c r="BV134" s="513"/>
      <c r="BW134" s="513"/>
      <c r="BX134" s="510"/>
      <c r="BY134" s="510"/>
      <c r="BZ134" s="510"/>
      <c r="CA134" s="510"/>
      <c r="CB134" s="510"/>
      <c r="CC134" s="510"/>
      <c r="CD134" s="510"/>
      <c r="CE134" s="510"/>
      <c r="CF134" s="1023"/>
      <c r="CG134" s="514"/>
      <c r="CH134" s="514"/>
      <c r="CI134" s="514"/>
      <c r="CJ134" s="514"/>
      <c r="CK134" s="515"/>
    </row>
    <row r="135" spans="1:89" ht="12.75" customHeight="1" thickBot="1">
      <c r="A135" s="586" t="s">
        <v>424</v>
      </c>
      <c r="B135" s="688">
        <f>+'[9]eff all'!$B$39:$C$39</f>
        <v>0.903990808274441</v>
      </c>
      <c r="C135" s="654"/>
      <c r="D135" s="653">
        <f>+'[9]eff all'!$D$39:$E$39</f>
        <v>0.90437903832375621</v>
      </c>
      <c r="E135" s="654"/>
      <c r="F135" s="689">
        <f>+'[9]eff all'!$F$39:$G$39</f>
        <v>1787.5840000000001</v>
      </c>
      <c r="G135" s="690"/>
      <c r="H135" s="655">
        <f>+'[9]eff all'!$H$39:$I$39</f>
        <v>2.2781228742257711</v>
      </c>
      <c r="I135" s="656"/>
      <c r="J135" s="689">
        <f>+'[9]eff all'!$J$39:$K$39</f>
        <v>915.86317621997148</v>
      </c>
      <c r="K135" s="691"/>
      <c r="L135" s="688">
        <f>+'[9]eff all'!$L$39:$M$39</f>
        <v>0.9123567896542889</v>
      </c>
      <c r="M135" s="654"/>
      <c r="N135" s="653">
        <f>+'[9]eff all'!$N$39:$O$39</f>
        <v>0.91641187210867769</v>
      </c>
      <c r="O135" s="654"/>
      <c r="P135" s="689">
        <f>+'[9]eff all'!$P$39:$Q$39</f>
        <v>1733.4829999999997</v>
      </c>
      <c r="Q135" s="690"/>
      <c r="R135" s="655">
        <f>+'[9]eff all'!$R$39:$S$39</f>
        <v>2.0999496389638668</v>
      </c>
      <c r="S135" s="656"/>
      <c r="T135" s="655">
        <f>+'[9]eff all'!$T$39:$U$39</f>
        <v>0.29126331207170764</v>
      </c>
      <c r="U135" s="656"/>
      <c r="V135" s="689">
        <f>+'[9]eff all'!$V$39:$W$39</f>
        <v>594.5770105619722</v>
      </c>
      <c r="W135" s="690"/>
      <c r="X135" s="655">
        <f>+'[9]eff all'!$X$39:$Y$39</f>
        <v>459.61050670817082</v>
      </c>
      <c r="Y135" s="694"/>
      <c r="Z135" s="688">
        <f>+'[9]eff all'!$Z$39:$AA$39</f>
        <v>0.31795967338482251</v>
      </c>
      <c r="AA135" s="654"/>
      <c r="AB135" s="653">
        <f>+'[9]eff all'!$AB$39:$AC$39</f>
        <v>0.77060412200599582</v>
      </c>
      <c r="AC135" s="654"/>
      <c r="AD135" s="695">
        <f>+'[9]eff all'!$AD$39:$AE$39</f>
        <v>413.67199999999991</v>
      </c>
      <c r="AE135" s="696"/>
      <c r="AF135" s="655">
        <f>+'[9]eff all'!$AF$39:$AG$39</f>
        <v>99.280285249300306</v>
      </c>
      <c r="AG135" s="656"/>
      <c r="AH135" s="697">
        <f>+'[9]eff all'!$AH$39:$AI$39</f>
        <v>1.8947378599470119</v>
      </c>
      <c r="AI135" s="698"/>
      <c r="AJ135" s="697">
        <f>+'[9]eff all'!$AJ$39:$AK$39</f>
        <v>1272.9030729660244</v>
      </c>
      <c r="AK135" s="698"/>
      <c r="AL135" s="695">
        <f>+'[9]eff all'!$AL$39:$AM$39</f>
        <v>0</v>
      </c>
      <c r="AM135" s="701"/>
      <c r="AN135" s="688">
        <f>+'[9]eff all'!$AN$39:$AO$39</f>
        <v>0.880306580757235</v>
      </c>
      <c r="AO135" s="654"/>
      <c r="AP135" s="653">
        <f>+'[9]eff all'!$AP$39:$AQ$39</f>
        <v>0.89025454042732222</v>
      </c>
      <c r="AQ135" s="654"/>
      <c r="AR135" s="692">
        <f>+'[9]eff all'!$AR$39:$AS$39</f>
        <v>1341.886</v>
      </c>
      <c r="AS135" s="693"/>
      <c r="AT135" s="655">
        <f>+'[9]eff all'!$AT$39:$AU$39</f>
        <v>122.30106022435156</v>
      </c>
      <c r="AU135" s="656"/>
      <c r="AV135" s="655">
        <f>+'[9]eff all'!$AV$39:$AW$39</f>
        <v>1.4501977068096692</v>
      </c>
      <c r="AW135" s="656"/>
      <c r="AX135" s="655">
        <f>+'[9]eff all'!$AX$39:$AY$39</f>
        <v>6.3790813824721321E-2</v>
      </c>
      <c r="AY135" s="656"/>
      <c r="AZ135" s="695">
        <f>+'[9]eff all'!$AZ$39:$BA$39</f>
        <v>910.28921979959557</v>
      </c>
      <c r="BA135" s="696"/>
      <c r="BB135" s="695">
        <f>+'[9]eff all'!$BB$39:$BC$39</f>
        <v>164.14175272713183</v>
      </c>
      <c r="BC135" s="696"/>
      <c r="BD135" s="695">
        <f>+'[9]eff all'!$BD$39:$BE$39</f>
        <v>2.0120934267143409</v>
      </c>
      <c r="BE135" s="701"/>
      <c r="BF135" s="688">
        <f>+'[9]eff all'!$BF$39:$BG$39</f>
        <v>0.84682779620148241</v>
      </c>
      <c r="BG135" s="654"/>
      <c r="BH135" s="653">
        <f>+'[9]eff all'!$BH$39:$BI$39</f>
        <v>0.84682779620148241</v>
      </c>
      <c r="BI135" s="654"/>
      <c r="BJ135" s="695">
        <f>+'[9]eff all'!$BJ$39:$BK$39</f>
        <v>1322.9140000000002</v>
      </c>
      <c r="BK135" s="696"/>
      <c r="BL135" s="655">
        <f>+'[9]eff all'!$BL$39:$BM$39</f>
        <v>2.6480179361621383</v>
      </c>
      <c r="BM135" s="656"/>
      <c r="BN135" s="655">
        <f>+'[9]eff all'!$BN$39:$BO$39</f>
        <v>0</v>
      </c>
      <c r="BO135" s="656"/>
      <c r="BP135" s="695">
        <f>+'[9]eff all'!$BP$39:$BQ$39</f>
        <v>1045.6073032714144</v>
      </c>
      <c r="BQ135" s="696"/>
      <c r="BR135" s="695">
        <f>+'[9]eff all'!$BR$39:$BS$39</f>
        <v>0</v>
      </c>
      <c r="BS135" s="701"/>
      <c r="BT135" s="688">
        <f>+'[9]eff all'!$BT$39:$BU$39</f>
        <v>0.84513581917015268</v>
      </c>
      <c r="BU135" s="654"/>
      <c r="BV135" s="653">
        <f>+'[9]eff all'!$BV$39:$BW$39</f>
        <v>0.84822809271497868</v>
      </c>
      <c r="BW135" s="654"/>
      <c r="BX135" s="689">
        <f>+'[9]eff all'!$BX$39:$BY$39</f>
        <v>1346.3750000000002</v>
      </c>
      <c r="BY135" s="690"/>
      <c r="BZ135" s="699">
        <f>+'[9]eff all'!$BZ$39:$CA$39</f>
        <v>79.267993939383302</v>
      </c>
      <c r="CA135" s="699"/>
      <c r="CB135" s="699">
        <f>+'[9]eff all'!$CB$39:$CC$39</f>
        <v>1.9571070466994711</v>
      </c>
      <c r="CC135" s="699"/>
      <c r="CD135" s="699">
        <f>+'[9]eff all'!$CD$39:$CE$39</f>
        <v>0.21004549252622781</v>
      </c>
      <c r="CE135" s="699"/>
      <c r="CF135" s="689">
        <f>+'[9]eff all'!$CF$39:$CG$39</f>
        <v>810.96020053848281</v>
      </c>
      <c r="CG135" s="690"/>
      <c r="CH135" s="700">
        <f>+'[9]eff all'!$CH$39:$CI$39</f>
        <v>541.04427072695194</v>
      </c>
      <c r="CI135" s="700"/>
      <c r="CJ135" s="700">
        <f>+'[9]eff all'!$CJ$39:$CK$393</f>
        <v>0</v>
      </c>
      <c r="CK135" s="769"/>
    </row>
    <row r="136" spans="1:89" ht="14.25" customHeight="1" thickTop="1">
      <c r="A136" s="559">
        <v>45870</v>
      </c>
      <c r="B136" s="518">
        <v>0.11550916662961484</v>
      </c>
      <c r="C136" s="519">
        <v>0.11550916662961484</v>
      </c>
      <c r="D136" s="519">
        <v>0.11550916662961484</v>
      </c>
      <c r="E136" s="519">
        <v>0.11550916662961484</v>
      </c>
      <c r="F136" s="520">
        <v>7.7140000000000004</v>
      </c>
      <c r="G136" s="520">
        <v>7.7140000000000004</v>
      </c>
      <c r="H136" s="520">
        <v>4.6392273787918077</v>
      </c>
      <c r="I136" s="520">
        <v>4.6392273787918077</v>
      </c>
      <c r="J136" s="520">
        <v>1959.5566502460244</v>
      </c>
      <c r="K136" s="548">
        <v>1959.5566502460244</v>
      </c>
      <c r="L136" s="518">
        <v>1.0736612946546025</v>
      </c>
      <c r="M136" s="519">
        <v>1.0736612946546025</v>
      </c>
      <c r="N136" s="519">
        <v>1.0736612946546025</v>
      </c>
      <c r="O136" s="519">
        <v>1.0736612946546025</v>
      </c>
      <c r="P136" s="520">
        <v>80.168999999999997</v>
      </c>
      <c r="Q136" s="520">
        <v>80.168999999999997</v>
      </c>
      <c r="R136" s="520">
        <v>2.3001160049395653</v>
      </c>
      <c r="S136" s="520">
        <v>2.3001160049395653</v>
      </c>
      <c r="T136" s="520">
        <v>0.23949406877970289</v>
      </c>
      <c r="U136" s="520">
        <v>0.23949406877970289</v>
      </c>
      <c r="V136" s="520">
        <v>428.99287754617444</v>
      </c>
      <c r="W136" s="520">
        <v>428.99287754617444</v>
      </c>
      <c r="X136" s="520">
        <v>393.75569110254588</v>
      </c>
      <c r="Y136" s="520">
        <v>393.75569110254588</v>
      </c>
      <c r="Z136" s="518">
        <v>0.93571530238499145</v>
      </c>
      <c r="AA136" s="519">
        <v>0.93571530238499145</v>
      </c>
      <c r="AB136" s="519">
        <v>0.93571530238499145</v>
      </c>
      <c r="AC136" s="519">
        <v>0.93571530238499145</v>
      </c>
      <c r="AD136" s="520">
        <v>44.627000000000002</v>
      </c>
      <c r="AE136" s="520">
        <v>44.627000000000002</v>
      </c>
      <c r="AF136" s="520">
        <v>92.489962357539497</v>
      </c>
      <c r="AG136" s="520">
        <v>92.489962357539483</v>
      </c>
      <c r="AH136" s="520">
        <v>1.3332735787751808</v>
      </c>
      <c r="AI136" s="520">
        <v>1.3332735787751808</v>
      </c>
      <c r="AJ136" s="520">
        <v>841.77784749144519</v>
      </c>
      <c r="AK136" s="520">
        <v>841.77784749144519</v>
      </c>
      <c r="AL136" s="576">
        <v>0</v>
      </c>
      <c r="AM136" s="576">
        <v>0</v>
      </c>
      <c r="AN136" s="518">
        <v>0.89220755657812334</v>
      </c>
      <c r="AO136" s="519">
        <v>0.89220755657812334</v>
      </c>
      <c r="AP136" s="519">
        <v>0.89220755657812334</v>
      </c>
      <c r="AQ136" s="519">
        <v>0.89220755657812334</v>
      </c>
      <c r="AR136" s="520">
        <v>45.591999999999999</v>
      </c>
      <c r="AS136" s="520">
        <v>45.591999999999999</v>
      </c>
      <c r="AT136" s="521">
        <v>119.11206199069575</v>
      </c>
      <c r="AU136" s="521">
        <v>119.11206199069575</v>
      </c>
      <c r="AV136" s="520">
        <v>1.5879978943674331</v>
      </c>
      <c r="AW136" s="520">
        <v>1.5879978943674331</v>
      </c>
      <c r="AX136" s="520">
        <v>0.19082295139498157</v>
      </c>
      <c r="AY136" s="520">
        <v>0.19082295139498157</v>
      </c>
      <c r="AZ136" s="520">
        <v>938.67389015616914</v>
      </c>
      <c r="BA136" s="520">
        <v>938.67389015616914</v>
      </c>
      <c r="BB136" s="520">
        <v>545.80854097209397</v>
      </c>
      <c r="BC136" s="520">
        <v>545.80854097209397</v>
      </c>
      <c r="BD136" s="520">
        <v>15.302289875416616</v>
      </c>
      <c r="BE136" s="520">
        <v>15.302289875416616</v>
      </c>
      <c r="BF136" s="518">
        <v>0.84364073764658554</v>
      </c>
      <c r="BG136" s="519">
        <v>0.84364073764658554</v>
      </c>
      <c r="BH136" s="519">
        <v>0.84364073764658554</v>
      </c>
      <c r="BI136" s="519">
        <v>0.84364073764658554</v>
      </c>
      <c r="BJ136" s="520">
        <v>45.37</v>
      </c>
      <c r="BK136" s="520">
        <v>45.37</v>
      </c>
      <c r="BL136" s="520">
        <v>2.8080229226361033</v>
      </c>
      <c r="BM136" s="520">
        <v>2.8080229226361033</v>
      </c>
      <c r="BN136" s="521">
        <v>0</v>
      </c>
      <c r="BO136" s="521">
        <v>0</v>
      </c>
      <c r="BP136" s="521">
        <v>1046.0847476306119</v>
      </c>
      <c r="BQ136" s="521">
        <v>1046.0847476306119</v>
      </c>
      <c r="BR136" s="521">
        <v>0</v>
      </c>
      <c r="BS136" s="522">
        <v>0</v>
      </c>
      <c r="BT136" s="580">
        <v>1.0117806564072955</v>
      </c>
      <c r="BU136" s="581">
        <v>1.0117806564072955</v>
      </c>
      <c r="BV136" s="581">
        <v>1.0117806564072955</v>
      </c>
      <c r="BW136" s="581">
        <v>1.0117806564072955</v>
      </c>
      <c r="BX136" s="576">
        <v>52.125999999999998</v>
      </c>
      <c r="BY136" s="576">
        <v>52.125999999999998</v>
      </c>
      <c r="BZ136" s="582">
        <v>70.730409384765494</v>
      </c>
      <c r="CA136" s="582">
        <v>70.730409384765494</v>
      </c>
      <c r="CB136" s="576">
        <v>1.8800598549668113</v>
      </c>
      <c r="CC136" s="576">
        <v>1.8800598549668113</v>
      </c>
      <c r="CD136" s="582">
        <v>0.17649541495606799</v>
      </c>
      <c r="CE136" s="582">
        <v>0.17649541495606799</v>
      </c>
      <c r="CF136" s="582">
        <v>741.15997774624157</v>
      </c>
      <c r="CG136" s="582">
        <v>741.15997774624157</v>
      </c>
      <c r="CH136" s="582">
        <v>496.87674097378846</v>
      </c>
      <c r="CI136" s="582">
        <v>496.87674097378846</v>
      </c>
      <c r="CJ136" s="582">
        <v>13.930437785366113</v>
      </c>
      <c r="CK136" s="582">
        <v>13.930437785366113</v>
      </c>
    </row>
    <row r="137" spans="1:89" ht="14.25" customHeight="1">
      <c r="A137" s="560">
        <v>45871</v>
      </c>
      <c r="B137" s="512">
        <v>0.66209516620163322</v>
      </c>
      <c r="C137" s="513">
        <v>0.38887501099624505</v>
      </c>
      <c r="D137" s="513">
        <v>0.66209516620163322</v>
      </c>
      <c r="E137" s="513">
        <v>0.38887501099624505</v>
      </c>
      <c r="F137" s="510">
        <v>44.24</v>
      </c>
      <c r="G137" s="510">
        <v>51.954000000000001</v>
      </c>
      <c r="H137" s="510">
        <v>2.8289783001808315</v>
      </c>
      <c r="I137" s="510">
        <v>3.0977595565307774</v>
      </c>
      <c r="J137" s="510">
        <v>1027.8358951175501</v>
      </c>
      <c r="K137" s="511">
        <v>1166.1754629094632</v>
      </c>
      <c r="L137" s="512">
        <v>1.0084006925939923</v>
      </c>
      <c r="M137" s="513">
        <v>1.0426799600844918</v>
      </c>
      <c r="N137" s="513">
        <v>1.0084006925939923</v>
      </c>
      <c r="O137" s="513">
        <v>1.0426799600844918</v>
      </c>
      <c r="P137" s="510">
        <v>68.052000000000007</v>
      </c>
      <c r="Q137" s="510">
        <v>148.221</v>
      </c>
      <c r="R137" s="510">
        <v>2.682110738846764</v>
      </c>
      <c r="S137" s="510">
        <v>2.4754994231586616</v>
      </c>
      <c r="T137" s="510">
        <v>0.26303415035561034</v>
      </c>
      <c r="U137" s="510">
        <v>0.25030191403377383</v>
      </c>
      <c r="V137" s="510">
        <v>531.02759654383976</v>
      </c>
      <c r="W137" s="510">
        <v>475.8395908811886</v>
      </c>
      <c r="X137" s="510">
        <v>461.57350261564682</v>
      </c>
      <c r="Y137" s="569">
        <v>424.8925590840704</v>
      </c>
      <c r="Z137" s="512">
        <v>0.95928273913585382</v>
      </c>
      <c r="AA137" s="513">
        <v>0.94749902076042258</v>
      </c>
      <c r="AB137" s="513">
        <v>0.95928273913585382</v>
      </c>
      <c r="AC137" s="513">
        <v>0.94749902076042258</v>
      </c>
      <c r="AD137" s="510">
        <v>45.750999999999998</v>
      </c>
      <c r="AE137" s="510">
        <v>90.378</v>
      </c>
      <c r="AF137" s="510">
        <v>88.306060210923548</v>
      </c>
      <c r="AG137" s="510">
        <v>90.371994410585302</v>
      </c>
      <c r="AH137" s="510">
        <v>1.3267469563506811</v>
      </c>
      <c r="AI137" s="510">
        <v>1.3299696828874283</v>
      </c>
      <c r="AJ137" s="510">
        <v>853.34659351708149</v>
      </c>
      <c r="AK137" s="510">
        <v>847.63415875545729</v>
      </c>
      <c r="AL137" s="576">
        <v>0</v>
      </c>
      <c r="AM137" s="576">
        <v>0</v>
      </c>
      <c r="AN137" s="512">
        <v>0.89586703221157027</v>
      </c>
      <c r="AO137" s="513">
        <v>0.89403729439484692</v>
      </c>
      <c r="AP137" s="513">
        <v>0.89586703221157027</v>
      </c>
      <c r="AQ137" s="513">
        <v>0.89403729439484692</v>
      </c>
      <c r="AR137" s="510">
        <v>45.779000000000003</v>
      </c>
      <c r="AS137" s="510">
        <v>91.371000000000009</v>
      </c>
      <c r="AT137" s="514">
        <v>118.40144868438162</v>
      </c>
      <c r="AU137" s="514">
        <v>118.75602816650914</v>
      </c>
      <c r="AV137" s="510">
        <v>1.5487450577775836</v>
      </c>
      <c r="AW137" s="510">
        <v>1.5683313086208972</v>
      </c>
      <c r="AX137" s="510">
        <v>0.24028484676379996</v>
      </c>
      <c r="AY137" s="510">
        <v>0.21560451346707377</v>
      </c>
      <c r="AZ137" s="510">
        <v>922.07038161602384</v>
      </c>
      <c r="BA137" s="510">
        <v>930.35514550568553</v>
      </c>
      <c r="BB137" s="510">
        <v>516.82577164202905</v>
      </c>
      <c r="BC137" s="510">
        <v>531.28749822153793</v>
      </c>
      <c r="BD137" s="510">
        <v>15.458529019856332</v>
      </c>
      <c r="BE137" s="510">
        <v>15.380569327248221</v>
      </c>
      <c r="BF137" s="512">
        <v>0.84293413971776543</v>
      </c>
      <c r="BG137" s="513">
        <v>0.84328743868217548</v>
      </c>
      <c r="BH137" s="513">
        <v>0.84293413971776543</v>
      </c>
      <c r="BI137" s="513">
        <v>0.84328743868217548</v>
      </c>
      <c r="BJ137" s="510">
        <v>45.332000000000001</v>
      </c>
      <c r="BK137" s="510">
        <v>90.701999999999998</v>
      </c>
      <c r="BL137" s="510">
        <v>2.8302303008912029</v>
      </c>
      <c r="BM137" s="510">
        <v>2.8191219598244803</v>
      </c>
      <c r="BN137" s="514">
        <v>0</v>
      </c>
      <c r="BO137" s="514">
        <v>0</v>
      </c>
      <c r="BP137" s="514">
        <v>1034.3912688608705</v>
      </c>
      <c r="BQ137" s="514">
        <v>1040.240457762804</v>
      </c>
      <c r="BR137" s="514">
        <v>0</v>
      </c>
      <c r="BS137" s="515">
        <v>0</v>
      </c>
      <c r="BT137" s="512">
        <v>0.81839596009862248</v>
      </c>
      <c r="BU137" s="513">
        <v>0.91508830825295895</v>
      </c>
      <c r="BV137" s="513">
        <v>0.81839596009862248</v>
      </c>
      <c r="BW137" s="513">
        <v>0.91508830825295895</v>
      </c>
      <c r="BX137" s="510">
        <v>42.162999999999997</v>
      </c>
      <c r="BY137" s="510">
        <v>94.288999999999987</v>
      </c>
      <c r="BZ137" s="514">
        <v>87.911427554199847</v>
      </c>
      <c r="CA137" s="514">
        <v>78.413206625990469</v>
      </c>
      <c r="CB137" s="510">
        <v>2.3077105519056995</v>
      </c>
      <c r="CC137" s="510">
        <v>2.0712914549947508</v>
      </c>
      <c r="CD137" s="514">
        <v>0.25140526053648937</v>
      </c>
      <c r="CE137" s="514">
        <v>0.20999268207320049</v>
      </c>
      <c r="CF137" s="514">
        <v>913.04852595881096</v>
      </c>
      <c r="CG137" s="514">
        <v>818.02299313813853</v>
      </c>
      <c r="CH137" s="514">
        <v>539.14410739274786</v>
      </c>
      <c r="CI137" s="514">
        <v>515.77734412285781</v>
      </c>
      <c r="CJ137" s="514">
        <v>16.126082109906857</v>
      </c>
      <c r="CK137" s="514">
        <v>14.912259118242817</v>
      </c>
    </row>
    <row r="138" spans="1:89" ht="12.75" customHeight="1">
      <c r="A138" s="560">
        <v>45872</v>
      </c>
      <c r="B138" s="512">
        <v>0.78055074259255575</v>
      </c>
      <c r="C138" s="513">
        <v>0.51856922936571559</v>
      </c>
      <c r="D138" s="513">
        <v>0.78055074259255575</v>
      </c>
      <c r="E138" s="513">
        <v>0.51856922936571559</v>
      </c>
      <c r="F138" s="510">
        <v>51.625</v>
      </c>
      <c r="G138" s="510">
        <v>103.57900000000001</v>
      </c>
      <c r="H138" s="510">
        <v>2.6112348668280871</v>
      </c>
      <c r="I138" s="510">
        <v>2.8552698906148928</v>
      </c>
      <c r="J138" s="510">
        <v>946.31476997574964</v>
      </c>
      <c r="K138" s="511">
        <v>1056.594290348394</v>
      </c>
      <c r="L138" s="512">
        <v>0.91110339907076565</v>
      </c>
      <c r="M138" s="513">
        <v>1.0044026983975332</v>
      </c>
      <c r="N138" s="513">
        <v>0.91110339907076565</v>
      </c>
      <c r="O138" s="513">
        <v>1.0044026983975332</v>
      </c>
      <c r="P138" s="510">
        <v>53.136000000000003</v>
      </c>
      <c r="Q138" s="510">
        <v>201.357</v>
      </c>
      <c r="R138" s="510">
        <v>2.894214844926227</v>
      </c>
      <c r="S138" s="510">
        <v>2.5859940305030369</v>
      </c>
      <c r="T138" s="510">
        <v>0.28605841613971694</v>
      </c>
      <c r="U138" s="510">
        <v>0.2597376798422702</v>
      </c>
      <c r="V138" s="510">
        <v>677.61875188195825</v>
      </c>
      <c r="W138" s="510">
        <v>529.08699474068635</v>
      </c>
      <c r="X138" s="510">
        <v>477.86811201445352</v>
      </c>
      <c r="Y138" s="569">
        <v>438.87225177172883</v>
      </c>
      <c r="Z138" s="512">
        <v>0.62858379568870104</v>
      </c>
      <c r="AA138" s="513">
        <v>0.8411939457365154</v>
      </c>
      <c r="AB138" s="513">
        <v>0.62858379568870104</v>
      </c>
      <c r="AC138" s="513">
        <v>0.8411939457365154</v>
      </c>
      <c r="AD138" s="510">
        <v>29.978999999999999</v>
      </c>
      <c r="AE138" s="510">
        <v>120.357</v>
      </c>
      <c r="AF138" s="510">
        <v>96.908808779457274</v>
      </c>
      <c r="AG138" s="510">
        <v>92.000210118557533</v>
      </c>
      <c r="AH138" s="510">
        <v>1.5777711064411755</v>
      </c>
      <c r="AI138" s="510">
        <v>1.3916930465199366</v>
      </c>
      <c r="AJ138" s="510">
        <v>969.79552353312772</v>
      </c>
      <c r="AK138" s="510">
        <v>878.06259710694314</v>
      </c>
      <c r="AL138" s="576">
        <v>0</v>
      </c>
      <c r="AM138" s="576">
        <v>0</v>
      </c>
      <c r="AN138" s="512">
        <v>0.98639502301544812</v>
      </c>
      <c r="AO138" s="513">
        <v>0.92482320393504736</v>
      </c>
      <c r="AP138" s="513">
        <v>0.98639502301544812</v>
      </c>
      <c r="AQ138" s="513">
        <v>0.92482320393504736</v>
      </c>
      <c r="AR138" s="510">
        <v>50.405000000000001</v>
      </c>
      <c r="AS138" s="510">
        <v>141.77600000000001</v>
      </c>
      <c r="AT138" s="514">
        <v>107.6514392733048</v>
      </c>
      <c r="AU138" s="514">
        <v>114.80806233899274</v>
      </c>
      <c r="AV138" s="510">
        <v>1.4145422081142742</v>
      </c>
      <c r="AW138" s="510">
        <v>1.5136553436406726</v>
      </c>
      <c r="AX138" s="510">
        <v>0.22418410871937308</v>
      </c>
      <c r="AY138" s="510">
        <v>0.21865477937027422</v>
      </c>
      <c r="AZ138" s="510">
        <v>861.88870151770629</v>
      </c>
      <c r="BA138" s="510">
        <v>906.01357070308086</v>
      </c>
      <c r="BB138" s="510">
        <v>523.57206626325365</v>
      </c>
      <c r="BC138" s="510">
        <v>528.54446450738817</v>
      </c>
      <c r="BD138" s="510">
        <v>13.930165658168717</v>
      </c>
      <c r="BE138" s="510">
        <v>14.86491366662899</v>
      </c>
      <c r="BF138" s="512">
        <v>0.99516880401383323</v>
      </c>
      <c r="BG138" s="513">
        <v>0.89391456045939488</v>
      </c>
      <c r="BH138" s="513">
        <v>0.99516880401383323</v>
      </c>
      <c r="BI138" s="513">
        <v>0.89391456045939488</v>
      </c>
      <c r="BJ138" s="510">
        <v>53.518999999999998</v>
      </c>
      <c r="BK138" s="510">
        <v>144.221</v>
      </c>
      <c r="BL138" s="510">
        <v>2.4122274332480051</v>
      </c>
      <c r="BM138" s="510">
        <v>2.6681273878284024</v>
      </c>
      <c r="BN138" s="514">
        <v>0</v>
      </c>
      <c r="BO138" s="514">
        <v>0</v>
      </c>
      <c r="BP138" s="514">
        <v>888.73699060143235</v>
      </c>
      <c r="BQ138" s="514">
        <v>984.01900555397549</v>
      </c>
      <c r="BR138" s="514">
        <v>0</v>
      </c>
      <c r="BS138" s="515">
        <v>0</v>
      </c>
      <c r="BT138" s="512">
        <v>0.97878316732521742</v>
      </c>
      <c r="BU138" s="513">
        <v>0.93631992794371177</v>
      </c>
      <c r="BV138" s="513">
        <v>0.97878316732521742</v>
      </c>
      <c r="BW138" s="513">
        <v>0.93631992794371177</v>
      </c>
      <c r="BX138" s="510">
        <v>50.426000000000002</v>
      </c>
      <c r="BY138" s="510">
        <v>144.71499999999997</v>
      </c>
      <c r="BZ138" s="514">
        <v>76.00444264922308</v>
      </c>
      <c r="CA138" s="514">
        <v>77.573871848721552</v>
      </c>
      <c r="CB138" s="510">
        <v>1.9672391226748105</v>
      </c>
      <c r="CC138" s="510">
        <v>2.0350343779152129</v>
      </c>
      <c r="CD138" s="514">
        <v>0.22805695474556775</v>
      </c>
      <c r="CE138" s="514">
        <v>0.2162871851570328</v>
      </c>
      <c r="CF138" s="514">
        <v>764.31949787804206</v>
      </c>
      <c r="CG138" s="514">
        <v>799.30998859828003</v>
      </c>
      <c r="CH138" s="514">
        <v>523.35402371790929</v>
      </c>
      <c r="CI138" s="514">
        <v>518.41744117748294</v>
      </c>
      <c r="CJ138" s="514">
        <v>13.924364415182529</v>
      </c>
      <c r="CK138" s="514">
        <v>14.56802681131874</v>
      </c>
    </row>
    <row r="139" spans="1:89" ht="12.75" customHeight="1">
      <c r="A139" s="560">
        <v>45873</v>
      </c>
      <c r="B139" s="512">
        <v>0.68443015671764551</v>
      </c>
      <c r="C139" s="513">
        <v>0.55881790984855062</v>
      </c>
      <c r="D139" s="513">
        <v>0.68443015671764551</v>
      </c>
      <c r="E139" s="513">
        <v>0.55881790984855062</v>
      </c>
      <c r="F139" s="510">
        <v>43.804000000000002</v>
      </c>
      <c r="G139" s="510">
        <v>147.38300000000001</v>
      </c>
      <c r="H139" s="510">
        <v>2.9611222719386356</v>
      </c>
      <c r="I139" s="510">
        <v>2.886730491304967</v>
      </c>
      <c r="J139" s="510">
        <v>1199.992238151799</v>
      </c>
      <c r="K139" s="511">
        <v>1099.2138849120843</v>
      </c>
      <c r="L139" s="512">
        <v>0.80052628435133444</v>
      </c>
      <c r="M139" s="513">
        <v>0.9613215669015448</v>
      </c>
      <c r="N139" s="513">
        <v>0.80052628435133444</v>
      </c>
      <c r="O139" s="513">
        <v>0.9613215669015448</v>
      </c>
      <c r="P139" s="510">
        <v>42.997999999999998</v>
      </c>
      <c r="Q139" s="510">
        <v>244.35499999999999</v>
      </c>
      <c r="R139" s="510">
        <v>3.4281594492767105</v>
      </c>
      <c r="S139" s="510">
        <v>2.7341859180290968</v>
      </c>
      <c r="T139" s="510">
        <v>0.23722033582957347</v>
      </c>
      <c r="U139" s="510">
        <v>0.25577540872910315</v>
      </c>
      <c r="V139" s="510">
        <v>879.37322666170667</v>
      </c>
      <c r="W139" s="510">
        <v>590.72521536289594</v>
      </c>
      <c r="X139" s="510">
        <v>389.64603004790922</v>
      </c>
      <c r="Y139" s="569">
        <v>430.21014507581185</v>
      </c>
      <c r="Z139" s="512">
        <v>0.92728637927658697</v>
      </c>
      <c r="AA139" s="513">
        <v>0.86271705412153321</v>
      </c>
      <c r="AB139" s="513">
        <v>0.92728637927658697</v>
      </c>
      <c r="AC139" s="513">
        <v>0.86271705412153321</v>
      </c>
      <c r="AD139" s="510">
        <v>44.225000000000001</v>
      </c>
      <c r="AE139" s="510">
        <v>164.58199999999999</v>
      </c>
      <c r="AF139" s="510">
        <v>96.428790299210732</v>
      </c>
      <c r="AG139" s="510">
        <v>93.19021849425711</v>
      </c>
      <c r="AH139" s="510">
        <v>1.3408705483323911</v>
      </c>
      <c r="AI139" s="510">
        <v>1.3780364802955367</v>
      </c>
      <c r="AJ139" s="510">
        <v>828.13928773317434</v>
      </c>
      <c r="AK139" s="510">
        <v>864.64765284174462</v>
      </c>
      <c r="AL139" s="576">
        <v>0</v>
      </c>
      <c r="AM139" s="576">
        <v>0</v>
      </c>
      <c r="AN139" s="512">
        <v>0.93655179072459693</v>
      </c>
      <c r="AO139" s="513">
        <v>0.92775535063243475</v>
      </c>
      <c r="AP139" s="513">
        <v>0.93655179072459693</v>
      </c>
      <c r="AQ139" s="513">
        <v>0.92775535063243475</v>
      </c>
      <c r="AR139" s="510">
        <v>47.857999999999997</v>
      </c>
      <c r="AS139" s="510">
        <v>189.63400000000001</v>
      </c>
      <c r="AT139" s="514">
        <v>112.83687736242176</v>
      </c>
      <c r="AU139" s="514">
        <v>114.31059368564611</v>
      </c>
      <c r="AV139" s="510">
        <v>1.4668393998913454</v>
      </c>
      <c r="AW139" s="510">
        <v>1.5018403872723245</v>
      </c>
      <c r="AX139" s="510">
        <v>0.17969827406076311</v>
      </c>
      <c r="AY139" s="510">
        <v>0.20882331227522491</v>
      </c>
      <c r="AZ139" s="510">
        <v>917.59914747795665</v>
      </c>
      <c r="BA139" s="510">
        <v>908.93742683274127</v>
      </c>
      <c r="BB139" s="510">
        <v>460.94696811402241</v>
      </c>
      <c r="BC139" s="510">
        <v>511.48486030986186</v>
      </c>
      <c r="BD139" s="510">
        <v>14.375861924861351</v>
      </c>
      <c r="BE139" s="510">
        <v>14.74149150468801</v>
      </c>
      <c r="BF139" s="512">
        <v>0.87419463115995699</v>
      </c>
      <c r="BG139" s="513">
        <v>0.88908076889404664</v>
      </c>
      <c r="BH139" s="513">
        <v>0.87419463115995699</v>
      </c>
      <c r="BI139" s="513">
        <v>0.88908076889404664</v>
      </c>
      <c r="BJ139" s="510">
        <v>45.798000000000002</v>
      </c>
      <c r="BK139" s="510">
        <v>190.01900000000001</v>
      </c>
      <c r="BL139" s="510">
        <v>2.8625704179221798</v>
      </c>
      <c r="BM139" s="510">
        <v>2.7149916587288638</v>
      </c>
      <c r="BN139" s="514">
        <v>0</v>
      </c>
      <c r="BO139" s="514">
        <v>0</v>
      </c>
      <c r="BP139" s="514">
        <v>1011.010415301939</v>
      </c>
      <c r="BQ139" s="514">
        <v>990.5244212420763</v>
      </c>
      <c r="BR139" s="514">
        <v>0</v>
      </c>
      <c r="BS139" s="515">
        <v>0</v>
      </c>
      <c r="BT139" s="512">
        <v>0.9445434198306375</v>
      </c>
      <c r="BU139" s="513">
        <v>0.93837580091544315</v>
      </c>
      <c r="BV139" s="513">
        <v>0.9445434198306375</v>
      </c>
      <c r="BW139" s="513">
        <v>0.93837580091544315</v>
      </c>
      <c r="BX139" s="510">
        <v>48.661999999999999</v>
      </c>
      <c r="BY139" s="510">
        <v>193.37699999999998</v>
      </c>
      <c r="BZ139" s="514">
        <v>79.349173322235558</v>
      </c>
      <c r="CA139" s="514">
        <v>78.020614327424497</v>
      </c>
      <c r="CB139" s="510">
        <v>2.022111709341992</v>
      </c>
      <c r="CC139" s="510">
        <v>2.0317824767164661</v>
      </c>
      <c r="CD139" s="514">
        <v>0.17467428383543629</v>
      </c>
      <c r="CE139" s="514">
        <v>0.20581558303210826</v>
      </c>
      <c r="CF139" s="514">
        <v>770.88929760387293</v>
      </c>
      <c r="CG139" s="514">
        <v>792.15811601172709</v>
      </c>
      <c r="CH139" s="514">
        <v>453.33114134233864</v>
      </c>
      <c r="CI139" s="514">
        <v>502.03891879592879</v>
      </c>
      <c r="CJ139" s="514">
        <v>14.138342032797963</v>
      </c>
      <c r="CK139" s="514">
        <v>14.459899574406499</v>
      </c>
    </row>
    <row r="140" spans="1:89" ht="12.75" customHeight="1">
      <c r="A140" s="560">
        <v>45874</v>
      </c>
      <c r="B140" s="512">
        <v>0.76602828634014486</v>
      </c>
      <c r="C140" s="513">
        <v>0.60434138834387341</v>
      </c>
      <c r="D140" s="513">
        <v>0.76602828634014486</v>
      </c>
      <c r="E140" s="513">
        <v>0.60434138834387341</v>
      </c>
      <c r="F140" s="510">
        <v>56.883000000000003</v>
      </c>
      <c r="G140" s="510">
        <v>204.26600000000002</v>
      </c>
      <c r="H140" s="510">
        <v>2.6590369706239119</v>
      </c>
      <c r="I140" s="510">
        <v>2.8233235095414795</v>
      </c>
      <c r="J140" s="510">
        <v>989.88977374615013</v>
      </c>
      <c r="K140" s="511">
        <v>1068.7698393271517</v>
      </c>
      <c r="L140" s="512">
        <v>4.5486570452663515E-2</v>
      </c>
      <c r="M140" s="513">
        <v>0.80530974396073562</v>
      </c>
      <c r="N140" s="513">
        <v>0.34593654160131782</v>
      </c>
      <c r="O140" s="513">
        <v>0.9451441546282926</v>
      </c>
      <c r="P140" s="510">
        <v>2.3740000000000001</v>
      </c>
      <c r="Q140" s="510">
        <v>246.72899999999998</v>
      </c>
      <c r="R140" s="510">
        <v>19.467986520640267</v>
      </c>
      <c r="S140" s="510">
        <v>2.895196754333702</v>
      </c>
      <c r="T140" s="510">
        <v>0</v>
      </c>
      <c r="U140" s="510">
        <v>0.25331436515367062</v>
      </c>
      <c r="V140" s="510">
        <v>4236.3732097726042</v>
      </c>
      <c r="W140" s="510">
        <v>625.80324971933021</v>
      </c>
      <c r="X140" s="510">
        <v>264.11120471777588</v>
      </c>
      <c r="Y140" s="569">
        <v>428.6119588698532</v>
      </c>
      <c r="Z140" s="512">
        <v>0.89698838452125262</v>
      </c>
      <c r="AA140" s="513">
        <v>0.86957132020147709</v>
      </c>
      <c r="AB140" s="513">
        <v>0.89698838452125262</v>
      </c>
      <c r="AC140" s="513">
        <v>0.86957132020147709</v>
      </c>
      <c r="AD140" s="510">
        <v>42.78</v>
      </c>
      <c r="AE140" s="510">
        <v>207.36199999999999</v>
      </c>
      <c r="AF140" s="510">
        <v>96.845417491214278</v>
      </c>
      <c r="AG140" s="510">
        <v>93.94430754186385</v>
      </c>
      <c r="AH140" s="510">
        <v>1.2973352033660588</v>
      </c>
      <c r="AI140" s="510">
        <v>1.3613873322981067</v>
      </c>
      <c r="AJ140" s="510">
        <v>848.47826086959935</v>
      </c>
      <c r="AK140" s="510">
        <v>861.31181219317648</v>
      </c>
      <c r="AL140" s="576">
        <v>0</v>
      </c>
      <c r="AM140" s="576">
        <v>0</v>
      </c>
      <c r="AN140" s="512">
        <v>0.93103322319180559</v>
      </c>
      <c r="AO140" s="513">
        <v>0.9284109251443089</v>
      </c>
      <c r="AP140" s="513">
        <v>0.93103322319180559</v>
      </c>
      <c r="AQ140" s="513">
        <v>0.9284109251443089</v>
      </c>
      <c r="AR140" s="510">
        <v>47.576000000000001</v>
      </c>
      <c r="AS140" s="510">
        <v>237.21</v>
      </c>
      <c r="AT140" s="514">
        <v>115.54346686285565</v>
      </c>
      <c r="AU140" s="514">
        <v>114.55786477151484</v>
      </c>
      <c r="AV140" s="510">
        <v>1.4797376828653104</v>
      </c>
      <c r="AW140" s="510">
        <v>1.4974073605665867</v>
      </c>
      <c r="AX140" s="510">
        <v>0.20808811165293425</v>
      </c>
      <c r="AY140" s="510">
        <v>0.20867585683571518</v>
      </c>
      <c r="AZ140" s="510">
        <v>852.27635782747552</v>
      </c>
      <c r="BA140" s="510">
        <v>897.57320517684752</v>
      </c>
      <c r="BB140" s="510">
        <v>537.45480914746088</v>
      </c>
      <c r="BC140" s="510">
        <v>516.69352050925318</v>
      </c>
      <c r="BD140" s="510">
        <v>3.9578779216409194</v>
      </c>
      <c r="BE140" s="510">
        <v>12.578677121537854</v>
      </c>
      <c r="BF140" s="512">
        <v>0.85371022049135314</v>
      </c>
      <c r="BG140" s="513">
        <v>0.88208327326384961</v>
      </c>
      <c r="BH140" s="513">
        <v>0.85371022049135314</v>
      </c>
      <c r="BI140" s="513">
        <v>0.88208327326384961</v>
      </c>
      <c r="BJ140" s="510">
        <v>44.999000000000002</v>
      </c>
      <c r="BK140" s="510">
        <v>235.018</v>
      </c>
      <c r="BL140" s="510">
        <v>2.7778395075446118</v>
      </c>
      <c r="BM140" s="510">
        <v>2.727025164029989</v>
      </c>
      <c r="BN140" s="514">
        <v>0</v>
      </c>
      <c r="BO140" s="514">
        <v>0</v>
      </c>
      <c r="BP140" s="514">
        <v>966.99593324302191</v>
      </c>
      <c r="BQ140" s="514">
        <v>986.0194112791396</v>
      </c>
      <c r="BR140" s="514">
        <v>0</v>
      </c>
      <c r="BS140" s="515">
        <v>0</v>
      </c>
      <c r="BT140" s="512">
        <v>0.82618231045110013</v>
      </c>
      <c r="BU140" s="513">
        <v>0.91567728382382885</v>
      </c>
      <c r="BV140" s="513">
        <v>0.82618231045110013</v>
      </c>
      <c r="BW140" s="513">
        <v>0.91567728382382885</v>
      </c>
      <c r="BX140" s="510">
        <v>43.182000000000002</v>
      </c>
      <c r="BY140" s="510">
        <v>236.55899999999997</v>
      </c>
      <c r="BZ140" s="514">
        <v>89.709996300741849</v>
      </c>
      <c r="CA140" s="514">
        <v>80.154419815153943</v>
      </c>
      <c r="CB140" s="510">
        <v>2.2578852299569263</v>
      </c>
      <c r="CC140" s="510">
        <v>2.0730557704420463</v>
      </c>
      <c r="CD140" s="514">
        <v>0.22926219258024177</v>
      </c>
      <c r="CE140" s="514">
        <v>0.21009557869284196</v>
      </c>
      <c r="CF140" s="514">
        <v>904.58640174148127</v>
      </c>
      <c r="CG140" s="514">
        <v>812.68102249333322</v>
      </c>
      <c r="CH140" s="514">
        <v>592.14371728960214</v>
      </c>
      <c r="CI140" s="514">
        <v>518.48684683313638</v>
      </c>
      <c r="CJ140" s="514">
        <v>4.3606132184703892</v>
      </c>
      <c r="CK140" s="514">
        <v>12.616353636936216</v>
      </c>
    </row>
    <row r="141" spans="1:89" ht="12.75" customHeight="1">
      <c r="A141" s="560">
        <v>45875</v>
      </c>
      <c r="B141" s="512">
        <v>0.9206027578524032</v>
      </c>
      <c r="C141" s="513">
        <v>0.66482752685688695</v>
      </c>
      <c r="D141" s="513">
        <v>0.9206027578524032</v>
      </c>
      <c r="E141" s="513">
        <v>0.66482752685688695</v>
      </c>
      <c r="F141" s="510">
        <v>73.584000000000003</v>
      </c>
      <c r="G141" s="510">
        <v>277.85000000000002</v>
      </c>
      <c r="H141" s="510">
        <v>2.2536964557512502</v>
      </c>
      <c r="I141" s="510">
        <v>2.6724671585387796</v>
      </c>
      <c r="J141" s="510">
        <v>776.10594694494284</v>
      </c>
      <c r="K141" s="511">
        <v>991.2626237178215</v>
      </c>
      <c r="L141" s="512">
        <v>0.60009356716637552</v>
      </c>
      <c r="M141" s="513">
        <v>0.77405446118790122</v>
      </c>
      <c r="N141" s="513">
        <v>0.67266853480307953</v>
      </c>
      <c r="O141" s="513">
        <v>0.90200280595936655</v>
      </c>
      <c r="P141" s="510">
        <v>33.033000000000001</v>
      </c>
      <c r="Q141" s="510">
        <v>279.762</v>
      </c>
      <c r="R141" s="510">
        <v>3.9973662700935422</v>
      </c>
      <c r="S141" s="510">
        <v>3.0253358211622734</v>
      </c>
      <c r="T141" s="510">
        <v>0</v>
      </c>
      <c r="U141" s="510">
        <v>0.22340417926666237</v>
      </c>
      <c r="V141" s="510">
        <v>1370.7223079950318</v>
      </c>
      <c r="W141" s="510">
        <v>713.75983872005668</v>
      </c>
      <c r="X141" s="510">
        <v>18.557200375382195</v>
      </c>
      <c r="Y141" s="569">
        <v>380.19459397630845</v>
      </c>
      <c r="Z141" s="512">
        <v>0.89021991201295658</v>
      </c>
      <c r="AA141" s="513">
        <v>0.87303250780941077</v>
      </c>
      <c r="AB141" s="513">
        <v>0.89021991201295658</v>
      </c>
      <c r="AC141" s="513">
        <v>0.87303250780941077</v>
      </c>
      <c r="AD141" s="510">
        <v>42.75</v>
      </c>
      <c r="AE141" s="510">
        <v>250.11199999999999</v>
      </c>
      <c r="AF141" s="510">
        <v>94.947024824009816</v>
      </c>
      <c r="AG141" s="510">
        <v>94.115695415343495</v>
      </c>
      <c r="AH141" s="510">
        <v>1.3543859649122807</v>
      </c>
      <c r="AI141" s="510">
        <v>1.3601906345957011</v>
      </c>
      <c r="AJ141" s="510">
        <v>914.59602339178741</v>
      </c>
      <c r="AK141" s="510">
        <v>870.41933213920311</v>
      </c>
      <c r="AL141" s="576">
        <v>0</v>
      </c>
      <c r="AM141" s="576">
        <v>0</v>
      </c>
      <c r="AN141" s="512">
        <v>0.94067469080857868</v>
      </c>
      <c r="AO141" s="513">
        <v>0.93052831822366144</v>
      </c>
      <c r="AP141" s="513">
        <v>0.94067469080857868</v>
      </c>
      <c r="AQ141" s="513">
        <v>0.93052831822366144</v>
      </c>
      <c r="AR141" s="510">
        <v>50.155999999999999</v>
      </c>
      <c r="AS141" s="510">
        <v>287.36599999999999</v>
      </c>
      <c r="AT141" s="514">
        <v>110.53195587433846</v>
      </c>
      <c r="AU141" s="514">
        <v>113.85519470391193</v>
      </c>
      <c r="AV141" s="510">
        <v>1.4335273945290694</v>
      </c>
      <c r="AW141" s="510">
        <v>1.4862579428324856</v>
      </c>
      <c r="AX141" s="510">
        <v>0.19339660259988833</v>
      </c>
      <c r="AY141" s="510">
        <v>0.20600906161480484</v>
      </c>
      <c r="AZ141" s="510">
        <v>881.0307839540626</v>
      </c>
      <c r="BA141" s="510">
        <v>894.68594057752136</v>
      </c>
      <c r="BB141" s="510">
        <v>459.88158944094425</v>
      </c>
      <c r="BC141" s="510">
        <v>506.77773640583769</v>
      </c>
      <c r="BD141" s="510">
        <v>4.1689927426429536</v>
      </c>
      <c r="BE141" s="510">
        <v>11.110876025695436</v>
      </c>
      <c r="BF141" s="512">
        <v>0.93469207338172033</v>
      </c>
      <c r="BG141" s="513">
        <v>0.89073683203161413</v>
      </c>
      <c r="BH141" s="513">
        <v>0.93469207338172033</v>
      </c>
      <c r="BI141" s="513">
        <v>0.89073683203161413</v>
      </c>
      <c r="BJ141" s="510">
        <v>49.027999999999999</v>
      </c>
      <c r="BK141" s="510">
        <v>284.04599999999999</v>
      </c>
      <c r="BL141" s="510">
        <v>2.5944358325854613</v>
      </c>
      <c r="BM141" s="510">
        <v>2.7041394703674757</v>
      </c>
      <c r="BN141" s="514">
        <v>0</v>
      </c>
      <c r="BO141" s="514">
        <v>0</v>
      </c>
      <c r="BP141" s="514">
        <v>967.11001876478372</v>
      </c>
      <c r="BQ141" s="514">
        <v>982.75553959570163</v>
      </c>
      <c r="BR141" s="514">
        <v>0</v>
      </c>
      <c r="BS141" s="515">
        <v>0</v>
      </c>
      <c r="BT141" s="512">
        <v>0.95001356444494822</v>
      </c>
      <c r="BU141" s="513">
        <v>0.92166585413409163</v>
      </c>
      <c r="BV141" s="513">
        <v>0.95001356444494822</v>
      </c>
      <c r="BW141" s="513">
        <v>0.92166585413409163</v>
      </c>
      <c r="BX141" s="510">
        <v>51.847999999999999</v>
      </c>
      <c r="BY141" s="510">
        <v>288.40699999999998</v>
      </c>
      <c r="BZ141" s="514">
        <v>71.751541234768155</v>
      </c>
      <c r="CA141" s="514">
        <v>78.643803052607112</v>
      </c>
      <c r="CB141" s="510">
        <v>1.8187779663632155</v>
      </c>
      <c r="CC141" s="510">
        <v>2.0273433030404946</v>
      </c>
      <c r="CD141" s="514">
        <v>0.17744175281592345</v>
      </c>
      <c r="CE141" s="514">
        <v>0.20422527885938965</v>
      </c>
      <c r="CF141" s="514">
        <v>739.63257984878885</v>
      </c>
      <c r="CG141" s="514">
        <v>799.54883203251097</v>
      </c>
      <c r="CH141" s="514">
        <v>427.42784678290383</v>
      </c>
      <c r="CI141" s="514">
        <v>502.11683142226059</v>
      </c>
      <c r="CJ141" s="514">
        <v>3.8747878413825028</v>
      </c>
      <c r="CK141" s="514">
        <v>11.044849812937946</v>
      </c>
    </row>
    <row r="142" spans="1:89" ht="12.75" customHeight="1">
      <c r="A142" s="560">
        <v>45876</v>
      </c>
      <c r="B142" s="512">
        <v>0.93472606491672794</v>
      </c>
      <c r="C142" s="513">
        <v>0.70548493838188719</v>
      </c>
      <c r="D142" s="513">
        <v>0.93472606491672794</v>
      </c>
      <c r="E142" s="513">
        <v>0.70548493838188719</v>
      </c>
      <c r="F142" s="510">
        <v>69.284000000000006</v>
      </c>
      <c r="G142" s="510">
        <v>347.13400000000001</v>
      </c>
      <c r="H142" s="510">
        <v>2.0695398649038741</v>
      </c>
      <c r="I142" s="510">
        <v>2.5521297251205586</v>
      </c>
      <c r="J142" s="510">
        <v>788.3398764505996</v>
      </c>
      <c r="K142" s="511">
        <v>950.76155029469896</v>
      </c>
      <c r="L142" s="512">
        <v>0.55646883810175429</v>
      </c>
      <c r="M142" s="513">
        <v>0.74460828309688887</v>
      </c>
      <c r="N142" s="513">
        <v>0.55646883810175429</v>
      </c>
      <c r="O142" s="513">
        <v>0.84870395475009042</v>
      </c>
      <c r="P142" s="510">
        <v>31.478000000000002</v>
      </c>
      <c r="Q142" s="510">
        <v>311.24</v>
      </c>
      <c r="R142" s="510">
        <v>3.4532689497426774</v>
      </c>
      <c r="S142" s="510">
        <v>3.0686158591440686</v>
      </c>
      <c r="T142" s="510">
        <v>0</v>
      </c>
      <c r="U142" s="510">
        <v>0.20080966456753629</v>
      </c>
      <c r="V142" s="510">
        <v>1113.3779147341004</v>
      </c>
      <c r="W142" s="510">
        <v>754.17616630253349</v>
      </c>
      <c r="X142" s="510">
        <v>15.058135840904759</v>
      </c>
      <c r="Y142" s="569">
        <v>343.26564708906312</v>
      </c>
      <c r="Z142" s="512">
        <v>0.92251305166472508</v>
      </c>
      <c r="AA142" s="513">
        <v>0.88077142129555108</v>
      </c>
      <c r="AB142" s="513">
        <v>0.92251305166472508</v>
      </c>
      <c r="AC142" s="513">
        <v>0.88077142129555108</v>
      </c>
      <c r="AD142" s="510">
        <v>48.999000000000002</v>
      </c>
      <c r="AE142" s="510">
        <v>299.11099999999999</v>
      </c>
      <c r="AF142" s="510">
        <v>95.878766798322388</v>
      </c>
      <c r="AG142" s="510">
        <v>94.404513729262348</v>
      </c>
      <c r="AH142" s="510">
        <v>1.2592093716198289</v>
      </c>
      <c r="AI142" s="510">
        <v>1.3436483445944816</v>
      </c>
      <c r="AJ142" s="510">
        <v>729.79734280290688</v>
      </c>
      <c r="AK142" s="510">
        <v>847.38327911711701</v>
      </c>
      <c r="AL142" s="576">
        <v>0</v>
      </c>
      <c r="AM142" s="576">
        <v>0</v>
      </c>
      <c r="AN142" s="512">
        <v>0.94103815675437796</v>
      </c>
      <c r="AO142" s="513">
        <v>0.93211222386370551</v>
      </c>
      <c r="AP142" s="513">
        <v>0.97564619473491199</v>
      </c>
      <c r="AQ142" s="513">
        <v>0.93712195012047306</v>
      </c>
      <c r="AR142" s="510">
        <v>51.569000000000003</v>
      </c>
      <c r="AS142" s="510">
        <v>338.935</v>
      </c>
      <c r="AT142" s="514">
        <v>98.312336655470844</v>
      </c>
      <c r="AU142" s="514">
        <v>111.49034702898884</v>
      </c>
      <c r="AV142" s="510">
        <v>1.2546297194050688</v>
      </c>
      <c r="AW142" s="510">
        <v>1.4510156814728488</v>
      </c>
      <c r="AX142" s="510">
        <v>0.12604471678721713</v>
      </c>
      <c r="AY142" s="510">
        <v>0.193842477171139</v>
      </c>
      <c r="AZ142" s="510">
        <v>759.1642265702277</v>
      </c>
      <c r="BA142" s="510">
        <v>874.06629589744375</v>
      </c>
      <c r="BB142" s="510">
        <v>338.61273245554497</v>
      </c>
      <c r="BC142" s="510">
        <v>481.19141133255636</v>
      </c>
      <c r="BD142" s="510">
        <v>4.1265101126645858</v>
      </c>
      <c r="BE142" s="510">
        <v>10.048203932907473</v>
      </c>
      <c r="BF142" s="512">
        <v>0.86945414130564502</v>
      </c>
      <c r="BG142" s="513">
        <v>0.88777858211495908</v>
      </c>
      <c r="BH142" s="513">
        <v>0.86945414130564502</v>
      </c>
      <c r="BI142" s="513">
        <v>0.88777858211495908</v>
      </c>
      <c r="BJ142" s="510">
        <v>44.76</v>
      </c>
      <c r="BK142" s="510">
        <v>328.80599999999998</v>
      </c>
      <c r="BL142" s="510">
        <v>2.8686327077747991</v>
      </c>
      <c r="BM142" s="510">
        <v>2.7265317542867225</v>
      </c>
      <c r="BN142" s="514">
        <v>0</v>
      </c>
      <c r="BO142" s="514">
        <v>0</v>
      </c>
      <c r="BP142" s="514">
        <v>1024.3151251117104</v>
      </c>
      <c r="BQ142" s="514">
        <v>988.41300037104202</v>
      </c>
      <c r="BR142" s="514">
        <v>0</v>
      </c>
      <c r="BS142" s="515">
        <v>0</v>
      </c>
      <c r="BT142" s="512">
        <v>0.67586398934832559</v>
      </c>
      <c r="BU142" s="513">
        <v>0.88630096453000706</v>
      </c>
      <c r="BV142" s="513">
        <v>0.75153988004755889</v>
      </c>
      <c r="BW142" s="513">
        <v>0.89932998350148097</v>
      </c>
      <c r="BX142" s="510">
        <v>35.542000000000002</v>
      </c>
      <c r="BY142" s="510">
        <v>323.94899999999996</v>
      </c>
      <c r="BZ142" s="514">
        <v>99.014332808030673</v>
      </c>
      <c r="CA142" s="514">
        <v>80.878751666639758</v>
      </c>
      <c r="CB142" s="510">
        <v>2.4421810815373357</v>
      </c>
      <c r="CC142" s="510">
        <v>2.0728571472670079</v>
      </c>
      <c r="CD142" s="514">
        <v>0.14630577907827358</v>
      </c>
      <c r="CE142" s="514">
        <v>0.19787065247924829</v>
      </c>
      <c r="CF142" s="514">
        <v>955.22719599347329</v>
      </c>
      <c r="CG142" s="514">
        <v>816.62905272126306</v>
      </c>
      <c r="CH142" s="514">
        <v>386.0244218108154</v>
      </c>
      <c r="CI142" s="514">
        <v>489.37977582891119</v>
      </c>
      <c r="CJ142" s="514">
        <v>4.7042935119014118</v>
      </c>
      <c r="CK142" s="514">
        <v>10.34919694149386</v>
      </c>
    </row>
    <row r="143" spans="1:89" ht="12.75" customHeight="1">
      <c r="A143" s="560">
        <v>45877</v>
      </c>
      <c r="B143" s="512">
        <v>0.97140590076192956</v>
      </c>
      <c r="C143" s="513">
        <v>0.73948208913798441</v>
      </c>
      <c r="D143" s="513">
        <v>0.97140590076192956</v>
      </c>
      <c r="E143" s="513">
        <v>0.73948208913798441</v>
      </c>
      <c r="F143" s="510">
        <v>70.066000000000003</v>
      </c>
      <c r="G143" s="510">
        <v>417.20000000000005</v>
      </c>
      <c r="H143" s="510">
        <v>2.1457768389803897</v>
      </c>
      <c r="I143" s="510">
        <v>2.4838854266538828</v>
      </c>
      <c r="J143" s="510">
        <v>827.7986469899173</v>
      </c>
      <c r="K143" s="511">
        <v>930.11073825502285</v>
      </c>
      <c r="L143" s="512">
        <v>0.86040660712842121</v>
      </c>
      <c r="M143" s="513">
        <v>0.76319655153210064</v>
      </c>
      <c r="N143" s="513">
        <v>0.86040660712842121</v>
      </c>
      <c r="O143" s="513">
        <v>0.85079812067636107</v>
      </c>
      <c r="P143" s="510">
        <v>68.77</v>
      </c>
      <c r="Q143" s="510">
        <v>380.01</v>
      </c>
      <c r="R143" s="510">
        <v>2.1362803548058746</v>
      </c>
      <c r="S143" s="510">
        <v>2.899892108102418</v>
      </c>
      <c r="T143" s="510">
        <v>0</v>
      </c>
      <c r="U143" s="510">
        <v>0.16446935606957713</v>
      </c>
      <c r="V143" s="510">
        <v>636.78653482622281</v>
      </c>
      <c r="W143" s="510">
        <v>732.93229125549283</v>
      </c>
      <c r="X143" s="510">
        <v>7.5468954485967723</v>
      </c>
      <c r="Y143" s="569">
        <v>282.51098655298546</v>
      </c>
      <c r="Z143" s="512">
        <v>0.82670870787697237</v>
      </c>
      <c r="AA143" s="513">
        <v>0.87347982399293889</v>
      </c>
      <c r="AB143" s="513">
        <v>0.82670870787697237</v>
      </c>
      <c r="AC143" s="513">
        <v>0.87347982399293889</v>
      </c>
      <c r="AD143" s="510">
        <v>43.768999999999998</v>
      </c>
      <c r="AE143" s="510">
        <v>342.88</v>
      </c>
      <c r="AF143" s="510">
        <v>103.36941168375184</v>
      </c>
      <c r="AG143" s="510">
        <v>95.548892574835293</v>
      </c>
      <c r="AH143" s="510">
        <v>1.3000068541661907</v>
      </c>
      <c r="AI143" s="510">
        <v>1.3380774615025663</v>
      </c>
      <c r="AJ143" s="510">
        <v>811.08867006332014</v>
      </c>
      <c r="AK143" s="510">
        <v>842.75023331778289</v>
      </c>
      <c r="AL143" s="576">
        <v>0</v>
      </c>
      <c r="AM143" s="576">
        <v>0</v>
      </c>
      <c r="AN143" s="512">
        <v>7.1476656962109725E-2</v>
      </c>
      <c r="AO143" s="513">
        <v>0.82278522658447395</v>
      </c>
      <c r="AP143" s="513">
        <v>0.10140530642900294</v>
      </c>
      <c r="AQ143" s="513">
        <v>0.85899928527009528</v>
      </c>
      <c r="AR143" s="510">
        <v>3.782</v>
      </c>
      <c r="AS143" s="510">
        <v>342.71699999999998</v>
      </c>
      <c r="AT143" s="514">
        <v>467.83210917506204</v>
      </c>
      <c r="AU143" s="514">
        <v>115.42270096660049</v>
      </c>
      <c r="AV143" s="510">
        <v>7.2448439978847166</v>
      </c>
      <c r="AW143" s="510">
        <v>1.5149525701964013</v>
      </c>
      <c r="AX143" s="510">
        <v>0</v>
      </c>
      <c r="AY143" s="510">
        <v>0.19170335874788821</v>
      </c>
      <c r="AZ143" s="510">
        <v>5105.9069275515394</v>
      </c>
      <c r="BA143" s="510">
        <v>920.76611314874958</v>
      </c>
      <c r="BB143" s="510">
        <v>220.12162876784768</v>
      </c>
      <c r="BC143" s="510">
        <v>478.31041646606377</v>
      </c>
      <c r="BD143" s="510">
        <v>1.3220518244315178</v>
      </c>
      <c r="BE143" s="510">
        <v>9.9519078423305363</v>
      </c>
      <c r="BF143" s="512">
        <v>0.97512506464574145</v>
      </c>
      <c r="BG143" s="513">
        <v>0.89843793434374419</v>
      </c>
      <c r="BH143" s="513">
        <v>0.97512506464574145</v>
      </c>
      <c r="BI143" s="513">
        <v>0.89843793434374419</v>
      </c>
      <c r="BJ143" s="510">
        <v>50.2</v>
      </c>
      <c r="BK143" s="510">
        <v>379.00599999999997</v>
      </c>
      <c r="BL143" s="510">
        <v>2.5796812749003983</v>
      </c>
      <c r="BM143" s="510">
        <v>2.7070811543880575</v>
      </c>
      <c r="BN143" s="514">
        <v>0</v>
      </c>
      <c r="BO143" s="514">
        <v>0</v>
      </c>
      <c r="BP143" s="514">
        <v>889.82689243027244</v>
      </c>
      <c r="BQ143" s="514">
        <v>975.35509991926381</v>
      </c>
      <c r="BR143" s="514">
        <v>0</v>
      </c>
      <c r="BS143" s="515">
        <v>0</v>
      </c>
      <c r="BT143" s="512">
        <v>0.19411750269506906</v>
      </c>
      <c r="BU143" s="513">
        <v>0.79796021752469548</v>
      </c>
      <c r="BV143" s="513">
        <v>0.2529676053220809</v>
      </c>
      <c r="BW143" s="513">
        <v>0.83323028036386604</v>
      </c>
      <c r="BX143" s="510">
        <v>10.38</v>
      </c>
      <c r="BY143" s="510">
        <v>334.32899999999995</v>
      </c>
      <c r="BZ143" s="514">
        <v>88.466587968572412</v>
      </c>
      <c r="CA143" s="514">
        <v>81.114333207020834</v>
      </c>
      <c r="CB143" s="510">
        <v>2.3709055876685934</v>
      </c>
      <c r="CC143" s="510">
        <v>2.0821107352338566</v>
      </c>
      <c r="CD143" s="514">
        <v>0</v>
      </c>
      <c r="CE143" s="514">
        <v>0.19172731052346642</v>
      </c>
      <c r="CF143" s="514">
        <v>1500.3188824662782</v>
      </c>
      <c r="CG143" s="514">
        <v>837.85574987512416</v>
      </c>
      <c r="CH143" s="514">
        <v>80.202312138728317</v>
      </c>
      <c r="CI143" s="514">
        <v>476.67593597922985</v>
      </c>
      <c r="CJ143" s="514">
        <v>0.48169556840077071</v>
      </c>
      <c r="CK143" s="514">
        <v>10.04283804276624</v>
      </c>
    </row>
    <row r="144" spans="1:89" ht="12.75" customHeight="1">
      <c r="A144" s="560">
        <v>45878</v>
      </c>
      <c r="B144" s="512">
        <v>0.98913092366095912</v>
      </c>
      <c r="C144" s="513">
        <v>0.76885769299811146</v>
      </c>
      <c r="D144" s="513">
        <v>0.98913092366095912</v>
      </c>
      <c r="E144" s="513">
        <v>0.76885769299811146</v>
      </c>
      <c r="F144" s="510">
        <v>74.421000000000006</v>
      </c>
      <c r="G144" s="510">
        <v>491.62100000000004</v>
      </c>
      <c r="H144" s="510">
        <v>2.135297832601013</v>
      </c>
      <c r="I144" s="510">
        <v>2.4311166528687749</v>
      </c>
      <c r="J144" s="510">
        <v>777.38030932133586</v>
      </c>
      <c r="K144" s="511">
        <v>906.9905882783662</v>
      </c>
      <c r="L144" s="512">
        <v>0.83020675659207965</v>
      </c>
      <c r="M144" s="513">
        <v>0.77264687086455175</v>
      </c>
      <c r="N144" s="513">
        <v>0.83020675659207965</v>
      </c>
      <c r="O144" s="513">
        <v>0.84761240576078301</v>
      </c>
      <c r="P144" s="510">
        <v>67.869</v>
      </c>
      <c r="Q144" s="510">
        <v>447.87900000000002</v>
      </c>
      <c r="R144" s="510">
        <v>2.3344531376622615</v>
      </c>
      <c r="S144" s="510">
        <v>2.8142087483449765</v>
      </c>
      <c r="T144" s="510">
        <v>0</v>
      </c>
      <c r="U144" s="510">
        <v>0.13954661861797493</v>
      </c>
      <c r="V144" s="510">
        <v>667.80754099810235</v>
      </c>
      <c r="W144" s="510">
        <v>723.0636622837867</v>
      </c>
      <c r="X144" s="510">
        <v>6.6451546361372644</v>
      </c>
      <c r="Y144" s="569">
        <v>240.70786975946629</v>
      </c>
      <c r="Z144" s="512">
        <v>0.95697160394552683</v>
      </c>
      <c r="AA144" s="513">
        <v>0.88236428051111226</v>
      </c>
      <c r="AB144" s="513">
        <v>0.95697160394552683</v>
      </c>
      <c r="AC144" s="513">
        <v>0.88236428051111226</v>
      </c>
      <c r="AD144" s="510">
        <v>44.734000000000002</v>
      </c>
      <c r="AE144" s="510">
        <v>387.61399999999998</v>
      </c>
      <c r="AF144" s="510">
        <v>93.762406534006487</v>
      </c>
      <c r="AG144" s="510">
        <v>95.342716671616031</v>
      </c>
      <c r="AH144" s="510">
        <v>1.2093709482720079</v>
      </c>
      <c r="AI144" s="510">
        <v>1.3232236193739133</v>
      </c>
      <c r="AJ144" s="510">
        <v>869.8846514954904</v>
      </c>
      <c r="AK144" s="510">
        <v>845.88177929589926</v>
      </c>
      <c r="AL144" s="576">
        <v>0</v>
      </c>
      <c r="AM144" s="576">
        <v>0</v>
      </c>
      <c r="AN144" s="512">
        <v>0.79384984370732836</v>
      </c>
      <c r="AO144" s="513">
        <v>0.81951946950487498</v>
      </c>
      <c r="AP144" s="513">
        <v>0.79384984370732836</v>
      </c>
      <c r="AQ144" s="513">
        <v>0.85136058262855852</v>
      </c>
      <c r="AR144" s="510">
        <v>42.067999999999998</v>
      </c>
      <c r="AS144" s="510">
        <v>384.78499999999997</v>
      </c>
      <c r="AT144" s="514">
        <v>123.12678448599827</v>
      </c>
      <c r="AU144" s="514">
        <v>116.26497752492273</v>
      </c>
      <c r="AV144" s="510">
        <v>1.5902823999239328</v>
      </c>
      <c r="AW144" s="510">
        <v>1.5231882739711788</v>
      </c>
      <c r="AX144" s="510">
        <v>0</v>
      </c>
      <c r="AY144" s="510">
        <v>0.17074470158660032</v>
      </c>
      <c r="AZ144" s="510">
        <v>1056.9416183322244</v>
      </c>
      <c r="BA144" s="510">
        <v>935.65398859103163</v>
      </c>
      <c r="BB144" s="510">
        <v>21.52467433678752</v>
      </c>
      <c r="BC144" s="510">
        <v>428.37067713138498</v>
      </c>
      <c r="BD144" s="510">
        <v>0</v>
      </c>
      <c r="BE144" s="510">
        <v>8.8638798289953993</v>
      </c>
      <c r="BF144" s="512">
        <v>0.94919295386283176</v>
      </c>
      <c r="BG144" s="513">
        <v>0.90395817333522943</v>
      </c>
      <c r="BH144" s="513">
        <v>0.94919295386283176</v>
      </c>
      <c r="BI144" s="513">
        <v>0.90395817333522943</v>
      </c>
      <c r="BJ144" s="510">
        <v>48.865000000000002</v>
      </c>
      <c r="BK144" s="510">
        <v>427.87099999999998</v>
      </c>
      <c r="BL144" s="510">
        <v>2.6419727821549164</v>
      </c>
      <c r="BM144" s="510">
        <v>2.6996454538868022</v>
      </c>
      <c r="BN144" s="514">
        <v>0</v>
      </c>
      <c r="BO144" s="514">
        <v>0</v>
      </c>
      <c r="BP144" s="514">
        <v>989.64760053207351</v>
      </c>
      <c r="BQ144" s="514">
        <v>976.9873746993843</v>
      </c>
      <c r="BR144" s="514">
        <v>0</v>
      </c>
      <c r="BS144" s="515">
        <v>0</v>
      </c>
      <c r="BT144" s="512">
        <v>0.85309948576023609</v>
      </c>
      <c r="BU144" s="513">
        <v>0.80414306262289459</v>
      </c>
      <c r="BV144" s="513">
        <v>0.85309948576023609</v>
      </c>
      <c r="BW144" s="513">
        <v>0.83554524584720913</v>
      </c>
      <c r="BX144" s="510">
        <v>45.140999999999998</v>
      </c>
      <c r="BY144" s="510">
        <v>379.46999999999997</v>
      </c>
      <c r="BZ144" s="514">
        <v>89.806050737705803</v>
      </c>
      <c r="CA144" s="514">
        <v>82.148282718319862</v>
      </c>
      <c r="CB144" s="510">
        <v>2.0557807757914093</v>
      </c>
      <c r="CC144" s="510">
        <v>2.0789785753814529</v>
      </c>
      <c r="CD144" s="514">
        <v>0</v>
      </c>
      <c r="CE144" s="514">
        <v>0.16891980920757899</v>
      </c>
      <c r="CF144" s="514">
        <v>912.80941937484965</v>
      </c>
      <c r="CG144" s="514">
        <v>846.77209002029258</v>
      </c>
      <c r="CH144" s="514">
        <v>20.059369531024505</v>
      </c>
      <c r="CI144" s="514">
        <v>422.35773315413581</v>
      </c>
      <c r="CJ144" s="514">
        <v>0</v>
      </c>
      <c r="CK144" s="514">
        <v>8.8481619100323989</v>
      </c>
    </row>
    <row r="145" spans="1:89" ht="12.75" customHeight="1">
      <c r="A145" s="560">
        <v>45879</v>
      </c>
      <c r="B145" s="512">
        <v>1.019358954407974</v>
      </c>
      <c r="C145" s="513">
        <v>0.79677449600583394</v>
      </c>
      <c r="D145" s="513">
        <v>1.019358954407974</v>
      </c>
      <c r="E145" s="513">
        <v>0.79677449600583394</v>
      </c>
      <c r="F145" s="510">
        <v>81.748999999999995</v>
      </c>
      <c r="G145" s="510">
        <v>573.37</v>
      </c>
      <c r="H145" s="510">
        <v>2.1023988061016037</v>
      </c>
      <c r="I145" s="510">
        <v>2.3842492631285208</v>
      </c>
      <c r="J145" s="510">
        <v>675.02403699128172</v>
      </c>
      <c r="K145" s="511">
        <v>873.91764480178415</v>
      </c>
      <c r="L145" s="512">
        <v>0.9720304898436728</v>
      </c>
      <c r="M145" s="513">
        <v>0.79608712975948037</v>
      </c>
      <c r="N145" s="513">
        <v>0.9720304898436728</v>
      </c>
      <c r="O145" s="513">
        <v>0.86347765650278663</v>
      </c>
      <c r="P145" s="510">
        <v>75.066999999999993</v>
      </c>
      <c r="Q145" s="510">
        <v>522.94600000000003</v>
      </c>
      <c r="R145" s="510">
        <v>2.0930368870475711</v>
      </c>
      <c r="S145" s="510">
        <v>2.710687145517892</v>
      </c>
      <c r="T145" s="510">
        <v>0</v>
      </c>
      <c r="U145" s="510">
        <v>0.11951520807119664</v>
      </c>
      <c r="V145" s="510">
        <v>604.44416321419283</v>
      </c>
      <c r="W145" s="510">
        <v>706.03626378249362</v>
      </c>
      <c r="X145" s="510">
        <v>6.0612519482595548</v>
      </c>
      <c r="Y145" s="569">
        <v>207.02519954259142</v>
      </c>
      <c r="Z145" s="512">
        <v>0.91104547274797243</v>
      </c>
      <c r="AA145" s="513">
        <v>0.88490805469823708</v>
      </c>
      <c r="AB145" s="513">
        <v>0.91104547274797243</v>
      </c>
      <c r="AC145" s="513">
        <v>0.88490805469823708</v>
      </c>
      <c r="AD145" s="510">
        <v>38.950000000000003</v>
      </c>
      <c r="AE145" s="510">
        <v>426.56399999999996</v>
      </c>
      <c r="AF145" s="510">
        <v>101.64431912093821</v>
      </c>
      <c r="AG145" s="510">
        <v>95.918122508491848</v>
      </c>
      <c r="AH145" s="510">
        <v>1.3247753530166879</v>
      </c>
      <c r="AI145" s="510">
        <v>1.3233653097776654</v>
      </c>
      <c r="AJ145" s="510">
        <v>942.29884467267595</v>
      </c>
      <c r="AK145" s="510">
        <v>854.68572125167964</v>
      </c>
      <c r="AL145" s="576">
        <v>0</v>
      </c>
      <c r="AM145" s="576">
        <v>0</v>
      </c>
      <c r="AN145" s="512">
        <v>0.92215643375897138</v>
      </c>
      <c r="AO145" s="513">
        <v>0.82993452836093051</v>
      </c>
      <c r="AP145" s="513">
        <v>0.92215643375897138</v>
      </c>
      <c r="AQ145" s="513">
        <v>0.85879438654606699</v>
      </c>
      <c r="AR145" s="510">
        <v>48.898000000000003</v>
      </c>
      <c r="AS145" s="510">
        <v>433.68299999999999</v>
      </c>
      <c r="AT145" s="514">
        <v>101.90029773069767</v>
      </c>
      <c r="AU145" s="514">
        <v>114.64535187075131</v>
      </c>
      <c r="AV145" s="510">
        <v>1.3988302180048264</v>
      </c>
      <c r="AW145" s="510">
        <v>1.5091668338394635</v>
      </c>
      <c r="AX145" s="510">
        <v>0</v>
      </c>
      <c r="AY145" s="510">
        <v>0.15149314130367111</v>
      </c>
      <c r="AZ145" s="510">
        <v>883.72816884126223</v>
      </c>
      <c r="BA145" s="510">
        <v>929.79932346898568</v>
      </c>
      <c r="BB145" s="510">
        <v>13.364554787516871</v>
      </c>
      <c r="BC145" s="510">
        <v>381.57850549825548</v>
      </c>
      <c r="BD145" s="510">
        <v>0.10225367090678555</v>
      </c>
      <c r="BE145" s="510">
        <v>7.8760015956355103</v>
      </c>
      <c r="BF145" s="512">
        <v>0.99338437860524331</v>
      </c>
      <c r="BG145" s="513">
        <v>0.9127303058541647</v>
      </c>
      <c r="BH145" s="513">
        <v>0.99338437860524331</v>
      </c>
      <c r="BI145" s="513">
        <v>0.9127303058541647</v>
      </c>
      <c r="BJ145" s="510">
        <v>51.14</v>
      </c>
      <c r="BK145" s="510">
        <v>479.01099999999997</v>
      </c>
      <c r="BL145" s="510">
        <v>2.5048885412592883</v>
      </c>
      <c r="BM145" s="510">
        <v>2.6788528864681602</v>
      </c>
      <c r="BN145" s="514">
        <v>0</v>
      </c>
      <c r="BO145" s="514">
        <v>0</v>
      </c>
      <c r="BP145" s="514">
        <v>899.25322643724212</v>
      </c>
      <c r="BQ145" s="514">
        <v>968.68834953686019</v>
      </c>
      <c r="BR145" s="514">
        <v>0</v>
      </c>
      <c r="BS145" s="515">
        <v>0</v>
      </c>
      <c r="BT145" s="512">
        <v>0.83168638527585681</v>
      </c>
      <c r="BU145" s="513">
        <v>0.80695379918509147</v>
      </c>
      <c r="BV145" s="513">
        <v>0.83168638527585681</v>
      </c>
      <c r="BW145" s="513">
        <v>0.83513770389558262</v>
      </c>
      <c r="BX145" s="510">
        <v>44.601999999999997</v>
      </c>
      <c r="BY145" s="510">
        <v>424.07199999999995</v>
      </c>
      <c r="BZ145" s="514">
        <v>91.929353208461563</v>
      </c>
      <c r="CA145" s="514">
        <v>83.177012052020984</v>
      </c>
      <c r="CB145" s="510">
        <v>2.1770324200708489</v>
      </c>
      <c r="CC145" s="510">
        <v>2.0892914410760435</v>
      </c>
      <c r="CD145" s="514">
        <v>0</v>
      </c>
      <c r="CE145" s="514">
        <v>0.15115357769435381</v>
      </c>
      <c r="CF145" s="514">
        <v>915.62732612887282</v>
      </c>
      <c r="CG145" s="514">
        <v>854.01397640023492</v>
      </c>
      <c r="CH145" s="514">
        <v>14.65180933590422</v>
      </c>
      <c r="CI145" s="514">
        <v>379.47704399252933</v>
      </c>
      <c r="CJ145" s="514">
        <v>0.11210259629613022</v>
      </c>
      <c r="CK145" s="514">
        <v>7.9293421871757497</v>
      </c>
    </row>
    <row r="146" spans="1:89" ht="12.75" customHeight="1">
      <c r="A146" s="560">
        <v>45880</v>
      </c>
      <c r="B146" s="512">
        <v>0.72974618419024206</v>
      </c>
      <c r="C146" s="513">
        <v>0.78979691494059368</v>
      </c>
      <c r="D146" s="513">
        <v>0.72974618419024206</v>
      </c>
      <c r="E146" s="513">
        <v>0.78979691494059368</v>
      </c>
      <c r="F146" s="510">
        <v>61.018000000000001</v>
      </c>
      <c r="G146" s="510">
        <v>634.38800000000003</v>
      </c>
      <c r="H146" s="510">
        <v>2.8267232619882656</v>
      </c>
      <c r="I146" s="510">
        <v>2.4268081993984754</v>
      </c>
      <c r="J146" s="510">
        <v>914.61896489558046</v>
      </c>
      <c r="K146" s="511">
        <v>877.83246215249585</v>
      </c>
      <c r="L146" s="512">
        <v>0.86127935191573768</v>
      </c>
      <c r="M146" s="513">
        <v>0.80110245220455134</v>
      </c>
      <c r="N146" s="513">
        <v>0.86127935191573768</v>
      </c>
      <c r="O146" s="513">
        <v>0.86329540869569776</v>
      </c>
      <c r="P146" s="510">
        <v>47.152999999999999</v>
      </c>
      <c r="Q146" s="510">
        <v>570.09900000000005</v>
      </c>
      <c r="R146" s="510">
        <v>2.8393527453184317</v>
      </c>
      <c r="S146" s="510">
        <v>2.7213291024892161</v>
      </c>
      <c r="T146" s="510">
        <v>0</v>
      </c>
      <c r="U146" s="510">
        <v>0.10963008179281142</v>
      </c>
      <c r="V146" s="510">
        <v>965.59561427692665</v>
      </c>
      <c r="W146" s="510">
        <v>727.50446852213361</v>
      </c>
      <c r="X146" s="510">
        <v>9.7342692935762312</v>
      </c>
      <c r="Y146" s="569">
        <v>190.7072280428487</v>
      </c>
      <c r="Z146" s="512">
        <v>0.90631824825211993</v>
      </c>
      <c r="AA146" s="513">
        <v>0.88672808887952603</v>
      </c>
      <c r="AB146" s="513">
        <v>0.90631824825211993</v>
      </c>
      <c r="AC146" s="513">
        <v>0.88672808887952603</v>
      </c>
      <c r="AD146" s="510">
        <v>40.588999999999999</v>
      </c>
      <c r="AE146" s="510">
        <v>467.15299999999996</v>
      </c>
      <c r="AF146" s="510">
        <v>98.498282314256116</v>
      </c>
      <c r="AG146" s="510">
        <v>96.142301966519881</v>
      </c>
      <c r="AH146" s="510">
        <v>1.295917613146419</v>
      </c>
      <c r="AI146" s="510">
        <v>1.3209804924724877</v>
      </c>
      <c r="AJ146" s="510">
        <v>964.01044617996365</v>
      </c>
      <c r="AK146" s="510">
        <v>864.18449629992756</v>
      </c>
      <c r="AL146" s="576">
        <v>0</v>
      </c>
      <c r="AM146" s="576">
        <v>0</v>
      </c>
      <c r="AN146" s="512">
        <v>0.89069999522344911</v>
      </c>
      <c r="AO146" s="513">
        <v>0.83553262290517571</v>
      </c>
      <c r="AP146" s="513">
        <v>0.89069999522344911</v>
      </c>
      <c r="AQ146" s="513">
        <v>0.86182622963205691</v>
      </c>
      <c r="AR146" s="510">
        <v>47.23</v>
      </c>
      <c r="AS146" s="510">
        <v>480.91300000000001</v>
      </c>
      <c r="AT146" s="514">
        <v>105.0313424263941</v>
      </c>
      <c r="AU146" s="514">
        <v>113.70116931370463</v>
      </c>
      <c r="AV146" s="510">
        <v>1.4567012492060132</v>
      </c>
      <c r="AW146" s="510">
        <v>1.5040142395817953</v>
      </c>
      <c r="AX146" s="510">
        <v>0</v>
      </c>
      <c r="AY146" s="510">
        <v>0.13661514660655877</v>
      </c>
      <c r="AZ146" s="510">
        <v>1009.9136142282439</v>
      </c>
      <c r="BA146" s="510">
        <v>937.66727037946589</v>
      </c>
      <c r="BB146" s="510">
        <v>25.333474486556121</v>
      </c>
      <c r="BC146" s="510">
        <v>346.59202600054476</v>
      </c>
      <c r="BD146" s="510">
        <v>0</v>
      </c>
      <c r="BE146" s="510">
        <v>7.1025071062749285</v>
      </c>
      <c r="BF146" s="512">
        <v>0.86547205687830686</v>
      </c>
      <c r="BG146" s="513">
        <v>0.90850869037712823</v>
      </c>
      <c r="BH146" s="513">
        <v>0.86547205687830686</v>
      </c>
      <c r="BI146" s="513">
        <v>0.90850869037712823</v>
      </c>
      <c r="BJ146" s="510">
        <v>44.555</v>
      </c>
      <c r="BK146" s="510">
        <v>523.56599999999992</v>
      </c>
      <c r="BL146" s="510">
        <v>2.8885646953203903</v>
      </c>
      <c r="BM146" s="510">
        <v>2.6966991745071303</v>
      </c>
      <c r="BN146" s="514">
        <v>0</v>
      </c>
      <c r="BO146" s="514">
        <v>0</v>
      </c>
      <c r="BP146" s="514">
        <v>1140.0402872853663</v>
      </c>
      <c r="BQ146" s="514">
        <v>983.27024673107189</v>
      </c>
      <c r="BR146" s="514">
        <v>0</v>
      </c>
      <c r="BS146" s="515">
        <v>0</v>
      </c>
      <c r="BT146" s="512">
        <v>0.58917595962172464</v>
      </c>
      <c r="BU146" s="513">
        <v>0.78893499854667348</v>
      </c>
      <c r="BV146" s="513">
        <v>0.58917595962172464</v>
      </c>
      <c r="BW146" s="513">
        <v>0.81413689733899242</v>
      </c>
      <c r="BX146" s="510">
        <v>27.928999999999998</v>
      </c>
      <c r="BY146" s="510">
        <v>452.00099999999992</v>
      </c>
      <c r="BZ146" s="514">
        <v>124.54520091475045</v>
      </c>
      <c r="CA146" s="514">
        <v>85.733139464896553</v>
      </c>
      <c r="CB146" s="510">
        <v>3.0720756203229618</v>
      </c>
      <c r="CC146" s="510">
        <v>2.1500173672182141</v>
      </c>
      <c r="CD146" s="514">
        <v>0</v>
      </c>
      <c r="CE146" s="514">
        <v>0.14181384554458951</v>
      </c>
      <c r="CF146" s="514">
        <v>1428.5565183142928</v>
      </c>
      <c r="CG146" s="514">
        <v>889.51477983455857</v>
      </c>
      <c r="CH146" s="514">
        <v>42.840774821871371</v>
      </c>
      <c r="CI146" s="514">
        <v>358.67639452125098</v>
      </c>
      <c r="CJ146" s="514">
        <v>0</v>
      </c>
      <c r="CK146" s="514">
        <v>7.439390620817198</v>
      </c>
    </row>
    <row r="147" spans="1:89" ht="12.75" customHeight="1">
      <c r="A147" s="560">
        <v>45881</v>
      </c>
      <c r="B147" s="512">
        <v>1.0214101881452593</v>
      </c>
      <c r="C147" s="513">
        <v>0.81146341639911712</v>
      </c>
      <c r="D147" s="513">
        <v>1.0214101881452593</v>
      </c>
      <c r="E147" s="513">
        <v>0.81146341639911712</v>
      </c>
      <c r="F147" s="510">
        <v>84.668000000000006</v>
      </c>
      <c r="G147" s="510">
        <v>719.05600000000004</v>
      </c>
      <c r="H147" s="510">
        <v>2.0147163036802569</v>
      </c>
      <c r="I147" s="510">
        <v>2.3782848623751138</v>
      </c>
      <c r="J147" s="510">
        <v>628.37813577738802</v>
      </c>
      <c r="K147" s="511">
        <v>848.45950802162486</v>
      </c>
      <c r="L147" s="512">
        <v>0.91022183735166273</v>
      </c>
      <c r="M147" s="513">
        <v>0.80878019015104674</v>
      </c>
      <c r="N147" s="513">
        <v>0.91022183735166273</v>
      </c>
      <c r="O147" s="513">
        <v>0.86683419557299013</v>
      </c>
      <c r="P147" s="510">
        <v>49.026000000000003</v>
      </c>
      <c r="Q147" s="510">
        <v>619.125</v>
      </c>
      <c r="R147" s="510">
        <v>2.3781462897238197</v>
      </c>
      <c r="S147" s="510">
        <v>2.6941538461538457</v>
      </c>
      <c r="T147" s="510">
        <v>0</v>
      </c>
      <c r="U147" s="510">
        <v>0.10094891984655764</v>
      </c>
      <c r="V147" s="510">
        <v>943.06857585771957</v>
      </c>
      <c r="W147" s="510">
        <v>744.57411669695205</v>
      </c>
      <c r="X147" s="510">
        <v>9.301187125198874</v>
      </c>
      <c r="Y147" s="569">
        <v>176.34241873611953</v>
      </c>
      <c r="Z147" s="512">
        <v>0.9163286374484596</v>
      </c>
      <c r="AA147" s="513">
        <v>0.88905803611785295</v>
      </c>
      <c r="AB147" s="513">
        <v>0.9163286374484596</v>
      </c>
      <c r="AC147" s="513">
        <v>0.88905803611785295</v>
      </c>
      <c r="AD147" s="510">
        <v>41.244999999999997</v>
      </c>
      <c r="AE147" s="510">
        <v>508.39799999999997</v>
      </c>
      <c r="AF147" s="510">
        <v>92.05425849110965</v>
      </c>
      <c r="AG147" s="510">
        <v>95.810649691838833</v>
      </c>
      <c r="AH147" s="510">
        <v>1.3262213601648687</v>
      </c>
      <c r="AI147" s="510">
        <v>1.3214056703606232</v>
      </c>
      <c r="AJ147" s="510">
        <v>954.38283428297859</v>
      </c>
      <c r="AK147" s="510">
        <v>871.50205154229866</v>
      </c>
      <c r="AL147" s="576">
        <v>0</v>
      </c>
      <c r="AM147" s="576">
        <v>0</v>
      </c>
      <c r="AN147" s="512">
        <v>0.93075510186318511</v>
      </c>
      <c r="AO147" s="513">
        <v>0.84355662204337589</v>
      </c>
      <c r="AP147" s="513">
        <v>0.93075510186318511</v>
      </c>
      <c r="AQ147" s="513">
        <v>0.86780151606157507</v>
      </c>
      <c r="AR147" s="510">
        <v>49.296999999999997</v>
      </c>
      <c r="AS147" s="510">
        <v>530.21</v>
      </c>
      <c r="AT147" s="514">
        <v>96.987303454126021</v>
      </c>
      <c r="AU147" s="514">
        <v>112.14717477327791</v>
      </c>
      <c r="AV147" s="510">
        <v>1.3956224516704872</v>
      </c>
      <c r="AW147" s="510">
        <v>1.493936364836574</v>
      </c>
      <c r="AX147" s="510">
        <v>0</v>
      </c>
      <c r="AY147" s="510">
        <v>0.12391316648120555</v>
      </c>
      <c r="AZ147" s="510">
        <v>925.68553867375431</v>
      </c>
      <c r="BA147" s="510">
        <v>936.55325248486474</v>
      </c>
      <c r="BB147" s="510">
        <v>13.885226281518145</v>
      </c>
      <c r="BC147" s="510">
        <v>315.65815620225953</v>
      </c>
      <c r="BD147" s="510">
        <v>0</v>
      </c>
      <c r="BE147" s="510">
        <v>6.4421417928745113</v>
      </c>
      <c r="BF147" s="512">
        <v>0.86990538245927584</v>
      </c>
      <c r="BG147" s="513">
        <v>0.90528660324828902</v>
      </c>
      <c r="BH147" s="513">
        <v>0.86990538245927584</v>
      </c>
      <c r="BI147" s="513">
        <v>0.90528660324828902</v>
      </c>
      <c r="BJ147" s="510">
        <v>45.654000000000003</v>
      </c>
      <c r="BK147" s="510">
        <v>569.21999999999991</v>
      </c>
      <c r="BL147" s="510">
        <v>2.9000744732115478</v>
      </c>
      <c r="BM147" s="510">
        <v>2.7130107866905595</v>
      </c>
      <c r="BN147" s="514">
        <v>0</v>
      </c>
      <c r="BO147" s="514">
        <v>0</v>
      </c>
      <c r="BP147" s="514">
        <v>1073.8222280632576</v>
      </c>
      <c r="BQ147" s="514">
        <v>990.5329222444758</v>
      </c>
      <c r="BR147" s="514">
        <v>0</v>
      </c>
      <c r="BS147" s="515">
        <v>0</v>
      </c>
      <c r="BT147" s="512">
        <v>0.79201523894857395</v>
      </c>
      <c r="BU147" s="513">
        <v>0.78917268714172073</v>
      </c>
      <c r="BV147" s="513">
        <v>0.79201523894857395</v>
      </c>
      <c r="BW147" s="513">
        <v>0.81237966813819029</v>
      </c>
      <c r="BX147" s="510">
        <v>37.942999999999998</v>
      </c>
      <c r="BY147" s="510">
        <v>489.9439999999999</v>
      </c>
      <c r="BZ147" s="514">
        <v>98.912553307754578</v>
      </c>
      <c r="CA147" s="514">
        <v>86.753799988220791</v>
      </c>
      <c r="CB147" s="510">
        <v>2.3877922146377459</v>
      </c>
      <c r="CC147" s="510">
        <v>2.1684314942115837</v>
      </c>
      <c r="CD147" s="514">
        <v>0</v>
      </c>
      <c r="CE147" s="514">
        <v>0.13083127867674674</v>
      </c>
      <c r="CF147" s="514">
        <v>1116.5506153967801</v>
      </c>
      <c r="CG147" s="514">
        <v>907.09723968453625</v>
      </c>
      <c r="CH147" s="514">
        <v>18.040218222069946</v>
      </c>
      <c r="CI147" s="514">
        <v>332.29632162043004</v>
      </c>
      <c r="CJ147" s="514">
        <v>0</v>
      </c>
      <c r="CK147" s="514">
        <v>6.8632578417125103</v>
      </c>
    </row>
    <row r="148" spans="1:89" ht="12.75" customHeight="1">
      <c r="A148" s="560">
        <v>45882</v>
      </c>
      <c r="B148" s="512">
        <v>0.96594056400670769</v>
      </c>
      <c r="C148" s="513">
        <v>0.82405085280809742</v>
      </c>
      <c r="D148" s="513">
        <v>0.96594056400670769</v>
      </c>
      <c r="E148" s="513">
        <v>0.82405085280809742</v>
      </c>
      <c r="F148" s="510">
        <v>75.933000000000007</v>
      </c>
      <c r="G148" s="510">
        <v>794.98900000000003</v>
      </c>
      <c r="H148" s="510">
        <v>2.160417736688923</v>
      </c>
      <c r="I148" s="510">
        <v>2.3574753864518878</v>
      </c>
      <c r="J148" s="510">
        <v>735.3100759880432</v>
      </c>
      <c r="K148" s="511">
        <v>837.65209329940103</v>
      </c>
      <c r="L148" s="512">
        <v>0.80938961655449282</v>
      </c>
      <c r="M148" s="513">
        <v>0.80881995828541453</v>
      </c>
      <c r="N148" s="513">
        <v>0.80938961655449282</v>
      </c>
      <c r="O148" s="513">
        <v>0.86283530930713548</v>
      </c>
      <c r="P148" s="510">
        <v>43.253999999999998</v>
      </c>
      <c r="Q148" s="510">
        <v>662.37900000000002</v>
      </c>
      <c r="R148" s="510">
        <v>2.6957275627687616</v>
      </c>
      <c r="S148" s="510">
        <v>2.6942566113961939</v>
      </c>
      <c r="T148" s="510">
        <v>0</v>
      </c>
      <c r="U148" s="510">
        <v>9.4356856120136653E-2</v>
      </c>
      <c r="V148" s="510">
        <v>1051.8063069311509</v>
      </c>
      <c r="W148" s="510">
        <v>764.63668081264723</v>
      </c>
      <c r="X148" s="510">
        <v>12.27632126508531</v>
      </c>
      <c r="Y148" s="569">
        <v>165.62874124934515</v>
      </c>
      <c r="Z148" s="512">
        <v>0.95002271047008524</v>
      </c>
      <c r="AA148" s="513">
        <v>0.89368668299888032</v>
      </c>
      <c r="AB148" s="513">
        <v>0.95002271047008524</v>
      </c>
      <c r="AC148" s="513">
        <v>0.89368668299888032</v>
      </c>
      <c r="AD148" s="510">
        <v>44.634999999999998</v>
      </c>
      <c r="AE148" s="510">
        <v>553.03300000000002</v>
      </c>
      <c r="AF148" s="510">
        <v>84.983096617005472</v>
      </c>
      <c r="AG148" s="510">
        <v>94.936763628086425</v>
      </c>
      <c r="AH148" s="510">
        <v>1.2815055449759158</v>
      </c>
      <c r="AI148" s="510">
        <v>1.3181853524111582</v>
      </c>
      <c r="AJ148" s="510">
        <v>841.57768567264577</v>
      </c>
      <c r="AK148" s="510">
        <v>869.08687185032363</v>
      </c>
      <c r="AL148" s="576">
        <v>0</v>
      </c>
      <c r="AM148" s="576">
        <v>0</v>
      </c>
      <c r="AN148" s="512">
        <v>0.92316886849514723</v>
      </c>
      <c r="AO148" s="513">
        <v>0.8491121855910716</v>
      </c>
      <c r="AP148" s="513">
        <v>0.92316886849514723</v>
      </c>
      <c r="AQ148" s="513">
        <v>0.87176829496202357</v>
      </c>
      <c r="AR148" s="510">
        <v>43.529000000000003</v>
      </c>
      <c r="AS148" s="510">
        <v>573.73900000000003</v>
      </c>
      <c r="AT148" s="514">
        <v>95.849751673002061</v>
      </c>
      <c r="AU148" s="514">
        <v>110.91070569913111</v>
      </c>
      <c r="AV148" s="510">
        <v>1.5690688965976702</v>
      </c>
      <c r="AW148" s="510">
        <v>1.4996365943399348</v>
      </c>
      <c r="AX148" s="510">
        <v>0</v>
      </c>
      <c r="AY148" s="510">
        <v>0.11451199935859337</v>
      </c>
      <c r="AZ148" s="510">
        <v>1013.8946449493434</v>
      </c>
      <c r="BA148" s="510">
        <v>942.42106602479532</v>
      </c>
      <c r="BB148" s="510">
        <v>19.240046865308187</v>
      </c>
      <c r="BC148" s="510">
        <v>293.16921283022418</v>
      </c>
      <c r="BD148" s="510">
        <v>0.11486595143467573</v>
      </c>
      <c r="BE148" s="510">
        <v>5.9620977482792599</v>
      </c>
      <c r="BF148" s="512">
        <v>0.90148879439815122</v>
      </c>
      <c r="BG148" s="513">
        <v>0.9049873708916214</v>
      </c>
      <c r="BH148" s="513">
        <v>0.90148879439815122</v>
      </c>
      <c r="BI148" s="513">
        <v>0.9049873708916214</v>
      </c>
      <c r="BJ148" s="510">
        <v>48.481000000000002</v>
      </c>
      <c r="BK148" s="510">
        <v>617.70099999999991</v>
      </c>
      <c r="BL148" s="510">
        <v>2.7515934077267383</v>
      </c>
      <c r="BM148" s="510">
        <v>2.7160389897377537</v>
      </c>
      <c r="BN148" s="514">
        <v>0</v>
      </c>
      <c r="BO148" s="514">
        <v>0</v>
      </c>
      <c r="BP148" s="514">
        <v>929.15069821166503</v>
      </c>
      <c r="BQ148" s="514">
        <v>985.71526515255812</v>
      </c>
      <c r="BR148" s="514">
        <v>0</v>
      </c>
      <c r="BS148" s="515">
        <v>0</v>
      </c>
      <c r="BT148" s="512">
        <v>0.77611565719043962</v>
      </c>
      <c r="BU148" s="513">
        <v>0.78822604941632701</v>
      </c>
      <c r="BV148" s="513">
        <v>0.77611565719043962</v>
      </c>
      <c r="BW148" s="513">
        <v>0.8096789620930267</v>
      </c>
      <c r="BX148" s="510">
        <v>37.664000000000001</v>
      </c>
      <c r="BY148" s="510">
        <v>527.60799999999995</v>
      </c>
      <c r="BZ148" s="514">
        <v>99.313287009501266</v>
      </c>
      <c r="CA148" s="514">
        <v>87.650375701950495</v>
      </c>
      <c r="CB148" s="510">
        <v>2.3736193712829228</v>
      </c>
      <c r="CC148" s="510">
        <v>2.1830791041834092</v>
      </c>
      <c r="CD148" s="514">
        <v>0</v>
      </c>
      <c r="CE148" s="514">
        <v>0.12149171354490455</v>
      </c>
      <c r="CF148" s="514">
        <v>1052.2263965590807</v>
      </c>
      <c r="CG148" s="514">
        <v>917.45747790026223</v>
      </c>
      <c r="CH148" s="514">
        <v>22.236087510620223</v>
      </c>
      <c r="CI148" s="514">
        <v>310.16225872238471</v>
      </c>
      <c r="CJ148" s="514">
        <v>0.13275276125743415</v>
      </c>
      <c r="CK148" s="514">
        <v>6.3827917696471506</v>
      </c>
    </row>
    <row r="149" spans="1:89" ht="12.75" customHeight="1">
      <c r="A149" s="560">
        <v>45883</v>
      </c>
      <c r="B149" s="512">
        <v>1.0379524466916799</v>
      </c>
      <c r="C149" s="513">
        <v>0.8403061214870583</v>
      </c>
      <c r="D149" s="513">
        <v>1.0379524466916799</v>
      </c>
      <c r="E149" s="513">
        <v>0.8403061214870583</v>
      </c>
      <c r="F149" s="510">
        <v>82.355000000000004</v>
      </c>
      <c r="G149" s="510">
        <v>877.34400000000005</v>
      </c>
      <c r="H149" s="510">
        <v>1.9051423714407139</v>
      </c>
      <c r="I149" s="510">
        <v>2.3150155469234415</v>
      </c>
      <c r="J149" s="510">
        <v>679.1534211644846</v>
      </c>
      <c r="K149" s="511">
        <v>822.77405441878966</v>
      </c>
      <c r="L149" s="512">
        <v>0.87026645183675888</v>
      </c>
      <c r="M149" s="513">
        <v>0.81248963960997045</v>
      </c>
      <c r="N149" s="513">
        <v>0.87026645183675888</v>
      </c>
      <c r="O149" s="513">
        <v>0.86330686631275988</v>
      </c>
      <c r="P149" s="510">
        <v>45.267000000000003</v>
      </c>
      <c r="Q149" s="510">
        <v>707.64600000000007</v>
      </c>
      <c r="R149" s="510">
        <v>2.5568515695760707</v>
      </c>
      <c r="S149" s="510">
        <v>2.6854670272989596</v>
      </c>
      <c r="T149" s="510">
        <v>0</v>
      </c>
      <c r="U149" s="510">
        <v>8.8320996656520337E-2</v>
      </c>
      <c r="V149" s="510">
        <v>916.03684803499164</v>
      </c>
      <c r="W149" s="510">
        <v>774.32151103800527</v>
      </c>
      <c r="X149" s="510">
        <v>8.019086751938497</v>
      </c>
      <c r="Y149" s="569">
        <v>155.5466999036241</v>
      </c>
      <c r="Z149" s="512">
        <v>0.91292631390021106</v>
      </c>
      <c r="AA149" s="513">
        <v>0.89501941715941469</v>
      </c>
      <c r="AB149" s="513">
        <v>0.91292631390021106</v>
      </c>
      <c r="AC149" s="513">
        <v>0.89501941715941469</v>
      </c>
      <c r="AD149" s="510">
        <v>42.045999999999999</v>
      </c>
      <c r="AE149" s="510">
        <v>595.07900000000006</v>
      </c>
      <c r="AF149" s="510">
        <v>99.641968640218778</v>
      </c>
      <c r="AG149" s="510">
        <v>95.269215369687302</v>
      </c>
      <c r="AH149" s="510">
        <v>1.3675498263806307</v>
      </c>
      <c r="AI149" s="510">
        <v>1.3216732568280851</v>
      </c>
      <c r="AJ149" s="510">
        <v>914.05032583362822</v>
      </c>
      <c r="AK149" s="510">
        <v>872.26381707302835</v>
      </c>
      <c r="AL149" s="576">
        <v>0</v>
      </c>
      <c r="AM149" s="576">
        <v>0</v>
      </c>
      <c r="AN149" s="512">
        <v>0.38930879334084101</v>
      </c>
      <c r="AO149" s="513">
        <v>0.81803956025332036</v>
      </c>
      <c r="AP149" s="513">
        <v>0.38930879334084101</v>
      </c>
      <c r="AQ149" s="513">
        <v>0.83835492681787305</v>
      </c>
      <c r="AR149" s="510">
        <v>19.065000000000001</v>
      </c>
      <c r="AS149" s="510">
        <v>592.80400000000009</v>
      </c>
      <c r="AT149" s="514">
        <v>192.91486595961814</v>
      </c>
      <c r="AU149" s="514">
        <v>113.54801805762764</v>
      </c>
      <c r="AV149" s="510">
        <v>2.559664306320482</v>
      </c>
      <c r="AW149" s="510">
        <v>1.5337278425921548</v>
      </c>
      <c r="AX149" s="510">
        <v>0</v>
      </c>
      <c r="AY149" s="510">
        <v>0.11082921167873359</v>
      </c>
      <c r="AZ149" s="510">
        <v>1771.9464988198249</v>
      </c>
      <c r="BA149" s="510">
        <v>969.09919636169786</v>
      </c>
      <c r="BB149" s="510">
        <v>13.375295043275399</v>
      </c>
      <c r="BC149" s="510">
        <v>284.17084061511059</v>
      </c>
      <c r="BD149" s="510">
        <v>0</v>
      </c>
      <c r="BE149" s="510">
        <v>5.7703524267717388</v>
      </c>
      <c r="BF149" s="512">
        <v>0.78824567947533197</v>
      </c>
      <c r="BG149" s="513">
        <v>0.89663540694114585</v>
      </c>
      <c r="BH149" s="513">
        <v>0.82445451972101369</v>
      </c>
      <c r="BI149" s="513">
        <v>0.89946154348745866</v>
      </c>
      <c r="BJ149" s="510">
        <v>41.457000000000001</v>
      </c>
      <c r="BK149" s="510">
        <v>659.1579999999999</v>
      </c>
      <c r="BL149" s="510">
        <v>3.3842294425549366</v>
      </c>
      <c r="BM149" s="510">
        <v>2.7580640756844343</v>
      </c>
      <c r="BN149" s="514">
        <v>0</v>
      </c>
      <c r="BO149" s="514">
        <v>0</v>
      </c>
      <c r="BP149" s="514">
        <v>1248.4054562558858</v>
      </c>
      <c r="BQ149" s="514">
        <v>1002.2368688539023</v>
      </c>
      <c r="BR149" s="514">
        <v>0</v>
      </c>
      <c r="BS149" s="515">
        <v>0</v>
      </c>
      <c r="BT149" s="512">
        <v>0.86968843434806609</v>
      </c>
      <c r="BU149" s="513">
        <v>0.79412438228506277</v>
      </c>
      <c r="BV149" s="513">
        <v>0.86968843434806609</v>
      </c>
      <c r="BW149" s="513">
        <v>0.81413346288094202</v>
      </c>
      <c r="BX149" s="510">
        <v>45.44</v>
      </c>
      <c r="BY149" s="510">
        <v>573.048</v>
      </c>
      <c r="BZ149" s="514">
        <v>92.529310454076622</v>
      </c>
      <c r="CA149" s="514">
        <v>88.037252185485215</v>
      </c>
      <c r="CB149" s="510">
        <v>2.0356514084507045</v>
      </c>
      <c r="CC149" s="510">
        <v>2.1713887841856176</v>
      </c>
      <c r="CD149" s="514">
        <v>0</v>
      </c>
      <c r="CE149" s="514">
        <v>0.11185799444374642</v>
      </c>
      <c r="CF149" s="514">
        <v>972.48162411968951</v>
      </c>
      <c r="CG149" s="514">
        <v>921.82063282656986</v>
      </c>
      <c r="CH149" s="514">
        <v>5.611795774648888</v>
      </c>
      <c r="CI149" s="514">
        <v>286.0128453462886</v>
      </c>
      <c r="CJ149" s="514">
        <v>0</v>
      </c>
      <c r="CK149" s="514">
        <v>5.8766665270622944</v>
      </c>
    </row>
    <row r="150" spans="1:89" ht="12.75" customHeight="1">
      <c r="A150" s="560">
        <v>45884</v>
      </c>
      <c r="B150" s="512">
        <v>0.96966855007746189</v>
      </c>
      <c r="C150" s="513">
        <v>0.84953532483850758</v>
      </c>
      <c r="D150" s="513">
        <v>0.96966855007746189</v>
      </c>
      <c r="E150" s="513">
        <v>0.84953532483850758</v>
      </c>
      <c r="F150" s="510">
        <v>77.778000000000006</v>
      </c>
      <c r="G150" s="510">
        <v>955.12200000000007</v>
      </c>
      <c r="H150" s="510">
        <v>2.1866337524749926</v>
      </c>
      <c r="I150" s="510">
        <v>2.304561092719045</v>
      </c>
      <c r="J150" s="510">
        <v>740.42094165442768</v>
      </c>
      <c r="K150" s="511">
        <v>816.06783217222153</v>
      </c>
      <c r="L150" s="512">
        <v>0.93086423512678151</v>
      </c>
      <c r="M150" s="513">
        <v>0.81916074772247494</v>
      </c>
      <c r="N150" s="513">
        <v>0.93086423512678151</v>
      </c>
      <c r="O150" s="513">
        <v>0.86733803950917276</v>
      </c>
      <c r="P150" s="510">
        <v>48.418999999999997</v>
      </c>
      <c r="Q150" s="510">
        <v>756.06500000000005</v>
      </c>
      <c r="R150" s="510">
        <v>2.4348086494970982</v>
      </c>
      <c r="S150" s="510">
        <v>2.6694146667283891</v>
      </c>
      <c r="T150" s="510">
        <v>0</v>
      </c>
      <c r="U150" s="510">
        <v>8.2664850244357296E-2</v>
      </c>
      <c r="V150" s="510">
        <v>938.5631673516383</v>
      </c>
      <c r="W150" s="510">
        <v>784.83967648284124</v>
      </c>
      <c r="X150" s="510">
        <v>9.1699539436997863</v>
      </c>
      <c r="Y150" s="569">
        <v>146.17261743368627</v>
      </c>
      <c r="Z150" s="512">
        <v>0.90554591220211911</v>
      </c>
      <c r="AA150" s="513">
        <v>0.8957503301660138</v>
      </c>
      <c r="AB150" s="513">
        <v>0.90554591220211911</v>
      </c>
      <c r="AC150" s="513">
        <v>0.8957503301660138</v>
      </c>
      <c r="AD150" s="510">
        <v>44.924999999999997</v>
      </c>
      <c r="AE150" s="510">
        <v>640.00400000000002</v>
      </c>
      <c r="AF150" s="510">
        <v>91.414059866040546</v>
      </c>
      <c r="AG150" s="510">
        <v>94.998603215698679</v>
      </c>
      <c r="AH150" s="510">
        <v>1.3489148580968282</v>
      </c>
      <c r="AI150" s="510">
        <v>1.3235854775907652</v>
      </c>
      <c r="AJ150" s="510">
        <v>828.45765164162492</v>
      </c>
      <c r="AK150" s="510">
        <v>869.18884881969609</v>
      </c>
      <c r="AL150" s="576">
        <v>0</v>
      </c>
      <c r="AM150" s="576">
        <v>0</v>
      </c>
      <c r="AN150" s="512">
        <v>0.91802192212694467</v>
      </c>
      <c r="AO150" s="513">
        <v>0.82456496541418844</v>
      </c>
      <c r="AP150" s="513">
        <v>0.91802192212694467</v>
      </c>
      <c r="AQ150" s="513">
        <v>0.84367494111699204</v>
      </c>
      <c r="AR150" s="510">
        <v>46.45</v>
      </c>
      <c r="AS150" s="510">
        <v>639.25400000000013</v>
      </c>
      <c r="AT150" s="514">
        <v>109.04770872427821</v>
      </c>
      <c r="AU150" s="514">
        <v>113.22101287888165</v>
      </c>
      <c r="AV150" s="510">
        <v>1.5651237890204521</v>
      </c>
      <c r="AW150" s="510">
        <v>1.5360091606779147</v>
      </c>
      <c r="AX150" s="510">
        <v>0</v>
      </c>
      <c r="AY150" s="510">
        <v>0.1027760483313362</v>
      </c>
      <c r="AZ150" s="510">
        <v>1010.7311087190529</v>
      </c>
      <c r="BA150" s="510">
        <v>972.1242886239271</v>
      </c>
      <c r="BB150" s="510">
        <v>22.874058127017808</v>
      </c>
      <c r="BC150" s="510">
        <v>265.18427886254915</v>
      </c>
      <c r="BD150" s="510">
        <v>0</v>
      </c>
      <c r="BE150" s="510">
        <v>5.3510623320307644</v>
      </c>
      <c r="BF150" s="512">
        <v>0.97286732412458921</v>
      </c>
      <c r="BG150" s="513">
        <v>0.90160624841326431</v>
      </c>
      <c r="BH150" s="513">
        <v>0.97286732412458921</v>
      </c>
      <c r="BI150" s="513">
        <v>0.90426220181324213</v>
      </c>
      <c r="BJ150" s="510">
        <v>49.889000000000003</v>
      </c>
      <c r="BK150" s="510">
        <v>709.04699999999991</v>
      </c>
      <c r="BL150" s="510">
        <v>2.6659183387119403</v>
      </c>
      <c r="BM150" s="510">
        <v>2.7515806427500578</v>
      </c>
      <c r="BN150" s="514">
        <v>0</v>
      </c>
      <c r="BO150" s="514">
        <v>0</v>
      </c>
      <c r="BP150" s="514">
        <v>966.95373729678101</v>
      </c>
      <c r="BQ150" s="514">
        <v>999.75432517167349</v>
      </c>
      <c r="BR150" s="514">
        <v>0</v>
      </c>
      <c r="BS150" s="515">
        <v>0</v>
      </c>
      <c r="BT150" s="512">
        <v>1.0604650317840718</v>
      </c>
      <c r="BU150" s="513">
        <v>0.81144849861632684</v>
      </c>
      <c r="BV150" s="513">
        <v>1.0604650317840718</v>
      </c>
      <c r="BW150" s="513">
        <v>0.83053292495045239</v>
      </c>
      <c r="BX150" s="510">
        <v>53.238</v>
      </c>
      <c r="BY150" s="510">
        <v>626.28600000000006</v>
      </c>
      <c r="BZ150" s="514">
        <v>74.231888693703809</v>
      </c>
      <c r="CA150" s="514">
        <v>86.863714949181883</v>
      </c>
      <c r="CB150" s="510">
        <v>1.6924001652954654</v>
      </c>
      <c r="CC150" s="510">
        <v>2.1306719294379879</v>
      </c>
      <c r="CD150" s="514">
        <v>0</v>
      </c>
      <c r="CE150" s="514">
        <v>0.1023494058624973</v>
      </c>
      <c r="CF150" s="514">
        <v>790.24409256544743</v>
      </c>
      <c r="CG150" s="514">
        <v>910.63585167159977</v>
      </c>
      <c r="CH150" s="514">
        <v>19.957549119049876</v>
      </c>
      <c r="CI150" s="514">
        <v>263.39657760192625</v>
      </c>
      <c r="CJ150" s="514">
        <v>0</v>
      </c>
      <c r="CK150" s="514">
        <v>5.3771152476663922</v>
      </c>
    </row>
    <row r="151" spans="1:89" ht="12.75" customHeight="1">
      <c r="A151" s="560">
        <v>45885</v>
      </c>
      <c r="B151" s="512">
        <v>1.0021387472367862</v>
      </c>
      <c r="C151" s="513">
        <v>0.85969590553192432</v>
      </c>
      <c r="D151" s="513">
        <v>1.0021387472367862</v>
      </c>
      <c r="E151" s="513">
        <v>0.85969590553192432</v>
      </c>
      <c r="F151" s="510">
        <v>80.367999999999995</v>
      </c>
      <c r="G151" s="510">
        <v>1035.49</v>
      </c>
      <c r="H151" s="510">
        <v>2.0563283894087196</v>
      </c>
      <c r="I151" s="510">
        <v>2.2852948845474121</v>
      </c>
      <c r="J151" s="510">
        <v>725.49771053155735</v>
      </c>
      <c r="K151" s="511">
        <v>809.03836830872035</v>
      </c>
      <c r="L151" s="512">
        <v>0.9403614765434285</v>
      </c>
      <c r="M151" s="513">
        <v>0.82562672889425337</v>
      </c>
      <c r="N151" s="513">
        <v>0.9403614765434285</v>
      </c>
      <c r="O151" s="513">
        <v>0.87145001209327055</v>
      </c>
      <c r="P151" s="510">
        <v>48.912999999999997</v>
      </c>
      <c r="Q151" s="510">
        <v>804.97800000000007</v>
      </c>
      <c r="R151" s="510">
        <v>2.3599043199149512</v>
      </c>
      <c r="S151" s="510">
        <v>2.6506078426988058</v>
      </c>
      <c r="T151" s="510">
        <v>0</v>
      </c>
      <c r="U151" s="510">
        <v>7.7641873442504006E-2</v>
      </c>
      <c r="V151" s="510">
        <v>929.22535931143716</v>
      </c>
      <c r="W151" s="510">
        <v>793.61300557282254</v>
      </c>
      <c r="X151" s="510">
        <v>8.9546746263774466</v>
      </c>
      <c r="Y151" s="569">
        <v>137.83482281503342</v>
      </c>
      <c r="Z151" s="512">
        <v>0.92632761137808772</v>
      </c>
      <c r="AA151" s="513">
        <v>0.89773563019657709</v>
      </c>
      <c r="AB151" s="513">
        <v>0.92632761137808772</v>
      </c>
      <c r="AC151" s="513">
        <v>0.89773563019657709</v>
      </c>
      <c r="AD151" s="510">
        <v>45.956000000000003</v>
      </c>
      <c r="AE151" s="510">
        <v>685.96</v>
      </c>
      <c r="AF151" s="510">
        <v>92.422312318337376</v>
      </c>
      <c r="AG151" s="510">
        <v>94.826004194649158</v>
      </c>
      <c r="AH151" s="510">
        <v>1.2968926799547393</v>
      </c>
      <c r="AI151" s="510">
        <v>1.3217971893404865</v>
      </c>
      <c r="AJ151" s="510">
        <v>806.13630429106104</v>
      </c>
      <c r="AK151" s="510">
        <v>864.96463350632814</v>
      </c>
      <c r="AL151" s="576">
        <v>0</v>
      </c>
      <c r="AM151" s="576">
        <v>0</v>
      </c>
      <c r="AN151" s="512">
        <v>0.90131026404715542</v>
      </c>
      <c r="AO151" s="513">
        <v>0.8295214866711218</v>
      </c>
      <c r="AP151" s="513">
        <v>0.90131026404715542</v>
      </c>
      <c r="AQ151" s="513">
        <v>0.84747783874076466</v>
      </c>
      <c r="AR151" s="510">
        <v>48.244</v>
      </c>
      <c r="AS151" s="510">
        <v>687.49800000000016</v>
      </c>
      <c r="AT151" s="514">
        <v>112.32398838195371</v>
      </c>
      <c r="AU151" s="514">
        <v>113.15806571419202</v>
      </c>
      <c r="AV151" s="510">
        <v>1.3887737335212669</v>
      </c>
      <c r="AW151" s="510">
        <v>1.5256771656062993</v>
      </c>
      <c r="AX151" s="510">
        <v>0</v>
      </c>
      <c r="AY151" s="510">
        <v>9.5563914367750871E-2</v>
      </c>
      <c r="AZ151" s="510">
        <v>866.36265649614461</v>
      </c>
      <c r="BA151" s="510">
        <v>964.70264640769858</v>
      </c>
      <c r="BB151" s="510">
        <v>20.531050493333137</v>
      </c>
      <c r="BC151" s="510">
        <v>248.01615568336248</v>
      </c>
      <c r="BD151" s="510">
        <v>0</v>
      </c>
      <c r="BE151" s="510">
        <v>4.9755606561764463</v>
      </c>
      <c r="BF151" s="512">
        <v>1.0026500091995862</v>
      </c>
      <c r="BG151" s="513">
        <v>0.90781432502987758</v>
      </c>
      <c r="BH151" s="513">
        <v>1.0026500091995862</v>
      </c>
      <c r="BI151" s="513">
        <v>0.9103238080064141</v>
      </c>
      <c r="BJ151" s="510">
        <v>51.616999999999997</v>
      </c>
      <c r="BK151" s="510">
        <v>760.66399999999987</v>
      </c>
      <c r="BL151" s="510">
        <v>2.5592343607726136</v>
      </c>
      <c r="BM151" s="510">
        <v>2.7385284435703547</v>
      </c>
      <c r="BN151" s="514">
        <v>0</v>
      </c>
      <c r="BO151" s="514">
        <v>0</v>
      </c>
      <c r="BP151" s="514">
        <v>924.03403917316189</v>
      </c>
      <c r="BQ151" s="514">
        <v>994.61611171292554</v>
      </c>
      <c r="BR151" s="514">
        <v>0</v>
      </c>
      <c r="BS151" s="515">
        <v>0</v>
      </c>
      <c r="BT151" s="512">
        <v>0.95277542367489454</v>
      </c>
      <c r="BU151" s="513">
        <v>0.81958537246511187</v>
      </c>
      <c r="BV151" s="513">
        <v>0.95277542367489454</v>
      </c>
      <c r="BW151" s="513">
        <v>0.83772680354182361</v>
      </c>
      <c r="BX151" s="510">
        <v>44.924999999999997</v>
      </c>
      <c r="BY151" s="510">
        <v>671.21100000000001</v>
      </c>
      <c r="BZ151" s="514">
        <v>86.403599768492228</v>
      </c>
      <c r="CA151" s="514">
        <v>86.832918858991945</v>
      </c>
      <c r="CB151" s="510">
        <v>1.8742348358375072</v>
      </c>
      <c r="CC151" s="510">
        <v>2.1135082708716033</v>
      </c>
      <c r="CD151" s="514">
        <v>0</v>
      </c>
      <c r="CE151" s="514">
        <v>9.5499030856168912E-2</v>
      </c>
      <c r="CF151" s="514">
        <v>903.80690038955413</v>
      </c>
      <c r="CG151" s="514">
        <v>910.17878133701652</v>
      </c>
      <c r="CH151" s="514">
        <v>22.047857540353117</v>
      </c>
      <c r="CI151" s="514">
        <v>247.24280293380224</v>
      </c>
      <c r="CJ151" s="514">
        <v>0</v>
      </c>
      <c r="CK151" s="514">
        <v>5.0172181325991279</v>
      </c>
    </row>
    <row r="152" spans="1:89" ht="12.75" customHeight="1">
      <c r="A152" s="560">
        <v>45886</v>
      </c>
      <c r="B152" s="512">
        <v>0.99953816659635486</v>
      </c>
      <c r="C152" s="513">
        <v>0.86770936561385437</v>
      </c>
      <c r="D152" s="513">
        <v>0.99953816659635486</v>
      </c>
      <c r="E152" s="513">
        <v>0.86770936561385437</v>
      </c>
      <c r="F152" s="510">
        <v>73.183000000000007</v>
      </c>
      <c r="G152" s="510">
        <v>1108.673</v>
      </c>
      <c r="H152" s="510">
        <v>2.0327808370796498</v>
      </c>
      <c r="I152" s="510">
        <v>2.2686265472325919</v>
      </c>
      <c r="J152" s="510">
        <v>787.06174931338387</v>
      </c>
      <c r="K152" s="511">
        <v>807.58770169382524</v>
      </c>
      <c r="L152" s="512">
        <v>0.94687881427671472</v>
      </c>
      <c r="M152" s="513">
        <v>0.83176782629675139</v>
      </c>
      <c r="N152" s="513">
        <v>0.94687881427671472</v>
      </c>
      <c r="O152" s="513">
        <v>0.87547100800376421</v>
      </c>
      <c r="P152" s="510">
        <v>49.252000000000002</v>
      </c>
      <c r="Q152" s="510">
        <v>854.23</v>
      </c>
      <c r="R152" s="510">
        <v>2.3009217899780716</v>
      </c>
      <c r="S152" s="510">
        <v>2.6304461327745448</v>
      </c>
      <c r="T152" s="510">
        <v>0</v>
      </c>
      <c r="U152" s="510">
        <v>7.3165306767498217E-2</v>
      </c>
      <c r="V152" s="510">
        <v>876.81129700319298</v>
      </c>
      <c r="W152" s="510">
        <v>798.40993643398247</v>
      </c>
      <c r="X152" s="510">
        <v>8.5681799723869077</v>
      </c>
      <c r="Y152" s="569">
        <v>130.38174730459011</v>
      </c>
      <c r="Z152" s="512">
        <v>0.92867599385729549</v>
      </c>
      <c r="AA152" s="513">
        <v>0.89953187494877029</v>
      </c>
      <c r="AB152" s="513">
        <v>0.92867599385729549</v>
      </c>
      <c r="AC152" s="513">
        <v>0.89953187494877029</v>
      </c>
      <c r="AD152" s="510">
        <v>43.734999999999999</v>
      </c>
      <c r="AE152" s="510">
        <v>729.69500000000005</v>
      </c>
      <c r="AF152" s="510">
        <v>95.219846234453513</v>
      </c>
      <c r="AG152" s="510">
        <v>94.84960951140593</v>
      </c>
      <c r="AH152" s="510">
        <v>1.3536069509546131</v>
      </c>
      <c r="AI152" s="510">
        <v>1.3237037392335156</v>
      </c>
      <c r="AJ152" s="510">
        <v>850.79547273352534</v>
      </c>
      <c r="AK152" s="510">
        <v>864.11539067692877</v>
      </c>
      <c r="AL152" s="576">
        <v>0</v>
      </c>
      <c r="AM152" s="576">
        <v>0</v>
      </c>
      <c r="AN152" s="512">
        <v>0.99759636828879028</v>
      </c>
      <c r="AO152" s="513">
        <v>0.8398774157529485</v>
      </c>
      <c r="AP152" s="513">
        <v>0.99759636828879028</v>
      </c>
      <c r="AQ152" s="513">
        <v>0.85691502243308071</v>
      </c>
      <c r="AR152" s="510">
        <v>54.287999999999997</v>
      </c>
      <c r="AS152" s="510">
        <v>741.78600000000017</v>
      </c>
      <c r="AT152" s="514">
        <v>98.097716210022284</v>
      </c>
      <c r="AU152" s="514">
        <v>112.05586608534709</v>
      </c>
      <c r="AV152" s="510">
        <v>1.254420866489832</v>
      </c>
      <c r="AW152" s="510">
        <v>1.5058251301588321</v>
      </c>
      <c r="AX152" s="510">
        <v>0</v>
      </c>
      <c r="AY152" s="510">
        <v>8.8570018846405821E-2</v>
      </c>
      <c r="AZ152" s="510">
        <v>733.30275567344665</v>
      </c>
      <c r="BA152" s="510">
        <v>947.76752324794472</v>
      </c>
      <c r="BB152" s="510">
        <v>379.67875036839217</v>
      </c>
      <c r="BC152" s="510">
        <v>257.65195218027793</v>
      </c>
      <c r="BD152" s="510">
        <v>0</v>
      </c>
      <c r="BE152" s="510">
        <v>4.6114216229478506</v>
      </c>
      <c r="BF152" s="512">
        <v>0.95391321398836992</v>
      </c>
      <c r="BG152" s="513">
        <v>0.91052082997197614</v>
      </c>
      <c r="BH152" s="513">
        <v>0.95391321398836992</v>
      </c>
      <c r="BI152" s="513">
        <v>0.9128896369988897</v>
      </c>
      <c r="BJ152" s="510">
        <v>49.853999999999999</v>
      </c>
      <c r="BK152" s="510">
        <v>810.51799999999992</v>
      </c>
      <c r="BL152" s="510">
        <v>2.7079070886990011</v>
      </c>
      <c r="BM152" s="510">
        <v>2.73664496038336</v>
      </c>
      <c r="BN152" s="514">
        <v>0</v>
      </c>
      <c r="BO152" s="514">
        <v>0</v>
      </c>
      <c r="BP152" s="514">
        <v>952.74822481646345</v>
      </c>
      <c r="BQ152" s="514">
        <v>992.04086769202002</v>
      </c>
      <c r="BR152" s="514">
        <v>0</v>
      </c>
      <c r="BS152" s="515">
        <v>0</v>
      </c>
      <c r="BT152" s="512">
        <v>0.92257504074082552</v>
      </c>
      <c r="BU152" s="513">
        <v>0.82519217454437088</v>
      </c>
      <c r="BV152" s="513">
        <v>0.92257504074082552</v>
      </c>
      <c r="BW152" s="513">
        <v>0.84244254056845724</v>
      </c>
      <c r="BX152" s="510">
        <v>43.500999999999998</v>
      </c>
      <c r="BY152" s="510">
        <v>714.71199999999999</v>
      </c>
      <c r="BZ152" s="514">
        <v>89.998648475356546</v>
      </c>
      <c r="CA152" s="514">
        <v>87.025601231809915</v>
      </c>
      <c r="CB152" s="510">
        <v>1.9378864853681526</v>
      </c>
      <c r="CC152" s="510">
        <v>2.1028190375983611</v>
      </c>
      <c r="CD152" s="514">
        <v>0</v>
      </c>
      <c r="CE152" s="514">
        <v>8.9686475111653355E-2</v>
      </c>
      <c r="CF152" s="514">
        <v>912.26201696512817</v>
      </c>
      <c r="CG152" s="514">
        <v>910.30557763127013</v>
      </c>
      <c r="CH152" s="514">
        <v>0</v>
      </c>
      <c r="CI152" s="514">
        <v>232.19435101131691</v>
      </c>
      <c r="CJ152" s="514">
        <v>0</v>
      </c>
      <c r="CK152" s="514">
        <v>4.7118447710406341</v>
      </c>
    </row>
    <row r="153" spans="1:89" ht="12.75" customHeight="1">
      <c r="A153" s="560">
        <v>45887</v>
      </c>
      <c r="B153" s="512">
        <v>0.9866696260148462</v>
      </c>
      <c r="C153" s="513">
        <v>0.87281813477930881</v>
      </c>
      <c r="D153" s="513">
        <v>0.9866696260148462</v>
      </c>
      <c r="E153" s="513">
        <v>0.87281813477930881</v>
      </c>
      <c r="F153" s="510">
        <v>56.569000000000003</v>
      </c>
      <c r="G153" s="510">
        <v>1165.242</v>
      </c>
      <c r="H153" s="510">
        <v>2.2552281284802627</v>
      </c>
      <c r="I153" s="510">
        <v>2.2679760942362184</v>
      </c>
      <c r="J153" s="510">
        <v>1071.7633332744194</v>
      </c>
      <c r="K153" s="511">
        <v>820.41263531523839</v>
      </c>
      <c r="L153" s="512">
        <v>0.93131339103461508</v>
      </c>
      <c r="M153" s="513">
        <v>0.83788225367884606</v>
      </c>
      <c r="N153" s="513">
        <v>0.93131339103461508</v>
      </c>
      <c r="O153" s="513">
        <v>0.87906964559102796</v>
      </c>
      <c r="P153" s="510">
        <v>62.594000000000001</v>
      </c>
      <c r="Q153" s="510">
        <v>916.82400000000007</v>
      </c>
      <c r="R153" s="510">
        <v>2.1687701696648243</v>
      </c>
      <c r="S153" s="510">
        <v>2.5989262933780086</v>
      </c>
      <c r="T153" s="510">
        <v>0</v>
      </c>
      <c r="U153" s="510">
        <v>6.8170117710705649E-2</v>
      </c>
      <c r="V153" s="510">
        <v>740.36600952167794</v>
      </c>
      <c r="W153" s="510">
        <v>794.44712398453873</v>
      </c>
      <c r="X153" s="510">
        <v>7.2051634341949704</v>
      </c>
      <c r="Y153" s="569">
        <v>121.97215605176129</v>
      </c>
      <c r="Z153" s="512">
        <v>0.99878774754597022</v>
      </c>
      <c r="AA153" s="513">
        <v>0.9045641968662177</v>
      </c>
      <c r="AB153" s="513">
        <v>0.99878774754597022</v>
      </c>
      <c r="AC153" s="513">
        <v>0.9045641968662177</v>
      </c>
      <c r="AD153" s="510">
        <v>43.271999999999998</v>
      </c>
      <c r="AE153" s="510">
        <v>772.9670000000001</v>
      </c>
      <c r="AF153" s="510">
        <v>73.048842527754402</v>
      </c>
      <c r="AG153" s="510">
        <v>93.629165703434083</v>
      </c>
      <c r="AH153" s="510">
        <v>1.2895174708818635</v>
      </c>
      <c r="AI153" s="510">
        <v>1.3217899341110293</v>
      </c>
      <c r="AJ153" s="510">
        <v>843.00656313551497</v>
      </c>
      <c r="AK153" s="510">
        <v>862.93368280922914</v>
      </c>
      <c r="AL153" s="576">
        <v>0</v>
      </c>
      <c r="AM153" s="576">
        <v>0</v>
      </c>
      <c r="AN153" s="512">
        <v>0.8307806916900633</v>
      </c>
      <c r="AO153" s="513">
        <v>0.83937559188459365</v>
      </c>
      <c r="AP153" s="513">
        <v>0.8307806916900633</v>
      </c>
      <c r="AQ153" s="513">
        <v>0.85544571122040758</v>
      </c>
      <c r="AR153" s="510">
        <v>42.841000000000001</v>
      </c>
      <c r="AS153" s="510">
        <v>784.62700000000018</v>
      </c>
      <c r="AT153" s="514">
        <v>82.000270295999258</v>
      </c>
      <c r="AU153" s="514">
        <v>110.41481654306591</v>
      </c>
      <c r="AV153" s="510">
        <v>1.5732592609883056</v>
      </c>
      <c r="AW153" s="510">
        <v>1.5095070651405058</v>
      </c>
      <c r="AX153" s="510">
        <v>0.18907121682500408</v>
      </c>
      <c r="AY153" s="510">
        <v>9.4057431110578626E-2</v>
      </c>
      <c r="AZ153" s="510">
        <v>845.41864102144905</v>
      </c>
      <c r="BA153" s="510">
        <v>942.17922656243002</v>
      </c>
      <c r="BB153" s="510">
        <v>485.02602646996712</v>
      </c>
      <c r="BC153" s="510">
        <v>270.06668264028571</v>
      </c>
      <c r="BD153" s="510">
        <v>3.0344763194136455</v>
      </c>
      <c r="BE153" s="510">
        <v>4.5253196741891291</v>
      </c>
      <c r="BF153" s="512">
        <v>0.88961229385045393</v>
      </c>
      <c r="BG153" s="513">
        <v>0.90934344766642072</v>
      </c>
      <c r="BH153" s="513">
        <v>0.88961229385045393</v>
      </c>
      <c r="BI153" s="513">
        <v>0.9115756470030989</v>
      </c>
      <c r="BJ153" s="510">
        <v>47.253999999999998</v>
      </c>
      <c r="BK153" s="510">
        <v>857.77199999999993</v>
      </c>
      <c r="BL153" s="510">
        <v>2.9394336987344989</v>
      </c>
      <c r="BM153" s="510">
        <v>2.7478164360692587</v>
      </c>
      <c r="BN153" s="514">
        <v>0</v>
      </c>
      <c r="BO153" s="514">
        <v>0</v>
      </c>
      <c r="BP153" s="514">
        <v>1040.2407203623015</v>
      </c>
      <c r="BQ153" s="514">
        <v>994.6961605181807</v>
      </c>
      <c r="BR153" s="514">
        <v>0</v>
      </c>
      <c r="BS153" s="515">
        <v>0</v>
      </c>
      <c r="BT153" s="512">
        <v>0.92773675959292579</v>
      </c>
      <c r="BU153" s="513">
        <v>0.83051975056486449</v>
      </c>
      <c r="BV153" s="513">
        <v>0.92773675959292579</v>
      </c>
      <c r="BW153" s="513">
        <v>0.84696162325805735</v>
      </c>
      <c r="BX153" s="510">
        <v>44.033999999999999</v>
      </c>
      <c r="BY153" s="510">
        <v>758.74599999999998</v>
      </c>
      <c r="BZ153" s="514">
        <v>72.854087895446852</v>
      </c>
      <c r="CA153" s="514">
        <v>86.203154170140522</v>
      </c>
      <c r="CB153" s="510">
        <v>1.8962619793795703</v>
      </c>
      <c r="CC153" s="510">
        <v>2.0908314508412564</v>
      </c>
      <c r="CD153" s="514">
        <v>0</v>
      </c>
      <c r="CE153" s="514">
        <v>8.4481499737725133E-2</v>
      </c>
      <c r="CF153" s="514">
        <v>902.17093609483879</v>
      </c>
      <c r="CG153" s="514">
        <v>909.83348182395753</v>
      </c>
      <c r="CH153" s="514">
        <v>0</v>
      </c>
      <c r="CI153" s="514">
        <v>218.71889802384504</v>
      </c>
      <c r="CJ153" s="514">
        <v>0</v>
      </c>
      <c r="CK153" s="514">
        <v>4.4383917674689464</v>
      </c>
    </row>
    <row r="154" spans="1:89" ht="12.75" customHeight="1">
      <c r="A154" s="560">
        <v>45888</v>
      </c>
      <c r="B154" s="512">
        <v>0.96500987229287571</v>
      </c>
      <c r="C154" s="513">
        <v>0.87660382512390667</v>
      </c>
      <c r="D154" s="513">
        <v>0.96500987229287571</v>
      </c>
      <c r="E154" s="513">
        <v>0.87660382512390667</v>
      </c>
      <c r="F154" s="510">
        <v>55.167999999999999</v>
      </c>
      <c r="G154" s="510">
        <v>1220.4099999999999</v>
      </c>
      <c r="H154" s="510">
        <v>2.1635730858468678</v>
      </c>
      <c r="I154" s="510">
        <v>2.2632566104833622</v>
      </c>
      <c r="J154" s="510">
        <v>1065.9523636890499</v>
      </c>
      <c r="K154" s="511">
        <v>831.51213116903068</v>
      </c>
      <c r="L154" s="512">
        <v>0.8981666494042837</v>
      </c>
      <c r="M154" s="513">
        <v>0.84145922659684025</v>
      </c>
      <c r="N154" s="513">
        <v>0.8981666494042837</v>
      </c>
      <c r="O154" s="513">
        <v>0.88025500868897233</v>
      </c>
      <c r="P154" s="510">
        <v>61.991999999999997</v>
      </c>
      <c r="Q154" s="510">
        <v>978.81600000000003</v>
      </c>
      <c r="R154" s="510">
        <v>2.2392728093947607</v>
      </c>
      <c r="S154" s="510">
        <v>2.5761481218124747</v>
      </c>
      <c r="T154" s="510">
        <v>0</v>
      </c>
      <c r="U154" s="510">
        <v>6.385265463580489E-2</v>
      </c>
      <c r="V154" s="510">
        <v>776.05642663569085</v>
      </c>
      <c r="W154" s="510">
        <v>793.28237380672226</v>
      </c>
      <c r="X154" s="510">
        <v>7.2267389340560069</v>
      </c>
      <c r="Y154" s="569">
        <v>114.7049087877599</v>
      </c>
      <c r="Z154" s="512">
        <v>0.75325327245909912</v>
      </c>
      <c r="AA154" s="513">
        <v>0.8968099347849593</v>
      </c>
      <c r="AB154" s="513">
        <v>0.75325327245909912</v>
      </c>
      <c r="AC154" s="513">
        <v>0.8968099347849593</v>
      </c>
      <c r="AD154" s="510">
        <v>34.768000000000001</v>
      </c>
      <c r="AE154" s="510">
        <v>807.73500000000013</v>
      </c>
      <c r="AF154" s="510">
        <v>99.584489428207959</v>
      </c>
      <c r="AG154" s="510">
        <v>93.885505586270583</v>
      </c>
      <c r="AH154" s="510">
        <v>1.5157616198803499</v>
      </c>
      <c r="AI154" s="510">
        <v>1.3301392164509398</v>
      </c>
      <c r="AJ154" s="510">
        <v>987.87563276576168</v>
      </c>
      <c r="AK154" s="510">
        <v>868.31166162169689</v>
      </c>
      <c r="AL154" s="576">
        <v>0</v>
      </c>
      <c r="AM154" s="576">
        <v>0</v>
      </c>
      <c r="AN154" s="512">
        <v>1.0248318423489604</v>
      </c>
      <c r="AO154" s="513">
        <v>0.84945322763332942</v>
      </c>
      <c r="AP154" s="513">
        <v>1.0248318423489604</v>
      </c>
      <c r="AQ154" s="513">
        <v>0.86481657368226295</v>
      </c>
      <c r="AR154" s="510">
        <v>55.048000000000002</v>
      </c>
      <c r="AS154" s="510">
        <v>839.67500000000018</v>
      </c>
      <c r="AT154" s="514">
        <v>86.303184086653047</v>
      </c>
      <c r="AU154" s="514">
        <v>108.8340893051934</v>
      </c>
      <c r="AV154" s="510">
        <v>1.3424647580293563</v>
      </c>
      <c r="AW154" s="510">
        <v>1.4985559889242859</v>
      </c>
      <c r="AX154" s="510">
        <v>0.16349367824444122</v>
      </c>
      <c r="AY154" s="510">
        <v>9.8609581087920894E-2</v>
      </c>
      <c r="AZ154" s="510">
        <v>762.36121203313473</v>
      </c>
      <c r="BA154" s="510">
        <v>930.39059159793931</v>
      </c>
      <c r="BB154" s="510">
        <v>428.06278157244913</v>
      </c>
      <c r="BC154" s="510">
        <v>280.42470122368729</v>
      </c>
      <c r="BD154" s="510">
        <v>2.9065542799011772</v>
      </c>
      <c r="BE154" s="510">
        <v>4.4191955220769863</v>
      </c>
      <c r="BF154" s="512">
        <v>0.95554064627730018</v>
      </c>
      <c r="BG154" s="513">
        <v>0.9117197494769731</v>
      </c>
      <c r="BH154" s="513">
        <v>0.95554064627730018</v>
      </c>
      <c r="BI154" s="513">
        <v>0.91384239357304042</v>
      </c>
      <c r="BJ154" s="510">
        <v>48.878</v>
      </c>
      <c r="BK154" s="510">
        <v>906.65</v>
      </c>
      <c r="BL154" s="510">
        <v>2.7271983305372562</v>
      </c>
      <c r="BM154" s="510">
        <v>2.7467049026636521</v>
      </c>
      <c r="BN154" s="514">
        <v>0</v>
      </c>
      <c r="BO154" s="514">
        <v>0</v>
      </c>
      <c r="BP154" s="514">
        <v>991.86801833134507</v>
      </c>
      <c r="BQ154" s="514">
        <v>994.54369381790116</v>
      </c>
      <c r="BR154" s="514">
        <v>0</v>
      </c>
      <c r="BS154" s="515">
        <v>0</v>
      </c>
      <c r="BT154" s="512">
        <v>0.9257927499339913</v>
      </c>
      <c r="BU154" s="513">
        <v>0.83555321433534346</v>
      </c>
      <c r="BV154" s="513">
        <v>0.9257927499339913</v>
      </c>
      <c r="BW154" s="513">
        <v>0.85120444328929112</v>
      </c>
      <c r="BX154" s="510">
        <v>47.177</v>
      </c>
      <c r="BY154" s="510">
        <v>805.923</v>
      </c>
      <c r="BZ154" s="514">
        <v>83.172494943679936</v>
      </c>
      <c r="CA154" s="514">
        <v>86.025745893758369</v>
      </c>
      <c r="CB154" s="510">
        <v>1.8695550798058376</v>
      </c>
      <c r="CC154" s="510">
        <v>2.0778784077387042</v>
      </c>
      <c r="CD154" s="514">
        <v>0</v>
      </c>
      <c r="CE154" s="514">
        <v>7.9536134345340681E-2</v>
      </c>
      <c r="CF154" s="514">
        <v>918.22000127180149</v>
      </c>
      <c r="CG154" s="514">
        <v>910.32441064468969</v>
      </c>
      <c r="CH154" s="514">
        <v>0</v>
      </c>
      <c r="CI154" s="514">
        <v>205.91556389382154</v>
      </c>
      <c r="CJ154" s="514">
        <v>0</v>
      </c>
      <c r="CK154" s="514">
        <v>4.1785778542118708</v>
      </c>
    </row>
    <row r="155" spans="1:89" ht="12.75" customHeight="1">
      <c r="A155" s="560">
        <v>45889</v>
      </c>
      <c r="B155" s="512">
        <v>0.97942225553071971</v>
      </c>
      <c r="C155" s="513">
        <v>0.88061975038636775</v>
      </c>
      <c r="D155" s="513">
        <v>0.97942225553071971</v>
      </c>
      <c r="E155" s="513">
        <v>0.88061975038636775</v>
      </c>
      <c r="F155" s="510">
        <v>55.423000000000002</v>
      </c>
      <c r="G155" s="510">
        <v>1275.8329999999999</v>
      </c>
      <c r="H155" s="510">
        <v>2.2084152788553486</v>
      </c>
      <c r="I155" s="510">
        <v>2.2608742680272416</v>
      </c>
      <c r="J155" s="510">
        <v>1051.4912581419885</v>
      </c>
      <c r="K155" s="511">
        <v>841.06816487737831</v>
      </c>
      <c r="L155" s="512">
        <v>0.93268989894130183</v>
      </c>
      <c r="M155" s="513">
        <v>0.84549324359895961</v>
      </c>
      <c r="N155" s="513">
        <v>0.93268989894130183</v>
      </c>
      <c r="O155" s="513">
        <v>0.88267552579181319</v>
      </c>
      <c r="P155" s="510">
        <v>50.192999999999998</v>
      </c>
      <c r="Q155" s="510">
        <v>1029.009</v>
      </c>
      <c r="R155" s="510">
        <v>2.4520351443428368</v>
      </c>
      <c r="S155" s="510">
        <v>2.5700941391183161</v>
      </c>
      <c r="T155" s="510">
        <v>0</v>
      </c>
      <c r="U155" s="510">
        <v>6.0738049910156279E-2</v>
      </c>
      <c r="V155" s="510">
        <v>962.07040822423994</v>
      </c>
      <c r="W155" s="510">
        <v>801.5155163851822</v>
      </c>
      <c r="X155" s="510">
        <v>8.9255473870858477</v>
      </c>
      <c r="Y155" s="569">
        <v>109.54520320036073</v>
      </c>
      <c r="Z155" s="512">
        <v>0.93323277801661286</v>
      </c>
      <c r="AA155" s="513">
        <v>0.89850555846028046</v>
      </c>
      <c r="AB155" s="513">
        <v>0.93323277801661286</v>
      </c>
      <c r="AC155" s="513">
        <v>0.89850555846028046</v>
      </c>
      <c r="AD155" s="510">
        <v>41.040999999999997</v>
      </c>
      <c r="AE155" s="510">
        <v>848.77600000000007</v>
      </c>
      <c r="AF155" s="510">
        <v>91.640886865995824</v>
      </c>
      <c r="AG155" s="510">
        <v>93.776971182730904</v>
      </c>
      <c r="AH155" s="510">
        <v>1.4083477498111645</v>
      </c>
      <c r="AI155" s="510">
        <v>1.3339208460182663</v>
      </c>
      <c r="AJ155" s="510">
        <v>898.53561073073274</v>
      </c>
      <c r="AK155" s="510">
        <v>869.77308500711786</v>
      </c>
      <c r="AL155" s="576">
        <v>0</v>
      </c>
      <c r="AM155" s="576">
        <v>0</v>
      </c>
      <c r="AN155" s="512">
        <v>0.96260345188745955</v>
      </c>
      <c r="AO155" s="513">
        <v>0.85598635229572195</v>
      </c>
      <c r="AP155" s="513">
        <v>0.96260345188745955</v>
      </c>
      <c r="AQ155" s="513">
        <v>0.87055876103189545</v>
      </c>
      <c r="AR155" s="510">
        <v>58.305999999999997</v>
      </c>
      <c r="AS155" s="510">
        <v>897.98100000000022</v>
      </c>
      <c r="AT155" s="514">
        <v>78.456033361561097</v>
      </c>
      <c r="AU155" s="514">
        <v>106.86163896398413</v>
      </c>
      <c r="AV155" s="510">
        <v>1.197132370596508</v>
      </c>
      <c r="AW155" s="510">
        <v>1.4789845219442277</v>
      </c>
      <c r="AX155" s="510">
        <v>0.21610125887558743</v>
      </c>
      <c r="AY155" s="510">
        <v>0.10623832798244057</v>
      </c>
      <c r="AZ155" s="510">
        <v>619.26388364833838</v>
      </c>
      <c r="BA155" s="510">
        <v>910.1891019965899</v>
      </c>
      <c r="BB155" s="510">
        <v>598.27462010770682</v>
      </c>
      <c r="BC155" s="510">
        <v>301.06272961231872</v>
      </c>
      <c r="BD155" s="510">
        <v>2.7441429698487294</v>
      </c>
      <c r="BE155" s="510">
        <v>4.3104341851330865</v>
      </c>
      <c r="BF155" s="512">
        <v>0.95735277833270793</v>
      </c>
      <c r="BG155" s="513">
        <v>0.91393529554879671</v>
      </c>
      <c r="BH155" s="513">
        <v>0.95735277833270793</v>
      </c>
      <c r="BI155" s="513">
        <v>0.91595956129518563</v>
      </c>
      <c r="BJ155" s="510">
        <v>48.581000000000003</v>
      </c>
      <c r="BK155" s="510">
        <v>955.23099999999999</v>
      </c>
      <c r="BL155" s="510">
        <v>2.7829810008027827</v>
      </c>
      <c r="BM155" s="510">
        <v>2.748549827214569</v>
      </c>
      <c r="BN155" s="514">
        <v>0</v>
      </c>
      <c r="BO155" s="514">
        <v>0</v>
      </c>
      <c r="BP155" s="514">
        <v>1034.4586360923029</v>
      </c>
      <c r="BQ155" s="514">
        <v>996.57368217740043</v>
      </c>
      <c r="BR155" s="514">
        <v>0</v>
      </c>
      <c r="BS155" s="515">
        <v>0</v>
      </c>
      <c r="BT155" s="512">
        <v>0.82421116730348243</v>
      </c>
      <c r="BU155" s="513">
        <v>0.83497606802540991</v>
      </c>
      <c r="BV155" s="513">
        <v>0.82421116730348243</v>
      </c>
      <c r="BW155" s="513">
        <v>0.84980647897813888</v>
      </c>
      <c r="BX155" s="510">
        <v>42.622</v>
      </c>
      <c r="BY155" s="510">
        <v>848.54499999999996</v>
      </c>
      <c r="BZ155" s="514">
        <v>91.37320822470754</v>
      </c>
      <c r="CA155" s="514">
        <v>86.294346309139655</v>
      </c>
      <c r="CB155" s="510">
        <v>2.0740462671859605</v>
      </c>
      <c r="CC155" s="510">
        <v>2.0776859211945156</v>
      </c>
      <c r="CD155" s="514">
        <v>0</v>
      </c>
      <c r="CE155" s="514">
        <v>7.554107324891432E-2</v>
      </c>
      <c r="CF155" s="514">
        <v>993.48634508000725</v>
      </c>
      <c r="CG155" s="514">
        <v>914.50159390486112</v>
      </c>
      <c r="CH155" s="514">
        <v>0</v>
      </c>
      <c r="CI155" s="514">
        <v>195.5725259120027</v>
      </c>
      <c r="CJ155" s="514">
        <v>0</v>
      </c>
      <c r="CK155" s="514">
        <v>3.9686899339457473</v>
      </c>
    </row>
    <row r="156" spans="1:89" ht="12.75" customHeight="1">
      <c r="A156" s="560">
        <v>45890</v>
      </c>
      <c r="B156" s="512">
        <v>0.99568876472732981</v>
      </c>
      <c r="C156" s="513">
        <v>0.88496534930381121</v>
      </c>
      <c r="D156" s="513">
        <v>0.99568876472732981</v>
      </c>
      <c r="E156" s="513">
        <v>0.88496534930381121</v>
      </c>
      <c r="F156" s="510">
        <v>56.616</v>
      </c>
      <c r="G156" s="510">
        <v>1332.4489999999998</v>
      </c>
      <c r="H156" s="510">
        <v>2.2713720503038011</v>
      </c>
      <c r="I156" s="510">
        <v>2.2613203207027062</v>
      </c>
      <c r="J156" s="510">
        <v>975.72947576656009</v>
      </c>
      <c r="K156" s="511">
        <v>846.78994843329838</v>
      </c>
      <c r="L156" s="512">
        <v>0.92668258275493076</v>
      </c>
      <c r="M156" s="513">
        <v>0.84893653502373134</v>
      </c>
      <c r="N156" s="513">
        <v>0.92668258275493076</v>
      </c>
      <c r="O156" s="513">
        <v>0.88462034304190851</v>
      </c>
      <c r="P156" s="510">
        <v>49.95</v>
      </c>
      <c r="Q156" s="510">
        <v>1078.9590000000001</v>
      </c>
      <c r="R156" s="510">
        <v>2.1656856856856854</v>
      </c>
      <c r="S156" s="510">
        <v>2.5513722022801599</v>
      </c>
      <c r="T156" s="510">
        <v>0</v>
      </c>
      <c r="U156" s="510">
        <v>5.7926204795548296E-2</v>
      </c>
      <c r="V156" s="510">
        <v>859.21221221222402</v>
      </c>
      <c r="W156" s="510">
        <v>804.18656315949033</v>
      </c>
      <c r="X156" s="510">
        <v>8.5285285285285291</v>
      </c>
      <c r="Y156" s="569">
        <v>104.86867434258392</v>
      </c>
      <c r="Z156" s="512">
        <v>0.9519032187092431</v>
      </c>
      <c r="AA156" s="513">
        <v>0.90088328206332746</v>
      </c>
      <c r="AB156" s="513">
        <v>0.9519032187092431</v>
      </c>
      <c r="AC156" s="513">
        <v>0.90088328206332746</v>
      </c>
      <c r="AD156" s="510">
        <v>41.906999999999996</v>
      </c>
      <c r="AE156" s="510">
        <v>890.68300000000011</v>
      </c>
      <c r="AF156" s="510">
        <v>86.831017462061567</v>
      </c>
      <c r="AG156" s="510">
        <v>93.450161214906103</v>
      </c>
      <c r="AH156" s="510">
        <v>1.3434509747774834</v>
      </c>
      <c r="AI156" s="510">
        <v>1.3343692424802089</v>
      </c>
      <c r="AJ156" s="510">
        <v>844.77294962651933</v>
      </c>
      <c r="AK156" s="510">
        <v>868.5968183966686</v>
      </c>
      <c r="AL156" s="576">
        <v>0</v>
      </c>
      <c r="AM156" s="576">
        <v>0</v>
      </c>
      <c r="AN156" s="512">
        <v>0.92878946915681715</v>
      </c>
      <c r="AO156" s="513">
        <v>0.85996826064376497</v>
      </c>
      <c r="AP156" s="513">
        <v>0.92878946915681715</v>
      </c>
      <c r="AQ156" s="513">
        <v>0.87379484972525789</v>
      </c>
      <c r="AR156" s="510">
        <v>56.375</v>
      </c>
      <c r="AS156" s="510">
        <v>954.35600000000022</v>
      </c>
      <c r="AT156" s="514">
        <v>81.54511060862184</v>
      </c>
      <c r="AU156" s="514">
        <v>105.36616003784594</v>
      </c>
      <c r="AV156" s="510">
        <v>1.2523281596452327</v>
      </c>
      <c r="AW156" s="510">
        <v>1.4655956477457044</v>
      </c>
      <c r="AX156" s="510">
        <v>0.22350332594235034</v>
      </c>
      <c r="AY156" s="510">
        <v>0.11316531776402093</v>
      </c>
      <c r="AZ156" s="510">
        <v>638.79201773835996</v>
      </c>
      <c r="BA156" s="510">
        <v>894.15733751346443</v>
      </c>
      <c r="BB156" s="510">
        <v>535.23725055432374</v>
      </c>
      <c r="BC156" s="510">
        <v>314.8957108248909</v>
      </c>
      <c r="BD156" s="510">
        <v>2.6607538802660753</v>
      </c>
      <c r="BE156" s="510">
        <v>4.2129855106480116</v>
      </c>
      <c r="BF156" s="512">
        <v>0.95471213132468868</v>
      </c>
      <c r="BG156" s="513">
        <v>0.91582339688643211</v>
      </c>
      <c r="BH156" s="513">
        <v>0.95471213132468868</v>
      </c>
      <c r="BI156" s="513">
        <v>0.91775772240517139</v>
      </c>
      <c r="BJ156" s="510">
        <v>48.447000000000003</v>
      </c>
      <c r="BK156" s="510">
        <v>1003.678</v>
      </c>
      <c r="BL156" s="510">
        <v>2.8051272524614528</v>
      </c>
      <c r="BM156" s="510">
        <v>2.7512807892571125</v>
      </c>
      <c r="BN156" s="514">
        <v>0</v>
      </c>
      <c r="BO156" s="514">
        <v>0</v>
      </c>
      <c r="BP156" s="514">
        <v>960.87167420067669</v>
      </c>
      <c r="BQ156" s="514">
        <v>994.85036535622032</v>
      </c>
      <c r="BR156" s="514">
        <v>0</v>
      </c>
      <c r="BS156" s="515">
        <v>0</v>
      </c>
      <c r="BT156" s="512">
        <v>0.91264785984446017</v>
      </c>
      <c r="BU156" s="513">
        <v>0.83870851495448495</v>
      </c>
      <c r="BV156" s="513">
        <v>0.91264785984446017</v>
      </c>
      <c r="BW156" s="513">
        <v>0.85287727896014476</v>
      </c>
      <c r="BX156" s="510">
        <v>46.819000000000003</v>
      </c>
      <c r="BY156" s="510">
        <v>895.36399999999992</v>
      </c>
      <c r="BZ156" s="514">
        <v>83.64268653017642</v>
      </c>
      <c r="CA156" s="514">
        <v>86.155689785992323</v>
      </c>
      <c r="CB156" s="510">
        <v>1.9244323885601997</v>
      </c>
      <c r="CC156" s="510">
        <v>2.0696722226937871</v>
      </c>
      <c r="CD156" s="514">
        <v>0</v>
      </c>
      <c r="CE156" s="514">
        <v>7.1590995394052032E-2</v>
      </c>
      <c r="CF156" s="514">
        <v>855.1090369294518</v>
      </c>
      <c r="CG156" s="514">
        <v>911.39592947672736</v>
      </c>
      <c r="CH156" s="514">
        <v>0</v>
      </c>
      <c r="CI156" s="514">
        <v>185.34594756992726</v>
      </c>
      <c r="CJ156" s="514">
        <v>0</v>
      </c>
      <c r="CK156" s="514">
        <v>3.7611652914345388</v>
      </c>
    </row>
    <row r="157" spans="1:89" ht="12.75" customHeight="1">
      <c r="A157" s="560">
        <v>45891</v>
      </c>
      <c r="B157" s="512">
        <v>0.98022427050564487</v>
      </c>
      <c r="C157" s="513">
        <v>0.88841531771425353</v>
      </c>
      <c r="D157" s="513">
        <v>0.98022427050564487</v>
      </c>
      <c r="E157" s="513">
        <v>0.88841531771425353</v>
      </c>
      <c r="F157" s="510">
        <v>55.46</v>
      </c>
      <c r="G157" s="510">
        <v>1387.9089999999999</v>
      </c>
      <c r="H157" s="510">
        <v>2.336783267219618</v>
      </c>
      <c r="I157" s="510">
        <v>2.2643357741753962</v>
      </c>
      <c r="J157" s="510">
        <v>998.10890732059249</v>
      </c>
      <c r="K157" s="511">
        <v>852.8365620512584</v>
      </c>
      <c r="L157" s="512">
        <v>0.94399890877308856</v>
      </c>
      <c r="M157" s="513">
        <v>0.85273860744503582</v>
      </c>
      <c r="N157" s="513">
        <v>0.94399890877308856</v>
      </c>
      <c r="O157" s="513">
        <v>0.88709089293109966</v>
      </c>
      <c r="P157" s="510">
        <v>49.984999999999999</v>
      </c>
      <c r="Q157" s="510">
        <v>1128.944</v>
      </c>
      <c r="R157" s="510">
        <v>2.103671101330399</v>
      </c>
      <c r="S157" s="510">
        <v>2.531549837724457</v>
      </c>
      <c r="T157" s="510">
        <v>0</v>
      </c>
      <c r="U157" s="510">
        <v>5.5361470542382975E-2</v>
      </c>
      <c r="V157" s="510">
        <v>875.50825247574937</v>
      </c>
      <c r="W157" s="510">
        <v>807.34439440751794</v>
      </c>
      <c r="X157" s="510">
        <v>8.8426527958387524</v>
      </c>
      <c r="Y157" s="569">
        <v>100.61703680607718</v>
      </c>
      <c r="Z157" s="512">
        <v>1.0052664550061756</v>
      </c>
      <c r="AA157" s="513">
        <v>0.90538231031683081</v>
      </c>
      <c r="AB157" s="513">
        <v>1.0052664550061756</v>
      </c>
      <c r="AC157" s="513">
        <v>0.90538231031683081</v>
      </c>
      <c r="AD157" s="510">
        <v>44.767000000000003</v>
      </c>
      <c r="AE157" s="510">
        <v>935.45000000000016</v>
      </c>
      <c r="AF157" s="510">
        <v>84.377996281025176</v>
      </c>
      <c r="AG157" s="510">
        <v>93.016002673460761</v>
      </c>
      <c r="AH157" s="510">
        <v>1.3201688743940849</v>
      </c>
      <c r="AI157" s="510">
        <v>1.3336896680741885</v>
      </c>
      <c r="AJ157" s="510">
        <v>839.34862733712544</v>
      </c>
      <c r="AK157" s="510">
        <v>867.1971136886001</v>
      </c>
      <c r="AL157" s="576">
        <v>0</v>
      </c>
      <c r="AM157" s="576">
        <v>0</v>
      </c>
      <c r="AN157" s="512">
        <v>1.0214978530396439</v>
      </c>
      <c r="AO157" s="513">
        <v>0.86836954184561743</v>
      </c>
      <c r="AP157" s="513">
        <v>1.0214978530396439</v>
      </c>
      <c r="AQ157" s="513">
        <v>0.88159399104035274</v>
      </c>
      <c r="AR157" s="510">
        <v>62.195</v>
      </c>
      <c r="AS157" s="510">
        <v>1016.5510000000003</v>
      </c>
      <c r="AT157" s="514">
        <v>74.700708536970737</v>
      </c>
      <c r="AU157" s="514">
        <v>103.48997501997971</v>
      </c>
      <c r="AV157" s="510">
        <v>1.131923788085859</v>
      </c>
      <c r="AW157" s="510">
        <v>1.445180812374391</v>
      </c>
      <c r="AX157" s="510">
        <v>0.1736473993086261</v>
      </c>
      <c r="AY157" s="510">
        <v>0.11686575489080228</v>
      </c>
      <c r="AZ157" s="510">
        <v>579.22855535010854</v>
      </c>
      <c r="BA157" s="510">
        <v>874.88924805543434</v>
      </c>
      <c r="BB157" s="510">
        <v>458.12364337969217</v>
      </c>
      <c r="BC157" s="510">
        <v>323.65873527250426</v>
      </c>
      <c r="BD157" s="510">
        <v>2.7333386928209666</v>
      </c>
      <c r="BE157" s="510">
        <v>4.1224572107056057</v>
      </c>
      <c r="BF157" s="512">
        <v>0.92235435231597518</v>
      </c>
      <c r="BG157" s="513">
        <v>0.91611241889177908</v>
      </c>
      <c r="BH157" s="513">
        <v>0.92235435231597518</v>
      </c>
      <c r="BI157" s="513">
        <v>0.91796155303683546</v>
      </c>
      <c r="BJ157" s="510">
        <v>46.805</v>
      </c>
      <c r="BK157" s="510">
        <v>1050.4829999999999</v>
      </c>
      <c r="BL157" s="510">
        <v>2.924901185770751</v>
      </c>
      <c r="BM157" s="510">
        <v>2.7590165666650486</v>
      </c>
      <c r="BN157" s="514">
        <v>0</v>
      </c>
      <c r="BO157" s="514">
        <v>0</v>
      </c>
      <c r="BP157" s="514">
        <v>1021.2515756863585</v>
      </c>
      <c r="BQ157" s="514">
        <v>996.02668962753387</v>
      </c>
      <c r="BR157" s="514">
        <v>0</v>
      </c>
      <c r="BS157" s="515">
        <v>0</v>
      </c>
      <c r="BT157" s="512">
        <v>0.93941007920619324</v>
      </c>
      <c r="BU157" s="513">
        <v>0.8433747419343457</v>
      </c>
      <c r="BV157" s="513">
        <v>0.93941007920619324</v>
      </c>
      <c r="BW157" s="513">
        <v>0.85695151383216761</v>
      </c>
      <c r="BX157" s="510">
        <v>48.728000000000002</v>
      </c>
      <c r="BY157" s="510">
        <v>944.09199999999987</v>
      </c>
      <c r="BZ157" s="514">
        <v>77.053022349171968</v>
      </c>
      <c r="CA157" s="514">
        <v>85.685868223198256</v>
      </c>
      <c r="CB157" s="510">
        <v>1.8716138565096043</v>
      </c>
      <c r="CC157" s="510">
        <v>2.0594497146464543</v>
      </c>
      <c r="CD157" s="514">
        <v>0</v>
      </c>
      <c r="CE157" s="514">
        <v>6.7895925397101139E-2</v>
      </c>
      <c r="CF157" s="514">
        <v>845.46215728123525</v>
      </c>
      <c r="CG157" s="514">
        <v>907.99284921384833</v>
      </c>
      <c r="CH157" s="514">
        <v>0</v>
      </c>
      <c r="CI157" s="514">
        <v>175.77957338903448</v>
      </c>
      <c r="CJ157" s="514">
        <v>0</v>
      </c>
      <c r="CK157" s="514">
        <v>3.5670379581650882</v>
      </c>
    </row>
    <row r="158" spans="1:89" ht="13.5" customHeight="1">
      <c r="A158" s="560">
        <v>45892</v>
      </c>
      <c r="B158" s="512">
        <v>0.80290783777060148</v>
      </c>
      <c r="C158" s="513">
        <v>0.885661729435536</v>
      </c>
      <c r="D158" s="513">
        <v>0.80290783777060148</v>
      </c>
      <c r="E158" s="513">
        <v>0.885661729435536</v>
      </c>
      <c r="F158" s="510">
        <v>41.737000000000002</v>
      </c>
      <c r="G158" s="510">
        <v>1429.646</v>
      </c>
      <c r="H158" s="510">
        <v>3.0125787670412345</v>
      </c>
      <c r="I158" s="510">
        <v>2.286179935452552</v>
      </c>
      <c r="J158" s="510">
        <v>1272.4810120516545</v>
      </c>
      <c r="K158" s="511">
        <v>865.08763707938863</v>
      </c>
      <c r="L158" s="512">
        <v>0.97979699434719558</v>
      </c>
      <c r="M158" s="513">
        <v>0.85747628699385758</v>
      </c>
      <c r="N158" s="513">
        <v>0.97979699434719558</v>
      </c>
      <c r="O158" s="513">
        <v>0.89068152568739622</v>
      </c>
      <c r="P158" s="510">
        <v>50.241</v>
      </c>
      <c r="Q158" s="510">
        <v>1179.1849999999999</v>
      </c>
      <c r="R158" s="510">
        <v>2.0961167174220261</v>
      </c>
      <c r="S158" s="510">
        <v>2.512997536434062</v>
      </c>
      <c r="T158" s="510">
        <v>0</v>
      </c>
      <c r="U158" s="510">
        <v>5.3002709498509569E-2</v>
      </c>
      <c r="V158" s="510">
        <v>866.84998308154331</v>
      </c>
      <c r="W158" s="510">
        <v>809.87972201138984</v>
      </c>
      <c r="X158" s="510">
        <v>5.3541927907485913</v>
      </c>
      <c r="Y158" s="569">
        <v>96.558216056004781</v>
      </c>
      <c r="Z158" s="512">
        <v>0.90847818579762052</v>
      </c>
      <c r="AA158" s="513">
        <v>0.90551464907843149</v>
      </c>
      <c r="AB158" s="513">
        <v>0.90847818579762052</v>
      </c>
      <c r="AC158" s="513">
        <v>0.90551464907843149</v>
      </c>
      <c r="AD158" s="510">
        <v>41.915999999999997</v>
      </c>
      <c r="AE158" s="510">
        <v>977.36600000000021</v>
      </c>
      <c r="AF158" s="510">
        <v>95.56066757356831</v>
      </c>
      <c r="AG158" s="510">
        <v>93.125134947299742</v>
      </c>
      <c r="AH158" s="510">
        <v>1.4242771256799314</v>
      </c>
      <c r="AI158" s="510">
        <v>1.3375746649668596</v>
      </c>
      <c r="AJ158" s="510">
        <v>885.33113846739366</v>
      </c>
      <c r="AK158" s="510">
        <v>867.97482212395369</v>
      </c>
      <c r="AL158" s="576">
        <v>0</v>
      </c>
      <c r="AM158" s="576">
        <v>0</v>
      </c>
      <c r="AN158" s="512">
        <v>1.019214901008572</v>
      </c>
      <c r="AO158" s="513">
        <v>0.87582724657867506</v>
      </c>
      <c r="AP158" s="513">
        <v>1.019214901008572</v>
      </c>
      <c r="AQ158" s="513">
        <v>0.88849630693645509</v>
      </c>
      <c r="AR158" s="510">
        <v>62.055999999999997</v>
      </c>
      <c r="AS158" s="510">
        <v>1078.6070000000002</v>
      </c>
      <c r="AT158" s="514">
        <v>74.442073288691091</v>
      </c>
      <c r="AU158" s="514">
        <v>101.81874853077944</v>
      </c>
      <c r="AV158" s="510">
        <v>1.1344591981436123</v>
      </c>
      <c r="AW158" s="510">
        <v>1.4273039207051315</v>
      </c>
      <c r="AX158" s="510">
        <v>0.1885393837823901</v>
      </c>
      <c r="AY158" s="510">
        <v>0.12098938723742748</v>
      </c>
      <c r="AZ158" s="510">
        <v>621.68911950496295</v>
      </c>
      <c r="BA158" s="510">
        <v>860.32176687152946</v>
      </c>
      <c r="BB158" s="510">
        <v>495.33485883716645</v>
      </c>
      <c r="BC158" s="510">
        <v>333.53585782402553</v>
      </c>
      <c r="BD158" s="510">
        <v>2.2753641871859553</v>
      </c>
      <c r="BE158" s="510">
        <v>4.0161875456028051</v>
      </c>
      <c r="BF158" s="512">
        <v>0.85035707081340051</v>
      </c>
      <c r="BG158" s="513">
        <v>0.91324404936063042</v>
      </c>
      <c r="BH158" s="513">
        <v>0.85035707081340051</v>
      </c>
      <c r="BI158" s="513">
        <v>0.91500682852806803</v>
      </c>
      <c r="BJ158" s="510">
        <v>44.475000000000001</v>
      </c>
      <c r="BK158" s="510">
        <v>1094.9579999999999</v>
      </c>
      <c r="BL158" s="510">
        <v>3.2085441259134342</v>
      </c>
      <c r="BM158" s="510">
        <v>2.7772754754063631</v>
      </c>
      <c r="BN158" s="514">
        <v>0</v>
      </c>
      <c r="BO158" s="514">
        <v>0</v>
      </c>
      <c r="BP158" s="514">
        <v>1086.1422147273568</v>
      </c>
      <c r="BQ158" s="514">
        <v>999.68700169321562</v>
      </c>
      <c r="BR158" s="514">
        <v>0</v>
      </c>
      <c r="BS158" s="515">
        <v>0</v>
      </c>
      <c r="BT158" s="512">
        <v>0.90743098367241348</v>
      </c>
      <c r="BU158" s="513">
        <v>0.84637610211303338</v>
      </c>
      <c r="BV158" s="513">
        <v>0.90743098367241348</v>
      </c>
      <c r="BW158" s="513">
        <v>0.85935299757315087</v>
      </c>
      <c r="BX158" s="510">
        <v>49.935000000000002</v>
      </c>
      <c r="BY158" s="510">
        <v>994.02699999999982</v>
      </c>
      <c r="BZ158" s="514">
        <v>77.118288935281754</v>
      </c>
      <c r="CA158" s="514">
        <v>85.255475415214079</v>
      </c>
      <c r="CB158" s="510">
        <v>1.8043456493441472</v>
      </c>
      <c r="CC158" s="510">
        <v>2.046634548156137</v>
      </c>
      <c r="CD158" s="514">
        <v>0</v>
      </c>
      <c r="CE158" s="514">
        <v>6.4485169919931765E-2</v>
      </c>
      <c r="CF158" s="514">
        <v>760.89185941723531</v>
      </c>
      <c r="CG158" s="514">
        <v>900.60322305128557</v>
      </c>
      <c r="CH158" s="514">
        <v>0</v>
      </c>
      <c r="CI158" s="514">
        <v>166.94927703171078</v>
      </c>
      <c r="CJ158" s="514">
        <v>0</v>
      </c>
      <c r="CK158" s="514">
        <v>3.3878476137972053</v>
      </c>
    </row>
    <row r="159" spans="1:89" ht="12.75" customHeight="1">
      <c r="A159" s="560">
        <v>45893</v>
      </c>
      <c r="B159" s="512">
        <v>0.87883768679858632</v>
      </c>
      <c r="C159" s="513">
        <v>0.88545237753621198</v>
      </c>
      <c r="D159" s="513">
        <v>0.87883768679858632</v>
      </c>
      <c r="E159" s="513">
        <v>0.88545237753621198</v>
      </c>
      <c r="F159" s="510">
        <v>44.899000000000001</v>
      </c>
      <c r="G159" s="510">
        <v>1474.5450000000001</v>
      </c>
      <c r="H159" s="510">
        <v>2.7527561861065948</v>
      </c>
      <c r="I159" s="510">
        <v>2.3003868990095246</v>
      </c>
      <c r="J159" s="510">
        <v>1250.6541348359112</v>
      </c>
      <c r="K159" s="511">
        <v>876.8279028446043</v>
      </c>
      <c r="L159" s="512">
        <v>0.99753962165299936</v>
      </c>
      <c r="M159" s="513">
        <v>0.86251857185039715</v>
      </c>
      <c r="N159" s="513">
        <v>0.99753962165299936</v>
      </c>
      <c r="O159" s="513">
        <v>0.8946718266495155</v>
      </c>
      <c r="P159" s="510">
        <v>51.228999999999999</v>
      </c>
      <c r="Q159" s="510">
        <v>1230.414</v>
      </c>
      <c r="R159" s="510">
        <v>2.0516894727595698</v>
      </c>
      <c r="S159" s="510">
        <v>2.493790707843051</v>
      </c>
      <c r="T159" s="510">
        <v>0</v>
      </c>
      <c r="U159" s="510">
        <v>5.0795910969803661E-2</v>
      </c>
      <c r="V159" s="510">
        <v>841.86456889652641</v>
      </c>
      <c r="W159" s="510">
        <v>811.21142964888304</v>
      </c>
      <c r="X159" s="510">
        <v>14.366862519276191</v>
      </c>
      <c r="Y159" s="569">
        <v>93.136131415929924</v>
      </c>
      <c r="Z159" s="512">
        <v>0.96789333551893486</v>
      </c>
      <c r="AA159" s="513">
        <v>0.90808235022413608</v>
      </c>
      <c r="AB159" s="513">
        <v>0.96789333551893486</v>
      </c>
      <c r="AC159" s="513">
        <v>0.90808235022413608</v>
      </c>
      <c r="AD159" s="510">
        <v>44.848999999999997</v>
      </c>
      <c r="AE159" s="510">
        <v>1022.2150000000003</v>
      </c>
      <c r="AF159" s="510">
        <v>88.815860106301798</v>
      </c>
      <c r="AG159" s="510">
        <v>92.936068393449602</v>
      </c>
      <c r="AH159" s="510">
        <v>1.3400521750763674</v>
      </c>
      <c r="AI159" s="510">
        <v>1.3376833640672456</v>
      </c>
      <c r="AJ159" s="510">
        <v>817.03315570023051</v>
      </c>
      <c r="AK159" s="510">
        <v>865.73979055286782</v>
      </c>
      <c r="AL159" s="576">
        <v>0</v>
      </c>
      <c r="AM159" s="576">
        <v>0</v>
      </c>
      <c r="AN159" s="512">
        <v>1.0002608562610158</v>
      </c>
      <c r="AO159" s="513">
        <v>0.88147691764381619</v>
      </c>
      <c r="AP159" s="513">
        <v>1.0002608562610158</v>
      </c>
      <c r="AQ159" s="513">
        <v>0.89364078800163216</v>
      </c>
      <c r="AR159" s="510">
        <v>58.59</v>
      </c>
      <c r="AS159" s="510">
        <v>1137.1970000000001</v>
      </c>
      <c r="AT159" s="514">
        <v>79.704949033154605</v>
      </c>
      <c r="AU159" s="514">
        <v>100.67941426190093</v>
      </c>
      <c r="AV159" s="510">
        <v>1.2169312169312168</v>
      </c>
      <c r="AW159" s="510">
        <v>1.4164652210654793</v>
      </c>
      <c r="AX159" s="510">
        <v>0.18433179723502305</v>
      </c>
      <c r="AY159" s="510">
        <v>0.1242528779094563</v>
      </c>
      <c r="AZ159" s="510">
        <v>630.87762416794726</v>
      </c>
      <c r="BA159" s="510">
        <v>848.50047968821593</v>
      </c>
      <c r="BB159" s="510">
        <v>554.20208226660782</v>
      </c>
      <c r="BC159" s="510">
        <v>344.90489422676922</v>
      </c>
      <c r="BD159" s="510">
        <v>2.7137736815151206</v>
      </c>
      <c r="BE159" s="510">
        <v>3.949085338775935</v>
      </c>
      <c r="BF159" s="512">
        <v>0.90842429574588368</v>
      </c>
      <c r="BG159" s="513">
        <v>0.9130332366489724</v>
      </c>
      <c r="BH159" s="513">
        <v>0.90842429574588368</v>
      </c>
      <c r="BI159" s="513">
        <v>0.91471838167393704</v>
      </c>
      <c r="BJ159" s="510">
        <v>49.819000000000003</v>
      </c>
      <c r="BK159" s="510">
        <v>1144.7769999999998</v>
      </c>
      <c r="BL159" s="510">
        <v>2.9707541299504205</v>
      </c>
      <c r="BM159" s="510">
        <v>2.7856953799735673</v>
      </c>
      <c r="BN159" s="514">
        <v>0</v>
      </c>
      <c r="BO159" s="514">
        <v>0</v>
      </c>
      <c r="BP159" s="514">
        <v>969.61761576913034</v>
      </c>
      <c r="BQ159" s="514">
        <v>998.37842654071687</v>
      </c>
      <c r="BR159" s="514">
        <v>0</v>
      </c>
      <c r="BS159" s="515">
        <v>0</v>
      </c>
      <c r="BT159" s="512">
        <v>0.98306929775801366</v>
      </c>
      <c r="BU159" s="513">
        <v>0.85215157188531077</v>
      </c>
      <c r="BV159" s="513">
        <v>0.98306929775801366</v>
      </c>
      <c r="BW159" s="513">
        <v>0.86465688498753435</v>
      </c>
      <c r="BX159" s="510">
        <v>50.933999999999997</v>
      </c>
      <c r="BY159" s="510">
        <v>1044.9609999999998</v>
      </c>
      <c r="BZ159" s="514">
        <v>76.781413716573255</v>
      </c>
      <c r="CA159" s="514">
        <v>84.842428556471432</v>
      </c>
      <c r="CB159" s="510">
        <v>1.7473593277574901</v>
      </c>
      <c r="CC159" s="510">
        <v>2.0320471290316102</v>
      </c>
      <c r="CD159" s="514">
        <v>0</v>
      </c>
      <c r="CE159" s="514">
        <v>6.1342002237404082E-2</v>
      </c>
      <c r="CF159" s="514">
        <v>751.7901598147065</v>
      </c>
      <c r="CG159" s="514">
        <v>893.34970396024596</v>
      </c>
      <c r="CH159" s="514">
        <v>0</v>
      </c>
      <c r="CI159" s="514">
        <v>158.81175374009206</v>
      </c>
      <c r="CJ159" s="514">
        <v>0</v>
      </c>
      <c r="CK159" s="514">
        <v>3.2227154889034084</v>
      </c>
    </row>
    <row r="160" spans="1:89" ht="12.75" customHeight="1">
      <c r="A160" s="560">
        <v>45894</v>
      </c>
      <c r="B160" s="512">
        <v>0.77499150997452282</v>
      </c>
      <c r="C160" s="513">
        <v>0.88212673812562148</v>
      </c>
      <c r="D160" s="513">
        <v>0.77499150997452282</v>
      </c>
      <c r="E160" s="513">
        <v>0.88212673812562148</v>
      </c>
      <c r="F160" s="510">
        <v>40.061999999999998</v>
      </c>
      <c r="G160" s="510">
        <v>1514.607</v>
      </c>
      <c r="H160" s="510">
        <v>3.234037242274475</v>
      </c>
      <c r="I160" s="510">
        <v>2.3250823480942575</v>
      </c>
      <c r="J160" s="510">
        <v>1402.5555389147378</v>
      </c>
      <c r="K160" s="511">
        <v>890.73362264930734</v>
      </c>
      <c r="L160" s="512">
        <v>0.9506970633727001</v>
      </c>
      <c r="M160" s="513">
        <v>0.86594795770164679</v>
      </c>
      <c r="N160" s="513">
        <v>0.9506970633727001</v>
      </c>
      <c r="O160" s="513">
        <v>0.89692868086526856</v>
      </c>
      <c r="P160" s="510">
        <v>54.878999999999998</v>
      </c>
      <c r="Q160" s="510">
        <v>1285.2929999999999</v>
      </c>
      <c r="R160" s="510">
        <v>1.9921099145392591</v>
      </c>
      <c r="S160" s="510">
        <v>2.4723701132737825</v>
      </c>
      <c r="T160" s="510">
        <v>0</v>
      </c>
      <c r="U160" s="510">
        <v>4.8627044572716112E-2</v>
      </c>
      <c r="V160" s="510">
        <v>788.15521419850143</v>
      </c>
      <c r="W160" s="510">
        <v>810.2269832637387</v>
      </c>
      <c r="X160" s="510">
        <v>7.9447511798684376</v>
      </c>
      <c r="Y160" s="569">
        <v>89.498659060618863</v>
      </c>
      <c r="Z160" s="512">
        <v>0.89183625181888104</v>
      </c>
      <c r="AA160" s="513">
        <v>0.90744619864028198</v>
      </c>
      <c r="AB160" s="513">
        <v>0.89183625181888104</v>
      </c>
      <c r="AC160" s="513">
        <v>0.90744619864028198</v>
      </c>
      <c r="AD160" s="510">
        <v>40.912999999999997</v>
      </c>
      <c r="AE160" s="510">
        <v>1063.1280000000002</v>
      </c>
      <c r="AF160" s="510">
        <v>101.16618419173648</v>
      </c>
      <c r="AG160" s="510">
        <v>93.25279293429071</v>
      </c>
      <c r="AH160" s="510">
        <v>1.4836360081147804</v>
      </c>
      <c r="AI160" s="510">
        <v>1.3433001482417919</v>
      </c>
      <c r="AJ160" s="510">
        <v>871.34113851345762</v>
      </c>
      <c r="AK160" s="510">
        <v>865.95535062570161</v>
      </c>
      <c r="AL160" s="576">
        <v>0</v>
      </c>
      <c r="AM160" s="576">
        <v>0</v>
      </c>
      <c r="AN160" s="512">
        <v>0.94426269562160758</v>
      </c>
      <c r="AO160" s="513">
        <v>0.88389757354117604</v>
      </c>
      <c r="AP160" s="513">
        <v>0.94426269562160758</v>
      </c>
      <c r="AQ160" s="513">
        <v>0.89561835555942493</v>
      </c>
      <c r="AR160" s="510">
        <v>48.85</v>
      </c>
      <c r="AS160" s="510">
        <v>1186.047</v>
      </c>
      <c r="AT160" s="514">
        <v>107.20732165465029</v>
      </c>
      <c r="AU160" s="514">
        <v>100.94828073695277</v>
      </c>
      <c r="AV160" s="510">
        <v>1.5312180143295802</v>
      </c>
      <c r="AW160" s="510">
        <v>1.4211915716662156</v>
      </c>
      <c r="AX160" s="510">
        <v>0.25793244626407369</v>
      </c>
      <c r="AY160" s="510">
        <v>0.12975877009932993</v>
      </c>
      <c r="AZ160" s="510">
        <v>881.45711361310214</v>
      </c>
      <c r="BA160" s="510">
        <v>849.85787241146443</v>
      </c>
      <c r="BB160" s="510">
        <v>667.6171954964251</v>
      </c>
      <c r="BC160" s="510">
        <v>358.1965225661375</v>
      </c>
      <c r="BD160" s="510">
        <v>2.8352098259979526</v>
      </c>
      <c r="BE160" s="510">
        <v>3.9032078829928132</v>
      </c>
      <c r="BF160" s="512">
        <v>0.93106540372700297</v>
      </c>
      <c r="BG160" s="513">
        <v>0.9137707497184977</v>
      </c>
      <c r="BH160" s="513">
        <v>0.93106540372700297</v>
      </c>
      <c r="BI160" s="513">
        <v>0.91538815598084255</v>
      </c>
      <c r="BJ160" s="510">
        <v>49.781999999999996</v>
      </c>
      <c r="BK160" s="510">
        <v>1194.5589999999997</v>
      </c>
      <c r="BL160" s="510">
        <v>3.0051022457916519</v>
      </c>
      <c r="BM160" s="510">
        <v>2.7948389321917131</v>
      </c>
      <c r="BN160" s="514">
        <v>0</v>
      </c>
      <c r="BO160" s="514">
        <v>0</v>
      </c>
      <c r="BP160" s="514">
        <v>1005.8649712747157</v>
      </c>
      <c r="BQ160" s="514">
        <v>998.69042048153347</v>
      </c>
      <c r="BR160" s="514">
        <v>0</v>
      </c>
      <c r="BS160" s="515">
        <v>0</v>
      </c>
      <c r="BT160" s="512">
        <v>0.93907394183584814</v>
      </c>
      <c r="BU160" s="513">
        <v>0.8555130885751312</v>
      </c>
      <c r="BV160" s="513">
        <v>0.93907394183584814</v>
      </c>
      <c r="BW160" s="513">
        <v>0.86757536522195333</v>
      </c>
      <c r="BX160" s="510">
        <v>46.325000000000003</v>
      </c>
      <c r="BY160" s="510">
        <v>1091.2859999999998</v>
      </c>
      <c r="BZ160" s="514">
        <v>85.653755927335538</v>
      </c>
      <c r="CA160" s="514">
        <v>84.876869335932781</v>
      </c>
      <c r="CB160" s="510">
        <v>1.8866702644360496</v>
      </c>
      <c r="CC160" s="510">
        <v>2.0258758932122287</v>
      </c>
      <c r="CD160" s="514">
        <v>0</v>
      </c>
      <c r="CE160" s="514">
        <v>5.8738039340741108E-2</v>
      </c>
      <c r="CF160" s="514">
        <v>870.75596330268297</v>
      </c>
      <c r="CG160" s="514">
        <v>892.39060154716481</v>
      </c>
      <c r="CH160" s="514">
        <v>0</v>
      </c>
      <c r="CI160" s="514">
        <v>152.07020799313869</v>
      </c>
      <c r="CJ160" s="514">
        <v>0</v>
      </c>
      <c r="CK160" s="514">
        <v>3.0859114842488533</v>
      </c>
    </row>
    <row r="161" spans="1:89" ht="12.75" customHeight="1">
      <c r="A161" s="560">
        <v>45895</v>
      </c>
      <c r="B161" s="512">
        <v>0.85579198215296204</v>
      </c>
      <c r="C161" s="513">
        <v>0.881271384772779</v>
      </c>
      <c r="D161" s="513">
        <v>0.85579198215296204</v>
      </c>
      <c r="E161" s="513">
        <v>0.881271384772779</v>
      </c>
      <c r="F161" s="510">
        <v>49.328000000000003</v>
      </c>
      <c r="G161" s="510">
        <v>1563.9349999999999</v>
      </c>
      <c r="H161" s="510">
        <v>2.7341063898799867</v>
      </c>
      <c r="I161" s="510">
        <v>2.3379833560857706</v>
      </c>
      <c r="J161" s="510">
        <v>1195.5291112552368</v>
      </c>
      <c r="K161" s="511">
        <v>900.34716276571453</v>
      </c>
      <c r="L161" s="512">
        <v>0.95058438496035369</v>
      </c>
      <c r="M161" s="513">
        <v>0.86925299953692914</v>
      </c>
      <c r="N161" s="513">
        <v>0.95058438496035369</v>
      </c>
      <c r="O161" s="513">
        <v>0.89909586263281072</v>
      </c>
      <c r="P161" s="510">
        <v>57.335000000000001</v>
      </c>
      <c r="Q161" s="510">
        <v>1342.6279999999999</v>
      </c>
      <c r="R161" s="510">
        <v>2.139495944885323</v>
      </c>
      <c r="S161" s="510">
        <v>2.4581552001001019</v>
      </c>
      <c r="T161" s="510">
        <v>0</v>
      </c>
      <c r="U161" s="510">
        <v>4.6550496488975357E-2</v>
      </c>
      <c r="V161" s="510">
        <v>796.8778233190809</v>
      </c>
      <c r="W161" s="510">
        <v>809.65692656491581</v>
      </c>
      <c r="X161" s="510">
        <v>7.8660504055114675</v>
      </c>
      <c r="Y161" s="569">
        <v>86.01265577658144</v>
      </c>
      <c r="Z161" s="512">
        <v>0.88567217476587146</v>
      </c>
      <c r="AA161" s="513">
        <v>0.90663958597811156</v>
      </c>
      <c r="AB161" s="513">
        <v>0.88567217476587146</v>
      </c>
      <c r="AC161" s="513">
        <v>0.90663958597811156</v>
      </c>
      <c r="AD161" s="510">
        <v>39.917000000000002</v>
      </c>
      <c r="AE161" s="510">
        <v>1103.0450000000001</v>
      </c>
      <c r="AF161" s="510">
        <v>102.69579742056152</v>
      </c>
      <c r="AG161" s="510">
        <v>93.594516445188702</v>
      </c>
      <c r="AH161" s="510">
        <v>1.5006137735801788</v>
      </c>
      <c r="AI161" s="510">
        <v>1.3489930147908742</v>
      </c>
      <c r="AJ161" s="510">
        <v>949.79732945862656</v>
      </c>
      <c r="AK161" s="510">
        <v>868.98942472881993</v>
      </c>
      <c r="AL161" s="576">
        <v>0</v>
      </c>
      <c r="AM161" s="576">
        <v>0</v>
      </c>
      <c r="AN161" s="512">
        <v>0.98760019743498817</v>
      </c>
      <c r="AO161" s="513">
        <v>0.88774732199668727</v>
      </c>
      <c r="AP161" s="513">
        <v>0.98760019743498817</v>
      </c>
      <c r="AQ161" s="513">
        <v>0.89907657079416603</v>
      </c>
      <c r="AR161" s="510">
        <v>51.091999999999999</v>
      </c>
      <c r="AS161" s="510">
        <v>1237.1390000000001</v>
      </c>
      <c r="AT161" s="514">
        <v>104.72772121222947</v>
      </c>
      <c r="AU161" s="514">
        <v>101.10436600527171</v>
      </c>
      <c r="AV161" s="510">
        <v>1.4757692006576373</v>
      </c>
      <c r="AW161" s="510">
        <v>1.4234455465392326</v>
      </c>
      <c r="AX161" s="510">
        <v>0.21138338683159791</v>
      </c>
      <c r="AY161" s="510">
        <v>0.13312974532368632</v>
      </c>
      <c r="AZ161" s="510">
        <v>862.81727080560461</v>
      </c>
      <c r="BA161" s="510">
        <v>850.39307628326321</v>
      </c>
      <c r="BB161" s="510">
        <v>480.82674391293085</v>
      </c>
      <c r="BC161" s="510">
        <v>363.26096825013116</v>
      </c>
      <c r="BD161" s="510">
        <v>2.5503014170525047</v>
      </c>
      <c r="BE161" s="510">
        <v>3.8473348588962297</v>
      </c>
      <c r="BF161" s="512">
        <v>0.88660624154632628</v>
      </c>
      <c r="BG161" s="513">
        <v>0.91274154768339111</v>
      </c>
      <c r="BH161" s="513">
        <v>0.88660624154632628</v>
      </c>
      <c r="BI161" s="513">
        <v>0.91429581712906416</v>
      </c>
      <c r="BJ161" s="510">
        <v>45.643000000000001</v>
      </c>
      <c r="BK161" s="510">
        <v>1240.2019999999998</v>
      </c>
      <c r="BL161" s="510">
        <v>3.2337926954845209</v>
      </c>
      <c r="BM161" s="510">
        <v>2.8109936929629211</v>
      </c>
      <c r="BN161" s="514">
        <v>0</v>
      </c>
      <c r="BO161" s="514">
        <v>0</v>
      </c>
      <c r="BP161" s="514">
        <v>1106.3578204762994</v>
      </c>
      <c r="BQ161" s="514">
        <v>1002.6528904162386</v>
      </c>
      <c r="BR161" s="514">
        <v>0</v>
      </c>
      <c r="BS161" s="515">
        <v>0</v>
      </c>
      <c r="BT161" s="512">
        <v>0.83394079987738123</v>
      </c>
      <c r="BU161" s="513">
        <v>0.85473216767052862</v>
      </c>
      <c r="BV161" s="513">
        <v>0.83394079987738123</v>
      </c>
      <c r="BW161" s="513">
        <v>0.86634125034006748</v>
      </c>
      <c r="BX161" s="510">
        <v>39.954999999999998</v>
      </c>
      <c r="BY161" s="510">
        <v>1131.2409999999998</v>
      </c>
      <c r="BZ161" s="514">
        <v>100.58673813510744</v>
      </c>
      <c r="CA161" s="514">
        <v>85.431735900945043</v>
      </c>
      <c r="CB161" s="510">
        <v>2.1999749718433241</v>
      </c>
      <c r="CC161" s="510">
        <v>2.0320250061657954</v>
      </c>
      <c r="CD161" s="514">
        <v>0</v>
      </c>
      <c r="CE161" s="514">
        <v>5.6663434228427019E-2</v>
      </c>
      <c r="CF161" s="514">
        <v>994.78388186717689</v>
      </c>
      <c r="CG161" s="514">
        <v>896.00709309510728</v>
      </c>
      <c r="CH161" s="514">
        <v>9.1051903568807732E-14</v>
      </c>
      <c r="CI161" s="514">
        <v>146.69914633575019</v>
      </c>
      <c r="CJ161" s="514">
        <v>0</v>
      </c>
      <c r="CK161" s="514">
        <v>2.9769182694050111</v>
      </c>
    </row>
    <row r="162" spans="1:89" ht="12.75" customHeight="1">
      <c r="A162" s="560">
        <v>45896</v>
      </c>
      <c r="B162" s="512">
        <v>0.9373920416037046</v>
      </c>
      <c r="C162" s="513">
        <v>0.88312662018369126</v>
      </c>
      <c r="D162" s="513">
        <v>0.9373920416037046</v>
      </c>
      <c r="E162" s="513">
        <v>0.88312662018369126</v>
      </c>
      <c r="F162" s="510">
        <v>56.872999999999998</v>
      </c>
      <c r="G162" s="510">
        <v>1620.808</v>
      </c>
      <c r="H162" s="510">
        <v>2.4097550683100946</v>
      </c>
      <c r="I162" s="510">
        <v>2.3405017744236205</v>
      </c>
      <c r="J162" s="510">
        <v>966.72621454822695</v>
      </c>
      <c r="K162" s="511">
        <v>902.67635648392593</v>
      </c>
      <c r="L162" s="512">
        <v>0.9383288248377758</v>
      </c>
      <c r="M162" s="513">
        <v>0.87209700134365442</v>
      </c>
      <c r="N162" s="513">
        <v>0.9383288248377758</v>
      </c>
      <c r="O162" s="513">
        <v>0.90076426670652232</v>
      </c>
      <c r="P162" s="510">
        <v>62.234000000000002</v>
      </c>
      <c r="Q162" s="510">
        <v>1404.8619999999999</v>
      </c>
      <c r="R162" s="510">
        <v>2.0777709933476878</v>
      </c>
      <c r="S162" s="510">
        <v>2.4413045551805088</v>
      </c>
      <c r="T162" s="510">
        <v>0.14782916090882794</v>
      </c>
      <c r="U162" s="510">
        <v>5.1037041360646108E-2</v>
      </c>
      <c r="V162" s="510">
        <v>607.47549570975627</v>
      </c>
      <c r="W162" s="510">
        <v>800.70048873127826</v>
      </c>
      <c r="X162" s="510">
        <v>462.72519844458003</v>
      </c>
      <c r="Y162" s="569">
        <v>102.7006496011708</v>
      </c>
      <c r="Z162" s="512">
        <v>0.93982438386848344</v>
      </c>
      <c r="AA162" s="513">
        <v>0.90777765513332431</v>
      </c>
      <c r="AB162" s="513">
        <v>0.93982438386848344</v>
      </c>
      <c r="AC162" s="513">
        <v>0.90777765513332431</v>
      </c>
      <c r="AD162" s="510">
        <v>40.606000000000002</v>
      </c>
      <c r="AE162" s="510">
        <v>1143.6510000000001</v>
      </c>
      <c r="AF162" s="510">
        <v>100.85089263506249</v>
      </c>
      <c r="AG162" s="510">
        <v>93.852158340807236</v>
      </c>
      <c r="AH162" s="510">
        <v>1.4160468896222234</v>
      </c>
      <c r="AI162" s="510">
        <v>1.3513738019728045</v>
      </c>
      <c r="AJ162" s="510">
        <v>851.12101659854125</v>
      </c>
      <c r="AK162" s="510">
        <v>868.35499641061949</v>
      </c>
      <c r="AL162" s="576">
        <v>0</v>
      </c>
      <c r="AM162" s="576">
        <v>0</v>
      </c>
      <c r="AN162" s="512">
        <v>0.99436564151825457</v>
      </c>
      <c r="AO162" s="513">
        <v>0.89156363680166639</v>
      </c>
      <c r="AP162" s="513">
        <v>0.99436564151825457</v>
      </c>
      <c r="AQ162" s="513">
        <v>0.9025293151245839</v>
      </c>
      <c r="AR162" s="510">
        <v>51.442</v>
      </c>
      <c r="AS162" s="510">
        <v>1288.5810000000001</v>
      </c>
      <c r="AT162" s="514">
        <v>106.9938404614866</v>
      </c>
      <c r="AU162" s="514">
        <v>101.33948226492214</v>
      </c>
      <c r="AV162" s="510">
        <v>1.448232961393414</v>
      </c>
      <c r="AW162" s="510">
        <v>1.4244350956594889</v>
      </c>
      <c r="AX162" s="510">
        <v>0.26631934994751372</v>
      </c>
      <c r="AY162" s="510">
        <v>0.13844686519512545</v>
      </c>
      <c r="AZ162" s="510">
        <v>790.61117374907747</v>
      </c>
      <c r="BA162" s="510">
        <v>848.00649706925685</v>
      </c>
      <c r="BB162" s="510">
        <v>570.15395979938569</v>
      </c>
      <c r="BC162" s="510">
        <v>371.52043294135103</v>
      </c>
      <c r="BD162" s="510">
        <v>2.7992690797402902</v>
      </c>
      <c r="BE162" s="510">
        <v>3.8054945711600765</v>
      </c>
      <c r="BF162" s="512">
        <v>0.8258454606257708</v>
      </c>
      <c r="BG162" s="513">
        <v>0.90956943486159536</v>
      </c>
      <c r="BH162" s="513">
        <v>0.8258454606257708</v>
      </c>
      <c r="BI162" s="513">
        <v>0.91106166898362662</v>
      </c>
      <c r="BJ162" s="510">
        <v>42.515000000000001</v>
      </c>
      <c r="BK162" s="510">
        <v>1282.7169999999999</v>
      </c>
      <c r="BL162" s="510">
        <v>3.481124309067388</v>
      </c>
      <c r="BM162" s="510">
        <v>2.8332048300599433</v>
      </c>
      <c r="BN162" s="514">
        <v>0</v>
      </c>
      <c r="BO162" s="514">
        <v>0</v>
      </c>
      <c r="BP162" s="514">
        <v>1146.176643537623</v>
      </c>
      <c r="BQ162" s="514">
        <v>1007.409911929133</v>
      </c>
      <c r="BR162" s="514">
        <v>0</v>
      </c>
      <c r="BS162" s="515">
        <v>0</v>
      </c>
      <c r="BT162" s="512">
        <v>0.8139132123862467</v>
      </c>
      <c r="BU162" s="513">
        <v>0.85334557741458383</v>
      </c>
      <c r="BV162" s="513">
        <v>0.8139132123862467</v>
      </c>
      <c r="BW162" s="513">
        <v>0.86453695144926768</v>
      </c>
      <c r="BX162" s="510">
        <v>37.878999999999998</v>
      </c>
      <c r="BY162" s="510">
        <v>1169.1199999999997</v>
      </c>
      <c r="BZ162" s="514">
        <v>106.28241275220728</v>
      </c>
      <c r="CA162" s="514">
        <v>86.107289127687352</v>
      </c>
      <c r="CB162" s="510">
        <v>2.3707067240423454</v>
      </c>
      <c r="CC162" s="510">
        <v>2.0429981524565495</v>
      </c>
      <c r="CD162" s="514">
        <v>0</v>
      </c>
      <c r="CE162" s="514">
        <v>5.4827562611194758E-2</v>
      </c>
      <c r="CF162" s="514">
        <v>1066.3370205126505</v>
      </c>
      <c r="CG162" s="514">
        <v>901.52571164636731</v>
      </c>
      <c r="CH162" s="514">
        <v>0</v>
      </c>
      <c r="CI162" s="514">
        <v>141.94615522786398</v>
      </c>
      <c r="CJ162" s="514">
        <v>0</v>
      </c>
      <c r="CK162" s="514">
        <v>2.8804673600656856</v>
      </c>
    </row>
    <row r="163" spans="1:89" ht="12.75" customHeight="1">
      <c r="A163" s="560">
        <v>45897</v>
      </c>
      <c r="B163" s="512">
        <v>0.93879878219169843</v>
      </c>
      <c r="C163" s="513">
        <v>0.88492005174358068</v>
      </c>
      <c r="D163" s="513">
        <v>0.94632378930109218</v>
      </c>
      <c r="E163" s="513">
        <v>0.88514679228393789</v>
      </c>
      <c r="F163" s="510">
        <v>57.351999999999997</v>
      </c>
      <c r="G163" s="510">
        <v>1678.16</v>
      </c>
      <c r="H163" s="510">
        <v>2.2512728414004743</v>
      </c>
      <c r="I163" s="510">
        <v>2.3374523287410018</v>
      </c>
      <c r="J163" s="510">
        <v>990.62979495048307</v>
      </c>
      <c r="K163" s="511">
        <v>905.68221146970438</v>
      </c>
      <c r="L163" s="512">
        <v>0.95200122713825619</v>
      </c>
      <c r="M163" s="513">
        <v>0.8752603523035809</v>
      </c>
      <c r="N163" s="513">
        <v>0.95200122713825619</v>
      </c>
      <c r="O163" s="513">
        <v>0.90285665622407207</v>
      </c>
      <c r="P163" s="510">
        <v>63.216000000000001</v>
      </c>
      <c r="Q163" s="510">
        <v>1468.0779999999997</v>
      </c>
      <c r="R163" s="510">
        <v>1.933719311566692</v>
      </c>
      <c r="S163" s="510">
        <v>2.41944774051515</v>
      </c>
      <c r="T163" s="510">
        <v>0.25626423690205008</v>
      </c>
      <c r="U163" s="510">
        <v>5.9874202869329846E-2</v>
      </c>
      <c r="V163" s="510">
        <v>544.9917742343705</v>
      </c>
      <c r="W163" s="510">
        <v>789.6895737147488</v>
      </c>
      <c r="X163" s="510">
        <v>477.96443938243482</v>
      </c>
      <c r="Y163" s="569">
        <v>118.85965187135834</v>
      </c>
      <c r="Z163" s="512">
        <v>0.92386749820454228</v>
      </c>
      <c r="AA163" s="513">
        <v>0.90831142220689443</v>
      </c>
      <c r="AB163" s="513">
        <v>0.92386749820454228</v>
      </c>
      <c r="AC163" s="513">
        <v>0.90831142220689443</v>
      </c>
      <c r="AD163" s="510">
        <v>39.936999999999998</v>
      </c>
      <c r="AE163" s="510">
        <v>1183.588</v>
      </c>
      <c r="AF163" s="510">
        <v>82.333896499130574</v>
      </c>
      <c r="AG163" s="510">
        <v>93.463505512989585</v>
      </c>
      <c r="AH163" s="510">
        <v>1.424743971755515</v>
      </c>
      <c r="AI163" s="510">
        <v>1.3538494814073818</v>
      </c>
      <c r="AJ163" s="510">
        <v>878.99942409293726</v>
      </c>
      <c r="AK163" s="510">
        <v>868.71416405032915</v>
      </c>
      <c r="AL163" s="576">
        <v>0</v>
      </c>
      <c r="AM163" s="576">
        <v>0</v>
      </c>
      <c r="AN163" s="512">
        <v>0.94698820309515197</v>
      </c>
      <c r="AO163" s="513">
        <v>0.89347895615954043</v>
      </c>
      <c r="AP163" s="513">
        <v>0.94698820309515197</v>
      </c>
      <c r="AQ163" s="513">
        <v>0.90408392674775817</v>
      </c>
      <c r="AR163" s="510">
        <v>48.991</v>
      </c>
      <c r="AS163" s="510">
        <v>1337.5720000000001</v>
      </c>
      <c r="AT163" s="514">
        <v>91.569108436843123</v>
      </c>
      <c r="AU163" s="514">
        <v>100.98162460626045</v>
      </c>
      <c r="AV163" s="510">
        <v>1.5247698556877796</v>
      </c>
      <c r="AW163" s="510">
        <v>1.4281100381885983</v>
      </c>
      <c r="AX163" s="510">
        <v>0.16941887285419774</v>
      </c>
      <c r="AY163" s="510">
        <v>0.13958127113904895</v>
      </c>
      <c r="AZ163" s="510">
        <v>844.94294870486294</v>
      </c>
      <c r="BA163" s="510">
        <v>847.89428905509396</v>
      </c>
      <c r="BB163" s="510">
        <v>429.85283011166382</v>
      </c>
      <c r="BC163" s="510">
        <v>373.65696276536858</v>
      </c>
      <c r="BD163" s="510">
        <v>5.2662733971539852</v>
      </c>
      <c r="BE163" s="510">
        <v>3.8589982445804747</v>
      </c>
      <c r="BF163" s="512">
        <v>0.84055241975677808</v>
      </c>
      <c r="BG163" s="513">
        <v>0.9071440420446375</v>
      </c>
      <c r="BH163" s="513">
        <v>0.84055241975677808</v>
      </c>
      <c r="BI163" s="513">
        <v>0.90857991410748329</v>
      </c>
      <c r="BJ163" s="510">
        <v>43.173999999999999</v>
      </c>
      <c r="BK163" s="510">
        <v>1325.8909999999998</v>
      </c>
      <c r="BL163" s="510">
        <v>2.9323203780052807</v>
      </c>
      <c r="BM163" s="510">
        <v>2.8364322557434964</v>
      </c>
      <c r="BN163" s="514">
        <v>0</v>
      </c>
      <c r="BO163" s="514">
        <v>0</v>
      </c>
      <c r="BP163" s="514">
        <v>1045.4581461064502</v>
      </c>
      <c r="BQ163" s="514">
        <v>1008.648848208489</v>
      </c>
      <c r="BR163" s="514">
        <v>0</v>
      </c>
      <c r="BS163" s="515">
        <v>0</v>
      </c>
      <c r="BT163" s="512">
        <v>0.88501040624028648</v>
      </c>
      <c r="BU163" s="513">
        <v>0.8544746552470307</v>
      </c>
      <c r="BV163" s="513">
        <v>0.88501040624028648</v>
      </c>
      <c r="BW163" s="513">
        <v>0.86527620504449521</v>
      </c>
      <c r="BX163" s="510">
        <v>44.832999999999998</v>
      </c>
      <c r="BY163" s="510">
        <v>1213.9529999999997</v>
      </c>
      <c r="BZ163" s="514">
        <v>72.285347491464805</v>
      </c>
      <c r="CA163" s="514">
        <v>85.596825288167395</v>
      </c>
      <c r="CB163" s="510">
        <v>2.1011308634264938</v>
      </c>
      <c r="CC163" s="510">
        <v>2.0451450756330769</v>
      </c>
      <c r="CD163" s="514">
        <v>0.17620948854638327</v>
      </c>
      <c r="CE163" s="514">
        <v>5.9310368688079367E-2</v>
      </c>
      <c r="CF163" s="514">
        <v>819.31724399436382</v>
      </c>
      <c r="CG163" s="514">
        <v>898.48963674870447</v>
      </c>
      <c r="CH163" s="514">
        <v>451.29882006558773</v>
      </c>
      <c r="CI163" s="514">
        <v>153.37098635614464</v>
      </c>
      <c r="CJ163" s="514">
        <v>0</v>
      </c>
      <c r="CK163" s="514">
        <v>2.7740876294222216</v>
      </c>
    </row>
    <row r="164" spans="1:89" ht="12.75" customHeight="1">
      <c r="A164" s="560">
        <v>45898</v>
      </c>
      <c r="B164" s="512">
        <v>1.3003677406153014</v>
      </c>
      <c r="C164" s="513">
        <v>0.89763053623653799</v>
      </c>
      <c r="D164" s="513">
        <v>1.3003677406153014</v>
      </c>
      <c r="E164" s="513">
        <v>0.89785349510866252</v>
      </c>
      <c r="F164" s="510">
        <v>77.828000000000003</v>
      </c>
      <c r="G164" s="510">
        <v>1755.9880000000001</v>
      </c>
      <c r="H164" s="510">
        <v>1.5696535951071595</v>
      </c>
      <c r="I164" s="510">
        <v>2.3034223468497506</v>
      </c>
      <c r="J164" s="510">
        <v>777.74939610422757</v>
      </c>
      <c r="K164" s="511">
        <v>900.01203880664275</v>
      </c>
      <c r="L164" s="512">
        <v>1.0434582719936254</v>
      </c>
      <c r="M164" s="513">
        <v>0.88161543590567792</v>
      </c>
      <c r="N164" s="513">
        <v>1.0434582719936254</v>
      </c>
      <c r="O164" s="513">
        <v>0.90833003430569537</v>
      </c>
      <c r="P164" s="510">
        <v>68.724999999999994</v>
      </c>
      <c r="Q164" s="510">
        <v>1536.8029999999997</v>
      </c>
      <c r="R164" s="510">
        <v>1.9365296471444162</v>
      </c>
      <c r="S164" s="510">
        <v>2.3978519042453721</v>
      </c>
      <c r="T164" s="510">
        <v>0.25609312477264462</v>
      </c>
      <c r="U164" s="510">
        <v>6.8649007062063269E-2</v>
      </c>
      <c r="V164" s="510">
        <v>517.36078574025839</v>
      </c>
      <c r="W164" s="510">
        <v>777.51117742482302</v>
      </c>
      <c r="X164" s="510">
        <v>454.15787559112403</v>
      </c>
      <c r="Y164" s="569">
        <v>133.85400731258335</v>
      </c>
      <c r="Z164" s="512">
        <v>0.82356973734924943</v>
      </c>
      <c r="AA164" s="513">
        <v>0.90544419463105841</v>
      </c>
      <c r="AB164" s="513">
        <v>0.82356973734924943</v>
      </c>
      <c r="AC164" s="513">
        <v>0.90544419463105841</v>
      </c>
      <c r="AD164" s="510">
        <v>37.582000000000001</v>
      </c>
      <c r="AE164" s="510">
        <v>1221.17</v>
      </c>
      <c r="AF164" s="510">
        <v>105.05340558647656</v>
      </c>
      <c r="AG164" s="510">
        <v>93.820189369096255</v>
      </c>
      <c r="AH164" s="510">
        <v>1.4900750359214516</v>
      </c>
      <c r="AI164" s="510">
        <v>1.3580418778712218</v>
      </c>
      <c r="AJ164" s="510">
        <v>911.62471395881005</v>
      </c>
      <c r="AK164" s="510">
        <v>870.03475355601677</v>
      </c>
      <c r="AL164" s="576">
        <v>0</v>
      </c>
      <c r="AM164" s="576">
        <v>0</v>
      </c>
      <c r="AN164" s="512">
        <v>0.90701558039395425</v>
      </c>
      <c r="AO164" s="513">
        <v>0.89392587206256791</v>
      </c>
      <c r="AP164" s="513">
        <v>0.90701558039395425</v>
      </c>
      <c r="AQ164" s="513">
        <v>0.90418182667355429</v>
      </c>
      <c r="AR164" s="510">
        <v>46.36</v>
      </c>
      <c r="AS164" s="510">
        <v>1383.932</v>
      </c>
      <c r="AT164" s="514">
        <v>104.11152340728995</v>
      </c>
      <c r="AU164" s="514">
        <v>101.08647232162201</v>
      </c>
      <c r="AV164" s="510">
        <v>1.5832614322691978</v>
      </c>
      <c r="AW164" s="510">
        <v>1.4333074168383997</v>
      </c>
      <c r="AX164" s="510">
        <v>0.22433132010353754</v>
      </c>
      <c r="AY164" s="510">
        <v>0.14242029232650158</v>
      </c>
      <c r="AZ164" s="510">
        <v>861.10181190681556</v>
      </c>
      <c r="BA164" s="510">
        <v>848.33672463675964</v>
      </c>
      <c r="BB164" s="510">
        <v>554.58015530629257</v>
      </c>
      <c r="BC164" s="510">
        <v>379.71766459623689</v>
      </c>
      <c r="BD164" s="510">
        <v>6.4495254529767045</v>
      </c>
      <c r="BE164" s="510">
        <v>3.9457776827185111</v>
      </c>
      <c r="BF164" s="512">
        <v>0.89181548367097319</v>
      </c>
      <c r="BG164" s="513">
        <v>0.90662395106287064</v>
      </c>
      <c r="BH164" s="513">
        <v>0.89181548367097319</v>
      </c>
      <c r="BI164" s="513">
        <v>0.90801023489800703</v>
      </c>
      <c r="BJ164" s="510">
        <v>45.78</v>
      </c>
      <c r="BK164" s="510">
        <v>1371.6709999999998</v>
      </c>
      <c r="BL164" s="510">
        <v>3.1301878549584972</v>
      </c>
      <c r="BM164" s="510">
        <v>2.8462364517438949</v>
      </c>
      <c r="BN164" s="514">
        <v>0</v>
      </c>
      <c r="BO164" s="514">
        <v>0</v>
      </c>
      <c r="BP164" s="514">
        <v>1061.8381389252638</v>
      </c>
      <c r="BQ164" s="514">
        <v>1010.4240594136644</v>
      </c>
      <c r="BR164" s="514">
        <v>0</v>
      </c>
      <c r="BS164" s="515">
        <v>0</v>
      </c>
      <c r="BT164" s="512">
        <v>0.98735549558788216</v>
      </c>
      <c r="BU164" s="513">
        <v>0.85917738066983917</v>
      </c>
      <c r="BV164" s="513">
        <v>0.98735549558788216</v>
      </c>
      <c r="BW164" s="513">
        <v>0.86964931682457058</v>
      </c>
      <c r="BX164" s="510">
        <v>51.465000000000003</v>
      </c>
      <c r="BY164" s="510">
        <v>1265.4179999999997</v>
      </c>
      <c r="BZ164" s="514">
        <v>72.637184223978892</v>
      </c>
      <c r="CA164" s="514">
        <v>85.069752078075197</v>
      </c>
      <c r="CB164" s="510">
        <v>1.8420285631011366</v>
      </c>
      <c r="CC164" s="510">
        <v>2.0368842548470156</v>
      </c>
      <c r="CD164" s="514">
        <v>0.21762362770815113</v>
      </c>
      <c r="CE164" s="514">
        <v>6.574902522328592E-2</v>
      </c>
      <c r="CF164" s="514">
        <v>721.79481200816485</v>
      </c>
      <c r="CG164" s="514">
        <v>891.30339539978115</v>
      </c>
      <c r="CH164" s="514">
        <v>541.20011658408043</v>
      </c>
      <c r="CI164" s="514">
        <v>169.14413498148483</v>
      </c>
      <c r="CJ164" s="514">
        <v>0</v>
      </c>
      <c r="CK164" s="514">
        <v>2.6612644991615375</v>
      </c>
    </row>
    <row r="165" spans="1:89" ht="12.75" customHeight="1">
      <c r="A165" s="560">
        <v>45899</v>
      </c>
      <c r="B165" s="512">
        <v>1.0587561035287552</v>
      </c>
      <c r="C165" s="513">
        <v>0.90225516525260618</v>
      </c>
      <c r="D165" s="513">
        <v>1.0587561035287552</v>
      </c>
      <c r="E165" s="513">
        <v>0.90247283892658037</v>
      </c>
      <c r="F165" s="510">
        <v>61.204000000000001</v>
      </c>
      <c r="G165" s="510">
        <v>1817.192</v>
      </c>
      <c r="H165" s="510">
        <v>1.964544800993399</v>
      </c>
      <c r="I165" s="510">
        <v>2.292008769574156</v>
      </c>
      <c r="J165" s="510">
        <v>959.3317430233418</v>
      </c>
      <c r="K165" s="511">
        <v>902.00995822125537</v>
      </c>
      <c r="L165" s="512">
        <v>0.91878251905884101</v>
      </c>
      <c r="M165" s="513">
        <v>0.88318126803303565</v>
      </c>
      <c r="N165" s="513">
        <v>0.91878251905884101</v>
      </c>
      <c r="O165" s="513">
        <v>0.90878315790725361</v>
      </c>
      <c r="P165" s="510">
        <v>70.441999999999993</v>
      </c>
      <c r="Q165" s="510">
        <v>1607.2449999999997</v>
      </c>
      <c r="R165" s="510">
        <v>2.1058317481048241</v>
      </c>
      <c r="S165" s="510">
        <v>2.3850533055010286</v>
      </c>
      <c r="T165" s="510">
        <v>0.27256466312711169</v>
      </c>
      <c r="U165" s="510">
        <v>7.7586180078332817E-2</v>
      </c>
      <c r="V165" s="510">
        <v>514.11530053094725</v>
      </c>
      <c r="W165" s="510">
        <v>765.9671176454126</v>
      </c>
      <c r="X165" s="510">
        <v>461.4008687998637</v>
      </c>
      <c r="Y165" s="569">
        <v>148.20966311918843</v>
      </c>
      <c r="Z165" s="512">
        <v>0.87476475753086813</v>
      </c>
      <c r="AA165" s="513">
        <v>0.90444877505057475</v>
      </c>
      <c r="AB165" s="513">
        <v>0.87476475753086813</v>
      </c>
      <c r="AC165" s="513">
        <v>0.90444877505057475</v>
      </c>
      <c r="AD165" s="510">
        <v>39.563000000000002</v>
      </c>
      <c r="AE165" s="510">
        <v>1260.7330000000002</v>
      </c>
      <c r="AF165" s="510">
        <v>99.959689463279545</v>
      </c>
      <c r="AG165" s="510">
        <v>94.012852718295619</v>
      </c>
      <c r="AH165" s="510">
        <v>1.4685438414680383</v>
      </c>
      <c r="AI165" s="510">
        <v>1.3615095345326884</v>
      </c>
      <c r="AJ165" s="510">
        <v>926.74822435100759</v>
      </c>
      <c r="AK165" s="510">
        <v>871.81447618171319</v>
      </c>
      <c r="AL165" s="576">
        <v>0</v>
      </c>
      <c r="AM165" s="576">
        <v>0</v>
      </c>
      <c r="AN165" s="512">
        <v>0.92415966177418751</v>
      </c>
      <c r="AO165" s="513">
        <v>0.89490350487028536</v>
      </c>
      <c r="AP165" s="513">
        <v>0.92415966177418751</v>
      </c>
      <c r="AQ165" s="513">
        <v>0.90483499449808957</v>
      </c>
      <c r="AR165" s="510">
        <v>47.81</v>
      </c>
      <c r="AS165" s="510">
        <v>1431.742</v>
      </c>
      <c r="AT165" s="514">
        <v>108.98706907470005</v>
      </c>
      <c r="AU165" s="514">
        <v>101.35029606274622</v>
      </c>
      <c r="AV165" s="510">
        <v>1.5687094750052291</v>
      </c>
      <c r="AW165" s="510">
        <v>1.4378288825780066</v>
      </c>
      <c r="AX165" s="510">
        <v>0.19661158753398869</v>
      </c>
      <c r="AY165" s="510">
        <v>0.14422989616844376</v>
      </c>
      <c r="AZ165" s="510">
        <v>924.80527086383597</v>
      </c>
      <c r="BA165" s="510">
        <v>850.89023022304298</v>
      </c>
      <c r="BB165" s="510">
        <v>482.47228613260825</v>
      </c>
      <c r="BC165" s="510">
        <v>383.14893814667676</v>
      </c>
      <c r="BD165" s="510">
        <v>6.0656766366868853</v>
      </c>
      <c r="BE165" s="510">
        <v>4.0165672306882065</v>
      </c>
      <c r="BF165" s="512">
        <v>0.88705682545234943</v>
      </c>
      <c r="BG165" s="513">
        <v>0.90598132574979295</v>
      </c>
      <c r="BH165" s="513">
        <v>0.88705682545234943</v>
      </c>
      <c r="BI165" s="513">
        <v>0.90732106350458397</v>
      </c>
      <c r="BJ165" s="510">
        <v>45.573</v>
      </c>
      <c r="BK165" s="510">
        <v>1417.2439999999999</v>
      </c>
      <c r="BL165" s="510">
        <v>3.1378228336953899</v>
      </c>
      <c r="BM165" s="510">
        <v>2.8556127244144269</v>
      </c>
      <c r="BN165" s="514">
        <v>0</v>
      </c>
      <c r="BO165" s="514">
        <v>0</v>
      </c>
      <c r="BP165" s="514">
        <v>1077.9169683804087</v>
      </c>
      <c r="BQ165" s="514">
        <v>1012.5943662488608</v>
      </c>
      <c r="BR165" s="514">
        <v>0</v>
      </c>
      <c r="BS165" s="515">
        <v>0</v>
      </c>
      <c r="BT165" s="512">
        <v>0.9179792502449704</v>
      </c>
      <c r="BU165" s="513">
        <v>0.86117649300759047</v>
      </c>
      <c r="BV165" s="513">
        <v>0.9179792502449704</v>
      </c>
      <c r="BW165" s="513">
        <v>0.87131174796297783</v>
      </c>
      <c r="BX165" s="510">
        <v>47.582999999999998</v>
      </c>
      <c r="BY165" s="510">
        <v>1313.0009999999997</v>
      </c>
      <c r="BZ165" s="514">
        <v>78.969863886322045</v>
      </c>
      <c r="CA165" s="514">
        <v>84.848692855859682</v>
      </c>
      <c r="CB165" s="510">
        <v>1.9839018136729507</v>
      </c>
      <c r="CC165" s="510">
        <v>2.0349641774834906</v>
      </c>
      <c r="CD165" s="514">
        <v>0.20175272681419834</v>
      </c>
      <c r="CE165" s="514">
        <v>7.06777831852375E-2</v>
      </c>
      <c r="CF165" s="514">
        <v>819.61856125086661</v>
      </c>
      <c r="CG165" s="514">
        <v>888.70554554033106</v>
      </c>
      <c r="CH165" s="514">
        <v>484.77397389824097</v>
      </c>
      <c r="CI165" s="514">
        <v>180.58252278558857</v>
      </c>
      <c r="CJ165" s="514">
        <v>0</v>
      </c>
      <c r="CK165" s="514">
        <v>2.5648205903879697</v>
      </c>
    </row>
    <row r="166" spans="1:89" ht="12.75" customHeight="1">
      <c r="A166" s="560">
        <v>45900</v>
      </c>
      <c r="B166" s="512">
        <v>0.81840225842820513</v>
      </c>
      <c r="C166" s="513">
        <v>0.89986679210292397</v>
      </c>
      <c r="D166" s="513">
        <v>0.81840225842820513</v>
      </c>
      <c r="E166" s="513">
        <v>0.90007770455700553</v>
      </c>
      <c r="F166" s="510">
        <v>48.325000000000003</v>
      </c>
      <c r="G166" s="510">
        <v>1865.5170000000001</v>
      </c>
      <c r="H166" s="510">
        <v>2.5416244180031038</v>
      </c>
      <c r="I166" s="510">
        <v>2.2984748999875095</v>
      </c>
      <c r="J166" s="510">
        <v>1214.9640972580899</v>
      </c>
      <c r="K166" s="511">
        <v>910.11683088387656</v>
      </c>
      <c r="L166" s="512">
        <v>0.96985461089263214</v>
      </c>
      <c r="M166" s="513">
        <v>0.88665975535746266</v>
      </c>
      <c r="N166" s="513">
        <v>0.96985461089263214</v>
      </c>
      <c r="O166" s="513">
        <v>0.91130227636045102</v>
      </c>
      <c r="P166" s="510">
        <v>73.796000000000006</v>
      </c>
      <c r="Q166" s="510">
        <v>1681.0409999999997</v>
      </c>
      <c r="R166" s="510">
        <v>1.8394628435145535</v>
      </c>
      <c r="S166" s="510">
        <v>2.3611024359310693</v>
      </c>
      <c r="T166" s="510">
        <v>0.26017670334435467</v>
      </c>
      <c r="U166" s="510">
        <v>8.5601719410769897E-2</v>
      </c>
      <c r="V166" s="510">
        <v>434.63344896742785</v>
      </c>
      <c r="W166" s="510">
        <v>751.421904641232</v>
      </c>
      <c r="X166" s="510">
        <v>425.8496395468589</v>
      </c>
      <c r="Y166" s="569">
        <v>160.39777732964276</v>
      </c>
      <c r="Z166" s="512">
        <v>0.96751081846380171</v>
      </c>
      <c r="AA166" s="513">
        <v>0.90643195002874466</v>
      </c>
      <c r="AB166" s="513">
        <v>0.96751081846380171</v>
      </c>
      <c r="AC166" s="513">
        <v>0.90643195002874466</v>
      </c>
      <c r="AD166" s="510">
        <v>43.789000000000001</v>
      </c>
      <c r="AE166" s="510">
        <v>1304.5220000000002</v>
      </c>
      <c r="AF166" s="510">
        <v>84.332540569091989</v>
      </c>
      <c r="AG166" s="510">
        <v>93.687912863926385</v>
      </c>
      <c r="AH166" s="510">
        <v>1.3222498801068761</v>
      </c>
      <c r="AI166" s="510">
        <v>1.3601917024013392</v>
      </c>
      <c r="AJ166" s="510">
        <v>758.02461805476264</v>
      </c>
      <c r="AK166" s="510">
        <v>867.9948824167011</v>
      </c>
      <c r="AL166" s="576">
        <v>0</v>
      </c>
      <c r="AM166" s="576">
        <v>0</v>
      </c>
      <c r="AN166" s="512">
        <v>0.91507740359851863</v>
      </c>
      <c r="AO166" s="513">
        <v>0.89554898846394682</v>
      </c>
      <c r="AP166" s="513">
        <v>0.91507740359851863</v>
      </c>
      <c r="AQ166" s="513">
        <v>0.90516622970016913</v>
      </c>
      <c r="AR166" s="510">
        <v>48.390999999999998</v>
      </c>
      <c r="AS166" s="510">
        <v>1480.133</v>
      </c>
      <c r="AT166" s="514">
        <v>104.29078993727192</v>
      </c>
      <c r="AU166" s="514">
        <v>101.4464316391317</v>
      </c>
      <c r="AV166" s="510">
        <v>1.5147444772788328</v>
      </c>
      <c r="AW166" s="510">
        <v>1.4403435366956892</v>
      </c>
      <c r="AX166" s="510">
        <v>0.19425099708623506</v>
      </c>
      <c r="AY166" s="510">
        <v>0.14586527021558199</v>
      </c>
      <c r="AZ166" s="510">
        <v>804.14002603790027</v>
      </c>
      <c r="BA166" s="510">
        <v>849.3617938387971</v>
      </c>
      <c r="BB166" s="510">
        <v>524.61015478084767</v>
      </c>
      <c r="BC166" s="510">
        <v>387.77382640614013</v>
      </c>
      <c r="BD166" s="510">
        <v>6.6127999008080023</v>
      </c>
      <c r="BE166" s="510">
        <v>4.1014476401782778</v>
      </c>
      <c r="BF166" s="512">
        <v>0.93663134655583125</v>
      </c>
      <c r="BG166" s="513">
        <v>0.90695192925845458</v>
      </c>
      <c r="BH166" s="513">
        <v>0.93663134655583125</v>
      </c>
      <c r="BI166" s="513">
        <v>0.90825057016469368</v>
      </c>
      <c r="BJ166" s="510">
        <v>47.915999999999997</v>
      </c>
      <c r="BK166" s="510">
        <v>1465.1599999999999</v>
      </c>
      <c r="BL166" s="510">
        <v>2.9656064780031723</v>
      </c>
      <c r="BM166" s="510">
        <v>2.859209915640613</v>
      </c>
      <c r="BN166" s="514">
        <v>0</v>
      </c>
      <c r="BO166" s="514">
        <v>0</v>
      </c>
      <c r="BP166" s="514">
        <v>1029.858711077711</v>
      </c>
      <c r="BQ166" s="514">
        <v>1013.158972398919</v>
      </c>
      <c r="BR166" s="514">
        <v>0</v>
      </c>
      <c r="BS166" s="515">
        <v>0</v>
      </c>
      <c r="BT166" s="512">
        <v>0.96318270159508312</v>
      </c>
      <c r="BU166" s="513">
        <v>0.86462303428543996</v>
      </c>
      <c r="BV166" s="513">
        <v>0.96318270159508312</v>
      </c>
      <c r="BW166" s="513">
        <v>0.87445112764829958</v>
      </c>
      <c r="BX166" s="510">
        <v>51.353000000000002</v>
      </c>
      <c r="BY166" s="510">
        <v>1364.3539999999998</v>
      </c>
      <c r="BZ166" s="514">
        <v>71.78600598145205</v>
      </c>
      <c r="CA166" s="514">
        <v>84.357025620624938</v>
      </c>
      <c r="CB166" s="510">
        <v>1.8440986894631277</v>
      </c>
      <c r="CC166" s="510">
        <v>2.027780180217158</v>
      </c>
      <c r="CD166" s="514">
        <v>0.17720483710786125</v>
      </c>
      <c r="CE166" s="514">
        <v>7.468736119804685E-2</v>
      </c>
      <c r="CF166" s="514">
        <v>755.06221642357889</v>
      </c>
      <c r="CG166" s="514">
        <v>883.67533645959929</v>
      </c>
      <c r="CH166" s="514">
        <v>514.52865460635212</v>
      </c>
      <c r="CI166" s="514">
        <v>193.15194077197017</v>
      </c>
      <c r="CJ166" s="514">
        <v>0</v>
      </c>
      <c r="CK166" s="514">
        <v>2.4682831581832825</v>
      </c>
    </row>
    <row r="167" spans="1:89" ht="12.75" customHeight="1">
      <c r="A167" s="560"/>
      <c r="B167" s="512"/>
      <c r="C167" s="513"/>
      <c r="D167" s="513"/>
      <c r="E167" s="513"/>
      <c r="F167" s="510"/>
      <c r="G167" s="510"/>
      <c r="H167" s="510"/>
      <c r="I167" s="510"/>
      <c r="J167" s="510"/>
      <c r="K167" s="511"/>
      <c r="L167" s="512"/>
      <c r="M167" s="513"/>
      <c r="N167" s="513"/>
      <c r="O167" s="513"/>
      <c r="P167" s="510"/>
      <c r="Q167" s="510"/>
      <c r="R167" s="510"/>
      <c r="S167" s="510"/>
      <c r="T167" s="510"/>
      <c r="U167" s="510"/>
      <c r="V167" s="510"/>
      <c r="W167" s="510"/>
      <c r="X167" s="510"/>
      <c r="Y167" s="569"/>
      <c r="Z167" s="512"/>
      <c r="AA167" s="513"/>
      <c r="AB167" s="513"/>
      <c r="AC167" s="513"/>
      <c r="AD167" s="510"/>
      <c r="AE167" s="510"/>
      <c r="AF167" s="510"/>
      <c r="AG167" s="510"/>
      <c r="AH167" s="510"/>
      <c r="AI167" s="510"/>
      <c r="AJ167" s="510"/>
      <c r="AK167" s="569"/>
      <c r="AL167" s="510"/>
      <c r="AM167" s="569"/>
      <c r="AN167" s="512"/>
      <c r="AO167" s="513"/>
      <c r="AP167" s="513"/>
      <c r="AQ167" s="513"/>
      <c r="AR167" s="510"/>
      <c r="AS167" s="510"/>
      <c r="AT167" s="514"/>
      <c r="AU167" s="514"/>
      <c r="AV167" s="510"/>
      <c r="AW167" s="510"/>
      <c r="AX167" s="510"/>
      <c r="AY167" s="510"/>
      <c r="AZ167" s="510"/>
      <c r="BA167" s="510"/>
      <c r="BB167" s="510"/>
      <c r="BC167" s="569"/>
      <c r="BD167" s="510"/>
      <c r="BE167" s="511"/>
      <c r="BF167" s="512"/>
      <c r="BG167" s="513"/>
      <c r="BH167" s="513"/>
      <c r="BI167" s="513"/>
      <c r="BJ167" s="510"/>
      <c r="BK167" s="510"/>
      <c r="BL167" s="510"/>
      <c r="BM167" s="510"/>
      <c r="BN167" s="514"/>
      <c r="BO167" s="514"/>
      <c r="BP167" s="514"/>
      <c r="BQ167" s="514"/>
      <c r="BR167" s="514"/>
      <c r="BS167" s="515"/>
      <c r="BT167" s="512"/>
      <c r="BU167" s="513"/>
      <c r="BV167" s="513"/>
      <c r="BW167" s="513"/>
      <c r="BX167" s="510"/>
      <c r="BY167" s="510"/>
      <c r="BZ167" s="510"/>
      <c r="CA167" s="510"/>
      <c r="CB167" s="510"/>
      <c r="CC167" s="510"/>
      <c r="CD167" s="510"/>
      <c r="CE167" s="510"/>
      <c r="CF167" s="1023"/>
      <c r="CG167" s="514"/>
      <c r="CH167" s="514"/>
      <c r="CI167" s="514"/>
      <c r="CJ167" s="514"/>
      <c r="CK167" s="515"/>
    </row>
    <row r="168" spans="1:89" ht="12.75" customHeight="1" thickBot="1">
      <c r="A168" s="587" t="s">
        <v>423</v>
      </c>
      <c r="B168" s="702">
        <f>+'[10]eff all'!$B$40:$C$40</f>
        <v>0.89986679210292397</v>
      </c>
      <c r="C168" s="703"/>
      <c r="D168" s="709">
        <f>+'[10]eff all'!$D$40:$E$40</f>
        <v>0.90007770455700553</v>
      </c>
      <c r="E168" s="703"/>
      <c r="F168" s="704">
        <f>+'[10]eff all'!$F$40:$G$40</f>
        <v>1865.5170000000001</v>
      </c>
      <c r="G168" s="705"/>
      <c r="H168" s="704">
        <f>+'[10]eff all'!$H$40:$I$40</f>
        <v>2.2984748999875095</v>
      </c>
      <c r="I168" s="705"/>
      <c r="J168" s="704">
        <f>+'[10]eff all'!$J$40:$K$40</f>
        <v>910.11683088387656</v>
      </c>
      <c r="K168" s="706"/>
      <c r="L168" s="702">
        <f>+'[10]eff all'!$L$40:$M$40</f>
        <v>0.88665975535746266</v>
      </c>
      <c r="M168" s="703"/>
      <c r="N168" s="709">
        <f>+'[10]eff all'!$N$40:$O$40</f>
        <v>0.91130227636045102</v>
      </c>
      <c r="O168" s="703"/>
      <c r="P168" s="704">
        <f>+'[10]eff all'!$P$40:$Q$40</f>
        <v>1681.0409999999997</v>
      </c>
      <c r="Q168" s="705"/>
      <c r="R168" s="704">
        <f>+'[10]eff all'!$R$40:$S$40</f>
        <v>2.3611024359310693</v>
      </c>
      <c r="S168" s="705"/>
      <c r="T168" s="704">
        <f>+'[10]eff all'!$T$40:$U$40</f>
        <v>8.5601719410769897E-2</v>
      </c>
      <c r="U168" s="705"/>
      <c r="V168" s="704">
        <f>+'[10]eff all'!$V$40:$W$40</f>
        <v>751.421904641232</v>
      </c>
      <c r="W168" s="705"/>
      <c r="X168" s="704">
        <f>+'[10]eff all'!$X$40:$Y$40</f>
        <v>160.39777732964276</v>
      </c>
      <c r="Y168" s="706"/>
      <c r="Z168" s="702">
        <f>+'[10]eff all'!$Z$40:$AA$40</f>
        <v>0.90643195002874466</v>
      </c>
      <c r="AA168" s="712"/>
      <c r="AB168" s="702">
        <f>+'[10]eff all'!$AB$40:$AC$40</f>
        <v>0.90643195002874466</v>
      </c>
      <c r="AC168" s="703"/>
      <c r="AD168" s="704">
        <f>+'[10]eff all'!$AD$40:$AE$40</f>
        <v>1304.5220000000002</v>
      </c>
      <c r="AE168" s="705"/>
      <c r="AF168" s="707">
        <f>+'[10]eff all'!$AF$40:$AG$40</f>
        <v>93.687912863926385</v>
      </c>
      <c r="AG168" s="708"/>
      <c r="AH168" s="707">
        <f>+'[10]eff all'!$AH$40:$AI$40</f>
        <v>1.3601917024013392</v>
      </c>
      <c r="AI168" s="708"/>
      <c r="AJ168" s="707">
        <f>+'[10]eff all'!$AJ$40:$AK$40</f>
        <v>867.9948824167011</v>
      </c>
      <c r="AK168" s="708"/>
      <c r="AL168" s="704">
        <f>+'[10]eff all'!$AL$40:$AM$40</f>
        <v>0</v>
      </c>
      <c r="AM168" s="706"/>
      <c r="AN168" s="702">
        <f>+'[10]eff all'!$AN$40:$AO$40</f>
        <v>0.89554898846394682</v>
      </c>
      <c r="AO168" s="703"/>
      <c r="AP168" s="709">
        <f>+'[10]eff all'!$AP$40:$AQ$40</f>
        <v>0.90516622970016913</v>
      </c>
      <c r="AQ168" s="703"/>
      <c r="AR168" s="710">
        <f>+'[10]eff all'!$AR$40:$AS$40</f>
        <v>1480.133</v>
      </c>
      <c r="AS168" s="711"/>
      <c r="AT168" s="707">
        <f>+'[10]eff all'!$AT$40:$AU$40</f>
        <v>101.4464316391317</v>
      </c>
      <c r="AU168" s="708"/>
      <c r="AV168" s="707">
        <f>+'[10]eff all'!$AV$40:$AW$40</f>
        <v>1.4403435366956892</v>
      </c>
      <c r="AW168" s="708"/>
      <c r="AX168" s="707">
        <f>+'[10]eff all'!$AX$40:$AY$40</f>
        <v>0.14586527021558199</v>
      </c>
      <c r="AY168" s="708"/>
      <c r="AZ168" s="704">
        <f>+'[10]eff all'!$AZ$40:$BA$40</f>
        <v>849.3617938387971</v>
      </c>
      <c r="BA168" s="705"/>
      <c r="BB168" s="704">
        <f>+'[10]eff all'!$BB$40:$BC$40</f>
        <v>387.77382640614013</v>
      </c>
      <c r="BC168" s="705"/>
      <c r="BD168" s="704">
        <f>+'[10]eff all'!$BD$40:$BE$40</f>
        <v>4.1014476401782778</v>
      </c>
      <c r="BE168" s="706"/>
      <c r="BF168" s="702">
        <f>+'[10]eff all'!$BF$40:$BG$40</f>
        <v>0.90695192925845458</v>
      </c>
      <c r="BG168" s="703"/>
      <c r="BH168" s="709">
        <f>+'[10]eff all'!$BH$40:$BI$40</f>
        <v>0.90825057016469368</v>
      </c>
      <c r="BI168" s="703"/>
      <c r="BJ168" s="704">
        <f>+'[10]eff all'!$BJ$40:$BK$40</f>
        <v>1465.1599999999999</v>
      </c>
      <c r="BK168" s="705"/>
      <c r="BL168" s="704">
        <f>+'[10]eff all'!$BL$40:$BM$40</f>
        <v>2.859209915640613</v>
      </c>
      <c r="BM168" s="705"/>
      <c r="BN168" s="704">
        <f>+'[10]eff all'!$BN$40:$BO$40</f>
        <v>0</v>
      </c>
      <c r="BO168" s="705"/>
      <c r="BP168" s="704">
        <f>+'[10]eff all'!$BP$40:$BQ$40</f>
        <v>1013.158972398919</v>
      </c>
      <c r="BQ168" s="705"/>
      <c r="BR168" s="704">
        <f>+'[10]eff all'!$BR$40:$BS$40</f>
        <v>0</v>
      </c>
      <c r="BS168" s="706"/>
      <c r="BT168" s="702">
        <f>+'[10]eff all'!$BT$40:$BU$40</f>
        <v>0.86462303428543996</v>
      </c>
      <c r="BU168" s="703"/>
      <c r="BV168" s="709">
        <f>+'[10]eff all'!$BV$40:$BW$40</f>
        <v>0.87445112764829958</v>
      </c>
      <c r="BW168" s="703"/>
      <c r="BX168" s="704">
        <f>+'[10]eff all'!$BX$40:$BY$40</f>
        <v>1364.3539999999998</v>
      </c>
      <c r="BY168" s="705"/>
      <c r="BZ168" s="704">
        <f>+'[10]eff all'!$BZ$40:$CA$40</f>
        <v>84.357025620624938</v>
      </c>
      <c r="CA168" s="705"/>
      <c r="CB168" s="704">
        <f>+'[10]eff all'!$CB$40:$CC$40</f>
        <v>2.027780180217158</v>
      </c>
      <c r="CC168" s="705"/>
      <c r="CD168" s="704">
        <f>+'[10]eff all'!$CD$40:$CE$40</f>
        <v>7.468736119804685E-2</v>
      </c>
      <c r="CE168" s="705"/>
      <c r="CF168" s="704">
        <f>+'[10]eff all'!$CF$40:$CG$40</f>
        <v>883.67533645959929</v>
      </c>
      <c r="CG168" s="705"/>
      <c r="CH168" s="721">
        <f>+'[10]eff all'!$CH$40:$CI$40</f>
        <v>193.15194077197017</v>
      </c>
      <c r="CI168" s="721"/>
      <c r="CJ168" s="721">
        <f>+'[10]eff all'!$CJ$40:$CK$40</f>
        <v>2.4682831581832825</v>
      </c>
      <c r="CK168" s="806"/>
    </row>
    <row r="169" spans="1:89" ht="14.25" customHeight="1" thickTop="1">
      <c r="A169" s="559">
        <v>45839</v>
      </c>
      <c r="B169" s="518">
        <v>0.9909427254801737</v>
      </c>
      <c r="C169" s="519">
        <v>0.9909427254801737</v>
      </c>
      <c r="D169" s="519">
        <v>0.9909427254801737</v>
      </c>
      <c r="E169" s="519">
        <v>0.9909427254801737</v>
      </c>
      <c r="F169" s="520">
        <v>68.671999999999997</v>
      </c>
      <c r="G169" s="520">
        <v>68.671999999999997</v>
      </c>
      <c r="H169" s="520">
        <v>2.0336381640260952</v>
      </c>
      <c r="I169" s="520">
        <v>2.0336381640260952</v>
      </c>
      <c r="J169" s="520">
        <v>870.29735554516935</v>
      </c>
      <c r="K169" s="548">
        <v>870.29735554516935</v>
      </c>
      <c r="L169" s="518">
        <v>0.872838230792776</v>
      </c>
      <c r="M169" s="519">
        <v>0.872838230792776</v>
      </c>
      <c r="N169" s="519">
        <v>0.90228790548571269</v>
      </c>
      <c r="O169" s="519">
        <v>0.90228790548571269</v>
      </c>
      <c r="P169" s="520">
        <v>59.786999999999999</v>
      </c>
      <c r="Q169" s="520">
        <v>59.786999999999999</v>
      </c>
      <c r="R169" s="520">
        <v>2.0316791275695385</v>
      </c>
      <c r="S169" s="520">
        <v>2.0316791275695385</v>
      </c>
      <c r="T169" s="520">
        <v>0.26761670597287035</v>
      </c>
      <c r="U169" s="520">
        <v>0.26761670597287035</v>
      </c>
      <c r="V169" s="520">
        <v>622.43614832658352</v>
      </c>
      <c r="W169" s="520">
        <v>622.43614832658352</v>
      </c>
      <c r="X169" s="520">
        <v>530.73410607657183</v>
      </c>
      <c r="Y169" s="520">
        <v>530.73410607657183</v>
      </c>
      <c r="Z169" s="518">
        <v>0.79605809707092079</v>
      </c>
      <c r="AA169" s="1024">
        <v>0.79605809707092079</v>
      </c>
      <c r="AB169" s="519">
        <v>0.84102784932927188</v>
      </c>
      <c r="AC169" s="519">
        <v>0.84102784932927188</v>
      </c>
      <c r="AD169" s="520">
        <v>35.332000000000001</v>
      </c>
      <c r="AE169" s="520">
        <v>35.332000000000001</v>
      </c>
      <c r="AF169" s="520">
        <v>111.72372702149258</v>
      </c>
      <c r="AG169" s="520">
        <v>111.72372702149258</v>
      </c>
      <c r="AH169" s="520">
        <v>1.6330804936035324</v>
      </c>
      <c r="AI169" s="520">
        <v>1.6330804936035324</v>
      </c>
      <c r="AJ169" s="520">
        <v>1031.502886901382</v>
      </c>
      <c r="AK169" s="520">
        <v>1031.502886901382</v>
      </c>
      <c r="AL169" s="576">
        <v>0</v>
      </c>
      <c r="AM169" s="577">
        <v>0</v>
      </c>
      <c r="AN169" s="518">
        <v>0.55958666170274241</v>
      </c>
      <c r="AO169" s="1024">
        <v>0.55958666170274241</v>
      </c>
      <c r="AP169" s="519">
        <v>0.55958666170274241</v>
      </c>
      <c r="AQ169" s="519">
        <v>0.55958666170274241</v>
      </c>
      <c r="AR169" s="520">
        <v>28.594999999999999</v>
      </c>
      <c r="AS169" s="520">
        <v>28.594999999999999</v>
      </c>
      <c r="AT169" s="521">
        <v>151.92344940520624</v>
      </c>
      <c r="AU169" s="521">
        <v>151.92344940520624</v>
      </c>
      <c r="AV169" s="520">
        <v>2.0108410561286938</v>
      </c>
      <c r="AW169" s="520">
        <v>2.0108410561286938</v>
      </c>
      <c r="AX169" s="520">
        <v>0.26927784577723379</v>
      </c>
      <c r="AY169" s="520">
        <v>0.26927784577723379</v>
      </c>
      <c r="AZ169" s="520">
        <v>1170.3115929358303</v>
      </c>
      <c r="BA169" s="520">
        <v>1170.3115929358303</v>
      </c>
      <c r="BB169" s="520">
        <v>758.87392900858549</v>
      </c>
      <c r="BC169" s="520">
        <v>758.87392900858549</v>
      </c>
      <c r="BD169" s="520">
        <v>0</v>
      </c>
      <c r="BE169" s="520">
        <v>0</v>
      </c>
      <c r="BF169" s="518">
        <v>0.69481653843793756</v>
      </c>
      <c r="BG169" s="519">
        <v>0.69481653843793756</v>
      </c>
      <c r="BH169" s="519">
        <v>0.69481653843793756</v>
      </c>
      <c r="BI169" s="519">
        <v>0.69481653843793756</v>
      </c>
      <c r="BJ169" s="520">
        <v>36.506</v>
      </c>
      <c r="BK169" s="520">
        <v>36.506</v>
      </c>
      <c r="BL169" s="520">
        <v>3.6487152796800522</v>
      </c>
      <c r="BM169" s="520">
        <v>3.6487152796800522</v>
      </c>
      <c r="BN169" s="521">
        <v>0</v>
      </c>
      <c r="BO169" s="521">
        <v>0</v>
      </c>
      <c r="BP169" s="521">
        <v>1068.8222483975085</v>
      </c>
      <c r="BQ169" s="521">
        <v>1068.8222483975085</v>
      </c>
      <c r="BR169" s="521">
        <v>0</v>
      </c>
      <c r="BS169" s="522">
        <v>0</v>
      </c>
      <c r="BT169" s="518">
        <v>0.43564257949291446</v>
      </c>
      <c r="BU169" s="1025">
        <v>0.43564257949291446</v>
      </c>
      <c r="BV169" s="581">
        <v>0.48843090226310182</v>
      </c>
      <c r="BW169" s="581">
        <v>0.48843090226310182</v>
      </c>
      <c r="BX169" s="576">
        <v>20.062000000000001</v>
      </c>
      <c r="BY169" s="576">
        <v>20.062000000000001</v>
      </c>
      <c r="BZ169" s="582">
        <v>132.60523582567797</v>
      </c>
      <c r="CA169" s="582">
        <v>132.60523582567797</v>
      </c>
      <c r="CB169" s="576">
        <v>3.160203369554381</v>
      </c>
      <c r="CC169" s="576">
        <v>3.160203369554381</v>
      </c>
      <c r="CD169" s="582">
        <v>0</v>
      </c>
      <c r="CE169" s="582">
        <v>0</v>
      </c>
      <c r="CF169" s="582">
        <v>1533.8333665636283</v>
      </c>
      <c r="CG169" s="582">
        <v>1533.8333665636283</v>
      </c>
      <c r="CH169" s="582">
        <v>0</v>
      </c>
      <c r="CI169" s="582">
        <v>0</v>
      </c>
      <c r="CJ169" s="582">
        <v>0</v>
      </c>
      <c r="CK169" s="582">
        <v>0</v>
      </c>
    </row>
    <row r="170" spans="1:89" ht="14.25" customHeight="1">
      <c r="A170" s="560">
        <v>45840</v>
      </c>
      <c r="B170" s="512">
        <v>0.99122113681913193</v>
      </c>
      <c r="C170" s="513">
        <v>0.99108287285882679</v>
      </c>
      <c r="D170" s="513">
        <v>0.99815275316052443</v>
      </c>
      <c r="E170" s="513">
        <v>0.99455956604900142</v>
      </c>
      <c r="F170" s="510">
        <v>69.626999999999995</v>
      </c>
      <c r="G170" s="510">
        <v>138.29899999999998</v>
      </c>
      <c r="H170" s="510">
        <v>2.0488316314073565</v>
      </c>
      <c r="I170" s="510">
        <v>2.0412873556569466</v>
      </c>
      <c r="J170" s="510">
        <v>855.42102919846127</v>
      </c>
      <c r="K170" s="511">
        <v>862.80782941307734</v>
      </c>
      <c r="L170" s="512">
        <v>0.96540933835973952</v>
      </c>
      <c r="M170" s="513">
        <v>0.91888568371748258</v>
      </c>
      <c r="N170" s="513">
        <v>0.99655157508102143</v>
      </c>
      <c r="O170" s="513">
        <v>0.94921109573780504</v>
      </c>
      <c r="P170" s="510">
        <v>65.450999999999993</v>
      </c>
      <c r="Q170" s="510">
        <v>125.238</v>
      </c>
      <c r="R170" s="510">
        <v>2.1193564651418622</v>
      </c>
      <c r="S170" s="510">
        <v>2.0775004391638321</v>
      </c>
      <c r="T170" s="510">
        <v>0.22917908053352892</v>
      </c>
      <c r="U170" s="510">
        <v>0.24752870534502308</v>
      </c>
      <c r="V170" s="510">
        <v>610.97003865484851</v>
      </c>
      <c r="W170" s="510">
        <v>616.44381098388624</v>
      </c>
      <c r="X170" s="510">
        <v>452.68979847519523</v>
      </c>
      <c r="Y170" s="569">
        <v>489.94714064421339</v>
      </c>
      <c r="Z170" s="512">
        <v>0.8370307996553662</v>
      </c>
      <c r="AA170" s="1026">
        <v>0.81659189458267634</v>
      </c>
      <c r="AB170" s="513">
        <v>0.8370307996553662</v>
      </c>
      <c r="AC170" s="513">
        <v>0.83896980145408628</v>
      </c>
      <c r="AD170" s="510">
        <v>37.323</v>
      </c>
      <c r="AE170" s="510">
        <v>72.655000000000001</v>
      </c>
      <c r="AF170" s="510">
        <v>100.50053641630683</v>
      </c>
      <c r="AG170" s="510">
        <v>105.95835446685287</v>
      </c>
      <c r="AH170" s="510">
        <v>1.5888326233153818</v>
      </c>
      <c r="AI170" s="510">
        <v>1.6103502855963112</v>
      </c>
      <c r="AJ170" s="510">
        <v>926.51716099991472</v>
      </c>
      <c r="AK170" s="510">
        <v>977.57153671460264</v>
      </c>
      <c r="AL170" s="576">
        <v>0</v>
      </c>
      <c r="AM170" s="577">
        <v>0</v>
      </c>
      <c r="AN170" s="512">
        <v>0.59463543635249294</v>
      </c>
      <c r="AO170" s="1026">
        <v>0.57711104902761756</v>
      </c>
      <c r="AP170" s="513">
        <v>0.65115971737459299</v>
      </c>
      <c r="AQ170" s="513">
        <v>0.60329576087097603</v>
      </c>
      <c r="AR170" s="510">
        <v>30.385999999999999</v>
      </c>
      <c r="AS170" s="510">
        <v>58.980999999999995</v>
      </c>
      <c r="AT170" s="514">
        <v>124.90049707400922</v>
      </c>
      <c r="AU170" s="514">
        <v>138.00168765929226</v>
      </c>
      <c r="AV170" s="510">
        <v>1.9318107022971107</v>
      </c>
      <c r="AW170" s="510">
        <v>1.9701259727708926</v>
      </c>
      <c r="AX170" s="510">
        <v>8.8856710327124347E-2</v>
      </c>
      <c r="AY170" s="510">
        <v>0.17632797002424511</v>
      </c>
      <c r="AZ170" s="510">
        <v>1152.5176067926016</v>
      </c>
      <c r="BA170" s="510">
        <v>1161.1444363439082</v>
      </c>
      <c r="BB170" s="510">
        <v>434.73968274862227</v>
      </c>
      <c r="BC170" s="510">
        <v>591.88552245638675</v>
      </c>
      <c r="BD170" s="510">
        <v>0</v>
      </c>
      <c r="BE170" s="510">
        <v>0</v>
      </c>
      <c r="BF170" s="512">
        <v>0.72883595295276049</v>
      </c>
      <c r="BG170" s="513">
        <v>0.71173595359681885</v>
      </c>
      <c r="BH170" s="513">
        <v>0.77046479023268366</v>
      </c>
      <c r="BI170" s="513">
        <v>0.73138986222858671</v>
      </c>
      <c r="BJ170" s="510">
        <v>37.889000000000003</v>
      </c>
      <c r="BK170" s="510">
        <v>74.39500000000001</v>
      </c>
      <c r="BL170" s="510">
        <v>3.7055609807595871</v>
      </c>
      <c r="BM170" s="510">
        <v>3.6776665098460914</v>
      </c>
      <c r="BN170" s="514">
        <v>0</v>
      </c>
      <c r="BO170" s="514">
        <v>0</v>
      </c>
      <c r="BP170" s="514">
        <v>1183.9126131595074</v>
      </c>
      <c r="BQ170" s="514">
        <v>1127.4371933597688</v>
      </c>
      <c r="BR170" s="514">
        <v>0</v>
      </c>
      <c r="BS170" s="515">
        <v>0</v>
      </c>
      <c r="BT170" s="512">
        <v>0.7754210192673503</v>
      </c>
      <c r="BU170" s="1026">
        <v>0.60392216852848768</v>
      </c>
      <c r="BV170" s="513">
        <v>0.81385296482870584</v>
      </c>
      <c r="BW170" s="513">
        <v>0.65496921145910381</v>
      </c>
      <c r="BX170" s="510">
        <v>35.039000000000001</v>
      </c>
      <c r="BY170" s="510">
        <v>55.100999999999999</v>
      </c>
      <c r="BZ170" s="514">
        <v>71.657067132148001</v>
      </c>
      <c r="CA170" s="514">
        <v>93.847992166713581</v>
      </c>
      <c r="CB170" s="510">
        <v>2.0120437227089814</v>
      </c>
      <c r="CC170" s="510">
        <v>2.4300829386036553</v>
      </c>
      <c r="CD170" s="582">
        <v>0</v>
      </c>
      <c r="CE170" s="582">
        <v>0</v>
      </c>
      <c r="CF170" s="514">
        <v>992.72025457347456</v>
      </c>
      <c r="CG170" s="514">
        <v>1189.7368468811724</v>
      </c>
      <c r="CH170" s="582">
        <v>0</v>
      </c>
      <c r="CI170" s="582">
        <v>0</v>
      </c>
      <c r="CJ170" s="514">
        <v>0</v>
      </c>
      <c r="CK170" s="514">
        <v>0</v>
      </c>
    </row>
    <row r="171" spans="1:89" ht="12.75" customHeight="1">
      <c r="A171" s="560">
        <v>45841</v>
      </c>
      <c r="B171" s="512">
        <v>0.91407730485331939</v>
      </c>
      <c r="C171" s="513">
        <v>0.96267080914719638</v>
      </c>
      <c r="D171" s="513">
        <v>0.93934383913837238</v>
      </c>
      <c r="E171" s="513">
        <v>0.97449165797994408</v>
      </c>
      <c r="F171" s="510">
        <v>74.578999999999994</v>
      </c>
      <c r="G171" s="510">
        <v>212.87799999999999</v>
      </c>
      <c r="H171" s="510">
        <v>2.0831869561136513</v>
      </c>
      <c r="I171" s="510">
        <v>2.0559663281316056</v>
      </c>
      <c r="J171" s="510">
        <v>773.43863554078848</v>
      </c>
      <c r="K171" s="511">
        <v>831.49851088414789</v>
      </c>
      <c r="L171" s="512">
        <v>0.99304793185736051</v>
      </c>
      <c r="M171" s="513">
        <v>0.94406248407450344</v>
      </c>
      <c r="N171" s="513">
        <v>1.0020946193935525</v>
      </c>
      <c r="O171" s="513">
        <v>0.96744266330064133</v>
      </c>
      <c r="P171" s="510">
        <v>69.563000000000002</v>
      </c>
      <c r="Q171" s="510">
        <v>194.80099999999999</v>
      </c>
      <c r="R171" s="510">
        <v>2.1498497764616249</v>
      </c>
      <c r="S171" s="510">
        <v>2.1033362251733823</v>
      </c>
      <c r="T171" s="510">
        <v>0.2228196023748257</v>
      </c>
      <c r="U171" s="510">
        <v>0.23870514011735053</v>
      </c>
      <c r="V171" s="510">
        <v>589.34088524072251</v>
      </c>
      <c r="W171" s="510">
        <v>606.76541701531471</v>
      </c>
      <c r="X171" s="510">
        <v>435.14512025070803</v>
      </c>
      <c r="Y171" s="569">
        <v>470.37746212801784</v>
      </c>
      <c r="Z171" s="512">
        <v>0.91724470964022242</v>
      </c>
      <c r="AA171" s="1026">
        <v>0.84957779005359535</v>
      </c>
      <c r="AB171" s="513">
        <v>0.91724470964022242</v>
      </c>
      <c r="AC171" s="513">
        <v>0.86509040851563834</v>
      </c>
      <c r="AD171" s="510">
        <v>39.783000000000001</v>
      </c>
      <c r="AE171" s="510">
        <v>112.438</v>
      </c>
      <c r="AF171" s="510">
        <v>102.53545879020847</v>
      </c>
      <c r="AG171" s="510">
        <v>104.74725983066274</v>
      </c>
      <c r="AH171" s="510">
        <v>1.5433727974260361</v>
      </c>
      <c r="AI171" s="510">
        <v>1.586652199434355</v>
      </c>
      <c r="AJ171" s="510">
        <v>933.37053515320611</v>
      </c>
      <c r="AK171" s="510">
        <v>961.93226489264703</v>
      </c>
      <c r="AL171" s="576">
        <v>0</v>
      </c>
      <c r="AM171" s="577">
        <v>0</v>
      </c>
      <c r="AN171" s="512">
        <v>0.60619656555668755</v>
      </c>
      <c r="AO171" s="1026">
        <v>0.58678600734732378</v>
      </c>
      <c r="AP171" s="513">
        <v>0.82055154047259837</v>
      </c>
      <c r="AQ171" s="513">
        <v>0.66368101717022565</v>
      </c>
      <c r="AR171" s="510">
        <v>30.88</v>
      </c>
      <c r="AS171" s="510">
        <v>89.86099999999999</v>
      </c>
      <c r="AT171" s="514">
        <v>113.48987995832084</v>
      </c>
      <c r="AU171" s="514">
        <v>129.57840479124053</v>
      </c>
      <c r="AV171" s="510">
        <v>1.6547927461139897</v>
      </c>
      <c r="AW171" s="510">
        <v>1.8617642803886005</v>
      </c>
      <c r="AX171" s="510">
        <v>8.4196891191709852E-2</v>
      </c>
      <c r="AY171" s="510">
        <v>0.14466787594173225</v>
      </c>
      <c r="AZ171" s="510">
        <v>1138.6748704663203</v>
      </c>
      <c r="BA171" s="510">
        <v>1153.4229532277634</v>
      </c>
      <c r="BB171" s="510">
        <v>239.63730569948038</v>
      </c>
      <c r="BC171" s="510">
        <v>470.83829469959272</v>
      </c>
      <c r="BD171" s="510">
        <v>0</v>
      </c>
      <c r="BE171" s="510">
        <v>0</v>
      </c>
      <c r="BF171" s="512">
        <v>0.88011507813803735</v>
      </c>
      <c r="BG171" s="513">
        <v>0.76778702504215013</v>
      </c>
      <c r="BH171" s="513">
        <v>0.91308768913456329</v>
      </c>
      <c r="BI171" s="513">
        <v>0.79149023584465628</v>
      </c>
      <c r="BJ171" s="510">
        <v>45.905000000000001</v>
      </c>
      <c r="BK171" s="510">
        <v>120.30000000000001</v>
      </c>
      <c r="BL171" s="510">
        <v>3.2196928439167847</v>
      </c>
      <c r="BM171" s="510">
        <v>3.5029093931837072</v>
      </c>
      <c r="BN171" s="514">
        <v>0</v>
      </c>
      <c r="BO171" s="514">
        <v>0</v>
      </c>
      <c r="BP171" s="514">
        <v>1036.8896634353418</v>
      </c>
      <c r="BQ171" s="514">
        <v>1092.8853699085569</v>
      </c>
      <c r="BR171" s="514">
        <v>0</v>
      </c>
      <c r="BS171" s="515">
        <v>0</v>
      </c>
      <c r="BT171" s="512">
        <v>0.85057526971490638</v>
      </c>
      <c r="BU171" s="1026">
        <v>0.68561890423251459</v>
      </c>
      <c r="BV171" s="513">
        <v>0.8686726158790532</v>
      </c>
      <c r="BW171" s="513">
        <v>0.72862511066093427</v>
      </c>
      <c r="BX171" s="510">
        <v>38.435000000000002</v>
      </c>
      <c r="BY171" s="510">
        <v>93.536000000000001</v>
      </c>
      <c r="BZ171" s="514">
        <v>83.186271623160877</v>
      </c>
      <c r="CA171" s="514">
        <v>89.466970644610342</v>
      </c>
      <c r="CB171" s="510">
        <v>2.2297385195785093</v>
      </c>
      <c r="CC171" s="510">
        <v>2.3477591515566201</v>
      </c>
      <c r="CD171" s="582">
        <v>0</v>
      </c>
      <c r="CE171" s="582">
        <v>0</v>
      </c>
      <c r="CF171" s="514">
        <v>1046.9212956940039</v>
      </c>
      <c r="CG171" s="514">
        <v>1131.052322100566</v>
      </c>
      <c r="CH171" s="582">
        <v>0</v>
      </c>
      <c r="CI171" s="582">
        <v>0</v>
      </c>
      <c r="CJ171" s="514">
        <v>0</v>
      </c>
      <c r="CK171" s="514">
        <v>0</v>
      </c>
    </row>
    <row r="172" spans="1:89" ht="12.75" customHeight="1">
      <c r="A172" s="560">
        <v>45842</v>
      </c>
      <c r="B172" s="512">
        <v>0.94664245258088509</v>
      </c>
      <c r="C172" s="513">
        <v>0.95829494965514939</v>
      </c>
      <c r="D172" s="513">
        <v>0.94664245258088509</v>
      </c>
      <c r="E172" s="513">
        <v>0.96682097479471629</v>
      </c>
      <c r="F172" s="510">
        <v>78.611000000000004</v>
      </c>
      <c r="G172" s="510">
        <v>291.48899999999998</v>
      </c>
      <c r="H172" s="510">
        <v>2.0327689509101776</v>
      </c>
      <c r="I172" s="510">
        <v>2.0497102806623921</v>
      </c>
      <c r="J172" s="510">
        <v>752.4379539759401</v>
      </c>
      <c r="K172" s="511">
        <v>810.17685058440713</v>
      </c>
      <c r="L172" s="512">
        <v>0.98739656072138016</v>
      </c>
      <c r="M172" s="513">
        <v>0.95489406107926766</v>
      </c>
      <c r="N172" s="513">
        <v>0.98739656072138016</v>
      </c>
      <c r="O172" s="513">
        <v>0.97252231885604867</v>
      </c>
      <c r="P172" s="510">
        <v>67.897999999999996</v>
      </c>
      <c r="Q172" s="510">
        <v>262.69899999999996</v>
      </c>
      <c r="R172" s="510">
        <v>2.1459542254558306</v>
      </c>
      <c r="S172" s="510">
        <v>2.1143514059817514</v>
      </c>
      <c r="T172" s="510">
        <v>0.247429968482135</v>
      </c>
      <c r="U172" s="510">
        <v>0.24096018637299726</v>
      </c>
      <c r="V172" s="510">
        <v>611.17485051105336</v>
      </c>
      <c r="W172" s="510">
        <v>607.90509290100022</v>
      </c>
      <c r="X172" s="510">
        <v>498.8806739521093</v>
      </c>
      <c r="Y172" s="569">
        <v>477.74449084313358</v>
      </c>
      <c r="Z172" s="512">
        <v>0.9626202585735566</v>
      </c>
      <c r="AA172" s="1026">
        <v>0.87755786381605383</v>
      </c>
      <c r="AB172" s="513">
        <v>0.9626202585735566</v>
      </c>
      <c r="AC172" s="513">
        <v>0.88956101646031027</v>
      </c>
      <c r="AD172" s="510">
        <v>41.905999999999999</v>
      </c>
      <c r="AE172" s="510">
        <v>154.34399999999999</v>
      </c>
      <c r="AF172" s="510">
        <v>102.76158632160944</v>
      </c>
      <c r="AG172" s="510">
        <v>104.2081288371004</v>
      </c>
      <c r="AH172" s="510">
        <v>1.4818880351262349</v>
      </c>
      <c r="AI172" s="510">
        <v>1.5582076400767118</v>
      </c>
      <c r="AJ172" s="510">
        <v>920.86813344152495</v>
      </c>
      <c r="AK172" s="510">
        <v>950.78292645000784</v>
      </c>
      <c r="AL172" s="576">
        <v>0</v>
      </c>
      <c r="AM172" s="577">
        <v>0</v>
      </c>
      <c r="AN172" s="512">
        <v>8.682278214805185E-2</v>
      </c>
      <c r="AO172" s="1026">
        <v>0.45840061957279221</v>
      </c>
      <c r="AP172" s="513">
        <v>9.3651540294527838E-2</v>
      </c>
      <c r="AQ172" s="513">
        <v>0.51208427516043453</v>
      </c>
      <c r="AR172" s="510">
        <v>4.5940000000000003</v>
      </c>
      <c r="AS172" s="510">
        <v>94.454999999999984</v>
      </c>
      <c r="AT172" s="514">
        <v>371.94786336797904</v>
      </c>
      <c r="AU172" s="514">
        <v>141.3665080435992</v>
      </c>
      <c r="AV172" s="510">
        <v>6.8785372224640833</v>
      </c>
      <c r="AW172" s="510">
        <v>2.1057646498332545</v>
      </c>
      <c r="AX172" s="510">
        <v>0</v>
      </c>
      <c r="AY172" s="510">
        <v>0.13763167645968982</v>
      </c>
      <c r="AZ172" s="510">
        <v>4505.8554636482359</v>
      </c>
      <c r="BA172" s="510">
        <v>1316.4749351543066</v>
      </c>
      <c r="BB172" s="510">
        <v>0</v>
      </c>
      <c r="BC172" s="510">
        <v>447.93817161611452</v>
      </c>
      <c r="BD172" s="510">
        <v>0</v>
      </c>
      <c r="BE172" s="510">
        <v>0</v>
      </c>
      <c r="BF172" s="512">
        <v>0.92344500029449006</v>
      </c>
      <c r="BG172" s="513">
        <v>0.8066623477390451</v>
      </c>
      <c r="BH172" s="513">
        <v>0.92344500029449006</v>
      </c>
      <c r="BI172" s="513">
        <v>0.82520319064643932</v>
      </c>
      <c r="BJ172" s="510">
        <v>48.164999999999999</v>
      </c>
      <c r="BK172" s="510">
        <v>168.465</v>
      </c>
      <c r="BL172" s="510">
        <v>3.1288279871275821</v>
      </c>
      <c r="BM172" s="510">
        <v>3.3959576173092336</v>
      </c>
      <c r="BN172" s="514">
        <v>0</v>
      </c>
      <c r="BO172" s="514">
        <v>0</v>
      </c>
      <c r="BP172" s="514">
        <v>929.85601577909028</v>
      </c>
      <c r="BQ172" s="514">
        <v>1046.2744486985384</v>
      </c>
      <c r="BR172" s="514">
        <v>0</v>
      </c>
      <c r="BS172" s="515">
        <v>0</v>
      </c>
      <c r="BT172" s="512">
        <v>0.93192598368581825</v>
      </c>
      <c r="BU172" s="1026">
        <v>0.74690257826351825</v>
      </c>
      <c r="BV172" s="513">
        <v>0.93192598368581825</v>
      </c>
      <c r="BW172" s="513">
        <v>0.78155522799759347</v>
      </c>
      <c r="BX172" s="510">
        <v>42.110999999999997</v>
      </c>
      <c r="BY172" s="510">
        <v>135.64699999999999</v>
      </c>
      <c r="BZ172" s="514">
        <v>84.822124368790568</v>
      </c>
      <c r="CA172" s="514">
        <v>88.024999045378181</v>
      </c>
      <c r="CB172" s="510">
        <v>2.0018522476312604</v>
      </c>
      <c r="CC172" s="510">
        <v>2.2403739116972736</v>
      </c>
      <c r="CD172" s="582">
        <v>0</v>
      </c>
      <c r="CE172" s="582">
        <v>0</v>
      </c>
      <c r="CF172" s="514">
        <v>1017.6242549452808</v>
      </c>
      <c r="CG172" s="514">
        <v>1095.8390896960436</v>
      </c>
      <c r="CH172" s="582">
        <v>0</v>
      </c>
      <c r="CI172" s="582">
        <v>0</v>
      </c>
      <c r="CJ172" s="514">
        <v>0</v>
      </c>
      <c r="CK172" s="514">
        <v>0</v>
      </c>
    </row>
    <row r="173" spans="1:89" ht="12.75" customHeight="1">
      <c r="A173" s="560">
        <v>45843</v>
      </c>
      <c r="B173" s="512">
        <v>0.95324641323525505</v>
      </c>
      <c r="C173" s="513">
        <v>0.95726237640656375</v>
      </c>
      <c r="D173" s="513">
        <v>0.95324641323525505</v>
      </c>
      <c r="E173" s="513">
        <v>0.96402496635162671</v>
      </c>
      <c r="F173" s="510">
        <v>74.552000000000007</v>
      </c>
      <c r="G173" s="510">
        <v>366.041</v>
      </c>
      <c r="H173" s="510">
        <v>2.0579193046464215</v>
      </c>
      <c r="I173" s="510">
        <v>2.0513822222100804</v>
      </c>
      <c r="J173" s="510">
        <v>788.88319562181425</v>
      </c>
      <c r="K173" s="511">
        <v>805.83994689118367</v>
      </c>
      <c r="L173" s="512">
        <v>0.99590509770458568</v>
      </c>
      <c r="M173" s="513">
        <v>0.96316811625599463</v>
      </c>
      <c r="N173" s="513">
        <v>0.99590509770458568</v>
      </c>
      <c r="O173" s="513">
        <v>0.97730910067846599</v>
      </c>
      <c r="P173" s="510">
        <v>69.247</v>
      </c>
      <c r="Q173" s="510">
        <v>331.94599999999997</v>
      </c>
      <c r="R173" s="510">
        <v>2.1263015004260111</v>
      </c>
      <c r="S173" s="510">
        <v>2.1168443060015787</v>
      </c>
      <c r="T173" s="510">
        <v>0.22528051756754805</v>
      </c>
      <c r="U173" s="510">
        <v>0.23768926271140486</v>
      </c>
      <c r="V173" s="510">
        <v>591.68093924647587</v>
      </c>
      <c r="W173" s="510">
        <v>604.52058467341237</v>
      </c>
      <c r="X173" s="510">
        <v>458.73467442632693</v>
      </c>
      <c r="Y173" s="569">
        <v>473.77886764714805</v>
      </c>
      <c r="Z173" s="512">
        <v>0.90884412876151144</v>
      </c>
      <c r="AA173" s="1026">
        <v>0.88399029931109951</v>
      </c>
      <c r="AB173" s="513">
        <v>0.90884412876151144</v>
      </c>
      <c r="AC173" s="513">
        <v>0.89356856910904359</v>
      </c>
      <c r="AD173" s="510">
        <v>41.37</v>
      </c>
      <c r="AE173" s="510">
        <v>195.714</v>
      </c>
      <c r="AF173" s="510">
        <v>103.37770286076348</v>
      </c>
      <c r="AG173" s="510">
        <v>104.03259350165654</v>
      </c>
      <c r="AH173" s="510">
        <v>1.4914189025864155</v>
      </c>
      <c r="AI173" s="510">
        <v>1.5440898453866356</v>
      </c>
      <c r="AJ173" s="510">
        <v>961.87623882040134</v>
      </c>
      <c r="AK173" s="510">
        <v>953.12782938369264</v>
      </c>
      <c r="AL173" s="576">
        <v>0</v>
      </c>
      <c r="AM173" s="577">
        <v>0</v>
      </c>
      <c r="AN173" s="512">
        <v>0.85459483237680567</v>
      </c>
      <c r="AO173" s="1026">
        <v>0.5338183323068425</v>
      </c>
      <c r="AP173" s="513">
        <v>0.85459483237680567</v>
      </c>
      <c r="AQ173" s="513">
        <v>0.58333022623501218</v>
      </c>
      <c r="AR173" s="510">
        <v>41.401000000000003</v>
      </c>
      <c r="AS173" s="510">
        <v>135.85599999999999</v>
      </c>
      <c r="AT173" s="514">
        <v>109.18777054822472</v>
      </c>
      <c r="AU173" s="514">
        <v>131.56030212670188</v>
      </c>
      <c r="AV173" s="510">
        <v>1.6883650153377938</v>
      </c>
      <c r="AW173" s="510">
        <v>1.978565539983512</v>
      </c>
      <c r="AX173" s="510">
        <v>0</v>
      </c>
      <c r="AY173" s="510">
        <v>9.5689553645035924E-2</v>
      </c>
      <c r="AZ173" s="510">
        <v>1086.9983816816027</v>
      </c>
      <c r="BA173" s="510">
        <v>1246.5438405370394</v>
      </c>
      <c r="BB173" s="510">
        <v>0</v>
      </c>
      <c r="BC173" s="510">
        <v>311.43269344011378</v>
      </c>
      <c r="BD173" s="510">
        <v>0</v>
      </c>
      <c r="BE173" s="510">
        <v>0</v>
      </c>
      <c r="BF173" s="512">
        <v>0.86472539571565932</v>
      </c>
      <c r="BG173" s="513">
        <v>0.81843475235904706</v>
      </c>
      <c r="BH173" s="513">
        <v>0.86472539571565932</v>
      </c>
      <c r="BI173" s="513">
        <v>0.83336255711364593</v>
      </c>
      <c r="BJ173" s="510">
        <v>45.927</v>
      </c>
      <c r="BK173" s="510">
        <v>214.392</v>
      </c>
      <c r="BL173" s="510">
        <v>3.2399242275785487</v>
      </c>
      <c r="BM173" s="510">
        <v>3.3625321840367182</v>
      </c>
      <c r="BN173" s="514">
        <v>0</v>
      </c>
      <c r="BO173" s="514">
        <v>0</v>
      </c>
      <c r="BP173" s="514">
        <v>976.91401572060636</v>
      </c>
      <c r="BQ173" s="514">
        <v>1031.416074293815</v>
      </c>
      <c r="BR173" s="514">
        <v>0</v>
      </c>
      <c r="BS173" s="515">
        <v>0</v>
      </c>
      <c r="BT173" s="512">
        <v>0.8773460318301084</v>
      </c>
      <c r="BU173" s="1026">
        <v>0.77408761497371692</v>
      </c>
      <c r="BV173" s="513">
        <v>0.8773460318301084</v>
      </c>
      <c r="BW173" s="513">
        <v>0.80224464049033595</v>
      </c>
      <c r="BX173" s="510">
        <v>41.948999999999998</v>
      </c>
      <c r="BY173" s="510">
        <v>177.596</v>
      </c>
      <c r="BZ173" s="514">
        <v>83.691662356269845</v>
      </c>
      <c r="CA173" s="514">
        <v>87.001444794317294</v>
      </c>
      <c r="CB173" s="510">
        <v>2.0763307826169872</v>
      </c>
      <c r="CC173" s="510">
        <v>2.2016261627514133</v>
      </c>
      <c r="CD173" s="582">
        <v>0</v>
      </c>
      <c r="CE173" s="582">
        <v>0</v>
      </c>
      <c r="CF173" s="514">
        <v>1004.7135807766563</v>
      </c>
      <c r="CG173" s="514">
        <v>1074.3148212797539</v>
      </c>
      <c r="CH173" s="582">
        <v>0</v>
      </c>
      <c r="CI173" s="582">
        <v>0</v>
      </c>
      <c r="CJ173" s="514">
        <v>0</v>
      </c>
      <c r="CK173" s="514">
        <v>0</v>
      </c>
    </row>
    <row r="174" spans="1:89" ht="12.75" customHeight="1">
      <c r="A174" s="560">
        <v>45844</v>
      </c>
      <c r="B174" s="512">
        <v>0.89766144927108837</v>
      </c>
      <c r="C174" s="513">
        <v>0.94715096235074236</v>
      </c>
      <c r="D174" s="513">
        <v>0.89766144927108837</v>
      </c>
      <c r="E174" s="513">
        <v>0.95270030115741411</v>
      </c>
      <c r="F174" s="510">
        <v>70.131</v>
      </c>
      <c r="G174" s="510">
        <v>436.17200000000003</v>
      </c>
      <c r="H174" s="510">
        <v>2.1183927221913277</v>
      </c>
      <c r="I174" s="510">
        <v>2.0621566721385141</v>
      </c>
      <c r="J174" s="510">
        <v>789.10410517461639</v>
      </c>
      <c r="K174" s="511">
        <v>803.1490329502966</v>
      </c>
      <c r="L174" s="512">
        <v>0.99404704515444942</v>
      </c>
      <c r="M174" s="513">
        <v>0.96849148167877053</v>
      </c>
      <c r="N174" s="513">
        <v>0.99404704515444942</v>
      </c>
      <c r="O174" s="513">
        <v>0.98022960723423358</v>
      </c>
      <c r="P174" s="510">
        <v>71.363</v>
      </c>
      <c r="Q174" s="510">
        <v>403.30899999999997</v>
      </c>
      <c r="R174" s="510">
        <v>2.1418101817468438</v>
      </c>
      <c r="S174" s="510">
        <v>2.1212618612527865</v>
      </c>
      <c r="T174" s="510">
        <v>0.20598909799195661</v>
      </c>
      <c r="U174" s="510">
        <v>0.23208011723021307</v>
      </c>
      <c r="V174" s="510">
        <v>558.14763953308977</v>
      </c>
      <c r="W174" s="510">
        <v>596.31518265151635</v>
      </c>
      <c r="X174" s="510">
        <v>409.17562322211279</v>
      </c>
      <c r="Y174" s="569">
        <v>462.34772841667274</v>
      </c>
      <c r="Z174" s="512">
        <v>0.91062768740505562</v>
      </c>
      <c r="AA174" s="1026">
        <v>0.88860181346137534</v>
      </c>
      <c r="AB174" s="513">
        <v>0.91062768740505562</v>
      </c>
      <c r="AC174" s="513">
        <v>0.89654828582631274</v>
      </c>
      <c r="AD174" s="510">
        <v>42.210999999999999</v>
      </c>
      <c r="AE174" s="510">
        <v>237.92500000000001</v>
      </c>
      <c r="AF174" s="510">
        <v>97.936678932780623</v>
      </c>
      <c r="AG174" s="510">
        <v>102.95109870343515</v>
      </c>
      <c r="AH174" s="510">
        <v>1.4925019544668452</v>
      </c>
      <c r="AI174" s="510">
        <v>1.5349374802984133</v>
      </c>
      <c r="AJ174" s="510">
        <v>886.27751060148921</v>
      </c>
      <c r="AK174" s="510">
        <v>941.26771041294296</v>
      </c>
      <c r="AL174" s="576">
        <v>0</v>
      </c>
      <c r="AM174" s="577">
        <v>0</v>
      </c>
      <c r="AN174" s="512">
        <v>0.82134858496677587</v>
      </c>
      <c r="AO174" s="1026">
        <v>0.57733186850519846</v>
      </c>
      <c r="AP174" s="513">
        <v>0.82134858496677587</v>
      </c>
      <c r="AQ174" s="513">
        <v>0.62214693636055773</v>
      </c>
      <c r="AR174" s="510">
        <v>37.274999999999999</v>
      </c>
      <c r="AS174" s="510">
        <v>173.131</v>
      </c>
      <c r="AT174" s="514">
        <v>105.98292232623652</v>
      </c>
      <c r="AU174" s="514">
        <v>126.05350766434478</v>
      </c>
      <c r="AV174" s="510">
        <v>1.8189134808853118</v>
      </c>
      <c r="AW174" s="510">
        <v>1.9441925478394975</v>
      </c>
      <c r="AX174" s="510">
        <v>0</v>
      </c>
      <c r="AY174" s="510">
        <v>7.5087650391899768E-2</v>
      </c>
      <c r="AZ174" s="510">
        <v>1139.118980549966</v>
      </c>
      <c r="BA174" s="510">
        <v>1223.4153328982102</v>
      </c>
      <c r="BB174" s="510">
        <v>0</v>
      </c>
      <c r="BC174" s="510">
        <v>244.38142216009896</v>
      </c>
      <c r="BD174" s="510">
        <v>0</v>
      </c>
      <c r="BE174" s="510">
        <v>0</v>
      </c>
      <c r="BF174" s="512">
        <v>0.82235151679596119</v>
      </c>
      <c r="BG174" s="513">
        <v>0.81910916279919188</v>
      </c>
      <c r="BH174" s="513">
        <v>0.82235151679596119</v>
      </c>
      <c r="BI174" s="513">
        <v>0.83143807751875987</v>
      </c>
      <c r="BJ174" s="510">
        <v>44.807000000000002</v>
      </c>
      <c r="BK174" s="510">
        <v>259.19900000000001</v>
      </c>
      <c r="BL174" s="510">
        <v>3.2294061195795294</v>
      </c>
      <c r="BM174" s="510">
        <v>3.339519056786485</v>
      </c>
      <c r="BN174" s="514">
        <v>0</v>
      </c>
      <c r="BO174" s="514">
        <v>0</v>
      </c>
      <c r="BP174" s="514">
        <v>916.04336376012463</v>
      </c>
      <c r="BQ174" s="514">
        <v>1011.4719192589458</v>
      </c>
      <c r="BR174" s="514">
        <v>0</v>
      </c>
      <c r="BS174" s="515">
        <v>0</v>
      </c>
      <c r="BT174" s="512">
        <v>0.88337241470207706</v>
      </c>
      <c r="BU174" s="1026">
        <v>0.79426030346237397</v>
      </c>
      <c r="BV174" s="513">
        <v>0.88337241470207706</v>
      </c>
      <c r="BW174" s="513">
        <v>0.81766107884206429</v>
      </c>
      <c r="BX174" s="510">
        <v>45.878999999999998</v>
      </c>
      <c r="BY174" s="510">
        <v>223.47499999999999</v>
      </c>
      <c r="BZ174" s="514">
        <v>79.894535971968239</v>
      </c>
      <c r="CA174" s="514">
        <v>85.542409690343476</v>
      </c>
      <c r="CB174" s="510">
        <v>2.0772030776608035</v>
      </c>
      <c r="CC174" s="510">
        <v>2.1760823358317487</v>
      </c>
      <c r="CD174" s="582">
        <v>0</v>
      </c>
      <c r="CE174" s="582">
        <v>0</v>
      </c>
      <c r="CF174" s="514">
        <v>840.29327143137596</v>
      </c>
      <c r="CG174" s="514">
        <v>1026.2706342991355</v>
      </c>
      <c r="CH174" s="582">
        <v>0</v>
      </c>
      <c r="CI174" s="582">
        <v>0</v>
      </c>
      <c r="CJ174" s="514">
        <v>0</v>
      </c>
      <c r="CK174" s="514">
        <v>0</v>
      </c>
    </row>
    <row r="175" spans="1:89" ht="12.75" customHeight="1">
      <c r="A175" s="560">
        <v>45845</v>
      </c>
      <c r="B175" s="512">
        <v>0.76519490080738828</v>
      </c>
      <c r="C175" s="513">
        <v>0.92037659924773518</v>
      </c>
      <c r="D175" s="513">
        <v>0.76519490080738828</v>
      </c>
      <c r="E175" s="513">
        <v>0.92497161832060937</v>
      </c>
      <c r="F175" s="510">
        <v>60.798000000000002</v>
      </c>
      <c r="G175" s="510">
        <v>496.97</v>
      </c>
      <c r="H175" s="510">
        <v>1.8849468732524095</v>
      </c>
      <c r="I175" s="510">
        <v>2.0404772923918948</v>
      </c>
      <c r="J175" s="510">
        <v>785.23339583540451</v>
      </c>
      <c r="K175" s="511">
        <v>800.9572811236045</v>
      </c>
      <c r="L175" s="512">
        <v>0.99039365124454748</v>
      </c>
      <c r="M175" s="513">
        <v>0.9716780349712284</v>
      </c>
      <c r="N175" s="513">
        <v>1.1068627438370344</v>
      </c>
      <c r="O175" s="513">
        <v>0.99714695484687377</v>
      </c>
      <c r="P175" s="510">
        <v>70.221000000000004</v>
      </c>
      <c r="Q175" s="510">
        <v>473.53</v>
      </c>
      <c r="R175" s="510">
        <v>2.0121188818159808</v>
      </c>
      <c r="S175" s="510">
        <v>2.1050767638797967</v>
      </c>
      <c r="T175" s="510">
        <v>0.13955939106535081</v>
      </c>
      <c r="U175" s="510">
        <v>0.21835997719257491</v>
      </c>
      <c r="V175" s="510">
        <v>508.55627234019676</v>
      </c>
      <c r="W175" s="510">
        <v>583.30118471902813</v>
      </c>
      <c r="X175" s="510">
        <v>363.42404693753099</v>
      </c>
      <c r="Y175" s="569">
        <v>447.67807741853773</v>
      </c>
      <c r="Z175" s="512">
        <v>0.88237814726272978</v>
      </c>
      <c r="AA175" s="1026">
        <v>0.88769390400974901</v>
      </c>
      <c r="AB175" s="513">
        <v>0.88237814726272978</v>
      </c>
      <c r="AC175" s="513">
        <v>0.89446537518418023</v>
      </c>
      <c r="AD175" s="510">
        <v>40.351999999999997</v>
      </c>
      <c r="AE175" s="510">
        <v>278.27699999999999</v>
      </c>
      <c r="AF175" s="510">
        <v>102.87942922539953</v>
      </c>
      <c r="AG175" s="510">
        <v>102.94070615652079</v>
      </c>
      <c r="AH175" s="510">
        <v>1.5439135606661381</v>
      </c>
      <c r="AI175" s="510">
        <v>1.5362390711413449</v>
      </c>
      <c r="AJ175" s="510">
        <v>944.20648295004867</v>
      </c>
      <c r="AK175" s="510">
        <v>941.69385180952736</v>
      </c>
      <c r="AL175" s="576">
        <v>0</v>
      </c>
      <c r="AM175" s="577">
        <v>0</v>
      </c>
      <c r="AN175" s="512">
        <v>0.90295751671413049</v>
      </c>
      <c r="AO175" s="1026">
        <v>0.61997289600135452</v>
      </c>
      <c r="AP175" s="513">
        <v>0.90295751671413049</v>
      </c>
      <c r="AQ175" s="513">
        <v>0.66137506941674362</v>
      </c>
      <c r="AR175" s="510">
        <v>40.802</v>
      </c>
      <c r="AS175" s="510">
        <v>213.93299999999999</v>
      </c>
      <c r="AT175" s="514">
        <v>94.988414166692692</v>
      </c>
      <c r="AU175" s="514">
        <v>120.12867164142546</v>
      </c>
      <c r="AV175" s="510">
        <v>1.6249203470418117</v>
      </c>
      <c r="AW175" s="510">
        <v>1.8832999116545837</v>
      </c>
      <c r="AX175" s="510">
        <v>0</v>
      </c>
      <c r="AY175" s="510">
        <v>6.0766688636161789E-2</v>
      </c>
      <c r="AZ175" s="510">
        <v>1064.4238027547656</v>
      </c>
      <c r="BA175" s="510">
        <v>1193.0919493486278</v>
      </c>
      <c r="BB175" s="510">
        <v>0</v>
      </c>
      <c r="BC175" s="510">
        <v>197.77219970738545</v>
      </c>
      <c r="BD175" s="510">
        <v>0</v>
      </c>
      <c r="BE175" s="510">
        <v>0</v>
      </c>
      <c r="BF175" s="512">
        <v>0.11559758583568108</v>
      </c>
      <c r="BG175" s="513">
        <v>0.72262749245138214</v>
      </c>
      <c r="BH175" s="513">
        <v>0.11559758583568108</v>
      </c>
      <c r="BI175" s="513">
        <v>0.73199320506904442</v>
      </c>
      <c r="BJ175" s="510">
        <v>5.8140000000000001</v>
      </c>
      <c r="BK175" s="510">
        <v>265.01300000000003</v>
      </c>
      <c r="BL175" s="510">
        <v>7.4475404196766419</v>
      </c>
      <c r="BM175" s="510">
        <v>3.4296430741133452</v>
      </c>
      <c r="BN175" s="514">
        <v>0</v>
      </c>
      <c r="BO175" s="514">
        <v>0</v>
      </c>
      <c r="BP175" s="514">
        <v>3126.6649466804333</v>
      </c>
      <c r="BQ175" s="514">
        <v>1057.8761796591091</v>
      </c>
      <c r="BR175" s="514">
        <v>0</v>
      </c>
      <c r="BS175" s="515">
        <v>0</v>
      </c>
      <c r="BT175" s="512">
        <v>0.93538739754147915</v>
      </c>
      <c r="BU175" s="1026">
        <v>0.8161598293715967</v>
      </c>
      <c r="BV175" s="513">
        <v>0.93538739754147915</v>
      </c>
      <c r="BW175" s="513">
        <v>0.83638200554919984</v>
      </c>
      <c r="BX175" s="510">
        <v>48.341000000000001</v>
      </c>
      <c r="BY175" s="510">
        <v>271.81599999999997</v>
      </c>
      <c r="BZ175" s="514">
        <v>78.52324108039312</v>
      </c>
      <c r="CA175" s="514">
        <v>84.294088657830272</v>
      </c>
      <c r="CB175" s="510">
        <v>1.9817546182329699</v>
      </c>
      <c r="CC175" s="510">
        <v>2.141522206198311</v>
      </c>
      <c r="CD175" s="582">
        <v>0</v>
      </c>
      <c r="CE175" s="582">
        <v>0</v>
      </c>
      <c r="CF175" s="514">
        <v>807.97728636148588</v>
      </c>
      <c r="CG175" s="514">
        <v>987.44834741148384</v>
      </c>
      <c r="CH175" s="582">
        <v>0</v>
      </c>
      <c r="CI175" s="582">
        <v>0</v>
      </c>
      <c r="CJ175" s="514">
        <v>0</v>
      </c>
      <c r="CK175" s="514">
        <v>0</v>
      </c>
    </row>
    <row r="176" spans="1:89" ht="12.75" customHeight="1">
      <c r="A176" s="560">
        <v>45846</v>
      </c>
      <c r="B176" s="512">
        <v>0.15586048424485982</v>
      </c>
      <c r="C176" s="513">
        <v>0.82419168298980816</v>
      </c>
      <c r="D176" s="513">
        <v>0.15586048424485982</v>
      </c>
      <c r="E176" s="513">
        <v>0.82778654616966463</v>
      </c>
      <c r="F176" s="510">
        <v>12.112</v>
      </c>
      <c r="G176" s="510">
        <v>509.08200000000005</v>
      </c>
      <c r="H176" s="510">
        <v>9.0530878467635407</v>
      </c>
      <c r="I176" s="510">
        <v>2.2073202352469736</v>
      </c>
      <c r="J176" s="510">
        <v>3460.0908190225286</v>
      </c>
      <c r="K176" s="511">
        <v>864.22297390204039</v>
      </c>
      <c r="L176" s="512">
        <v>3.2789365823796532E-2</v>
      </c>
      <c r="M176" s="513">
        <v>0.87991137916553974</v>
      </c>
      <c r="N176" s="513">
        <v>0.27774521638980587</v>
      </c>
      <c r="O176" s="513">
        <v>0.9878279168802534</v>
      </c>
      <c r="P176" s="510">
        <v>1.7310000000000001</v>
      </c>
      <c r="Q176" s="510">
        <v>475.26099999999997</v>
      </c>
      <c r="R176" s="510">
        <v>15.581744656268054</v>
      </c>
      <c r="S176" s="510">
        <v>2.1541616080427386</v>
      </c>
      <c r="T176" s="510">
        <v>2.8307336799537839</v>
      </c>
      <c r="U176" s="510">
        <v>0.22787478880025924</v>
      </c>
      <c r="V176" s="510">
        <v>4360.0404390517851</v>
      </c>
      <c r="W176" s="510">
        <v>597.05685928363584</v>
      </c>
      <c r="X176" s="510">
        <v>12597.342576545296</v>
      </c>
      <c r="Y176" s="569">
        <v>491.92969757670016</v>
      </c>
      <c r="Z176" s="512">
        <v>0.81886143372854725</v>
      </c>
      <c r="AA176" s="1026">
        <v>0.87867824468594724</v>
      </c>
      <c r="AB176" s="513">
        <v>0.81886143372854725</v>
      </c>
      <c r="AC176" s="513">
        <v>0.88449721133418424</v>
      </c>
      <c r="AD176" s="510">
        <v>38.69</v>
      </c>
      <c r="AE176" s="510">
        <v>316.96699999999998</v>
      </c>
      <c r="AF176" s="510">
        <v>112.52800966972831</v>
      </c>
      <c r="AG176" s="510">
        <v>104.11096291172242</v>
      </c>
      <c r="AH176" s="510">
        <v>1.6257430860687516</v>
      </c>
      <c r="AI176" s="510">
        <v>1.547164215833194</v>
      </c>
      <c r="AJ176" s="510">
        <v>949.04678211424618</v>
      </c>
      <c r="AK176" s="510">
        <v>942.5913738654184</v>
      </c>
      <c r="AL176" s="576">
        <v>0</v>
      </c>
      <c r="AM176" s="577">
        <v>0</v>
      </c>
      <c r="AN176" s="512">
        <v>0.79964255350864444</v>
      </c>
      <c r="AO176" s="1026">
        <v>0.64151510203495865</v>
      </c>
      <c r="AP176" s="513">
        <v>0.79964255350864444</v>
      </c>
      <c r="AQ176" s="513">
        <v>0.67891981585035177</v>
      </c>
      <c r="AR176" s="510">
        <v>37.591000000000001</v>
      </c>
      <c r="AS176" s="510">
        <v>251.524</v>
      </c>
      <c r="AT176" s="514">
        <v>109.88355550404303</v>
      </c>
      <c r="AU176" s="514">
        <v>118.59750896621217</v>
      </c>
      <c r="AV176" s="510">
        <v>1.7983027852411479</v>
      </c>
      <c r="AW176" s="510">
        <v>1.8705968416532817</v>
      </c>
      <c r="AX176" s="510">
        <v>0</v>
      </c>
      <c r="AY176" s="510">
        <v>5.168492867479843E-2</v>
      </c>
      <c r="AZ176" s="510">
        <v>1130.0210156686458</v>
      </c>
      <c r="BA176" s="510">
        <v>1183.6658132027164</v>
      </c>
      <c r="BB176" s="510">
        <v>0</v>
      </c>
      <c r="BC176" s="510">
        <v>168.21456401774819</v>
      </c>
      <c r="BD176" s="510">
        <v>28.99630230640313</v>
      </c>
      <c r="BE176" s="510">
        <v>4.3335824811946377</v>
      </c>
      <c r="BF176" s="512">
        <v>0.82757594657072953</v>
      </c>
      <c r="BG176" s="513">
        <v>0.73618571035076019</v>
      </c>
      <c r="BH176" s="513">
        <v>0.82757594657072953</v>
      </c>
      <c r="BI176" s="513">
        <v>0.7444806058786323</v>
      </c>
      <c r="BJ176" s="510">
        <v>45.026000000000003</v>
      </c>
      <c r="BK176" s="510">
        <v>310.03900000000004</v>
      </c>
      <c r="BL176" s="510">
        <v>2.7806156442944077</v>
      </c>
      <c r="BM176" s="510">
        <v>3.3353868384300038</v>
      </c>
      <c r="BN176" s="514">
        <v>0</v>
      </c>
      <c r="BO176" s="514">
        <v>0</v>
      </c>
      <c r="BP176" s="514">
        <v>881.24117176741822</v>
      </c>
      <c r="BQ176" s="514">
        <v>1032.2240266547087</v>
      </c>
      <c r="BR176" s="514">
        <v>0</v>
      </c>
      <c r="BS176" s="515">
        <v>0</v>
      </c>
      <c r="BT176" s="512">
        <v>0.98169390383299371</v>
      </c>
      <c r="BU176" s="1026">
        <v>0.83838285432306558</v>
      </c>
      <c r="BV176" s="513">
        <v>0.9850963965827253</v>
      </c>
      <c r="BW176" s="513">
        <v>0.85671302286734607</v>
      </c>
      <c r="BX176" s="510">
        <v>50.698999999999998</v>
      </c>
      <c r="BY176" s="510">
        <v>322.51499999999999</v>
      </c>
      <c r="BZ176" s="514">
        <v>73.663357678173739</v>
      </c>
      <c r="CA176" s="514">
        <v>82.622949548214876</v>
      </c>
      <c r="CB176" s="510">
        <v>1.8422454091796685</v>
      </c>
      <c r="CC176" s="510">
        <v>2.0944762259119734</v>
      </c>
      <c r="CD176" s="582">
        <v>0</v>
      </c>
      <c r="CE176" s="582">
        <v>0</v>
      </c>
      <c r="CF176" s="514">
        <v>799.4655713130428</v>
      </c>
      <c r="CG176" s="514">
        <v>957.89766367455741</v>
      </c>
      <c r="CH176" s="582">
        <v>0</v>
      </c>
      <c r="CI176" s="582">
        <v>0</v>
      </c>
      <c r="CJ176" s="514">
        <v>0</v>
      </c>
      <c r="CK176" s="514">
        <v>0</v>
      </c>
    </row>
    <row r="177" spans="1:89" ht="12.75" customHeight="1">
      <c r="A177" s="560">
        <v>45847</v>
      </c>
      <c r="B177" s="512">
        <v>0.8406252877929733</v>
      </c>
      <c r="C177" s="513">
        <v>0.82603075417425698</v>
      </c>
      <c r="D177" s="513">
        <v>0.8406252877929733</v>
      </c>
      <c r="E177" s="513">
        <v>0.82922888190216082</v>
      </c>
      <c r="F177" s="510">
        <v>65.429000000000002</v>
      </c>
      <c r="G177" s="510">
        <v>574.51100000000008</v>
      </c>
      <c r="H177" s="510">
        <v>2.1731800883400325</v>
      </c>
      <c r="I177" s="510">
        <v>2.2034321361993063</v>
      </c>
      <c r="J177" s="510">
        <v>806.65545858868052</v>
      </c>
      <c r="K177" s="511">
        <v>857.66681577897941</v>
      </c>
      <c r="L177" s="512">
        <v>0.31866177928636874</v>
      </c>
      <c r="M177" s="513">
        <v>0.82217007904983919</v>
      </c>
      <c r="N177" s="513">
        <v>0.31866177928636874</v>
      </c>
      <c r="O177" s="513">
        <v>0.91150388144022498</v>
      </c>
      <c r="P177" s="510">
        <v>19.738</v>
      </c>
      <c r="Q177" s="510">
        <v>494.99899999999997</v>
      </c>
      <c r="R177" s="510">
        <v>5.2952173472489621</v>
      </c>
      <c r="S177" s="510">
        <v>2.2794106654760919</v>
      </c>
      <c r="T177" s="510">
        <v>0.29891579693991288</v>
      </c>
      <c r="U177" s="510">
        <v>0.23070753678290262</v>
      </c>
      <c r="V177" s="510">
        <v>1216.2321410477482</v>
      </c>
      <c r="W177" s="510">
        <v>621.74636716437919</v>
      </c>
      <c r="X177" s="510">
        <v>1196.5751342587926</v>
      </c>
      <c r="Y177" s="569">
        <v>520.02731318649148</v>
      </c>
      <c r="Z177" s="512">
        <v>1.0134813644140392</v>
      </c>
      <c r="AA177" s="1026">
        <v>0.89354808556276255</v>
      </c>
      <c r="AB177" s="513">
        <v>1.0134813644140392</v>
      </c>
      <c r="AC177" s="513">
        <v>0.89880894319148152</v>
      </c>
      <c r="AD177" s="510">
        <v>45.328000000000003</v>
      </c>
      <c r="AE177" s="510">
        <v>362.29499999999996</v>
      </c>
      <c r="AF177" s="510">
        <v>99.106889780527851</v>
      </c>
      <c r="AG177" s="510">
        <v>103.48488574562633</v>
      </c>
      <c r="AH177" s="510">
        <v>1.3744264031062476</v>
      </c>
      <c r="AI177" s="510">
        <v>1.5255523813466927</v>
      </c>
      <c r="AJ177" s="510">
        <v>811.93655135898337</v>
      </c>
      <c r="AK177" s="510">
        <v>926.24469010060898</v>
      </c>
      <c r="AL177" s="576">
        <v>0</v>
      </c>
      <c r="AM177" s="577">
        <v>0</v>
      </c>
      <c r="AN177" s="512">
        <v>0.95244055839990127</v>
      </c>
      <c r="AO177" s="1026">
        <v>0.67528993305774998</v>
      </c>
      <c r="AP177" s="513">
        <v>0.95244055839990127</v>
      </c>
      <c r="AQ177" s="513">
        <v>0.71016598374038242</v>
      </c>
      <c r="AR177" s="510">
        <v>45.508000000000003</v>
      </c>
      <c r="AS177" s="510">
        <v>297.03199999999998</v>
      </c>
      <c r="AT177" s="514">
        <v>94.812259053287036</v>
      </c>
      <c r="AU177" s="514">
        <v>114.95339266548567</v>
      </c>
      <c r="AV177" s="510">
        <v>1.5535729981541706</v>
      </c>
      <c r="AW177" s="510">
        <v>1.8220259096662987</v>
      </c>
      <c r="AX177" s="510">
        <v>0</v>
      </c>
      <c r="AY177" s="510">
        <v>4.3766328207061868E-2</v>
      </c>
      <c r="AZ177" s="510">
        <v>975.7286630922041</v>
      </c>
      <c r="BA177" s="510">
        <v>1151.8079533518278</v>
      </c>
      <c r="BB177" s="510">
        <v>0</v>
      </c>
      <c r="BC177" s="510">
        <v>142.44256511083012</v>
      </c>
      <c r="BD177" s="510">
        <v>82.842577129295947</v>
      </c>
      <c r="BE177" s="510">
        <v>16.361873468178512</v>
      </c>
      <c r="BF177" s="512">
        <v>0.91368518427248291</v>
      </c>
      <c r="BG177" s="513">
        <v>0.75576890773758421</v>
      </c>
      <c r="BH177" s="513">
        <v>0.91700705638832403</v>
      </c>
      <c r="BI177" s="513">
        <v>0.76364380152447187</v>
      </c>
      <c r="BJ177" s="510">
        <v>47.718000000000004</v>
      </c>
      <c r="BK177" s="510">
        <v>357.75700000000006</v>
      </c>
      <c r="BL177" s="510">
        <v>2.6027913994718972</v>
      </c>
      <c r="BM177" s="510">
        <v>3.2376724983717997</v>
      </c>
      <c r="BN177" s="514">
        <v>0</v>
      </c>
      <c r="BO177" s="514">
        <v>0</v>
      </c>
      <c r="BP177" s="514">
        <v>921.98310909929796</v>
      </c>
      <c r="BQ177" s="514">
        <v>1017.5199786447213</v>
      </c>
      <c r="BR177" s="514">
        <v>0</v>
      </c>
      <c r="BS177" s="515">
        <v>0</v>
      </c>
      <c r="BT177" s="512">
        <v>0.91168308498261352</v>
      </c>
      <c r="BU177" s="1026">
        <v>0.84638116643432426</v>
      </c>
      <c r="BV177" s="513">
        <v>0.91168308498261352</v>
      </c>
      <c r="BW177" s="513">
        <v>0.86282775376419962</v>
      </c>
      <c r="BX177" s="510">
        <v>42.956000000000003</v>
      </c>
      <c r="BY177" s="510">
        <v>365.471</v>
      </c>
      <c r="BZ177" s="514">
        <v>83.479993831624185</v>
      </c>
      <c r="CA177" s="514">
        <v>82.72368310638538</v>
      </c>
      <c r="CB177" s="510">
        <v>2.0160163888630223</v>
      </c>
      <c r="CC177" s="510">
        <v>2.0852543703878008</v>
      </c>
      <c r="CD177" s="582">
        <v>0</v>
      </c>
      <c r="CE177" s="582">
        <v>0</v>
      </c>
      <c r="CF177" s="514">
        <v>907.3281962938571</v>
      </c>
      <c r="CG177" s="514">
        <v>951.95393068122712</v>
      </c>
      <c r="CH177" s="582">
        <v>0</v>
      </c>
      <c r="CI177" s="582">
        <v>0</v>
      </c>
      <c r="CJ177" s="514">
        <v>0</v>
      </c>
      <c r="CK177" s="514">
        <v>0</v>
      </c>
    </row>
    <row r="178" spans="1:89" ht="12.75" customHeight="1">
      <c r="A178" s="560">
        <v>45848</v>
      </c>
      <c r="B178" s="512">
        <v>0.88034016925384084</v>
      </c>
      <c r="C178" s="513">
        <v>0.83075725094017017</v>
      </c>
      <c r="D178" s="513">
        <v>0.88034016925384084</v>
      </c>
      <c r="E178" s="513">
        <v>0.83369276643543844</v>
      </c>
      <c r="F178" s="510">
        <v>58.366</v>
      </c>
      <c r="G178" s="510">
        <v>632.87700000000007</v>
      </c>
      <c r="H178" s="510">
        <v>2.2770619881437826</v>
      </c>
      <c r="I178" s="510">
        <v>2.2102225234919262</v>
      </c>
      <c r="J178" s="510">
        <v>909.17006476372296</v>
      </c>
      <c r="K178" s="511">
        <v>862.4166149188494</v>
      </c>
      <c r="L178" s="512">
        <v>0.77901132762559921</v>
      </c>
      <c r="M178" s="513">
        <v>0.818253513456215</v>
      </c>
      <c r="N178" s="513">
        <v>0.77901132762559921</v>
      </c>
      <c r="O178" s="513">
        <v>0.89830419685898566</v>
      </c>
      <c r="P178" s="510">
        <v>46.81</v>
      </c>
      <c r="Q178" s="510">
        <v>541.80899999999997</v>
      </c>
      <c r="R178" s="510">
        <v>4.0257209997863708</v>
      </c>
      <c r="S178" s="510">
        <v>2.430284472941572</v>
      </c>
      <c r="T178" s="510">
        <v>0.20081179235206154</v>
      </c>
      <c r="U178" s="510">
        <v>0.22812467124023414</v>
      </c>
      <c r="V178" s="510">
        <v>708.01602221747112</v>
      </c>
      <c r="W178" s="510">
        <v>629.19969952510985</v>
      </c>
      <c r="X178" s="510">
        <v>676.86391796624741</v>
      </c>
      <c r="Y178" s="569">
        <v>533.57733075677993</v>
      </c>
      <c r="Z178" s="512">
        <v>0.94552493080734612</v>
      </c>
      <c r="AA178" s="1026">
        <v>0.8988431307687067</v>
      </c>
      <c r="AB178" s="513">
        <v>0.94552493080734612</v>
      </c>
      <c r="AC178" s="513">
        <v>0.90359319841825803</v>
      </c>
      <c r="AD178" s="510">
        <v>43.484999999999999</v>
      </c>
      <c r="AE178" s="510">
        <v>405.78</v>
      </c>
      <c r="AF178" s="510">
        <v>99.934950687117265</v>
      </c>
      <c r="AG178" s="510">
        <v>103.10446057430377</v>
      </c>
      <c r="AH178" s="510">
        <v>1.5062665286880534</v>
      </c>
      <c r="AI178" s="510">
        <v>1.5234856326088027</v>
      </c>
      <c r="AJ178" s="510">
        <v>836.83615039666336</v>
      </c>
      <c r="AK178" s="510">
        <v>916.66331509684801</v>
      </c>
      <c r="AL178" s="576">
        <v>0</v>
      </c>
      <c r="AM178" s="577">
        <v>0</v>
      </c>
      <c r="AN178" s="512">
        <v>0.88444197849655959</v>
      </c>
      <c r="AO178" s="1026">
        <v>0.69578331600878018</v>
      </c>
      <c r="AP178" s="513">
        <v>0.88444197849655959</v>
      </c>
      <c r="AQ178" s="513">
        <v>0.72803359601987627</v>
      </c>
      <c r="AR178" s="510">
        <v>42.259</v>
      </c>
      <c r="AS178" s="510">
        <v>339.291</v>
      </c>
      <c r="AT178" s="514">
        <v>106.03575895248406</v>
      </c>
      <c r="AU178" s="514">
        <v>113.84269334520386</v>
      </c>
      <c r="AV178" s="510">
        <v>1.6990463569890437</v>
      </c>
      <c r="AW178" s="510">
        <v>1.8067086954855862</v>
      </c>
      <c r="AX178" s="510">
        <v>0</v>
      </c>
      <c r="AY178" s="510">
        <v>3.8315192563315857E-2</v>
      </c>
      <c r="AZ178" s="510">
        <v>987.95096902434864</v>
      </c>
      <c r="BA178" s="510">
        <v>1131.3994181985377</v>
      </c>
      <c r="BB178" s="510">
        <v>0</v>
      </c>
      <c r="BC178" s="510">
        <v>124.70121518106905</v>
      </c>
      <c r="BD178" s="510">
        <v>85.662225798054848</v>
      </c>
      <c r="BE178" s="510">
        <v>24.99329484130142</v>
      </c>
      <c r="BF178" s="512">
        <v>1.0821527447225663</v>
      </c>
      <c r="BG178" s="513">
        <v>0.78835081203616364</v>
      </c>
      <c r="BH178" s="513">
        <v>1.0821527447225663</v>
      </c>
      <c r="BI178" s="513">
        <v>0.7957374991462095</v>
      </c>
      <c r="BJ178" s="510">
        <v>56.808</v>
      </c>
      <c r="BK178" s="510">
        <v>414.56500000000005</v>
      </c>
      <c r="BL178" s="510">
        <v>2.1581467398957894</v>
      </c>
      <c r="BM178" s="510">
        <v>3.0897446721262045</v>
      </c>
      <c r="BN178" s="514">
        <v>0</v>
      </c>
      <c r="BO178" s="514">
        <v>0</v>
      </c>
      <c r="BP178" s="514">
        <v>793.42812632023913</v>
      </c>
      <c r="BQ178" s="514">
        <v>986.81258668724968</v>
      </c>
      <c r="BR178" s="514">
        <v>0</v>
      </c>
      <c r="BS178" s="515">
        <v>0</v>
      </c>
      <c r="BT178" s="512">
        <v>0.86613779940727553</v>
      </c>
      <c r="BU178" s="1026">
        <v>0.84829974828047117</v>
      </c>
      <c r="BV178" s="513">
        <v>0.86613779940727553</v>
      </c>
      <c r="BW178" s="513">
        <v>0.86315482378998742</v>
      </c>
      <c r="BX178" s="510">
        <v>40.225999999999999</v>
      </c>
      <c r="BY178" s="510">
        <v>405.697</v>
      </c>
      <c r="BZ178" s="514">
        <v>93.132887480676203</v>
      </c>
      <c r="CA178" s="514">
        <v>83.755785032601793</v>
      </c>
      <c r="CB178" s="510">
        <v>2.1279769303435589</v>
      </c>
      <c r="CC178" s="510">
        <v>2.0894904325149066</v>
      </c>
      <c r="CD178" s="582">
        <v>0</v>
      </c>
      <c r="CE178" s="582">
        <v>0</v>
      </c>
      <c r="CF178" s="514">
        <v>1022.3836573360712</v>
      </c>
      <c r="CG178" s="514">
        <v>958.93723641042334</v>
      </c>
      <c r="CH178" s="582">
        <v>0</v>
      </c>
      <c r="CI178" s="582">
        <v>0</v>
      </c>
      <c r="CJ178" s="514">
        <v>0</v>
      </c>
      <c r="CK178" s="514">
        <v>0</v>
      </c>
    </row>
    <row r="179" spans="1:89" ht="12.75" customHeight="1">
      <c r="A179" s="560">
        <v>45849</v>
      </c>
      <c r="B179" s="512">
        <v>0.88129263909988098</v>
      </c>
      <c r="C179" s="513">
        <v>0.83444155409629261</v>
      </c>
      <c r="D179" s="513">
        <v>0.88129263909988098</v>
      </c>
      <c r="E179" s="513">
        <v>0.83717442011765619</v>
      </c>
      <c r="F179" s="510">
        <v>52.795999999999999</v>
      </c>
      <c r="G179" s="510">
        <v>685.67300000000012</v>
      </c>
      <c r="H179" s="510">
        <v>2.4113379801500114</v>
      </c>
      <c r="I179" s="510">
        <v>2.2257081728462396</v>
      </c>
      <c r="J179" s="510">
        <v>1099.5170088643195</v>
      </c>
      <c r="K179" s="511">
        <v>880.67306135723175</v>
      </c>
      <c r="L179" s="512">
        <v>0.80273199959590158</v>
      </c>
      <c r="M179" s="513">
        <v>0.81674935419275718</v>
      </c>
      <c r="N179" s="513">
        <v>0.80273199959590158</v>
      </c>
      <c r="O179" s="513">
        <v>0.88823189160863347</v>
      </c>
      <c r="P179" s="510">
        <v>57.036999999999999</v>
      </c>
      <c r="Q179" s="510">
        <v>598.846</v>
      </c>
      <c r="R179" s="510">
        <v>3.2793975840244056</v>
      </c>
      <c r="S179" s="510">
        <v>2.511158127465158</v>
      </c>
      <c r="T179" s="510">
        <v>0.16480530182162456</v>
      </c>
      <c r="U179" s="510">
        <v>0.22209382712750858</v>
      </c>
      <c r="V179" s="510">
        <v>767.86033627293568</v>
      </c>
      <c r="W179" s="510">
        <v>642.40641166510204</v>
      </c>
      <c r="X179" s="510">
        <v>625.34845801848076</v>
      </c>
      <c r="Y179" s="569">
        <v>542.31805839898777</v>
      </c>
      <c r="Z179" s="512">
        <v>0.94659439498501918</v>
      </c>
      <c r="AA179" s="1026">
        <v>0.90321315895651733</v>
      </c>
      <c r="AB179" s="513">
        <v>0.94659439498501918</v>
      </c>
      <c r="AC179" s="513">
        <v>0.90754740146362656</v>
      </c>
      <c r="AD179" s="510">
        <v>43.048000000000002</v>
      </c>
      <c r="AE179" s="510">
        <v>448.82799999999997</v>
      </c>
      <c r="AF179" s="510">
        <v>103.18729309748917</v>
      </c>
      <c r="AG179" s="510">
        <v>103.1124052089034</v>
      </c>
      <c r="AH179" s="510">
        <v>1.5471102025645789</v>
      </c>
      <c r="AI179" s="510">
        <v>1.5257515128289678</v>
      </c>
      <c r="AJ179" s="510">
        <v>873.67821966179827</v>
      </c>
      <c r="AK179" s="510">
        <v>912.54052777455968</v>
      </c>
      <c r="AL179" s="576">
        <v>0</v>
      </c>
      <c r="AM179" s="577">
        <v>0</v>
      </c>
      <c r="AN179" s="512">
        <v>0.93233824082716144</v>
      </c>
      <c r="AO179" s="1026">
        <v>0.71696211205325344</v>
      </c>
      <c r="AP179" s="513">
        <v>0.93233824082716144</v>
      </c>
      <c r="AQ179" s="513">
        <v>0.74709375030597558</v>
      </c>
      <c r="AR179" s="510">
        <v>44.707000000000001</v>
      </c>
      <c r="AS179" s="510">
        <v>383.99799999999999</v>
      </c>
      <c r="AT179" s="514">
        <v>104.99133013291025</v>
      </c>
      <c r="AU179" s="514">
        <v>112.81217262600215</v>
      </c>
      <c r="AV179" s="510">
        <v>1.6820632115776053</v>
      </c>
      <c r="AW179" s="510">
        <v>1.7921968343585124</v>
      </c>
      <c r="AX179" s="510">
        <v>0</v>
      </c>
      <c r="AY179" s="510">
        <v>3.3854342991369746E-2</v>
      </c>
      <c r="AZ179" s="510">
        <v>1016.6215581452565</v>
      </c>
      <c r="BA179" s="510">
        <v>1118.0363960228958</v>
      </c>
      <c r="BB179" s="510">
        <v>0</v>
      </c>
      <c r="BC179" s="510">
        <v>110.18286553575825</v>
      </c>
      <c r="BD179" s="510">
        <v>85.668910908806225</v>
      </c>
      <c r="BE179" s="510">
        <v>32.057458632597047</v>
      </c>
      <c r="BF179" s="512">
        <v>0.92288354983227794</v>
      </c>
      <c r="BG179" s="513">
        <v>0.80057050153306342</v>
      </c>
      <c r="BH179" s="513">
        <v>0.92288354983227794</v>
      </c>
      <c r="BI179" s="513">
        <v>0.8073845484866653</v>
      </c>
      <c r="BJ179" s="510">
        <v>48.484999999999999</v>
      </c>
      <c r="BK179" s="510">
        <v>463.05000000000007</v>
      </c>
      <c r="BL179" s="510">
        <v>2.4976796947509539</v>
      </c>
      <c r="BM179" s="510">
        <v>3.0277507828528232</v>
      </c>
      <c r="BN179" s="514">
        <v>0</v>
      </c>
      <c r="BO179" s="514">
        <v>0</v>
      </c>
      <c r="BP179" s="514">
        <v>961.45168608847882</v>
      </c>
      <c r="BQ179" s="514">
        <v>984.15709966526197</v>
      </c>
      <c r="BR179" s="514">
        <v>0</v>
      </c>
      <c r="BS179" s="515">
        <v>0</v>
      </c>
      <c r="BT179" s="512">
        <v>0.66322076904087501</v>
      </c>
      <c r="BU179" s="1026">
        <v>0.83168990865010606</v>
      </c>
      <c r="BV179" s="513">
        <v>0.66322076904087501</v>
      </c>
      <c r="BW179" s="513">
        <v>0.84492625830883084</v>
      </c>
      <c r="BX179" s="510">
        <v>31.271999999999998</v>
      </c>
      <c r="BY179" s="510">
        <v>436.96899999999999</v>
      </c>
      <c r="BZ179" s="514">
        <v>121.16737050675577</v>
      </c>
      <c r="CA179" s="514">
        <v>86.43317198899399</v>
      </c>
      <c r="CB179" s="510">
        <v>2.7148887183422872</v>
      </c>
      <c r="CC179" s="510">
        <v>2.1342475095487323</v>
      </c>
      <c r="CD179" s="582">
        <v>0</v>
      </c>
      <c r="CE179" s="582">
        <v>0</v>
      </c>
      <c r="CF179" s="514">
        <v>1348.4690777692128</v>
      </c>
      <c r="CG179" s="514">
        <v>986.81436211721757</v>
      </c>
      <c r="CH179" s="582">
        <v>0</v>
      </c>
      <c r="CI179" s="582">
        <v>0</v>
      </c>
      <c r="CJ179" s="514">
        <v>0</v>
      </c>
      <c r="CK179" s="514">
        <v>0</v>
      </c>
    </row>
    <row r="180" spans="1:89" ht="12.75" customHeight="1">
      <c r="A180" s="560">
        <v>45850</v>
      </c>
      <c r="B180" s="512">
        <v>0.78168732173426547</v>
      </c>
      <c r="C180" s="513">
        <v>0.83091103631758045</v>
      </c>
      <c r="D180" s="513">
        <v>0.78168732173426547</v>
      </c>
      <c r="E180" s="513">
        <v>0.8334496630107695</v>
      </c>
      <c r="F180" s="510">
        <v>46.07</v>
      </c>
      <c r="G180" s="510">
        <v>731.74300000000017</v>
      </c>
      <c r="H180" s="510">
        <v>2.8061428261341437</v>
      </c>
      <c r="I180" s="510">
        <v>2.2622519108484802</v>
      </c>
      <c r="J180" s="510">
        <v>1273.5493813761732</v>
      </c>
      <c r="K180" s="511">
        <v>905.40826492361043</v>
      </c>
      <c r="L180" s="512">
        <v>0.86502012539495809</v>
      </c>
      <c r="M180" s="513">
        <v>0.82101069638515445</v>
      </c>
      <c r="N180" s="513">
        <v>0.86502012539495809</v>
      </c>
      <c r="O180" s="513">
        <v>0.88602050173590463</v>
      </c>
      <c r="P180" s="510">
        <v>61.411999999999999</v>
      </c>
      <c r="Q180" s="510">
        <v>660.25800000000004</v>
      </c>
      <c r="R180" s="510">
        <v>3.0745619748583337</v>
      </c>
      <c r="S180" s="510">
        <v>2.5635615168615904</v>
      </c>
      <c r="T180" s="510">
        <v>0.19377320393408456</v>
      </c>
      <c r="U180" s="510">
        <v>0.21945966576701834</v>
      </c>
      <c r="V180" s="510">
        <v>742.35540285288289</v>
      </c>
      <c r="W180" s="510">
        <v>651.70287978335887</v>
      </c>
      <c r="X180" s="510">
        <v>599.24770403178161</v>
      </c>
      <c r="Y180" s="569">
        <v>547.61320574684441</v>
      </c>
      <c r="Z180" s="512">
        <v>0.94875897033512024</v>
      </c>
      <c r="AA180" s="1026">
        <v>0.90706214467120394</v>
      </c>
      <c r="AB180" s="513">
        <v>0.94875897033512024</v>
      </c>
      <c r="AC180" s="513">
        <v>0.91104540289144553</v>
      </c>
      <c r="AD180" s="510">
        <v>43.52</v>
      </c>
      <c r="AE180" s="510">
        <v>492.34799999999996</v>
      </c>
      <c r="AF180" s="510">
        <v>98.125608204844156</v>
      </c>
      <c r="AG180" s="510">
        <v>102.67160844397969</v>
      </c>
      <c r="AH180" s="510">
        <v>1.5372242647058825</v>
      </c>
      <c r="AI180" s="510">
        <v>1.5267656210647753</v>
      </c>
      <c r="AJ180" s="510">
        <v>856.90303308821012</v>
      </c>
      <c r="AK180" s="510">
        <v>907.62257590159606</v>
      </c>
      <c r="AL180" s="576">
        <v>0</v>
      </c>
      <c r="AM180" s="577">
        <v>0</v>
      </c>
      <c r="AN180" s="512">
        <v>1.0099745984597002</v>
      </c>
      <c r="AO180" s="1026">
        <v>0.74096101155950089</v>
      </c>
      <c r="AP180" s="513">
        <v>1.0099745984597002</v>
      </c>
      <c r="AQ180" s="513">
        <v>0.76945266390487699</v>
      </c>
      <c r="AR180" s="510">
        <v>48.256999999999998</v>
      </c>
      <c r="AS180" s="510">
        <v>432.255</v>
      </c>
      <c r="AT180" s="514">
        <v>93.853042576195477</v>
      </c>
      <c r="AU180" s="514">
        <v>110.69557307524271</v>
      </c>
      <c r="AV180" s="510">
        <v>1.5458897154816917</v>
      </c>
      <c r="AW180" s="510">
        <v>1.7646990780904792</v>
      </c>
      <c r="AX180" s="510">
        <v>0</v>
      </c>
      <c r="AY180" s="510">
        <v>3.0074840082821484E-2</v>
      </c>
      <c r="AZ180" s="510">
        <v>936.90904946432647</v>
      </c>
      <c r="BA180" s="510">
        <v>1097.8153173473991</v>
      </c>
      <c r="BB180" s="510">
        <v>0</v>
      </c>
      <c r="BC180" s="510">
        <v>97.882037223398441</v>
      </c>
      <c r="BD180" s="510">
        <v>78.537828708788368</v>
      </c>
      <c r="BE180" s="510">
        <v>37.246532717955837</v>
      </c>
      <c r="BF180" s="512">
        <v>0.82936628239542842</v>
      </c>
      <c r="BG180" s="513">
        <v>0.80294805937002811</v>
      </c>
      <c r="BH180" s="513">
        <v>0.82936628239542842</v>
      </c>
      <c r="BI180" s="513">
        <v>0.80921365892801267</v>
      </c>
      <c r="BJ180" s="510">
        <v>43.171999999999997</v>
      </c>
      <c r="BK180" s="510">
        <v>506.22200000000009</v>
      </c>
      <c r="BL180" s="510">
        <v>2.8351709441304553</v>
      </c>
      <c r="BM180" s="510">
        <v>3.0113270462366311</v>
      </c>
      <c r="BN180" s="514">
        <v>0</v>
      </c>
      <c r="BO180" s="514">
        <v>0</v>
      </c>
      <c r="BP180" s="514">
        <v>1095.9911516723753</v>
      </c>
      <c r="BQ180" s="514">
        <v>993.69461422063682</v>
      </c>
      <c r="BR180" s="514">
        <v>0</v>
      </c>
      <c r="BS180" s="515">
        <v>0</v>
      </c>
      <c r="BT180" s="512">
        <v>0.84570103907090532</v>
      </c>
      <c r="BU180" s="1026">
        <v>0.83284501942789035</v>
      </c>
      <c r="BV180" s="513">
        <v>0.84570103907090532</v>
      </c>
      <c r="BW180" s="513">
        <v>0.84499106460669393</v>
      </c>
      <c r="BX180" s="510">
        <v>39.923000000000002</v>
      </c>
      <c r="BY180" s="510">
        <v>476.892</v>
      </c>
      <c r="BZ180" s="514">
        <v>95.020596030501665</v>
      </c>
      <c r="CA180" s="514">
        <v>87.152067944491492</v>
      </c>
      <c r="CB180" s="510">
        <v>2.1341081582045436</v>
      </c>
      <c r="CC180" s="510">
        <v>2.1342358437549804</v>
      </c>
      <c r="CD180" s="582">
        <v>0</v>
      </c>
      <c r="CE180" s="582">
        <v>0</v>
      </c>
      <c r="CF180" s="514">
        <v>1079.4812514089892</v>
      </c>
      <c r="CG180" s="514">
        <v>994.57196807662842</v>
      </c>
      <c r="CH180" s="582">
        <v>0</v>
      </c>
      <c r="CI180" s="582">
        <v>0</v>
      </c>
      <c r="CJ180" s="514">
        <v>0</v>
      </c>
      <c r="CK180" s="514">
        <v>0</v>
      </c>
    </row>
    <row r="181" spans="1:89" ht="12.75" customHeight="1">
      <c r="A181" s="560">
        <v>45851</v>
      </c>
      <c r="B181" s="512">
        <v>0.60333694021081286</v>
      </c>
      <c r="C181" s="513">
        <v>0.81633737328539069</v>
      </c>
      <c r="D181" s="513">
        <v>0.60333694021081286</v>
      </c>
      <c r="E181" s="513">
        <v>0.81867129718436094</v>
      </c>
      <c r="F181" s="510">
        <v>36.353999999999999</v>
      </c>
      <c r="G181" s="510">
        <v>768.09700000000021</v>
      </c>
      <c r="H181" s="510">
        <v>3.5524839082356832</v>
      </c>
      <c r="I181" s="510">
        <v>2.3233185391949185</v>
      </c>
      <c r="J181" s="510">
        <v>1532.1631732408712</v>
      </c>
      <c r="K181" s="511">
        <v>935.07254943060059</v>
      </c>
      <c r="L181" s="512">
        <v>0.97995064220302108</v>
      </c>
      <c r="M181" s="513">
        <v>0.83287988961801718</v>
      </c>
      <c r="N181" s="513">
        <v>0.97995064220302108</v>
      </c>
      <c r="O181" s="513">
        <v>0.89354586702605376</v>
      </c>
      <c r="P181" s="510">
        <v>63.600999999999999</v>
      </c>
      <c r="Q181" s="510">
        <v>723.85900000000004</v>
      </c>
      <c r="R181" s="510">
        <v>2.9070297636829614</v>
      </c>
      <c r="S181" s="510">
        <v>2.5937399410658708</v>
      </c>
      <c r="T181" s="510">
        <v>0.16037483687363405</v>
      </c>
      <c r="U181" s="510">
        <v>0.21426824837433808</v>
      </c>
      <c r="V181" s="510">
        <v>612.93674627757878</v>
      </c>
      <c r="W181" s="510">
        <v>648.2967401109903</v>
      </c>
      <c r="X181" s="510">
        <v>523.73390355497634</v>
      </c>
      <c r="Y181" s="569">
        <v>545.51507959423043</v>
      </c>
      <c r="Z181" s="512">
        <v>0.89669885768638002</v>
      </c>
      <c r="AA181" s="1026">
        <v>0.90627990932827196</v>
      </c>
      <c r="AB181" s="513">
        <v>0.89669885768638002</v>
      </c>
      <c r="AC181" s="513">
        <v>0.90995811065212073</v>
      </c>
      <c r="AD181" s="510">
        <v>39.738</v>
      </c>
      <c r="AE181" s="510">
        <v>532.08600000000001</v>
      </c>
      <c r="AF181" s="510">
        <v>99.788035851917314</v>
      </c>
      <c r="AG181" s="510">
        <v>102.45625339298535</v>
      </c>
      <c r="AH181" s="510">
        <v>1.5224721928632543</v>
      </c>
      <c r="AI181" s="510">
        <v>1.526444973181027</v>
      </c>
      <c r="AJ181" s="510">
        <v>876.74920730789404</v>
      </c>
      <c r="AK181" s="510">
        <v>905.3168472765683</v>
      </c>
      <c r="AL181" s="576">
        <v>0</v>
      </c>
      <c r="AM181" s="577">
        <v>0</v>
      </c>
      <c r="AN181" s="512">
        <v>0.99454986673031798</v>
      </c>
      <c r="AO181" s="1026">
        <v>0.76015859789737716</v>
      </c>
      <c r="AP181" s="513">
        <v>0.99454986673031798</v>
      </c>
      <c r="AQ181" s="513">
        <v>0.78709721976344349</v>
      </c>
      <c r="AR181" s="510">
        <v>47.52</v>
      </c>
      <c r="AS181" s="510">
        <v>479.77499999999998</v>
      </c>
      <c r="AT181" s="514">
        <v>98.802557282053328</v>
      </c>
      <c r="AU181" s="514">
        <v>109.51761234262355</v>
      </c>
      <c r="AV181" s="510">
        <v>1.5677609427609427</v>
      </c>
      <c r="AW181" s="510">
        <v>1.7451930592465221</v>
      </c>
      <c r="AX181" s="510">
        <v>0</v>
      </c>
      <c r="AY181" s="510">
        <v>2.7096034599551875E-2</v>
      </c>
      <c r="AZ181" s="510">
        <v>940.45159932659897</v>
      </c>
      <c r="BA181" s="510">
        <v>1082.2290031785731</v>
      </c>
      <c r="BB181" s="510">
        <v>0</v>
      </c>
      <c r="BC181" s="510">
        <v>88.187171069772489</v>
      </c>
      <c r="BD181" s="510">
        <v>86.279461279461273</v>
      </c>
      <c r="BE181" s="510">
        <v>42.103069146995985</v>
      </c>
      <c r="BF181" s="512">
        <v>0.81142568938046844</v>
      </c>
      <c r="BG181" s="513">
        <v>0.80359155383243497</v>
      </c>
      <c r="BH181" s="513">
        <v>0.81142568938046844</v>
      </c>
      <c r="BI181" s="513">
        <v>0.80938277311805018</v>
      </c>
      <c r="BJ181" s="510">
        <v>42.02</v>
      </c>
      <c r="BK181" s="510">
        <v>548.24200000000008</v>
      </c>
      <c r="BL181" s="510">
        <v>2.929557353641123</v>
      </c>
      <c r="BM181" s="510">
        <v>3.0050598093542629</v>
      </c>
      <c r="BN181" s="514">
        <v>0</v>
      </c>
      <c r="BO181" s="514">
        <v>0</v>
      </c>
      <c r="BP181" s="514">
        <v>1116.640290337933</v>
      </c>
      <c r="BQ181" s="514">
        <v>1003.117783752429</v>
      </c>
      <c r="BR181" s="514">
        <v>0</v>
      </c>
      <c r="BS181" s="515">
        <v>0</v>
      </c>
      <c r="BT181" s="512">
        <v>0.79184063120651216</v>
      </c>
      <c r="BU181" s="1026">
        <v>0.82970890551669307</v>
      </c>
      <c r="BV181" s="513">
        <v>0.79184063120651216</v>
      </c>
      <c r="BW181" s="513">
        <v>0.84087130303573066</v>
      </c>
      <c r="BX181" s="510">
        <v>37.549999999999997</v>
      </c>
      <c r="BY181" s="510">
        <v>514.44200000000001</v>
      </c>
      <c r="BZ181" s="514">
        <v>104.96739039343105</v>
      </c>
      <c r="CA181" s="514">
        <v>88.452438750058846</v>
      </c>
      <c r="CB181" s="510">
        <v>2.2130492676431426</v>
      </c>
      <c r="CC181" s="510">
        <v>2.139988570140074</v>
      </c>
      <c r="CD181" s="582">
        <v>0</v>
      </c>
      <c r="CE181" s="582">
        <v>0</v>
      </c>
      <c r="CF181" s="514">
        <v>1090.1348868175523</v>
      </c>
      <c r="CG181" s="514">
        <v>1001.5472686911227</v>
      </c>
      <c r="CH181" s="582">
        <v>0</v>
      </c>
      <c r="CI181" s="582">
        <v>0</v>
      </c>
      <c r="CJ181" s="514">
        <v>0</v>
      </c>
      <c r="CK181" s="514">
        <v>0</v>
      </c>
    </row>
    <row r="182" spans="1:89" ht="12.75" customHeight="1">
      <c r="A182" s="560">
        <v>45852</v>
      </c>
      <c r="B182" s="512">
        <v>0.76641177822860218</v>
      </c>
      <c r="C182" s="513">
        <v>0.81338911457210228</v>
      </c>
      <c r="D182" s="513">
        <v>0.76641177822860218</v>
      </c>
      <c r="E182" s="513">
        <v>0.81557691240832642</v>
      </c>
      <c r="F182" s="510">
        <v>45.256999999999998</v>
      </c>
      <c r="G182" s="510">
        <v>813.35400000000016</v>
      </c>
      <c r="H182" s="510">
        <v>2.8868462337317986</v>
      </c>
      <c r="I182" s="510">
        <v>2.3546745943340781</v>
      </c>
      <c r="J182" s="510">
        <v>1243.3356165897083</v>
      </c>
      <c r="K182" s="511">
        <v>952.22505821572963</v>
      </c>
      <c r="L182" s="512">
        <v>0.8913199252449201</v>
      </c>
      <c r="M182" s="513">
        <v>0.83675642595409006</v>
      </c>
      <c r="N182" s="513">
        <v>0.8913199252449201</v>
      </c>
      <c r="O182" s="513">
        <v>0.89338821906674115</v>
      </c>
      <c r="P182" s="510">
        <v>55.036000000000001</v>
      </c>
      <c r="Q182" s="510">
        <v>778.89499999999998</v>
      </c>
      <c r="R182" s="510">
        <v>2.9801221018969399</v>
      </c>
      <c r="S182" s="510">
        <v>2.621041347036507</v>
      </c>
      <c r="T182" s="510">
        <v>0.23257504179082783</v>
      </c>
      <c r="U182" s="510">
        <v>0.21556178945814264</v>
      </c>
      <c r="V182" s="510">
        <v>682.13823679045936</v>
      </c>
      <c r="W182" s="510">
        <v>650.68794895332621</v>
      </c>
      <c r="X182" s="510">
        <v>709.62642633912344</v>
      </c>
      <c r="Y182" s="569">
        <v>557.11103550542759</v>
      </c>
      <c r="Z182" s="512">
        <v>0.2446175519865843</v>
      </c>
      <c r="AA182" s="1026">
        <v>0.86060540137754704</v>
      </c>
      <c r="AB182" s="513">
        <v>0.2446175519865843</v>
      </c>
      <c r="AC182" s="513">
        <v>0.86385620902618176</v>
      </c>
      <c r="AD182" s="510">
        <v>10.648999999999999</v>
      </c>
      <c r="AE182" s="510">
        <v>542.73500000000001</v>
      </c>
      <c r="AF182" s="510">
        <v>143.98712779023705</v>
      </c>
      <c r="AG182" s="510">
        <v>103.27113041668261</v>
      </c>
      <c r="AH182" s="510">
        <v>2.657526528312518</v>
      </c>
      <c r="AI182" s="510">
        <v>1.5486379172155837</v>
      </c>
      <c r="AJ182" s="510">
        <v>1515.6014649262156</v>
      </c>
      <c r="AK182" s="510">
        <v>917.29123789694665</v>
      </c>
      <c r="AL182" s="576">
        <v>0</v>
      </c>
      <c r="AM182" s="577">
        <v>0</v>
      </c>
      <c r="AN182" s="512">
        <v>0.96106408362740436</v>
      </c>
      <c r="AO182" s="1026">
        <v>0.77437273756293823</v>
      </c>
      <c r="AP182" s="513">
        <v>0.96106408362740436</v>
      </c>
      <c r="AQ182" s="513">
        <v>0.79980974874489841</v>
      </c>
      <c r="AR182" s="510">
        <v>46.183</v>
      </c>
      <c r="AS182" s="510">
        <v>525.95799999999997</v>
      </c>
      <c r="AT182" s="514">
        <v>102.60684784275269</v>
      </c>
      <c r="AU182" s="514">
        <v>108.91079613886292</v>
      </c>
      <c r="AV182" s="510">
        <v>1.5849988090855944</v>
      </c>
      <c r="AW182" s="510">
        <v>1.7311268200122447</v>
      </c>
      <c r="AX182" s="510">
        <v>0</v>
      </c>
      <c r="AY182" s="510">
        <v>2.4716802482327487E-2</v>
      </c>
      <c r="AZ182" s="510">
        <v>961.81798497282648</v>
      </c>
      <c r="BA182" s="510">
        <v>1071.6560257663159</v>
      </c>
      <c r="BB182" s="510">
        <v>0</v>
      </c>
      <c r="BC182" s="510">
        <v>80.443685617482942</v>
      </c>
      <c r="BD182" s="510">
        <v>79.033410562328129</v>
      </c>
      <c r="BE182" s="510">
        <v>45.345826092577738</v>
      </c>
      <c r="BF182" s="512">
        <v>0.99456061696290066</v>
      </c>
      <c r="BG182" s="513">
        <v>0.81798023055622837</v>
      </c>
      <c r="BH182" s="513">
        <v>0.99456061696290066</v>
      </c>
      <c r="BI182" s="513">
        <v>0.82342803043105595</v>
      </c>
      <c r="BJ182" s="510">
        <v>55.29</v>
      </c>
      <c r="BK182" s="510">
        <v>603.53200000000004</v>
      </c>
      <c r="BL182" s="510">
        <v>2.3042141436064387</v>
      </c>
      <c r="BM182" s="510">
        <v>2.9408548345406706</v>
      </c>
      <c r="BN182" s="514">
        <v>0</v>
      </c>
      <c r="BO182" s="514">
        <v>0</v>
      </c>
      <c r="BP182" s="514">
        <v>861.5836498462694</v>
      </c>
      <c r="BQ182" s="514">
        <v>990.1517400900027</v>
      </c>
      <c r="BR182" s="514">
        <v>0</v>
      </c>
      <c r="BS182" s="515">
        <v>0</v>
      </c>
      <c r="BT182" s="512">
        <v>0.94123424832014579</v>
      </c>
      <c r="BU182" s="1026">
        <v>0.83836936384695182</v>
      </c>
      <c r="BV182" s="513">
        <v>0.94123424832014579</v>
      </c>
      <c r="BW182" s="513">
        <v>0.84876155748379845</v>
      </c>
      <c r="BX182" s="510">
        <v>49.134</v>
      </c>
      <c r="BY182" s="510">
        <v>563.57600000000002</v>
      </c>
      <c r="BZ182" s="514">
        <v>79.333842598606225</v>
      </c>
      <c r="CA182" s="514">
        <v>87.657456168640408</v>
      </c>
      <c r="CB182" s="510">
        <v>1.8480074897219847</v>
      </c>
      <c r="CC182" s="510">
        <v>2.1145329112666258</v>
      </c>
      <c r="CD182" s="582">
        <v>0</v>
      </c>
      <c r="CE182" s="582">
        <v>0</v>
      </c>
      <c r="CF182" s="514">
        <v>851.07990393618093</v>
      </c>
      <c r="CG182" s="514">
        <v>988.42913821738114</v>
      </c>
      <c r="CH182" s="582">
        <v>0</v>
      </c>
      <c r="CI182" s="582">
        <v>0</v>
      </c>
      <c r="CJ182" s="514">
        <v>0</v>
      </c>
      <c r="CK182" s="514">
        <v>0</v>
      </c>
    </row>
    <row r="183" spans="1:89" ht="12.75" customHeight="1">
      <c r="A183" s="560">
        <v>45853</v>
      </c>
      <c r="B183" s="512">
        <v>0.85451837087790183</v>
      </c>
      <c r="C183" s="513">
        <v>0.81567610751034803</v>
      </c>
      <c r="D183" s="513">
        <v>0.85451837087790183</v>
      </c>
      <c r="E183" s="513">
        <v>0.81774775232046648</v>
      </c>
      <c r="F183" s="510">
        <v>50.311</v>
      </c>
      <c r="G183" s="510">
        <v>863.66500000000019</v>
      </c>
      <c r="H183" s="510">
        <v>2.6145574526445508</v>
      </c>
      <c r="I183" s="510">
        <v>2.3698135272356753</v>
      </c>
      <c r="J183" s="510">
        <v>1114.6957921726844</v>
      </c>
      <c r="K183" s="511">
        <v>961.68945134976695</v>
      </c>
      <c r="L183" s="512">
        <v>0.96596621978828778</v>
      </c>
      <c r="M183" s="513">
        <v>0.84689051465617726</v>
      </c>
      <c r="N183" s="513">
        <v>0.96596621978828778</v>
      </c>
      <c r="O183" s="513">
        <v>0.89943377427177174</v>
      </c>
      <c r="P183" s="510">
        <v>76.525000000000006</v>
      </c>
      <c r="Q183" s="510">
        <v>855.42</v>
      </c>
      <c r="R183" s="510">
        <v>2.3465795491669388</v>
      </c>
      <c r="S183" s="510">
        <v>2.5964882747656124</v>
      </c>
      <c r="T183" s="510">
        <v>0.22214962430578242</v>
      </c>
      <c r="U183" s="510">
        <v>0.21615113043884876</v>
      </c>
      <c r="V183" s="510">
        <v>497.81496243057683</v>
      </c>
      <c r="W183" s="510">
        <v>637.01208762946965</v>
      </c>
      <c r="X183" s="510">
        <v>543.4955896765739</v>
      </c>
      <c r="Y183" s="569">
        <v>555.89301162002278</v>
      </c>
      <c r="Z183" s="512">
        <v>0.85563426804771892</v>
      </c>
      <c r="AA183" s="1026">
        <v>0.86026052409819276</v>
      </c>
      <c r="AB183" s="513">
        <v>0.85563426804771892</v>
      </c>
      <c r="AC183" s="513">
        <v>0.86328379914290698</v>
      </c>
      <c r="AD183" s="510">
        <v>40.225999999999999</v>
      </c>
      <c r="AE183" s="510">
        <v>582.96100000000001</v>
      </c>
      <c r="AF183" s="510">
        <v>102.77519771216859</v>
      </c>
      <c r="AG183" s="510">
        <v>103.23690962151487</v>
      </c>
      <c r="AH183" s="510">
        <v>1.5064883408740617</v>
      </c>
      <c r="AI183" s="510">
        <v>1.5457294741843792</v>
      </c>
      <c r="AJ183" s="510">
        <v>908.15542186648167</v>
      </c>
      <c r="AK183" s="510">
        <v>916.66084009050428</v>
      </c>
      <c r="AL183" s="576">
        <v>0</v>
      </c>
      <c r="AM183" s="577">
        <v>0</v>
      </c>
      <c r="AN183" s="512">
        <v>0.88819863888254214</v>
      </c>
      <c r="AO183" s="1026">
        <v>0.78292877281102835</v>
      </c>
      <c r="AP183" s="513">
        <v>0.88819863888254214</v>
      </c>
      <c r="AQ183" s="513">
        <v>0.80665508473912706</v>
      </c>
      <c r="AR183" s="510">
        <v>49.031999999999996</v>
      </c>
      <c r="AS183" s="510">
        <v>574.99</v>
      </c>
      <c r="AT183" s="514">
        <v>104.03818657028596</v>
      </c>
      <c r="AU183" s="514">
        <v>108.49528666501735</v>
      </c>
      <c r="AV183" s="510">
        <v>1.4439549681840431</v>
      </c>
      <c r="AW183" s="510">
        <v>1.7066383763195883</v>
      </c>
      <c r="AX183" s="510">
        <v>0</v>
      </c>
      <c r="AY183" s="510">
        <v>2.2609088853719195E-2</v>
      </c>
      <c r="AZ183" s="510">
        <v>854.57374775656626</v>
      </c>
      <c r="BA183" s="510">
        <v>1053.1444372945616</v>
      </c>
      <c r="BB183" s="510">
        <v>0</v>
      </c>
      <c r="BC183" s="510">
        <v>73.583888415450872</v>
      </c>
      <c r="BD183" s="510">
        <v>0</v>
      </c>
      <c r="BE183" s="510">
        <v>41.478982243169447</v>
      </c>
      <c r="BF183" s="512">
        <v>0.91747634706969128</v>
      </c>
      <c r="BG183" s="513">
        <v>0.8247041076881112</v>
      </c>
      <c r="BH183" s="513">
        <v>0.91747634706969128</v>
      </c>
      <c r="BI183" s="513">
        <v>0.82982320023708256</v>
      </c>
      <c r="BJ183" s="510">
        <v>49.063000000000002</v>
      </c>
      <c r="BK183" s="510">
        <v>652.59500000000003</v>
      </c>
      <c r="BL183" s="510">
        <v>2.4417585553268246</v>
      </c>
      <c r="BM183" s="510">
        <v>2.9033320819191073</v>
      </c>
      <c r="BN183" s="514">
        <v>0</v>
      </c>
      <c r="BO183" s="514">
        <v>0</v>
      </c>
      <c r="BP183" s="514">
        <v>906.7190143285128</v>
      </c>
      <c r="BQ183" s="514">
        <v>983.8791516943885</v>
      </c>
      <c r="BR183" s="514">
        <v>0</v>
      </c>
      <c r="BS183" s="515">
        <v>0</v>
      </c>
      <c r="BT183" s="512">
        <v>1.0699438045932397</v>
      </c>
      <c r="BU183" s="1026">
        <v>0.85381641421213916</v>
      </c>
      <c r="BV183" s="513">
        <v>1.0699438045932397</v>
      </c>
      <c r="BW183" s="513">
        <v>0.86368594640414986</v>
      </c>
      <c r="BX183" s="510">
        <v>51.405999999999999</v>
      </c>
      <c r="BY183" s="510">
        <v>614.98199999999997</v>
      </c>
      <c r="BZ183" s="514">
        <v>73.076382774696427</v>
      </c>
      <c r="CA183" s="514">
        <v>86.4386324325163</v>
      </c>
      <c r="CB183" s="510">
        <v>1.7313154106524531</v>
      </c>
      <c r="CC183" s="510">
        <v>2.0824999756090423</v>
      </c>
      <c r="CD183" s="582">
        <v>0</v>
      </c>
      <c r="CE183" s="582">
        <v>0</v>
      </c>
      <c r="CF183" s="514">
        <v>790.8223748200794</v>
      </c>
      <c r="CG183" s="514">
        <v>971.91129984292206</v>
      </c>
      <c r="CH183" s="582">
        <v>0</v>
      </c>
      <c r="CI183" s="582">
        <v>0</v>
      </c>
      <c r="CJ183" s="514">
        <v>44.741858926973507</v>
      </c>
      <c r="CK183" s="514">
        <v>3.7399468602333079</v>
      </c>
    </row>
    <row r="184" spans="1:89" ht="12.75" customHeight="1">
      <c r="A184" s="560">
        <v>45854</v>
      </c>
      <c r="B184" s="512">
        <v>0.93382964604170882</v>
      </c>
      <c r="C184" s="513">
        <v>0.82177353709882495</v>
      </c>
      <c r="D184" s="513">
        <v>0.93382964604170882</v>
      </c>
      <c r="E184" s="513">
        <v>0.82375270023703995</v>
      </c>
      <c r="F184" s="510">
        <v>53.802999999999997</v>
      </c>
      <c r="G184" s="510">
        <v>917.46800000000019</v>
      </c>
      <c r="H184" s="510">
        <v>2.4741185435756372</v>
      </c>
      <c r="I184" s="510">
        <v>2.3759302776772593</v>
      </c>
      <c r="J184" s="510">
        <v>1070.8187275802604</v>
      </c>
      <c r="K184" s="511">
        <v>968.08911046488504</v>
      </c>
      <c r="L184" s="512">
        <v>0.97791778780278849</v>
      </c>
      <c r="M184" s="513">
        <v>0.85725831738289815</v>
      </c>
      <c r="N184" s="513">
        <v>0.97791778780278849</v>
      </c>
      <c r="O184" s="513">
        <v>0.90599705993463231</v>
      </c>
      <c r="P184" s="510">
        <v>84.875</v>
      </c>
      <c r="Q184" s="510">
        <v>940.29499999999996</v>
      </c>
      <c r="R184" s="510">
        <v>2.1858026509572901</v>
      </c>
      <c r="S184" s="510">
        <v>2.5594180549721099</v>
      </c>
      <c r="T184" s="510">
        <v>0.20029455081001474</v>
      </c>
      <c r="U184" s="510">
        <v>0.21471984855816528</v>
      </c>
      <c r="V184" s="510">
        <v>438.54480117819202</v>
      </c>
      <c r="W184" s="510">
        <v>619.09759171323901</v>
      </c>
      <c r="X184" s="510">
        <v>528.05891016200405</v>
      </c>
      <c r="Y184" s="569">
        <v>553.38058800695524</v>
      </c>
      <c r="Z184" s="512">
        <v>0.94264268825144581</v>
      </c>
      <c r="AA184" s="1026">
        <v>0.86544602049824337</v>
      </c>
      <c r="AB184" s="513">
        <v>0.94264268825144581</v>
      </c>
      <c r="AC184" s="513">
        <v>0.86829544364649902</v>
      </c>
      <c r="AD184" s="510">
        <v>42.908999999999999</v>
      </c>
      <c r="AE184" s="510">
        <v>625.87</v>
      </c>
      <c r="AF184" s="510">
        <v>98.380173135817046</v>
      </c>
      <c r="AG184" s="510">
        <v>102.90393679031222</v>
      </c>
      <c r="AH184" s="510">
        <v>1.4029690740870215</v>
      </c>
      <c r="AI184" s="510">
        <v>1.5359419687794589</v>
      </c>
      <c r="AJ184" s="510">
        <v>877.98037707703622</v>
      </c>
      <c r="AK184" s="510">
        <v>914.00894754501576</v>
      </c>
      <c r="AL184" s="576">
        <v>0</v>
      </c>
      <c r="AM184" s="577">
        <v>0</v>
      </c>
      <c r="AN184" s="512">
        <v>0.97590394564520533</v>
      </c>
      <c r="AO184" s="1026">
        <v>0.79592368457975515</v>
      </c>
      <c r="AP184" s="513">
        <v>0.97590394564520533</v>
      </c>
      <c r="AQ184" s="513">
        <v>0.81837374354626846</v>
      </c>
      <c r="AR184" s="510">
        <v>51.747999999999998</v>
      </c>
      <c r="AS184" s="510">
        <v>626.73800000000006</v>
      </c>
      <c r="AT184" s="514">
        <v>93.42934686355477</v>
      </c>
      <c r="AU184" s="514">
        <v>107.25133424335775</v>
      </c>
      <c r="AV184" s="510">
        <v>1.4242096312900983</v>
      </c>
      <c r="AW184" s="510">
        <v>1.6833190264512443</v>
      </c>
      <c r="AX184" s="510">
        <v>0</v>
      </c>
      <c r="AY184" s="510">
        <v>2.0742319757219123E-2</v>
      </c>
      <c r="AZ184" s="510">
        <v>897.87547344825123</v>
      </c>
      <c r="BA184" s="510">
        <v>1040.3243141472194</v>
      </c>
      <c r="BB184" s="510">
        <v>0</v>
      </c>
      <c r="BC184" s="510">
        <v>67.508272994457158</v>
      </c>
      <c r="BD184" s="510">
        <v>0</v>
      </c>
      <c r="BE184" s="510">
        <v>38.054178939205855</v>
      </c>
      <c r="BF184" s="512">
        <v>0.8183755653448832</v>
      </c>
      <c r="BG184" s="513">
        <v>0.82430815706229066</v>
      </c>
      <c r="BH184" s="513">
        <v>0.8183755653448832</v>
      </c>
      <c r="BI184" s="513">
        <v>0.82910280323106889</v>
      </c>
      <c r="BJ184" s="510">
        <v>43.220999999999997</v>
      </c>
      <c r="BK184" s="510">
        <v>695.81600000000003</v>
      </c>
      <c r="BL184" s="510">
        <v>3.0054834455473038</v>
      </c>
      <c r="BM184" s="510">
        <v>2.9096772710026788</v>
      </c>
      <c r="BN184" s="514">
        <v>0</v>
      </c>
      <c r="BO184" s="514">
        <v>0</v>
      </c>
      <c r="BP184" s="514">
        <v>1047.1735961685356</v>
      </c>
      <c r="BQ184" s="514">
        <v>987.81072151258331</v>
      </c>
      <c r="BR184" s="514">
        <v>0</v>
      </c>
      <c r="BS184" s="515">
        <v>0</v>
      </c>
      <c r="BT184" s="512">
        <v>0.90405523022013223</v>
      </c>
      <c r="BU184" s="1026">
        <v>0.85680899347288009</v>
      </c>
      <c r="BV184" s="513">
        <v>0.90405523022013223</v>
      </c>
      <c r="BW184" s="513">
        <v>0.86611674922506809</v>
      </c>
      <c r="BX184" s="510">
        <v>41.244999999999997</v>
      </c>
      <c r="BY184" s="510">
        <v>656.22699999999998</v>
      </c>
      <c r="BZ184" s="514">
        <v>90.915827601406136</v>
      </c>
      <c r="CA184" s="514">
        <v>86.720031879263942</v>
      </c>
      <c r="CB184" s="510">
        <v>2.0591586859013216</v>
      </c>
      <c r="CC184" s="510">
        <v>2.0810329352495405</v>
      </c>
      <c r="CD184" s="582">
        <v>0</v>
      </c>
      <c r="CE184" s="582">
        <v>0</v>
      </c>
      <c r="CF184" s="514">
        <v>1001.3308279791224</v>
      </c>
      <c r="CG184" s="514">
        <v>973.76036798241876</v>
      </c>
      <c r="CH184" s="582">
        <v>0</v>
      </c>
      <c r="CI184" s="582">
        <v>0</v>
      </c>
      <c r="CJ184" s="514">
        <v>92.859740574615103</v>
      </c>
      <c r="CK184" s="514">
        <v>9.3412797705671977</v>
      </c>
    </row>
    <row r="185" spans="1:89" ht="12.75" customHeight="1">
      <c r="A185" s="560">
        <v>45855</v>
      </c>
      <c r="B185" s="512">
        <v>0.94110836908639406</v>
      </c>
      <c r="C185" s="513">
        <v>0.82763008783305636</v>
      </c>
      <c r="D185" s="513">
        <v>0.94110836908639406</v>
      </c>
      <c r="E185" s="513">
        <v>0.82952530903744348</v>
      </c>
      <c r="F185" s="510">
        <v>54.225999999999999</v>
      </c>
      <c r="G185" s="510">
        <v>971.69400000000019</v>
      </c>
      <c r="H185" s="510">
        <v>2.468889462619408</v>
      </c>
      <c r="I185" s="510">
        <v>2.3811179239554838</v>
      </c>
      <c r="J185" s="510">
        <v>1074.1249585069709</v>
      </c>
      <c r="K185" s="511">
        <v>974.00650822172008</v>
      </c>
      <c r="L185" s="512">
        <v>1.0120812144568765</v>
      </c>
      <c r="M185" s="513">
        <v>0.86839841034344312</v>
      </c>
      <c r="N185" s="513">
        <v>1.0120812144568765</v>
      </c>
      <c r="O185" s="513">
        <v>0.91403132591034197</v>
      </c>
      <c r="P185" s="510">
        <v>86.07</v>
      </c>
      <c r="Q185" s="510">
        <v>1026.365</v>
      </c>
      <c r="R185" s="510">
        <v>2.232206343673754</v>
      </c>
      <c r="S185" s="510">
        <v>2.5319783897541326</v>
      </c>
      <c r="T185" s="510">
        <v>0.16846752643197399</v>
      </c>
      <c r="U185" s="510">
        <v>0.21084117248737047</v>
      </c>
      <c r="V185" s="510">
        <v>467.5037759962911</v>
      </c>
      <c r="W185" s="510">
        <v>606.38507743346736</v>
      </c>
      <c r="X185" s="510">
        <v>497.54850702916752</v>
      </c>
      <c r="Y185" s="569">
        <v>548.69856240226477</v>
      </c>
      <c r="Z185" s="512">
        <v>0.95386056760261961</v>
      </c>
      <c r="AA185" s="1026">
        <v>0.87068658592210935</v>
      </c>
      <c r="AB185" s="513">
        <v>0.95386056760261961</v>
      </c>
      <c r="AC185" s="513">
        <v>0.87338282151420421</v>
      </c>
      <c r="AD185" s="510">
        <v>43.463000000000001</v>
      </c>
      <c r="AE185" s="510">
        <v>669.33299999999997</v>
      </c>
      <c r="AF185" s="510">
        <v>92.063680423122037</v>
      </c>
      <c r="AG185" s="510">
        <v>102.20002698385238</v>
      </c>
      <c r="AH185" s="510">
        <v>1.4241998941628511</v>
      </c>
      <c r="AI185" s="510">
        <v>1.5286860202619623</v>
      </c>
      <c r="AJ185" s="510">
        <v>866.61068034881919</v>
      </c>
      <c r="AK185" s="510">
        <v>910.9311508621264</v>
      </c>
      <c r="AL185" s="576">
        <v>0</v>
      </c>
      <c r="AM185" s="577">
        <v>0</v>
      </c>
      <c r="AN185" s="512">
        <v>0.9360176341927896</v>
      </c>
      <c r="AO185" s="1026">
        <v>0.80476238811315248</v>
      </c>
      <c r="AP185" s="513">
        <v>0.9360176341927896</v>
      </c>
      <c r="AQ185" s="513">
        <v>0.82599184328823305</v>
      </c>
      <c r="AR185" s="510">
        <v>49.633000000000003</v>
      </c>
      <c r="AS185" s="510">
        <v>676.37100000000009</v>
      </c>
      <c r="AT185" s="514">
        <v>97.357712946552581</v>
      </c>
      <c r="AU185" s="514">
        <v>106.52532720605969</v>
      </c>
      <c r="AV185" s="510">
        <v>1.4889287369290594</v>
      </c>
      <c r="AW185" s="510">
        <v>1.6690544094882838</v>
      </c>
      <c r="AX185" s="510">
        <v>0</v>
      </c>
      <c r="AY185" s="510">
        <v>1.9220220855122407E-2</v>
      </c>
      <c r="AZ185" s="510">
        <v>913.41446215219491</v>
      </c>
      <c r="BA185" s="510">
        <v>1031.0115010844636</v>
      </c>
      <c r="BB185" s="510">
        <v>0</v>
      </c>
      <c r="BC185" s="510">
        <v>62.554426490786987</v>
      </c>
      <c r="BD185" s="510">
        <v>0</v>
      </c>
      <c r="BE185" s="510">
        <v>35.26171287651303</v>
      </c>
      <c r="BF185" s="512">
        <v>0.98257308875931326</v>
      </c>
      <c r="BG185" s="513">
        <v>0.83351820572682778</v>
      </c>
      <c r="BH185" s="513">
        <v>0.98257308875931326</v>
      </c>
      <c r="BI185" s="513">
        <v>0.83808274123795434</v>
      </c>
      <c r="BJ185" s="510">
        <v>51.249000000000002</v>
      </c>
      <c r="BK185" s="510">
        <v>747.06500000000005</v>
      </c>
      <c r="BL185" s="510">
        <v>2.5483424066811056</v>
      </c>
      <c r="BM185" s="510">
        <v>2.8848895343778653</v>
      </c>
      <c r="BN185" s="514">
        <v>0</v>
      </c>
      <c r="BO185" s="514">
        <v>0</v>
      </c>
      <c r="BP185" s="514">
        <v>896.12968057912803</v>
      </c>
      <c r="BQ185" s="514">
        <v>981.52136025646951</v>
      </c>
      <c r="BR185" s="514">
        <v>0</v>
      </c>
      <c r="BS185" s="515">
        <v>0</v>
      </c>
      <c r="BT185" s="512">
        <v>0.88620493497420127</v>
      </c>
      <c r="BU185" s="1026">
        <v>0.85844669936952711</v>
      </c>
      <c r="BV185" s="513">
        <v>0.88620493497420127</v>
      </c>
      <c r="BW185" s="513">
        <v>0.86724737508015037</v>
      </c>
      <c r="BX185" s="510">
        <v>40.045000000000002</v>
      </c>
      <c r="BY185" s="510">
        <v>696.27199999999993</v>
      </c>
      <c r="BZ185" s="514">
        <v>92.208287953392457</v>
      </c>
      <c r="CA185" s="514">
        <v>87.035680382274947</v>
      </c>
      <c r="CB185" s="510">
        <v>2.1126232987888622</v>
      </c>
      <c r="CC185" s="510">
        <v>2.0828498058230118</v>
      </c>
      <c r="CD185" s="582">
        <v>0</v>
      </c>
      <c r="CE185" s="582">
        <v>0</v>
      </c>
      <c r="CF185" s="514">
        <v>1009.0086153078057</v>
      </c>
      <c r="CG185" s="514">
        <v>975.78761604660224</v>
      </c>
      <c r="CH185" s="582">
        <v>0</v>
      </c>
      <c r="CI185" s="582">
        <v>0</v>
      </c>
      <c r="CJ185" s="514">
        <v>91.147459108502929</v>
      </c>
      <c r="CK185" s="514">
        <v>14.046234804788934</v>
      </c>
    </row>
    <row r="186" spans="1:89" ht="12.75" customHeight="1">
      <c r="A186" s="560">
        <v>45856</v>
      </c>
      <c r="B186" s="512">
        <v>0.89649942738346289</v>
      </c>
      <c r="C186" s="513">
        <v>0.83097357972888819</v>
      </c>
      <c r="D186" s="513">
        <v>0.89649942738346289</v>
      </c>
      <c r="E186" s="513">
        <v>0.83278387452324532</v>
      </c>
      <c r="F186" s="510">
        <v>53.707000000000001</v>
      </c>
      <c r="G186" s="510">
        <v>1025.4010000000003</v>
      </c>
      <c r="H186" s="510">
        <v>2.42018731264081</v>
      </c>
      <c r="I186" s="510">
        <v>2.3831642450124391</v>
      </c>
      <c r="J186" s="510">
        <v>1053.9546055449234</v>
      </c>
      <c r="K186" s="511">
        <v>978.19391633126668</v>
      </c>
      <c r="L186" s="512">
        <v>1.0025551090305316</v>
      </c>
      <c r="M186" s="513">
        <v>0.87756050985333622</v>
      </c>
      <c r="N186" s="513">
        <v>1.0025551090305316</v>
      </c>
      <c r="O186" s="513">
        <v>0.92037190447572292</v>
      </c>
      <c r="P186" s="510">
        <v>86.855000000000004</v>
      </c>
      <c r="Q186" s="510">
        <v>1113.22</v>
      </c>
      <c r="R186" s="510">
        <v>2.3019975821771919</v>
      </c>
      <c r="S186" s="510">
        <v>2.5140349616428024</v>
      </c>
      <c r="T186" s="510">
        <v>0.1669449081803005</v>
      </c>
      <c r="U186" s="510">
        <v>0.20741632381739458</v>
      </c>
      <c r="V186" s="510">
        <v>433.59173334869269</v>
      </c>
      <c r="W186" s="510">
        <v>592.90349616428148</v>
      </c>
      <c r="X186" s="510">
        <v>566.25410166368817</v>
      </c>
      <c r="Y186" s="569">
        <v>550.06827042273778</v>
      </c>
      <c r="Z186" s="512">
        <v>0.95298113713059562</v>
      </c>
      <c r="AA186" s="1026">
        <v>0.87553627048731086</v>
      </c>
      <c r="AB186" s="513">
        <v>0.95298113713059562</v>
      </c>
      <c r="AC186" s="513">
        <v>0.87808728209019826</v>
      </c>
      <c r="AD186" s="510">
        <v>45.875999999999998</v>
      </c>
      <c r="AE186" s="510">
        <v>715.20899999999995</v>
      </c>
      <c r="AF186" s="510">
        <v>92.773411679448131</v>
      </c>
      <c r="AG186" s="510">
        <v>101.59537099699421</v>
      </c>
      <c r="AH186" s="510">
        <v>1.3819862237335427</v>
      </c>
      <c r="AI186" s="510">
        <v>1.5192761836050721</v>
      </c>
      <c r="AJ186" s="510">
        <v>798.34205248931903</v>
      </c>
      <c r="AK186" s="510">
        <v>903.70929336739277</v>
      </c>
      <c r="AL186" s="576">
        <v>0</v>
      </c>
      <c r="AM186" s="577">
        <v>0</v>
      </c>
      <c r="AN186" s="512">
        <v>0.95587592542654554</v>
      </c>
      <c r="AO186" s="1026">
        <v>0.81373052054065209</v>
      </c>
      <c r="AP186" s="513">
        <v>0.95587592542654554</v>
      </c>
      <c r="AQ186" s="513">
        <v>0.83389104630707733</v>
      </c>
      <c r="AR186" s="510">
        <v>50.686</v>
      </c>
      <c r="AS186" s="510">
        <v>727.05700000000013</v>
      </c>
      <c r="AT186" s="514">
        <v>96.24441664926924</v>
      </c>
      <c r="AU186" s="514">
        <v>105.80860453853639</v>
      </c>
      <c r="AV186" s="510">
        <v>1.4678609477962357</v>
      </c>
      <c r="AW186" s="510">
        <v>1.6550284228059147</v>
      </c>
      <c r="AX186" s="510">
        <v>0</v>
      </c>
      <c r="AY186" s="510">
        <v>1.7880303745098386E-2</v>
      </c>
      <c r="AZ186" s="510">
        <v>897.77729550566448</v>
      </c>
      <c r="BA186" s="510">
        <v>1021.7232211504736</v>
      </c>
      <c r="BB186" s="510">
        <v>0</v>
      </c>
      <c r="BC186" s="510">
        <v>58.193511650393418</v>
      </c>
      <c r="BD186" s="510">
        <v>0</v>
      </c>
      <c r="BE186" s="510">
        <v>32.80348033235358</v>
      </c>
      <c r="BF186" s="512">
        <v>0.94587509534028025</v>
      </c>
      <c r="BG186" s="513">
        <v>0.84021593699130026</v>
      </c>
      <c r="BH186" s="513">
        <v>0.94587509534028025</v>
      </c>
      <c r="BI186" s="513">
        <v>0.84454145479327425</v>
      </c>
      <c r="BJ186" s="510">
        <v>53.74</v>
      </c>
      <c r="BK186" s="510">
        <v>800.80500000000006</v>
      </c>
      <c r="BL186" s="510">
        <v>2.4451060662448829</v>
      </c>
      <c r="BM186" s="510">
        <v>2.8553767771180252</v>
      </c>
      <c r="BN186" s="514">
        <v>0</v>
      </c>
      <c r="BO186" s="514">
        <v>0</v>
      </c>
      <c r="BP186" s="514">
        <v>817.98985857834384</v>
      </c>
      <c r="BQ186" s="514">
        <v>970.54717440575359</v>
      </c>
      <c r="BR186" s="514">
        <v>0</v>
      </c>
      <c r="BS186" s="515">
        <v>0</v>
      </c>
      <c r="BT186" s="512">
        <v>1.0274843016587667</v>
      </c>
      <c r="BU186" s="1026">
        <v>0.8677264955382632</v>
      </c>
      <c r="BV186" s="513">
        <v>1.0274843016587667</v>
      </c>
      <c r="BW186" s="513">
        <v>0.87612921669098986</v>
      </c>
      <c r="BX186" s="510">
        <v>48.408000000000001</v>
      </c>
      <c r="BY186" s="510">
        <v>744.68</v>
      </c>
      <c r="BZ186" s="514">
        <v>78.100364888216347</v>
      </c>
      <c r="CA186" s="514">
        <v>86.454839279470534</v>
      </c>
      <c r="CB186" s="510">
        <v>1.7745000826309703</v>
      </c>
      <c r="CC186" s="510">
        <v>2.0628055003491435</v>
      </c>
      <c r="CD186" s="582">
        <v>0</v>
      </c>
      <c r="CE186" s="582">
        <v>0</v>
      </c>
      <c r="CF186" s="514">
        <v>812.78786564204233</v>
      </c>
      <c r="CG186" s="514">
        <v>965.19180050491434</v>
      </c>
      <c r="CH186" s="582">
        <v>0</v>
      </c>
      <c r="CI186" s="582">
        <v>0</v>
      </c>
      <c r="CJ186" s="514">
        <v>83.663857213683684</v>
      </c>
      <c r="CK186" s="514">
        <v>18.57173551055487</v>
      </c>
    </row>
    <row r="187" spans="1:89" ht="12.75" customHeight="1">
      <c r="A187" s="560">
        <v>45857</v>
      </c>
      <c r="B187" s="512">
        <v>0.90712458255772299</v>
      </c>
      <c r="C187" s="513">
        <v>0.83426697155667517</v>
      </c>
      <c r="D187" s="513">
        <v>0.90712458255772299</v>
      </c>
      <c r="E187" s="513">
        <v>0.83600567502584422</v>
      </c>
      <c r="F187" s="510">
        <v>50.598999999999997</v>
      </c>
      <c r="G187" s="510">
        <v>1076.0000000000002</v>
      </c>
      <c r="H187" s="510">
        <v>2.4430719974703061</v>
      </c>
      <c r="I187" s="510">
        <v>2.3859814126394054</v>
      </c>
      <c r="J187" s="510">
        <v>1155.8552540564142</v>
      </c>
      <c r="K187" s="511">
        <v>986.54845724906863</v>
      </c>
      <c r="L187" s="512">
        <v>0.96537690120832464</v>
      </c>
      <c r="M187" s="513">
        <v>0.88294615922814479</v>
      </c>
      <c r="N187" s="513">
        <v>0.96537690120832464</v>
      </c>
      <c r="O187" s="513">
        <v>0.92325800920056234</v>
      </c>
      <c r="P187" s="510">
        <v>80.010999999999996</v>
      </c>
      <c r="Q187" s="510">
        <v>1193.231</v>
      </c>
      <c r="R187" s="510">
        <v>2.4269662921348316</v>
      </c>
      <c r="S187" s="510">
        <v>2.5081966526179764</v>
      </c>
      <c r="T187" s="510">
        <v>0.21247078526702579</v>
      </c>
      <c r="U187" s="510">
        <v>0.20775524605042947</v>
      </c>
      <c r="V187" s="510">
        <v>431.83162315179777</v>
      </c>
      <c r="W187" s="510">
        <v>582.10297084135425</v>
      </c>
      <c r="X187" s="510">
        <v>558.5232030595804</v>
      </c>
      <c r="Y187" s="569">
        <v>550.63520810304146</v>
      </c>
      <c r="Z187" s="512">
        <v>0.9657710375063332</v>
      </c>
      <c r="AA187" s="1026">
        <v>0.88051674921497836</v>
      </c>
      <c r="AB187" s="513">
        <v>0.9657710375063332</v>
      </c>
      <c r="AC187" s="513">
        <v>0.88294027926115459</v>
      </c>
      <c r="AD187" s="510">
        <v>46.088000000000001</v>
      </c>
      <c r="AE187" s="510">
        <v>761.29699999999991</v>
      </c>
      <c r="AF187" s="510">
        <v>93.657329832932518</v>
      </c>
      <c r="AG187" s="510">
        <v>101.11481158172097</v>
      </c>
      <c r="AH187" s="510">
        <v>1.3908175663947231</v>
      </c>
      <c r="AI187" s="510">
        <v>1.5114994542208888</v>
      </c>
      <c r="AJ187" s="510">
        <v>861.07273042876091</v>
      </c>
      <c r="AK187" s="510">
        <v>901.12812739312051</v>
      </c>
      <c r="AL187" s="576">
        <v>0</v>
      </c>
      <c r="AM187" s="577">
        <v>0</v>
      </c>
      <c r="AN187" s="512">
        <v>0.94195814866442595</v>
      </c>
      <c r="AO187" s="1026">
        <v>0.82091411846126028</v>
      </c>
      <c r="AP187" s="513">
        <v>0.94195814866442595</v>
      </c>
      <c r="AQ187" s="513">
        <v>0.84008660174186944</v>
      </c>
      <c r="AR187" s="510">
        <v>49.948</v>
      </c>
      <c r="AS187" s="510">
        <v>777.00500000000011</v>
      </c>
      <c r="AT187" s="514">
        <v>97.033505907809541</v>
      </c>
      <c r="AU187" s="514">
        <v>105.24451727216417</v>
      </c>
      <c r="AV187" s="510">
        <v>1.4915512132617923</v>
      </c>
      <c r="AW187" s="510">
        <v>1.6445196620356368</v>
      </c>
      <c r="AX187" s="510">
        <v>0</v>
      </c>
      <c r="AY187" s="510">
        <v>1.6730909067509216E-2</v>
      </c>
      <c r="AZ187" s="510">
        <v>888.82677985104442</v>
      </c>
      <c r="BA187" s="510">
        <v>1013.1802755452022</v>
      </c>
      <c r="BB187" s="510">
        <v>0</v>
      </c>
      <c r="BC187" s="510">
        <v>54.452674049716656</v>
      </c>
      <c r="BD187" s="510">
        <v>0</v>
      </c>
      <c r="BE187" s="510">
        <v>30.694783173853445</v>
      </c>
      <c r="BF187" s="512">
        <v>0.89437675250688309</v>
      </c>
      <c r="BG187" s="513">
        <v>0.84328528938207337</v>
      </c>
      <c r="BH187" s="513">
        <v>0.89437675250688309</v>
      </c>
      <c r="BI187" s="513">
        <v>0.84737938679473268</v>
      </c>
      <c r="BJ187" s="510">
        <v>51.21</v>
      </c>
      <c r="BK187" s="510">
        <v>852.0150000000001</v>
      </c>
      <c r="BL187" s="510">
        <v>2.5405194297988674</v>
      </c>
      <c r="BM187" s="510">
        <v>2.8364524098754131</v>
      </c>
      <c r="BN187" s="514">
        <v>0</v>
      </c>
      <c r="BO187" s="514">
        <v>0</v>
      </c>
      <c r="BP187" s="514">
        <v>769.36818980666624</v>
      </c>
      <c r="BQ187" s="514">
        <v>958.45539691202487</v>
      </c>
      <c r="BR187" s="514">
        <v>0</v>
      </c>
      <c r="BS187" s="515">
        <v>0</v>
      </c>
      <c r="BT187" s="512">
        <v>0.85784111821427333</v>
      </c>
      <c r="BU187" s="1026">
        <v>0.86720514971000517</v>
      </c>
      <c r="BV187" s="513">
        <v>0.85784111821427333</v>
      </c>
      <c r="BW187" s="513">
        <v>0.87515587624924185</v>
      </c>
      <c r="BX187" s="510">
        <v>40.988</v>
      </c>
      <c r="BY187" s="510">
        <v>785.66799999999989</v>
      </c>
      <c r="BZ187" s="514">
        <v>92.439041416427628</v>
      </c>
      <c r="CA187" s="514">
        <v>86.767032823295168</v>
      </c>
      <c r="CB187" s="510">
        <v>2.1250121986923003</v>
      </c>
      <c r="CC187" s="510">
        <v>2.0660508000834961</v>
      </c>
      <c r="CD187" s="582">
        <v>0</v>
      </c>
      <c r="CE187" s="582">
        <v>0</v>
      </c>
      <c r="CF187" s="514">
        <v>997.51158875768499</v>
      </c>
      <c r="CG187" s="514">
        <v>966.87791153515207</v>
      </c>
      <c r="CH187" s="582">
        <v>0</v>
      </c>
      <c r="CI187" s="582">
        <v>0</v>
      </c>
      <c r="CJ187" s="514">
        <v>94.905826095442563</v>
      </c>
      <c r="CK187" s="514">
        <v>22.554055911657343</v>
      </c>
    </row>
    <row r="188" spans="1:89" ht="12.75" customHeight="1">
      <c r="A188" s="560">
        <v>45858</v>
      </c>
      <c r="B188" s="512">
        <v>0.80139310798957797</v>
      </c>
      <c r="C188" s="513">
        <v>0.83289346439263168</v>
      </c>
      <c r="D188" s="513">
        <v>0.80139310798957797</v>
      </c>
      <c r="E188" s="513">
        <v>0.83455663510451195</v>
      </c>
      <c r="F188" s="510">
        <v>45.067999999999998</v>
      </c>
      <c r="G188" s="510">
        <v>1121.0680000000002</v>
      </c>
      <c r="H188" s="510">
        <v>2.6826351291381911</v>
      </c>
      <c r="I188" s="510">
        <v>2.3979071742302875</v>
      </c>
      <c r="J188" s="510">
        <v>1261.4542469157518</v>
      </c>
      <c r="K188" s="511">
        <v>997.59993149389402</v>
      </c>
      <c r="L188" s="512">
        <v>0.59696221251314896</v>
      </c>
      <c r="M188" s="513">
        <v>0.86911079892692766</v>
      </c>
      <c r="N188" s="513">
        <v>0.59696221251314896</v>
      </c>
      <c r="O188" s="513">
        <v>0.90678810899273787</v>
      </c>
      <c r="P188" s="510">
        <v>41.012999999999998</v>
      </c>
      <c r="Q188" s="510">
        <v>1234.2439999999999</v>
      </c>
      <c r="R188" s="510">
        <v>2.2799843951917684</v>
      </c>
      <c r="S188" s="510">
        <v>2.5006133309134992</v>
      </c>
      <c r="T188" s="510">
        <v>0.30478141077219417</v>
      </c>
      <c r="U188" s="510">
        <v>0.21097935254293315</v>
      </c>
      <c r="V188" s="510">
        <v>457.43374052131793</v>
      </c>
      <c r="W188" s="510">
        <v>577.96030606590011</v>
      </c>
      <c r="X188" s="510">
        <v>757.73535220539168</v>
      </c>
      <c r="Y188" s="569">
        <v>557.51699015753775</v>
      </c>
      <c r="Z188" s="512">
        <v>1.0140633183244934</v>
      </c>
      <c r="AA188" s="1026">
        <v>0.88695769626102816</v>
      </c>
      <c r="AB188" s="513">
        <v>1.0140633183244934</v>
      </c>
      <c r="AC188" s="513">
        <v>0.88928090413338734</v>
      </c>
      <c r="AD188" s="510">
        <v>44.429000000000002</v>
      </c>
      <c r="AE188" s="510">
        <v>805.72599999999989</v>
      </c>
      <c r="AF188" s="510">
        <v>94.766775861772445</v>
      </c>
      <c r="AG188" s="510">
        <v>100.76477089915446</v>
      </c>
      <c r="AH188" s="510">
        <v>1.361723198811587</v>
      </c>
      <c r="AI188" s="510">
        <v>1.5032405557224169</v>
      </c>
      <c r="AJ188" s="510">
        <v>811.43442346215306</v>
      </c>
      <c r="AK188" s="510">
        <v>896.1822753640821</v>
      </c>
      <c r="AL188" s="576">
        <v>0</v>
      </c>
      <c r="AM188" s="577">
        <v>0</v>
      </c>
      <c r="AN188" s="512">
        <v>0.93654567992360171</v>
      </c>
      <c r="AO188" s="1026">
        <v>0.82704840044616246</v>
      </c>
      <c r="AP188" s="513">
        <v>0.93654567992360171</v>
      </c>
      <c r="AQ188" s="513">
        <v>0.84531681060985331</v>
      </c>
      <c r="AR188" s="510">
        <v>49.661000000000001</v>
      </c>
      <c r="AS188" s="510">
        <v>826.66600000000017</v>
      </c>
      <c r="AT188" s="514">
        <v>99.870137773058119</v>
      </c>
      <c r="AU188" s="514">
        <v>104.92165766465024</v>
      </c>
      <c r="AV188" s="510">
        <v>1.4840619399528805</v>
      </c>
      <c r="AW188" s="510">
        <v>1.6348803507099603</v>
      </c>
      <c r="AX188" s="510">
        <v>0</v>
      </c>
      <c r="AY188" s="510">
        <v>1.5725819133725106E-2</v>
      </c>
      <c r="AZ188" s="510">
        <v>925.29791989690057</v>
      </c>
      <c r="BA188" s="510">
        <v>1007.9008450813265</v>
      </c>
      <c r="BB188" s="510">
        <v>0</v>
      </c>
      <c r="BC188" s="510">
        <v>51.181492888300824</v>
      </c>
      <c r="BD188" s="510">
        <v>0</v>
      </c>
      <c r="BE188" s="510">
        <v>28.850829718411056</v>
      </c>
      <c r="BF188" s="512">
        <v>0.91879432850705778</v>
      </c>
      <c r="BG188" s="513">
        <v>0.84731368366310944</v>
      </c>
      <c r="BH188" s="513">
        <v>0.91879432850705778</v>
      </c>
      <c r="BI188" s="513">
        <v>0.85120686751530839</v>
      </c>
      <c r="BJ188" s="510">
        <v>52.316000000000003</v>
      </c>
      <c r="BK188" s="510">
        <v>904.33100000000013</v>
      </c>
      <c r="BL188" s="510">
        <v>2.5001911461120883</v>
      </c>
      <c r="BM188" s="510">
        <v>2.8169995278277535</v>
      </c>
      <c r="BN188" s="514">
        <v>0</v>
      </c>
      <c r="BO188" s="514">
        <v>0</v>
      </c>
      <c r="BP188" s="514">
        <v>684.38584754187048</v>
      </c>
      <c r="BQ188" s="514">
        <v>942.60033660241595</v>
      </c>
      <c r="BR188" s="514">
        <v>0</v>
      </c>
      <c r="BS188" s="515">
        <v>0</v>
      </c>
      <c r="BT188" s="512">
        <v>0.98357573665069853</v>
      </c>
      <c r="BU188" s="1026">
        <v>0.87302617213099221</v>
      </c>
      <c r="BV188" s="513">
        <v>0.98357573665069853</v>
      </c>
      <c r="BW188" s="513">
        <v>0.88062640533081882</v>
      </c>
      <c r="BX188" s="510">
        <v>46.920999999999999</v>
      </c>
      <c r="BY188" s="510">
        <v>832.58899999999994</v>
      </c>
      <c r="BZ188" s="514">
        <v>82.030562078589</v>
      </c>
      <c r="CA188" s="514">
        <v>86.500106472103454</v>
      </c>
      <c r="CB188" s="510">
        <v>1.8584429146863879</v>
      </c>
      <c r="CC188" s="510">
        <v>2.0543509462652043</v>
      </c>
      <c r="CD188" s="582">
        <v>0</v>
      </c>
      <c r="CE188" s="582">
        <v>0</v>
      </c>
      <c r="CF188" s="514">
        <v>863.88461456490211</v>
      </c>
      <c r="CG188" s="514">
        <v>961.07366900115107</v>
      </c>
      <c r="CH188" s="582">
        <v>0</v>
      </c>
      <c r="CI188" s="582">
        <v>0</v>
      </c>
      <c r="CJ188" s="514">
        <v>57.969778990217605</v>
      </c>
      <c r="CK188" s="514">
        <v>24.549927995685746</v>
      </c>
    </row>
    <row r="189" spans="1:89" ht="12.75" customHeight="1">
      <c r="A189" s="560">
        <v>45859</v>
      </c>
      <c r="B189" s="512">
        <v>0.78503305720966243</v>
      </c>
      <c r="C189" s="513">
        <v>0.83097641888999407</v>
      </c>
      <c r="D189" s="513">
        <v>0.78503305720966243</v>
      </c>
      <c r="E189" s="513">
        <v>0.8325691692760816</v>
      </c>
      <c r="F189" s="510">
        <v>44.09</v>
      </c>
      <c r="G189" s="510">
        <v>1165.1580000000001</v>
      </c>
      <c r="H189" s="510">
        <v>2.7278294397822633</v>
      </c>
      <c r="I189" s="510">
        <v>2.4103915520470185</v>
      </c>
      <c r="J189" s="510">
        <v>1288.9652982535788</v>
      </c>
      <c r="K189" s="511">
        <v>1008.6253023195113</v>
      </c>
      <c r="L189" s="512">
        <v>0.93240491528880731</v>
      </c>
      <c r="M189" s="513">
        <v>0.87157574731723997</v>
      </c>
      <c r="N189" s="513">
        <v>0.93909338368829864</v>
      </c>
      <c r="O189" s="513">
        <v>0.90808958827960007</v>
      </c>
      <c r="P189" s="510">
        <v>53.656999999999996</v>
      </c>
      <c r="Q189" s="510">
        <v>1287.9009999999998</v>
      </c>
      <c r="R189" s="510">
        <v>3.099204204484038</v>
      </c>
      <c r="S189" s="510">
        <v>2.5255520416553763</v>
      </c>
      <c r="T189" s="510">
        <v>0.24600704474719048</v>
      </c>
      <c r="U189" s="510">
        <v>0.21243868899861093</v>
      </c>
      <c r="V189" s="510">
        <v>763.55592001042385</v>
      </c>
      <c r="W189" s="510">
        <v>585.69265805368593</v>
      </c>
      <c r="X189" s="510">
        <v>421.51070689751566</v>
      </c>
      <c r="Y189" s="569">
        <v>551.85064690531351</v>
      </c>
      <c r="Z189" s="512">
        <v>0.91235652710721393</v>
      </c>
      <c r="AA189" s="1026">
        <v>0.88807273655535601</v>
      </c>
      <c r="AB189" s="513">
        <v>0.91235652710721393</v>
      </c>
      <c r="AC189" s="513">
        <v>0.89029648940483619</v>
      </c>
      <c r="AD189" s="510">
        <v>38.055999999999997</v>
      </c>
      <c r="AE189" s="510">
        <v>843.78199999999993</v>
      </c>
      <c r="AF189" s="510">
        <v>104.02659833940206</v>
      </c>
      <c r="AG189" s="510">
        <v>100.91188485165173</v>
      </c>
      <c r="AH189" s="510">
        <v>1.5713685095648517</v>
      </c>
      <c r="AI189" s="510">
        <v>1.5063132420459311</v>
      </c>
      <c r="AJ189" s="510">
        <v>1011.9424006726833</v>
      </c>
      <c r="AK189" s="510">
        <v>901.40325344698044</v>
      </c>
      <c r="AL189" s="576">
        <v>0</v>
      </c>
      <c r="AM189" s="577">
        <v>0</v>
      </c>
      <c r="AN189" s="512">
        <v>1.0031170560144493</v>
      </c>
      <c r="AO189" s="1026">
        <v>0.83608475771403568</v>
      </c>
      <c r="AP189" s="513">
        <v>1.0031170560144493</v>
      </c>
      <c r="AQ189" s="513">
        <v>0.85358509750687228</v>
      </c>
      <c r="AR189" s="510">
        <v>54.243000000000002</v>
      </c>
      <c r="AS189" s="510">
        <v>880.90900000000022</v>
      </c>
      <c r="AT189" s="514">
        <v>102.23769727643041</v>
      </c>
      <c r="AU189" s="514">
        <v>104.75638967063701</v>
      </c>
      <c r="AV189" s="510">
        <v>1.3365779916302565</v>
      </c>
      <c r="AW189" s="510">
        <v>1.6165120347277639</v>
      </c>
      <c r="AX189" s="510">
        <v>0</v>
      </c>
      <c r="AY189" s="510">
        <v>1.4757483463104584E-2</v>
      </c>
      <c r="AZ189" s="510">
        <v>826.29058127316034</v>
      </c>
      <c r="BA189" s="510">
        <v>996.71798108544681</v>
      </c>
      <c r="BB189" s="510">
        <v>483.01163283741266</v>
      </c>
      <c r="BC189" s="510">
        <v>77.771937850561017</v>
      </c>
      <c r="BD189" s="510">
        <v>0</v>
      </c>
      <c r="BE189" s="510">
        <v>27.074306199618796</v>
      </c>
      <c r="BF189" s="512">
        <v>1.0596511381092408</v>
      </c>
      <c r="BG189" s="513">
        <v>0.8576724921876937</v>
      </c>
      <c r="BH189" s="513">
        <v>1.0596511381092408</v>
      </c>
      <c r="BI189" s="513">
        <v>0.86142018242146101</v>
      </c>
      <c r="BJ189" s="510">
        <v>58.003</v>
      </c>
      <c r="BK189" s="510">
        <v>962.33400000000017</v>
      </c>
      <c r="BL189" s="510">
        <v>2.2947088943675324</v>
      </c>
      <c r="BM189" s="510">
        <v>2.7855193726918097</v>
      </c>
      <c r="BN189" s="514">
        <v>0</v>
      </c>
      <c r="BO189" s="514">
        <v>0</v>
      </c>
      <c r="BP189" s="514">
        <v>743.91074599589217</v>
      </c>
      <c r="BQ189" s="514">
        <v>930.62466877404211</v>
      </c>
      <c r="BR189" s="514">
        <v>0</v>
      </c>
      <c r="BS189" s="515">
        <v>0</v>
      </c>
      <c r="BT189" s="512">
        <v>0.9743985438429883</v>
      </c>
      <c r="BU189" s="1026">
        <v>0.87775871260988891</v>
      </c>
      <c r="BV189" s="513">
        <v>0.9743985438429883</v>
      </c>
      <c r="BW189" s="513">
        <v>0.88504044793399583</v>
      </c>
      <c r="BX189" s="510">
        <v>45.506999999999998</v>
      </c>
      <c r="BY189" s="510">
        <v>878.09599999999989</v>
      </c>
      <c r="BZ189" s="514">
        <v>82.898990490041086</v>
      </c>
      <c r="CA189" s="514">
        <v>86.313479969994674</v>
      </c>
      <c r="CB189" s="510">
        <v>1.9161887182191752</v>
      </c>
      <c r="CC189" s="510">
        <v>2.047190739964651</v>
      </c>
      <c r="CD189" s="582">
        <v>0</v>
      </c>
      <c r="CE189" s="582">
        <v>0</v>
      </c>
      <c r="CF189" s="514">
        <v>960.78394532707955</v>
      </c>
      <c r="CG189" s="514">
        <v>961.05865417904079</v>
      </c>
      <c r="CH189" s="582">
        <v>0</v>
      </c>
      <c r="CI189" s="582">
        <v>0</v>
      </c>
      <c r="CJ189" s="514">
        <v>0</v>
      </c>
      <c r="CK189" s="514">
        <v>23.277637069295388</v>
      </c>
    </row>
    <row r="190" spans="1:89" ht="12.75" customHeight="1">
      <c r="A190" s="560">
        <v>45860</v>
      </c>
      <c r="B190" s="512">
        <v>0.82502237366406905</v>
      </c>
      <c r="C190" s="513">
        <v>0.83074073135838422</v>
      </c>
      <c r="D190" s="513">
        <v>0.82502237366406905</v>
      </c>
      <c r="E190" s="513">
        <v>0.83226988373065591</v>
      </c>
      <c r="F190" s="510">
        <v>47.679000000000002</v>
      </c>
      <c r="G190" s="510">
        <v>1212.8370000000002</v>
      </c>
      <c r="H190" s="510">
        <v>2.6103106189307659</v>
      </c>
      <c r="I190" s="510">
        <v>2.4182507624684932</v>
      </c>
      <c r="J190" s="510">
        <v>1203.5692862685905</v>
      </c>
      <c r="K190" s="511">
        <v>1016.2889324781461</v>
      </c>
      <c r="L190" s="512">
        <v>0.81731945386552518</v>
      </c>
      <c r="M190" s="513">
        <v>0.86976119335548607</v>
      </c>
      <c r="N190" s="513">
        <v>0.81731945386552518</v>
      </c>
      <c r="O190" s="513">
        <v>0.90493110751690287</v>
      </c>
      <c r="P190" s="510">
        <v>41.789000000000001</v>
      </c>
      <c r="Q190" s="510">
        <v>1329.6899999999998</v>
      </c>
      <c r="R190" s="510">
        <v>3.3820144057048509</v>
      </c>
      <c r="S190" s="510">
        <v>2.552468620505532</v>
      </c>
      <c r="T190" s="510">
        <v>0.24408337122209192</v>
      </c>
      <c r="U190" s="510">
        <v>0.21343320623603998</v>
      </c>
      <c r="V190" s="510">
        <v>968.03393237457362</v>
      </c>
      <c r="W190" s="510">
        <v>597.70873662282281</v>
      </c>
      <c r="X190" s="510">
        <v>443.58563258273711</v>
      </c>
      <c r="Y190" s="569">
        <v>548.44813452759672</v>
      </c>
      <c r="Z190" s="512">
        <v>0.86093664954417926</v>
      </c>
      <c r="AA190" s="1026">
        <v>0.88677022423853946</v>
      </c>
      <c r="AB190" s="513">
        <v>0.86093664954417926</v>
      </c>
      <c r="AC190" s="513">
        <v>0.88888387956818404</v>
      </c>
      <c r="AD190" s="510">
        <v>41.243000000000002</v>
      </c>
      <c r="AE190" s="510">
        <v>885.02499999999998</v>
      </c>
      <c r="AF190" s="510">
        <v>99.979440338703853</v>
      </c>
      <c r="AG190" s="510">
        <v>100.86843205760918</v>
      </c>
      <c r="AH190" s="510">
        <v>1.5105593676502678</v>
      </c>
      <c r="AI190" s="510">
        <v>1.5065111155052116</v>
      </c>
      <c r="AJ190" s="510">
        <v>873.48107557645267</v>
      </c>
      <c r="AK190" s="510">
        <v>900.10205361430417</v>
      </c>
      <c r="AL190" s="576">
        <v>0</v>
      </c>
      <c r="AM190" s="577">
        <v>0</v>
      </c>
      <c r="AN190" s="512">
        <v>0.95281367535189587</v>
      </c>
      <c r="AO190" s="1026">
        <v>0.84178233923030954</v>
      </c>
      <c r="AP190" s="513">
        <v>0.95281367535189587</v>
      </c>
      <c r="AQ190" s="513">
        <v>0.85852481255939483</v>
      </c>
      <c r="AR190" s="510">
        <v>51.515000000000001</v>
      </c>
      <c r="AS190" s="510">
        <v>932.42400000000021</v>
      </c>
      <c r="AT190" s="514">
        <v>108.60535214692658</v>
      </c>
      <c r="AU190" s="514">
        <v>104.96903896105215</v>
      </c>
      <c r="AV190" s="510">
        <v>1.4073570804620013</v>
      </c>
      <c r="AW190" s="510">
        <v>1.6049565433751167</v>
      </c>
      <c r="AX190" s="510">
        <v>0.26400077647287196</v>
      </c>
      <c r="AY190" s="510">
        <v>2.8527794222370933E-2</v>
      </c>
      <c r="AZ190" s="510">
        <v>840.4344365718714</v>
      </c>
      <c r="BA190" s="510">
        <v>988.08355426286732</v>
      </c>
      <c r="BB190" s="510">
        <v>716.29622440067328</v>
      </c>
      <c r="BC190" s="510">
        <v>113.04942815714796</v>
      </c>
      <c r="BD190" s="510">
        <v>0</v>
      </c>
      <c r="BE190" s="510">
        <v>25.578492188103262</v>
      </c>
      <c r="BF190" s="512">
        <v>0.97631760935673451</v>
      </c>
      <c r="BG190" s="513">
        <v>0.86346845668746808</v>
      </c>
      <c r="BH190" s="513">
        <v>0.97631760935673451</v>
      </c>
      <c r="BI190" s="513">
        <v>0.86705639048148964</v>
      </c>
      <c r="BJ190" s="510">
        <v>56.262999999999998</v>
      </c>
      <c r="BK190" s="510">
        <v>1018.5970000000002</v>
      </c>
      <c r="BL190" s="510">
        <v>2.5629632262765938</v>
      </c>
      <c r="BM190" s="510">
        <v>2.7732263103072161</v>
      </c>
      <c r="BN190" s="514">
        <v>0</v>
      </c>
      <c r="BO190" s="514">
        <v>0</v>
      </c>
      <c r="BP190" s="514">
        <v>881.4402004870052</v>
      </c>
      <c r="BQ190" s="514">
        <v>927.90792629469684</v>
      </c>
      <c r="BR190" s="514">
        <v>0</v>
      </c>
      <c r="BS190" s="515">
        <v>0</v>
      </c>
      <c r="BT190" s="512">
        <v>0.90299856236796894</v>
      </c>
      <c r="BU190" s="1026">
        <v>0.87893896632447122</v>
      </c>
      <c r="BV190" s="513">
        <v>0.90299856236796894</v>
      </c>
      <c r="BW190" s="513">
        <v>0.88588683471954788</v>
      </c>
      <c r="BX190" s="510">
        <v>44.314</v>
      </c>
      <c r="BY190" s="510">
        <v>922.40999999999985</v>
      </c>
      <c r="BZ190" s="514">
        <v>84.166250536216836</v>
      </c>
      <c r="CA190" s="514">
        <v>86.210323754072874</v>
      </c>
      <c r="CB190" s="510">
        <v>2.0309608701539017</v>
      </c>
      <c r="CC190" s="510">
        <v>2.046411031970599</v>
      </c>
      <c r="CD190" s="582">
        <v>0</v>
      </c>
      <c r="CE190" s="582">
        <v>0</v>
      </c>
      <c r="CF190" s="514">
        <v>1036.0714446901623</v>
      </c>
      <c r="CG190" s="514">
        <v>964.66238440606548</v>
      </c>
      <c r="CH190" s="582">
        <v>0</v>
      </c>
      <c r="CI190" s="582">
        <v>0</v>
      </c>
      <c r="CJ190" s="514">
        <v>0</v>
      </c>
      <c r="CK190" s="514">
        <v>22.159343458982452</v>
      </c>
    </row>
    <row r="191" spans="1:89" ht="12.75" customHeight="1">
      <c r="A191" s="560">
        <v>45861</v>
      </c>
      <c r="B191" s="512">
        <v>0.73249572733576862</v>
      </c>
      <c r="C191" s="513">
        <v>0.82694918401814799</v>
      </c>
      <c r="D191" s="513">
        <v>0.73249572733576862</v>
      </c>
      <c r="E191" s="513">
        <v>0.82841250841212177</v>
      </c>
      <c r="F191" s="510">
        <v>42.927999999999997</v>
      </c>
      <c r="G191" s="510">
        <v>1255.7650000000003</v>
      </c>
      <c r="H191" s="510">
        <v>2.9982994781960488</v>
      </c>
      <c r="I191" s="510">
        <v>2.4380795769909174</v>
      </c>
      <c r="J191" s="510">
        <v>1360.7309914275133</v>
      </c>
      <c r="K191" s="511">
        <v>1028.0635947012358</v>
      </c>
      <c r="L191" s="512">
        <v>0.76869638450581879</v>
      </c>
      <c r="M191" s="513">
        <v>0.86649916496758961</v>
      </c>
      <c r="N191" s="513">
        <v>0.76869638450581879</v>
      </c>
      <c r="O191" s="513">
        <v>0.9003620709559409</v>
      </c>
      <c r="P191" s="510">
        <v>39.195999999999998</v>
      </c>
      <c r="Q191" s="510">
        <v>1368.8859999999997</v>
      </c>
      <c r="R191" s="510">
        <v>3.8813144198387586</v>
      </c>
      <c r="S191" s="510">
        <v>2.5905181293402091</v>
      </c>
      <c r="T191" s="510">
        <v>0.28319216246555773</v>
      </c>
      <c r="U191" s="510">
        <v>0.21543064944779919</v>
      </c>
      <c r="V191" s="510">
        <v>985.89881620575181</v>
      </c>
      <c r="W191" s="510">
        <v>608.82397803761739</v>
      </c>
      <c r="X191" s="510">
        <v>460.91437901826714</v>
      </c>
      <c r="Y191" s="569">
        <v>545.94173656535327</v>
      </c>
      <c r="Z191" s="512">
        <v>0.54686543507681717</v>
      </c>
      <c r="AA191" s="1026">
        <v>0.87106313389311762</v>
      </c>
      <c r="AB191" s="513">
        <v>0.54686543507681717</v>
      </c>
      <c r="AC191" s="513">
        <v>0.87304319007112874</v>
      </c>
      <c r="AD191" s="510">
        <v>26.443000000000001</v>
      </c>
      <c r="AE191" s="510">
        <v>911.46799999999996</v>
      </c>
      <c r="AF191" s="510">
        <v>79.898872531195934</v>
      </c>
      <c r="AG191" s="510">
        <v>100.26007492103726</v>
      </c>
      <c r="AH191" s="510">
        <v>1.3538554626933401</v>
      </c>
      <c r="AI191" s="510">
        <v>1.502082355057994</v>
      </c>
      <c r="AJ191" s="510">
        <v>843.83239420643372</v>
      </c>
      <c r="AK191" s="510">
        <v>898.46958971680885</v>
      </c>
      <c r="AL191" s="576">
        <v>0</v>
      </c>
      <c r="AM191" s="577">
        <v>0</v>
      </c>
      <c r="AN191" s="512">
        <v>0.96832653888341624</v>
      </c>
      <c r="AO191" s="1026">
        <v>0.84773311571964227</v>
      </c>
      <c r="AP191" s="513">
        <v>0.96832653888341624</v>
      </c>
      <c r="AQ191" s="513">
        <v>0.86378604632621725</v>
      </c>
      <c r="AR191" s="510">
        <v>52.927999999999997</v>
      </c>
      <c r="AS191" s="510">
        <v>985.3520000000002</v>
      </c>
      <c r="AT191" s="514">
        <v>104.16349519193371</v>
      </c>
      <c r="AU191" s="514">
        <v>104.92576932683828</v>
      </c>
      <c r="AV191" s="510">
        <v>1.3660066505441355</v>
      </c>
      <c r="AW191" s="510">
        <v>1.5921213941819774</v>
      </c>
      <c r="AX191" s="510">
        <v>0.19271463119709795</v>
      </c>
      <c r="AY191" s="510">
        <v>3.7347059730938784E-2</v>
      </c>
      <c r="AZ191" s="510">
        <v>837.24040205562358</v>
      </c>
      <c r="BA191" s="510">
        <v>979.98104230772344</v>
      </c>
      <c r="BB191" s="510">
        <v>561.32859733977625</v>
      </c>
      <c r="BC191" s="510">
        <v>137.12866062077327</v>
      </c>
      <c r="BD191" s="510">
        <v>0</v>
      </c>
      <c r="BE191" s="510">
        <v>24.20454822236114</v>
      </c>
      <c r="BF191" s="512">
        <v>0.82943117486692142</v>
      </c>
      <c r="BG191" s="513">
        <v>0.86198287095494353</v>
      </c>
      <c r="BH191" s="513">
        <v>0.82943117486692142</v>
      </c>
      <c r="BI191" s="513">
        <v>0.86540768167862869</v>
      </c>
      <c r="BJ191" s="510">
        <v>44.654000000000003</v>
      </c>
      <c r="BK191" s="510">
        <v>1063.2510000000002</v>
      </c>
      <c r="BL191" s="510">
        <v>3.0657947776235051</v>
      </c>
      <c r="BM191" s="510">
        <v>2.7855134864674471</v>
      </c>
      <c r="BN191" s="514">
        <v>0</v>
      </c>
      <c r="BO191" s="514">
        <v>0</v>
      </c>
      <c r="BP191" s="514">
        <v>1016.4118556008382</v>
      </c>
      <c r="BQ191" s="514">
        <v>931.62487973206623</v>
      </c>
      <c r="BR191" s="514">
        <v>0</v>
      </c>
      <c r="BS191" s="515">
        <v>0</v>
      </c>
      <c r="BT191" s="512">
        <v>0.90309485779785093</v>
      </c>
      <c r="BU191" s="1026">
        <v>0.88001828761718581</v>
      </c>
      <c r="BV191" s="513">
        <v>0.90309485779785093</v>
      </c>
      <c r="BW191" s="513">
        <v>0.88666151913322977</v>
      </c>
      <c r="BX191" s="510">
        <v>44.328000000000003</v>
      </c>
      <c r="BY191" s="510">
        <v>966.73799999999983</v>
      </c>
      <c r="BZ191" s="514">
        <v>81.710626243884647</v>
      </c>
      <c r="CA191" s="514">
        <v>86.003998367844531</v>
      </c>
      <c r="CB191" s="510">
        <v>2.0077603320700232</v>
      </c>
      <c r="CC191" s="510">
        <v>2.0446387749317814</v>
      </c>
      <c r="CD191" s="582">
        <v>0</v>
      </c>
      <c r="CE191" s="582">
        <v>0</v>
      </c>
      <c r="CF191" s="514">
        <v>911.24154033570721</v>
      </c>
      <c r="CG191" s="514">
        <v>962.21286946411544</v>
      </c>
      <c r="CH191" s="582">
        <v>0</v>
      </c>
      <c r="CI191" s="582">
        <v>0</v>
      </c>
      <c r="CJ191" s="514">
        <v>0</v>
      </c>
      <c r="CK191" s="514">
        <v>21.143267358891453</v>
      </c>
    </row>
    <row r="192" spans="1:89" ht="12.75" customHeight="1">
      <c r="A192" s="560">
        <v>45862</v>
      </c>
      <c r="B192" s="512">
        <v>0.93638366459845312</v>
      </c>
      <c r="C192" s="513">
        <v>0.83105571985926641</v>
      </c>
      <c r="D192" s="513">
        <v>0.93638366459845312</v>
      </c>
      <c r="E192" s="513">
        <v>0.8324710329517131</v>
      </c>
      <c r="F192" s="510">
        <v>55.439</v>
      </c>
      <c r="G192" s="510">
        <v>1311.2040000000004</v>
      </c>
      <c r="H192" s="510">
        <v>2.3249156730821263</v>
      </c>
      <c r="I192" s="510">
        <v>2.433294895378598</v>
      </c>
      <c r="J192" s="510">
        <v>1036.5572972095949</v>
      </c>
      <c r="K192" s="511">
        <v>1028.4227168312484</v>
      </c>
      <c r="L192" s="512">
        <v>0.80971975997680934</v>
      </c>
      <c r="M192" s="513">
        <v>0.86472072992320692</v>
      </c>
      <c r="N192" s="513">
        <v>0.80971975997680934</v>
      </c>
      <c r="O192" s="513">
        <v>0.89741564246769656</v>
      </c>
      <c r="P192" s="510">
        <v>41.362000000000002</v>
      </c>
      <c r="Q192" s="510">
        <v>1410.2479999999998</v>
      </c>
      <c r="R192" s="510">
        <v>3.3839514530245154</v>
      </c>
      <c r="S192" s="510">
        <v>2.6137892058701739</v>
      </c>
      <c r="T192" s="510">
        <v>0.22726173782699097</v>
      </c>
      <c r="U192" s="510">
        <v>0.21577765045580635</v>
      </c>
      <c r="V192" s="510">
        <v>893.1591799235681</v>
      </c>
      <c r="W192" s="510">
        <v>617.16341381090456</v>
      </c>
      <c r="X192" s="510">
        <v>423.64972680237901</v>
      </c>
      <c r="Y192" s="569">
        <v>542.35496168049883</v>
      </c>
      <c r="Z192" s="512">
        <v>0.7652765782847083</v>
      </c>
      <c r="AA192" s="1026">
        <v>0.86639062692126068</v>
      </c>
      <c r="AB192" s="513">
        <v>0.7652765782847083</v>
      </c>
      <c r="AC192" s="513">
        <v>0.86827288445832418</v>
      </c>
      <c r="AD192" s="510">
        <v>37.003999999999998</v>
      </c>
      <c r="AE192" s="510">
        <v>948.47199999999998</v>
      </c>
      <c r="AF192" s="510">
        <v>112.99688426802823</v>
      </c>
      <c r="AG192" s="510">
        <v>100.75699300936886</v>
      </c>
      <c r="AH192" s="510">
        <v>1.7457572154361689</v>
      </c>
      <c r="AI192" s="510">
        <v>1.5115891665752912</v>
      </c>
      <c r="AJ192" s="510">
        <v>926.81061506864114</v>
      </c>
      <c r="AK192" s="510">
        <v>899.57529584426356</v>
      </c>
      <c r="AL192" s="576">
        <v>0</v>
      </c>
      <c r="AM192" s="577">
        <v>0</v>
      </c>
      <c r="AN192" s="512">
        <v>0.94571994357901601</v>
      </c>
      <c r="AO192" s="1026">
        <v>0.85213862694026565</v>
      </c>
      <c r="AP192" s="513">
        <v>0.94571994357901601</v>
      </c>
      <c r="AQ192" s="513">
        <v>0.86753637792427429</v>
      </c>
      <c r="AR192" s="510">
        <v>51.749000000000002</v>
      </c>
      <c r="AS192" s="510">
        <v>1037.1010000000001</v>
      </c>
      <c r="AT192" s="514">
        <v>113.52644055310647</v>
      </c>
      <c r="AU192" s="514">
        <v>105.35492341625501</v>
      </c>
      <c r="AV192" s="510">
        <v>1.3488183346538096</v>
      </c>
      <c r="AW192" s="510">
        <v>1.5799811204501779</v>
      </c>
      <c r="AX192" s="510">
        <v>0.16038957274536705</v>
      </c>
      <c r="AY192" s="510">
        <v>4.3486603522704143E-2</v>
      </c>
      <c r="AZ192" s="510">
        <v>829.88463545189234</v>
      </c>
      <c r="BA192" s="510">
        <v>972.49157025207762</v>
      </c>
      <c r="BB192" s="510">
        <v>412.93551566213932</v>
      </c>
      <c r="BC192" s="510">
        <v>150.89080041384616</v>
      </c>
      <c r="BD192" s="510">
        <v>0</v>
      </c>
      <c r="BE192" s="510">
        <v>22.996795876197204</v>
      </c>
      <c r="BF192" s="512">
        <v>0.86279143419063531</v>
      </c>
      <c r="BG192" s="513">
        <v>0.86201526481750512</v>
      </c>
      <c r="BH192" s="513">
        <v>0.86279143419063531</v>
      </c>
      <c r="BI192" s="513">
        <v>0.86530246597742611</v>
      </c>
      <c r="BJ192" s="510">
        <v>44.417000000000002</v>
      </c>
      <c r="BK192" s="510">
        <v>1107.6680000000001</v>
      </c>
      <c r="BL192" s="510">
        <v>2.9380642546772631</v>
      </c>
      <c r="BM192" s="510">
        <v>2.7916307052293647</v>
      </c>
      <c r="BN192" s="514">
        <v>0</v>
      </c>
      <c r="BO192" s="514">
        <v>0</v>
      </c>
      <c r="BP192" s="514">
        <v>1025.7382308575443</v>
      </c>
      <c r="BQ192" s="514">
        <v>935.39878375108663</v>
      </c>
      <c r="BR192" s="514">
        <v>0</v>
      </c>
      <c r="BS192" s="515">
        <v>0</v>
      </c>
      <c r="BT192" s="512">
        <v>0.89612483548558453</v>
      </c>
      <c r="BU192" s="1026">
        <v>0.88075337393010034</v>
      </c>
      <c r="BV192" s="513">
        <v>0.90115130454769399</v>
      </c>
      <c r="BW192" s="513">
        <v>0.88732403540712002</v>
      </c>
      <c r="BX192" s="510">
        <v>47.076999999999998</v>
      </c>
      <c r="BY192" s="510">
        <v>1013.8149999999998</v>
      </c>
      <c r="BZ192" s="514">
        <v>79.864552166943042</v>
      </c>
      <c r="CA192" s="514">
        <v>85.718910152736427</v>
      </c>
      <c r="CB192" s="510">
        <v>1.9340654672132889</v>
      </c>
      <c r="CC192" s="510">
        <v>2.0395042488027899</v>
      </c>
      <c r="CD192" s="582">
        <v>0.16781018331669395</v>
      </c>
      <c r="CE192" s="582">
        <v>7.79234870267258E-3</v>
      </c>
      <c r="CF192" s="514">
        <v>774.62189604263028</v>
      </c>
      <c r="CG192" s="514">
        <v>953.50199000803798</v>
      </c>
      <c r="CH192" s="582">
        <v>436.11530046519624</v>
      </c>
      <c r="CI192" s="582">
        <v>20.251229267667224</v>
      </c>
      <c r="CJ192" s="514">
        <v>0</v>
      </c>
      <c r="CK192" s="514">
        <v>20.161469301598419</v>
      </c>
    </row>
    <row r="193" spans="1:89" ht="12.75" customHeight="1">
      <c r="A193" s="560">
        <v>45863</v>
      </c>
      <c r="B193" s="512">
        <v>0.68308261226217881</v>
      </c>
      <c r="C193" s="513">
        <v>0.82559414058467395</v>
      </c>
      <c r="D193" s="513">
        <v>0.68308261226217881</v>
      </c>
      <c r="E193" s="513">
        <v>0.82694817246054098</v>
      </c>
      <c r="F193" s="510">
        <v>41.302999999999997</v>
      </c>
      <c r="G193" s="510">
        <v>1352.5070000000005</v>
      </c>
      <c r="H193" s="510">
        <v>3.0783962424036995</v>
      </c>
      <c r="I193" s="510">
        <v>2.4529950676780223</v>
      </c>
      <c r="J193" s="510">
        <v>1335.7097547393262</v>
      </c>
      <c r="K193" s="511">
        <v>1037.8066804829832</v>
      </c>
      <c r="L193" s="512">
        <v>0.97487914419975419</v>
      </c>
      <c r="M193" s="513">
        <v>0.868100449969748</v>
      </c>
      <c r="N193" s="513">
        <v>0.97487914419975419</v>
      </c>
      <c r="O193" s="513">
        <v>0.89987926655574901</v>
      </c>
      <c r="P193" s="510">
        <v>50.323</v>
      </c>
      <c r="Q193" s="510">
        <v>1460.5709999999999</v>
      </c>
      <c r="R193" s="510">
        <v>2.8759016751783482</v>
      </c>
      <c r="S193" s="510">
        <v>2.62282011624221</v>
      </c>
      <c r="T193" s="510">
        <v>0.25435685471851838</v>
      </c>
      <c r="U193" s="510">
        <v>0.21710687121680491</v>
      </c>
      <c r="V193" s="510">
        <v>673.31220316754127</v>
      </c>
      <c r="W193" s="510">
        <v>619.09798291216282</v>
      </c>
      <c r="X193" s="510">
        <v>339.0894819466248</v>
      </c>
      <c r="Y193" s="569">
        <v>535.35158509925225</v>
      </c>
      <c r="Z193" s="512">
        <v>0.90864297593727716</v>
      </c>
      <c r="AA193" s="1026">
        <v>0.86813158730114259</v>
      </c>
      <c r="AB193" s="513">
        <v>0.90864297593727716</v>
      </c>
      <c r="AC193" s="513">
        <v>0.86993975311853144</v>
      </c>
      <c r="AD193" s="510">
        <v>42.747999999999998</v>
      </c>
      <c r="AE193" s="510">
        <v>991.22</v>
      </c>
      <c r="AF193" s="510">
        <v>97.921051486286984</v>
      </c>
      <c r="AG193" s="510">
        <v>100.63468834619751</v>
      </c>
      <c r="AH193" s="510">
        <v>1.47141386731543</v>
      </c>
      <c r="AI193" s="510">
        <v>1.5098565404249304</v>
      </c>
      <c r="AJ193" s="510">
        <v>799.77589594832284</v>
      </c>
      <c r="AK193" s="510">
        <v>895.27128185468325</v>
      </c>
      <c r="AL193" s="576">
        <v>0</v>
      </c>
      <c r="AM193" s="577">
        <v>0</v>
      </c>
      <c r="AN193" s="512">
        <v>0.98994566791038774</v>
      </c>
      <c r="AO193" s="1026">
        <v>0.85805080795822741</v>
      </c>
      <c r="AP193" s="513">
        <v>0.98994566791038774</v>
      </c>
      <c r="AQ193" s="513">
        <v>0.87287871879341261</v>
      </c>
      <c r="AR193" s="510">
        <v>54.006</v>
      </c>
      <c r="AS193" s="510">
        <v>1091.1070000000002</v>
      </c>
      <c r="AT193" s="514">
        <v>104.72370452560699</v>
      </c>
      <c r="AU193" s="514">
        <v>105.3236802774901</v>
      </c>
      <c r="AV193" s="510">
        <v>1.3276302633040773</v>
      </c>
      <c r="AW193" s="510">
        <v>1.567490631074679</v>
      </c>
      <c r="AX193" s="510">
        <v>0.17405473465911195</v>
      </c>
      <c r="AY193" s="510">
        <v>4.9949271702958542E-2</v>
      </c>
      <c r="AZ193" s="510">
        <v>743.04373588119813</v>
      </c>
      <c r="BA193" s="510">
        <v>961.13470081302728</v>
      </c>
      <c r="BB193" s="510">
        <v>500.87027367329398</v>
      </c>
      <c r="BC193" s="510">
        <v>168.21356658879483</v>
      </c>
      <c r="BD193" s="510">
        <v>0</v>
      </c>
      <c r="BE193" s="510">
        <v>21.858534497533235</v>
      </c>
      <c r="BF193" s="512">
        <v>0.94558942895438769</v>
      </c>
      <c r="BG193" s="513">
        <v>0.86539254552849121</v>
      </c>
      <c r="BH193" s="513">
        <v>0.94558942895438769</v>
      </c>
      <c r="BI193" s="513">
        <v>0.86855877949959104</v>
      </c>
      <c r="BJ193" s="510">
        <v>51.168999999999997</v>
      </c>
      <c r="BK193" s="510">
        <v>1158.8370000000002</v>
      </c>
      <c r="BL193" s="510">
        <v>2.6480877093552739</v>
      </c>
      <c r="BM193" s="510">
        <v>2.7852924958384997</v>
      </c>
      <c r="BN193" s="514">
        <v>0</v>
      </c>
      <c r="BO193" s="514">
        <v>0</v>
      </c>
      <c r="BP193" s="514">
        <v>876.83099142059871</v>
      </c>
      <c r="BQ193" s="514">
        <v>932.81269496917969</v>
      </c>
      <c r="BR193" s="514">
        <v>0</v>
      </c>
      <c r="BS193" s="515">
        <v>0</v>
      </c>
      <c r="BT193" s="512">
        <v>0.86232968739696869</v>
      </c>
      <c r="BU193" s="1026">
        <v>0.87990991580047384</v>
      </c>
      <c r="BV193" s="513">
        <v>0.86232968739696869</v>
      </c>
      <c r="BW193" s="513">
        <v>0.88617162165659513</v>
      </c>
      <c r="BX193" s="510">
        <v>47.622999999999998</v>
      </c>
      <c r="BY193" s="510">
        <v>1061.4379999999999</v>
      </c>
      <c r="BZ193" s="514">
        <v>78.0791320255816</v>
      </c>
      <c r="CA193" s="514">
        <v>85.376140105169341</v>
      </c>
      <c r="CB193" s="510">
        <v>1.8856434915901981</v>
      </c>
      <c r="CC193" s="510">
        <v>2.0326010563028651</v>
      </c>
      <c r="CD193" s="582">
        <v>0.19528379144531005</v>
      </c>
      <c r="CE193" s="582">
        <v>1.6204432100603149E-2</v>
      </c>
      <c r="CF193" s="514">
        <v>702.17972408291666</v>
      </c>
      <c r="CG193" s="514">
        <v>942.22604146450362</v>
      </c>
      <c r="CH193" s="582">
        <v>568.00285576296983</v>
      </c>
      <c r="CI193" s="582">
        <v>44.826923475511492</v>
      </c>
      <c r="CJ193" s="514">
        <v>0</v>
      </c>
      <c r="CK193" s="514">
        <v>19.256894891646997</v>
      </c>
    </row>
    <row r="194" spans="1:89" ht="12.75" customHeight="1">
      <c r="A194" s="560">
        <v>45864</v>
      </c>
      <c r="B194" s="512">
        <v>1.0217425580265307</v>
      </c>
      <c r="C194" s="513">
        <v>0.83232891857764291</v>
      </c>
      <c r="D194" s="513">
        <v>1.0217425580265307</v>
      </c>
      <c r="E194" s="513">
        <v>0.83364705164614628</v>
      </c>
      <c r="F194" s="510">
        <v>59.515000000000001</v>
      </c>
      <c r="G194" s="510">
        <v>1412.0220000000006</v>
      </c>
      <c r="H194" s="510">
        <v>2.0715785936318576</v>
      </c>
      <c r="I194" s="510">
        <v>2.4369188298765874</v>
      </c>
      <c r="J194" s="510">
        <v>950.53919180040782</v>
      </c>
      <c r="K194" s="511">
        <v>1034.1284625876929</v>
      </c>
      <c r="L194" s="512">
        <v>0.71432607017197502</v>
      </c>
      <c r="M194" s="513">
        <v>0.86350197059033884</v>
      </c>
      <c r="N194" s="513">
        <v>0.71432607017197502</v>
      </c>
      <c r="O194" s="513">
        <v>0.89413363466492457</v>
      </c>
      <c r="P194" s="510">
        <v>37.048000000000002</v>
      </c>
      <c r="Q194" s="510">
        <v>1497.6189999999999</v>
      </c>
      <c r="R194" s="510">
        <v>3.7268948391276182</v>
      </c>
      <c r="S194" s="510">
        <v>2.6501326438833916</v>
      </c>
      <c r="T194" s="510">
        <v>0.36709134096307489</v>
      </c>
      <c r="U194" s="510">
        <v>0.22081717713250165</v>
      </c>
      <c r="V194" s="510">
        <v>1002.9423990498811</v>
      </c>
      <c r="W194" s="510">
        <v>628.5935007501912</v>
      </c>
      <c r="X194" s="510">
        <v>728.78427985316341</v>
      </c>
      <c r="Y194" s="569">
        <v>540.13671033821015</v>
      </c>
      <c r="Z194" s="512">
        <v>0.90149494390086438</v>
      </c>
      <c r="AA194" s="1026">
        <v>0.86951321787737401</v>
      </c>
      <c r="AB194" s="513">
        <v>0.90149494390086438</v>
      </c>
      <c r="AC194" s="513">
        <v>0.87124911342052036</v>
      </c>
      <c r="AD194" s="510">
        <v>44.466999999999999</v>
      </c>
      <c r="AE194" s="510">
        <v>1035.6870000000001</v>
      </c>
      <c r="AF194" s="510">
        <v>90.410679723970318</v>
      </c>
      <c r="AG194" s="510">
        <v>100.19572272105731</v>
      </c>
      <c r="AH194" s="510">
        <v>1.3875458204960984</v>
      </c>
      <c r="AI194" s="510">
        <v>1.5046051558047939</v>
      </c>
      <c r="AJ194" s="510">
        <v>817.04050194527088</v>
      </c>
      <c r="AK194" s="510">
        <v>891.91246003860181</v>
      </c>
      <c r="AL194" s="576">
        <v>0</v>
      </c>
      <c r="AM194" s="577">
        <v>0</v>
      </c>
      <c r="AN194" s="512">
        <v>1.0095925932398147</v>
      </c>
      <c r="AO194" s="1026">
        <v>0.86426635233919125</v>
      </c>
      <c r="AP194" s="513">
        <v>1.0095925932398147</v>
      </c>
      <c r="AQ194" s="513">
        <v>0.87857895106738348</v>
      </c>
      <c r="AR194" s="510">
        <v>54.908000000000001</v>
      </c>
      <c r="AS194" s="510">
        <v>1146.0150000000001</v>
      </c>
      <c r="AT194" s="514">
        <v>101.34528398883522</v>
      </c>
      <c r="AU194" s="514">
        <v>105.13306690557312</v>
      </c>
      <c r="AV194" s="510">
        <v>1.2876083630800612</v>
      </c>
      <c r="AW194" s="510">
        <v>1.5540808802677104</v>
      </c>
      <c r="AX194" s="510">
        <v>0.1821228236322576</v>
      </c>
      <c r="AY194" s="510">
        <v>5.6281985837881701E-2</v>
      </c>
      <c r="AZ194" s="510">
        <v>753.46652582501611</v>
      </c>
      <c r="BA194" s="510">
        <v>951.18487977906068</v>
      </c>
      <c r="BB194" s="510">
        <v>473.86537480877189</v>
      </c>
      <c r="BC194" s="510">
        <v>182.85799051495857</v>
      </c>
      <c r="BD194" s="510">
        <v>0</v>
      </c>
      <c r="BE194" s="510">
        <v>20.811245926100444</v>
      </c>
      <c r="BF194" s="512">
        <v>0.98118905545868595</v>
      </c>
      <c r="BG194" s="513">
        <v>0.86984544669626973</v>
      </c>
      <c r="BH194" s="513">
        <v>0.98118905545868595</v>
      </c>
      <c r="BI194" s="513">
        <v>0.87290515956600301</v>
      </c>
      <c r="BJ194" s="510">
        <v>52.545999999999999</v>
      </c>
      <c r="BK194" s="510">
        <v>1211.3830000000003</v>
      </c>
      <c r="BL194" s="510">
        <v>2.5387279716819551</v>
      </c>
      <c r="BM194" s="510">
        <v>2.7745972991200962</v>
      </c>
      <c r="BN194" s="514">
        <v>0</v>
      </c>
      <c r="BO194" s="514">
        <v>0</v>
      </c>
      <c r="BP194" s="514">
        <v>880.26700414874597</v>
      </c>
      <c r="BQ194" s="514">
        <v>930.53342749568003</v>
      </c>
      <c r="BR194" s="514">
        <v>0</v>
      </c>
      <c r="BS194" s="515">
        <v>0</v>
      </c>
      <c r="BT194" s="512">
        <v>1.0128001753572269</v>
      </c>
      <c r="BU194" s="1026">
        <v>0.88583171079429812</v>
      </c>
      <c r="BV194" s="513">
        <v>1.0128001753572269</v>
      </c>
      <c r="BW194" s="513">
        <v>0.89185273943599352</v>
      </c>
      <c r="BX194" s="510">
        <v>56.981999999999999</v>
      </c>
      <c r="BY194" s="510">
        <v>1118.4199999999998</v>
      </c>
      <c r="BZ194" s="514">
        <v>67.844256983878253</v>
      </c>
      <c r="CA194" s="514">
        <v>84.482914157835253</v>
      </c>
      <c r="CB194" s="510">
        <v>1.6478888069916817</v>
      </c>
      <c r="CC194" s="510">
        <v>2.0130004828239847</v>
      </c>
      <c r="CD194" s="582">
        <v>0.18251377628022886</v>
      </c>
      <c r="CE194" s="582">
        <v>2.4677670284866154E-2</v>
      </c>
      <c r="CF194" s="514">
        <v>675.90660208486861</v>
      </c>
      <c r="CG194" s="514">
        <v>928.65742297169197</v>
      </c>
      <c r="CH194" s="582">
        <v>475.25534379277752</v>
      </c>
      <c r="CI194" s="582">
        <v>66.756674594517278</v>
      </c>
      <c r="CJ194" s="514">
        <v>0</v>
      </c>
      <c r="CK194" s="514">
        <v>18.275781906618267</v>
      </c>
    </row>
    <row r="195" spans="1:89" ht="12.75" customHeight="1">
      <c r="A195" s="560">
        <v>45865</v>
      </c>
      <c r="B195" s="512">
        <v>0.8922084072045372</v>
      </c>
      <c r="C195" s="513">
        <v>0.83430998858323713</v>
      </c>
      <c r="D195" s="513">
        <v>0.8922084072045372</v>
      </c>
      <c r="E195" s="513">
        <v>0.83558747879035211</v>
      </c>
      <c r="F195" s="510">
        <v>51.79</v>
      </c>
      <c r="G195" s="510">
        <v>1463.8120000000006</v>
      </c>
      <c r="H195" s="510">
        <v>2.3800540644912145</v>
      </c>
      <c r="I195" s="510">
        <v>2.4349069416017897</v>
      </c>
      <c r="J195" s="510">
        <v>1072.6267619231687</v>
      </c>
      <c r="K195" s="511">
        <v>1035.4905411350644</v>
      </c>
      <c r="L195" s="512">
        <v>0.85883334706464498</v>
      </c>
      <c r="M195" s="513">
        <v>0.86333667562279115</v>
      </c>
      <c r="N195" s="513">
        <v>0.85484017991458683</v>
      </c>
      <c r="O195" s="513">
        <v>0.89268841231059282</v>
      </c>
      <c r="P195" s="510">
        <v>54.673000000000002</v>
      </c>
      <c r="Q195" s="510">
        <v>1552.2919999999999</v>
      </c>
      <c r="R195" s="510">
        <v>3.1261500192050917</v>
      </c>
      <c r="S195" s="510">
        <v>2.6668983670598068</v>
      </c>
      <c r="T195" s="510">
        <v>0.32191392460629564</v>
      </c>
      <c r="U195" s="510">
        <v>0.22437788766546501</v>
      </c>
      <c r="V195" s="510">
        <v>654.3816874874251</v>
      </c>
      <c r="W195" s="510">
        <v>629.50178188124437</v>
      </c>
      <c r="X195" s="510">
        <v>530.42635304446435</v>
      </c>
      <c r="Y195" s="569">
        <v>539.79470357381206</v>
      </c>
      <c r="Z195" s="512">
        <v>0.93086522002853345</v>
      </c>
      <c r="AA195" s="1026">
        <v>0.87189507621134132</v>
      </c>
      <c r="AB195" s="513">
        <v>0.93086522002853345</v>
      </c>
      <c r="AC195" s="513">
        <v>0.87356802024659452</v>
      </c>
      <c r="AD195" s="510">
        <v>44.783999999999999</v>
      </c>
      <c r="AE195" s="510">
        <v>1080.4710000000002</v>
      </c>
      <c r="AF195" s="510">
        <v>85.488939551208986</v>
      </c>
      <c r="AG195" s="510">
        <v>99.586147288233562</v>
      </c>
      <c r="AH195" s="510">
        <v>1.3844230082172204</v>
      </c>
      <c r="AI195" s="510">
        <v>1.4996237751869317</v>
      </c>
      <c r="AJ195" s="510">
        <v>770.61763129690792</v>
      </c>
      <c r="AK195" s="510">
        <v>886.88496035525247</v>
      </c>
      <c r="AL195" s="576">
        <v>0</v>
      </c>
      <c r="AM195" s="577">
        <v>0</v>
      </c>
      <c r="AN195" s="512">
        <v>1.0135764970619381</v>
      </c>
      <c r="AO195" s="1026">
        <v>0.87013742919762271</v>
      </c>
      <c r="AP195" s="513">
        <v>1.0135764970619381</v>
      </c>
      <c r="AQ195" s="513">
        <v>0.88397163294589232</v>
      </c>
      <c r="AR195" s="510">
        <v>55.011000000000003</v>
      </c>
      <c r="AS195" s="510">
        <v>1201.0260000000001</v>
      </c>
      <c r="AT195" s="514">
        <v>102.47221970431619</v>
      </c>
      <c r="AU195" s="514">
        <v>105.01119122145941</v>
      </c>
      <c r="AV195" s="510">
        <v>1.3033756884986638</v>
      </c>
      <c r="AW195" s="510">
        <v>1.5425977455941837</v>
      </c>
      <c r="AX195" s="510">
        <v>0.18723528021668395</v>
      </c>
      <c r="AY195" s="510">
        <v>6.2280083861631634E-2</v>
      </c>
      <c r="AZ195" s="510">
        <v>734.78649724600552</v>
      </c>
      <c r="BA195" s="510">
        <v>941.27311148967647</v>
      </c>
      <c r="BB195" s="510">
        <v>486.81354638163532</v>
      </c>
      <c r="BC195" s="510">
        <v>196.78016962164051</v>
      </c>
      <c r="BD195" s="510">
        <v>0</v>
      </c>
      <c r="BE195" s="510">
        <v>19.858021391710089</v>
      </c>
      <c r="BF195" s="512">
        <v>1.0090213442833273</v>
      </c>
      <c r="BG195" s="513">
        <v>0.8748068379368783</v>
      </c>
      <c r="BH195" s="513">
        <v>1.0090213442833273</v>
      </c>
      <c r="BI195" s="513">
        <v>0.87777393477411814</v>
      </c>
      <c r="BJ195" s="510">
        <v>51.945</v>
      </c>
      <c r="BK195" s="510">
        <v>1263.3280000000002</v>
      </c>
      <c r="BL195" s="510">
        <v>2.5950524593319861</v>
      </c>
      <c r="BM195" s="510">
        <v>2.7672148484004153</v>
      </c>
      <c r="BN195" s="514">
        <v>0</v>
      </c>
      <c r="BO195" s="514">
        <v>0</v>
      </c>
      <c r="BP195" s="514">
        <v>890.90085667532105</v>
      </c>
      <c r="BQ195" s="514">
        <v>928.90383178398554</v>
      </c>
      <c r="BR195" s="514">
        <v>0</v>
      </c>
      <c r="BS195" s="515">
        <v>0</v>
      </c>
      <c r="BT195" s="512">
        <v>0.96923806833693893</v>
      </c>
      <c r="BU195" s="1026">
        <v>0.88934692494044554</v>
      </c>
      <c r="BV195" s="513">
        <v>0.96923806833693893</v>
      </c>
      <c r="BW195" s="513">
        <v>0.89513542132991586</v>
      </c>
      <c r="BX195" s="510">
        <v>53.844000000000001</v>
      </c>
      <c r="BY195" s="510">
        <v>1172.2639999999999</v>
      </c>
      <c r="BZ195" s="514">
        <v>73.908031590974204</v>
      </c>
      <c r="CA195" s="514">
        <v>83.997192531196475</v>
      </c>
      <c r="CB195" s="510">
        <v>1.7662135056830843</v>
      </c>
      <c r="CC195" s="510">
        <v>2.0016651539243724</v>
      </c>
      <c r="CD195" s="582">
        <v>0.18757893172869772</v>
      </c>
      <c r="CE195" s="582">
        <v>3.2159991264766305E-2</v>
      </c>
      <c r="CF195" s="514">
        <v>708.92179258598219</v>
      </c>
      <c r="CG195" s="514">
        <v>918.56460660738469</v>
      </c>
      <c r="CH195" s="582">
        <v>477.86011440457872</v>
      </c>
      <c r="CI195" s="582">
        <v>85.639326977541003</v>
      </c>
      <c r="CJ195" s="514">
        <v>0</v>
      </c>
      <c r="CK195" s="514">
        <v>17.436345396600082</v>
      </c>
    </row>
    <row r="196" spans="1:89" ht="12.75" customHeight="1">
      <c r="A196" s="560">
        <v>45866</v>
      </c>
      <c r="B196" s="512">
        <v>0.86198207855311371</v>
      </c>
      <c r="C196" s="513">
        <v>0.83516557021497562</v>
      </c>
      <c r="D196" s="513">
        <v>0.86198207855311371</v>
      </c>
      <c r="E196" s="513">
        <v>0.83640477313257566</v>
      </c>
      <c r="F196" s="510">
        <v>48.252000000000002</v>
      </c>
      <c r="G196" s="510">
        <v>1512.0640000000005</v>
      </c>
      <c r="H196" s="510">
        <v>2.6118088369394012</v>
      </c>
      <c r="I196" s="510">
        <v>2.440552119487005</v>
      </c>
      <c r="J196" s="510">
        <v>1003.0361435794816</v>
      </c>
      <c r="K196" s="511">
        <v>1034.4548775713183</v>
      </c>
      <c r="L196" s="512">
        <v>0.99983929760361601</v>
      </c>
      <c r="M196" s="513">
        <v>0.86852061062368024</v>
      </c>
      <c r="N196" s="513">
        <v>0.99983929760361601</v>
      </c>
      <c r="O196" s="513">
        <v>0.8968905826446566</v>
      </c>
      <c r="P196" s="510">
        <v>70.966999999999999</v>
      </c>
      <c r="Q196" s="510">
        <v>1623.259</v>
      </c>
      <c r="R196" s="510">
        <v>2.2774810827567742</v>
      </c>
      <c r="S196" s="510">
        <v>2.6498734952339715</v>
      </c>
      <c r="T196" s="510">
        <v>0.2592754378795778</v>
      </c>
      <c r="U196" s="510">
        <v>0.225903568068928</v>
      </c>
      <c r="V196" s="510">
        <v>536.61546916171517</v>
      </c>
      <c r="W196" s="510">
        <v>625.4409000658552</v>
      </c>
      <c r="X196" s="510">
        <v>466.86488086011809</v>
      </c>
      <c r="Y196" s="569">
        <v>536.606296345808</v>
      </c>
      <c r="Z196" s="512">
        <v>0.96140589623814954</v>
      </c>
      <c r="AA196" s="1026">
        <v>0.87487676392460134</v>
      </c>
      <c r="AB196" s="513">
        <v>0.96140589623814954</v>
      </c>
      <c r="AC196" s="513">
        <v>0.87649940746680455</v>
      </c>
      <c r="AD196" s="510">
        <v>41.054000000000002</v>
      </c>
      <c r="AE196" s="510">
        <v>1121.5250000000003</v>
      </c>
      <c r="AF196" s="510">
        <v>92.028255128138568</v>
      </c>
      <c r="AG196" s="510">
        <v>99.309486754816518</v>
      </c>
      <c r="AH196" s="510">
        <v>1.4468748477614848</v>
      </c>
      <c r="AI196" s="510">
        <v>1.4976928735427202</v>
      </c>
      <c r="AJ196" s="510">
        <v>894.88235007551032</v>
      </c>
      <c r="AK196" s="510">
        <v>887.17770892311808</v>
      </c>
      <c r="AL196" s="576">
        <v>0</v>
      </c>
      <c r="AM196" s="577">
        <v>0</v>
      </c>
      <c r="AN196" s="512">
        <v>1.0053771416695509</v>
      </c>
      <c r="AO196" s="1026">
        <v>0.87520729490601445</v>
      </c>
      <c r="AP196" s="513">
        <v>1.0053771416695509</v>
      </c>
      <c r="AQ196" s="513">
        <v>0.88859248770990973</v>
      </c>
      <c r="AR196" s="510">
        <v>54.048000000000002</v>
      </c>
      <c r="AS196" s="510">
        <v>1255.0740000000001</v>
      </c>
      <c r="AT196" s="514">
        <v>102.1499770734996</v>
      </c>
      <c r="AU196" s="514">
        <v>104.88797705060659</v>
      </c>
      <c r="AV196" s="510">
        <v>1.3376998223801064</v>
      </c>
      <c r="AW196" s="510">
        <v>1.5337741041564084</v>
      </c>
      <c r="AX196" s="510">
        <v>0.19612196566015391</v>
      </c>
      <c r="AY196" s="510">
        <v>6.8043796620757019E-2</v>
      </c>
      <c r="AZ196" s="510">
        <v>794.6362492599178</v>
      </c>
      <c r="BA196" s="510">
        <v>934.95840085923248</v>
      </c>
      <c r="BB196" s="510">
        <v>506.79026050917378</v>
      </c>
      <c r="BC196" s="510">
        <v>210.13031900907853</v>
      </c>
      <c r="BD196" s="510">
        <v>0</v>
      </c>
      <c r="BE196" s="510">
        <v>19.002863576171606</v>
      </c>
      <c r="BF196" s="512">
        <v>0.9722668407056384</v>
      </c>
      <c r="BG196" s="513">
        <v>0.87819867846873223</v>
      </c>
      <c r="BH196" s="513">
        <v>0.9722668407056384</v>
      </c>
      <c r="BI196" s="513">
        <v>0.88107327773194688</v>
      </c>
      <c r="BJ196" s="510">
        <v>50.627000000000002</v>
      </c>
      <c r="BK196" s="510">
        <v>1313.9550000000002</v>
      </c>
      <c r="BL196" s="510">
        <v>2.6705117822505775</v>
      </c>
      <c r="BM196" s="510">
        <v>2.7634888561632627</v>
      </c>
      <c r="BN196" s="514">
        <v>0</v>
      </c>
      <c r="BO196" s="514">
        <v>0</v>
      </c>
      <c r="BP196" s="514">
        <v>948.41191459103766</v>
      </c>
      <c r="BQ196" s="514">
        <v>929.65548287422268</v>
      </c>
      <c r="BR196" s="514">
        <v>0</v>
      </c>
      <c r="BS196" s="515">
        <v>0</v>
      </c>
      <c r="BT196" s="512">
        <v>1.0199730951027712</v>
      </c>
      <c r="BU196" s="1026">
        <v>0.89469608661697964</v>
      </c>
      <c r="BV196" s="513">
        <v>1.0199730951027712</v>
      </c>
      <c r="BW196" s="513">
        <v>0.90027944543421945</v>
      </c>
      <c r="BX196" s="510">
        <v>57.405999999999999</v>
      </c>
      <c r="BY196" s="510">
        <v>1229.6699999999998</v>
      </c>
      <c r="BZ196" s="514">
        <v>69.380727678306997</v>
      </c>
      <c r="CA196" s="514">
        <v>83.31483646709394</v>
      </c>
      <c r="CB196" s="510">
        <v>1.6653311500540013</v>
      </c>
      <c r="CC196" s="510">
        <v>1.9859637138419257</v>
      </c>
      <c r="CD196" s="582">
        <v>0.19161760094763614</v>
      </c>
      <c r="CE196" s="582">
        <v>3.9604121430953029E-2</v>
      </c>
      <c r="CF196" s="514">
        <v>661.52057276243522</v>
      </c>
      <c r="CG196" s="514">
        <v>906.5647450128896</v>
      </c>
      <c r="CH196" s="582">
        <v>496.62056231055664</v>
      </c>
      <c r="CI196" s="582">
        <v>104.82560361723061</v>
      </c>
      <c r="CJ196" s="514">
        <v>0</v>
      </c>
      <c r="CK196" s="514">
        <v>16.622345832621765</v>
      </c>
    </row>
    <row r="197" spans="1:89" ht="12.75" customHeight="1">
      <c r="A197" s="560">
        <v>45867</v>
      </c>
      <c r="B197" s="512">
        <v>0.90739687363668242</v>
      </c>
      <c r="C197" s="513">
        <v>0.83744677232052744</v>
      </c>
      <c r="D197" s="513">
        <v>0.90739687363668242</v>
      </c>
      <c r="E197" s="513">
        <v>0.83865006036952083</v>
      </c>
      <c r="F197" s="510">
        <v>53.576000000000001</v>
      </c>
      <c r="G197" s="510">
        <v>1565.6400000000006</v>
      </c>
      <c r="H197" s="510">
        <v>2.4224092877407792</v>
      </c>
      <c r="I197" s="510">
        <v>2.4399312741115446</v>
      </c>
      <c r="J197" s="510">
        <v>1059.7450350903266</v>
      </c>
      <c r="K197" s="511">
        <v>1035.3203035180486</v>
      </c>
      <c r="L197" s="512">
        <v>0.97220522144783683</v>
      </c>
      <c r="M197" s="513">
        <v>0.87253570649791845</v>
      </c>
      <c r="N197" s="513">
        <v>0.97220522144783683</v>
      </c>
      <c r="O197" s="513">
        <v>0.89989853777356799</v>
      </c>
      <c r="P197" s="510">
        <v>73.197999999999993</v>
      </c>
      <c r="Q197" s="510">
        <v>1696.4570000000001</v>
      </c>
      <c r="R197" s="510">
        <v>2.2845432935326104</v>
      </c>
      <c r="S197" s="510">
        <v>2.634110384171247</v>
      </c>
      <c r="T197" s="510">
        <v>0.26230224869531954</v>
      </c>
      <c r="U197" s="510">
        <v>0.227474082750108</v>
      </c>
      <c r="V197" s="510">
        <v>493.91445121451426</v>
      </c>
      <c r="W197" s="510">
        <v>619.76585318696539</v>
      </c>
      <c r="X197" s="510">
        <v>442.22519740976531</v>
      </c>
      <c r="Y197" s="569">
        <v>532.5339811147586</v>
      </c>
      <c r="Z197" s="512">
        <v>0.93739574162159067</v>
      </c>
      <c r="AA197" s="1026">
        <v>0.87696851322373648</v>
      </c>
      <c r="AB197" s="513">
        <v>0.93739574162159067</v>
      </c>
      <c r="AC197" s="513">
        <v>0.87854051887242701</v>
      </c>
      <c r="AD197" s="510">
        <v>41.597000000000001</v>
      </c>
      <c r="AE197" s="510">
        <v>1163.1220000000003</v>
      </c>
      <c r="AF197" s="510">
        <v>91.966404853093621</v>
      </c>
      <c r="AG197" s="510">
        <v>99.046874425356705</v>
      </c>
      <c r="AH197" s="510">
        <v>1.4568358295069357</v>
      </c>
      <c r="AI197" s="510">
        <v>1.4962316936658402</v>
      </c>
      <c r="AJ197" s="510">
        <v>941.82032358100128</v>
      </c>
      <c r="AK197" s="510">
        <v>889.13190533753027</v>
      </c>
      <c r="AL197" s="576">
        <v>0</v>
      </c>
      <c r="AM197" s="577">
        <v>0</v>
      </c>
      <c r="AN197" s="512">
        <v>0.91904231019640781</v>
      </c>
      <c r="AO197" s="1026">
        <v>0.87681665886734816</v>
      </c>
      <c r="AP197" s="513">
        <v>0.91904231019640781</v>
      </c>
      <c r="AQ197" s="513">
        <v>0.88972688661034161</v>
      </c>
      <c r="AR197" s="510">
        <v>50.231000000000002</v>
      </c>
      <c r="AS197" s="510">
        <v>1305.3050000000001</v>
      </c>
      <c r="AT197" s="514">
        <v>107.5813842417184</v>
      </c>
      <c r="AU197" s="514">
        <v>104.99162526816244</v>
      </c>
      <c r="AV197" s="510">
        <v>1.4552766220063307</v>
      </c>
      <c r="AW197" s="510">
        <v>1.5307533488341805</v>
      </c>
      <c r="AX197" s="510">
        <v>0.20107105174095677</v>
      </c>
      <c r="AY197" s="510">
        <v>7.3162977235205554E-2</v>
      </c>
      <c r="AZ197" s="510">
        <v>881.46562879496639</v>
      </c>
      <c r="BA197" s="510">
        <v>932.89988163685894</v>
      </c>
      <c r="BB197" s="510">
        <v>539.40287870040493</v>
      </c>
      <c r="BC197" s="510">
        <v>222.80144946966436</v>
      </c>
      <c r="BD197" s="510">
        <v>0</v>
      </c>
      <c r="BE197" s="510">
        <v>18.271591696959717</v>
      </c>
      <c r="BF197" s="512">
        <v>0.85457424271888471</v>
      </c>
      <c r="BG197" s="513">
        <v>0.87739089290787731</v>
      </c>
      <c r="BH197" s="513">
        <v>0.85457424271888471</v>
      </c>
      <c r="BI197" s="513">
        <v>0.88016433745993461</v>
      </c>
      <c r="BJ197" s="510">
        <v>45.267000000000003</v>
      </c>
      <c r="BK197" s="510">
        <v>1359.2220000000002</v>
      </c>
      <c r="BL197" s="510">
        <v>2.9381226942364194</v>
      </c>
      <c r="BM197" s="510">
        <v>2.7693047934774451</v>
      </c>
      <c r="BN197" s="514">
        <v>0</v>
      </c>
      <c r="BO197" s="514">
        <v>0</v>
      </c>
      <c r="BP197" s="514">
        <v>1030.716636843609</v>
      </c>
      <c r="BQ197" s="514">
        <v>933.02118417741838</v>
      </c>
      <c r="BR197" s="514">
        <v>0</v>
      </c>
      <c r="BS197" s="515">
        <v>0</v>
      </c>
      <c r="BT197" s="512">
        <v>0.92936201336934898</v>
      </c>
      <c r="BU197" s="1026">
        <v>0.89604705720996503</v>
      </c>
      <c r="BV197" s="513">
        <v>0.92936201336934898</v>
      </c>
      <c r="BW197" s="513">
        <v>0.90141962176582857</v>
      </c>
      <c r="BX197" s="510">
        <v>51.796999999999997</v>
      </c>
      <c r="BY197" s="510">
        <v>1281.4669999999999</v>
      </c>
      <c r="BZ197" s="514">
        <v>77.312449475454287</v>
      </c>
      <c r="CA197" s="514">
        <v>83.072219498411982</v>
      </c>
      <c r="CB197" s="510">
        <v>1.8746259435874664</v>
      </c>
      <c r="CC197" s="510">
        <v>1.9814634321445659</v>
      </c>
      <c r="CD197" s="582">
        <v>0.19885321543718751</v>
      </c>
      <c r="CE197" s="582">
        <v>4.6040982717463659E-2</v>
      </c>
      <c r="CF197" s="514">
        <v>777.51317643878292</v>
      </c>
      <c r="CG197" s="514">
        <v>901.34847015178661</v>
      </c>
      <c r="CH197" s="582">
        <v>544.44570148850414</v>
      </c>
      <c r="CI197" s="582">
        <v>122.59508360340143</v>
      </c>
      <c r="CJ197" s="514">
        <v>0</v>
      </c>
      <c r="CK197" s="514">
        <v>15.950469266863683</v>
      </c>
    </row>
    <row r="198" spans="1:89" ht="12.75" customHeight="1">
      <c r="A198" s="560">
        <v>45868</v>
      </c>
      <c r="B198" s="512">
        <v>0.89963119048086371</v>
      </c>
      <c r="C198" s="513">
        <v>0.8393375011815174</v>
      </c>
      <c r="D198" s="513">
        <v>0.89963119048086371</v>
      </c>
      <c r="E198" s="513">
        <v>0.84050678604691997</v>
      </c>
      <c r="F198" s="510">
        <v>52.741999999999997</v>
      </c>
      <c r="G198" s="510">
        <v>1618.3820000000005</v>
      </c>
      <c r="H198" s="510">
        <v>2.3927989078912444</v>
      </c>
      <c r="I198" s="510">
        <v>2.438395261440129</v>
      </c>
      <c r="J198" s="510">
        <v>972.89901786051951</v>
      </c>
      <c r="K198" s="511">
        <v>1033.2860350646488</v>
      </c>
      <c r="L198" s="512">
        <v>0.98781386155987561</v>
      </c>
      <c r="M198" s="513">
        <v>0.8768513971198757</v>
      </c>
      <c r="N198" s="513">
        <v>0.98781386155987561</v>
      </c>
      <c r="O198" s="513">
        <v>0.90328907585249718</v>
      </c>
      <c r="P198" s="510">
        <v>74.697999999999993</v>
      </c>
      <c r="Q198" s="510">
        <v>1771.1550000000002</v>
      </c>
      <c r="R198" s="510">
        <v>2.2916410077913736</v>
      </c>
      <c r="S198" s="510">
        <v>2.6196668275786141</v>
      </c>
      <c r="T198" s="510">
        <v>0.23561541138986322</v>
      </c>
      <c r="U198" s="510">
        <v>0.22781744116127609</v>
      </c>
      <c r="V198" s="510">
        <v>456.5779538943595</v>
      </c>
      <c r="W198" s="510">
        <v>612.88344611284765</v>
      </c>
      <c r="X198" s="510">
        <v>381.44260890519155</v>
      </c>
      <c r="Y198" s="569">
        <v>526.16174191417451</v>
      </c>
      <c r="Z198" s="512">
        <v>0.93418120338973043</v>
      </c>
      <c r="AA198" s="1026">
        <v>0.87894880591694469</v>
      </c>
      <c r="AB198" s="513">
        <v>0.93418120338973043</v>
      </c>
      <c r="AC198" s="513">
        <v>0.88046973254377647</v>
      </c>
      <c r="AD198" s="510">
        <v>44.423000000000002</v>
      </c>
      <c r="AE198" s="510">
        <v>1207.5450000000003</v>
      </c>
      <c r="AF198" s="510">
        <v>93.001999742368426</v>
      </c>
      <c r="AG198" s="510">
        <v>98.824496403798591</v>
      </c>
      <c r="AH198" s="510">
        <v>1.4024266708686941</v>
      </c>
      <c r="AI198" s="510">
        <v>1.4927808073405127</v>
      </c>
      <c r="AJ198" s="510">
        <v>841.06521396573839</v>
      </c>
      <c r="AK198" s="510">
        <v>887.36363448152974</v>
      </c>
      <c r="AL198" s="576">
        <v>0</v>
      </c>
      <c r="AM198" s="577">
        <v>0</v>
      </c>
      <c r="AN198" s="512">
        <v>0.96653221638472786</v>
      </c>
      <c r="AO198" s="1026">
        <v>0.87989355673919489</v>
      </c>
      <c r="AP198" s="513">
        <v>0.96653221638472786</v>
      </c>
      <c r="AQ198" s="513">
        <v>0.89239844917166145</v>
      </c>
      <c r="AR198" s="510">
        <v>51.1</v>
      </c>
      <c r="AS198" s="510">
        <v>1356.405</v>
      </c>
      <c r="AT198" s="514">
        <v>108.9897867605651</v>
      </c>
      <c r="AU198" s="514">
        <v>105.14224846128086</v>
      </c>
      <c r="AV198" s="510">
        <v>1.4461839530332681</v>
      </c>
      <c r="AW198" s="510">
        <v>1.5275673563574301</v>
      </c>
      <c r="AX198" s="510">
        <v>0.17808219178082191</v>
      </c>
      <c r="AY198" s="510">
        <v>7.7115610750476432E-2</v>
      </c>
      <c r="AZ198" s="510">
        <v>871.48023483365864</v>
      </c>
      <c r="BA198" s="510">
        <v>930.58601228983969</v>
      </c>
      <c r="BB198" s="510">
        <v>447.10356164383296</v>
      </c>
      <c r="BC198" s="510">
        <v>231.25160847976827</v>
      </c>
      <c r="BD198" s="510">
        <v>0</v>
      </c>
      <c r="BE198" s="510">
        <v>17.583243942627757</v>
      </c>
      <c r="BF198" s="512">
        <v>0.79953816040470094</v>
      </c>
      <c r="BG198" s="513">
        <v>0.87487822999750109</v>
      </c>
      <c r="BH198" s="513">
        <v>0.79953816040470094</v>
      </c>
      <c r="BI198" s="513">
        <v>0.8775542036163102</v>
      </c>
      <c r="BJ198" s="510">
        <v>41.308999999999997</v>
      </c>
      <c r="BK198" s="510">
        <v>1400.5310000000002</v>
      </c>
      <c r="BL198" s="510">
        <v>3.1058607083202214</v>
      </c>
      <c r="BM198" s="510">
        <v>2.7792315914463872</v>
      </c>
      <c r="BN198" s="514">
        <v>0</v>
      </c>
      <c r="BO198" s="514">
        <v>0</v>
      </c>
      <c r="BP198" s="514">
        <v>1078.5920743663908</v>
      </c>
      <c r="BQ198" s="514">
        <v>937.31483273129993</v>
      </c>
      <c r="BR198" s="514">
        <v>0</v>
      </c>
      <c r="BS198" s="515">
        <v>0</v>
      </c>
      <c r="BT198" s="512">
        <v>0.89900748944563569</v>
      </c>
      <c r="BU198" s="1026">
        <v>0.89615860609005427</v>
      </c>
      <c r="BV198" s="513">
        <v>0.89900748944563569</v>
      </c>
      <c r="BW198" s="513">
        <v>0.90132820848392681</v>
      </c>
      <c r="BX198" s="510">
        <v>50.341999999999999</v>
      </c>
      <c r="BY198" s="510">
        <v>1331.809</v>
      </c>
      <c r="BZ198" s="514">
        <v>82.439991696394458</v>
      </c>
      <c r="CA198" s="514">
        <v>83.048321467981808</v>
      </c>
      <c r="CB198" s="510">
        <v>1.9705216320368679</v>
      </c>
      <c r="CC198" s="510">
        <v>1.9810498352241201</v>
      </c>
      <c r="CD198" s="582">
        <v>0.19069564181001947</v>
      </c>
      <c r="CE198" s="582">
        <v>5.150888753567516E-2</v>
      </c>
      <c r="CF198" s="514">
        <v>719.68058479995523</v>
      </c>
      <c r="CG198" s="514">
        <v>894.48147594737588</v>
      </c>
      <c r="CH198" s="582">
        <v>491.65523817090804</v>
      </c>
      <c r="CI198" s="582">
        <v>136.54545208809961</v>
      </c>
      <c r="CJ198" s="514">
        <v>0</v>
      </c>
      <c r="CK198" s="514">
        <v>15.347546082058313</v>
      </c>
    </row>
    <row r="199" spans="1:89" ht="12.75" customHeight="1">
      <c r="A199" s="560">
        <v>45869</v>
      </c>
      <c r="B199" s="512">
        <v>0.84132217307710055</v>
      </c>
      <c r="C199" s="513">
        <v>0.83939758980569712</v>
      </c>
      <c r="D199" s="513">
        <v>0.84132217307710055</v>
      </c>
      <c r="E199" s="513">
        <v>0.84053150634019802</v>
      </c>
      <c r="F199" s="510">
        <v>50.648000000000003</v>
      </c>
      <c r="G199" s="510">
        <v>1669.0300000000004</v>
      </c>
      <c r="H199" s="510">
        <v>2.4645198230927186</v>
      </c>
      <c r="I199" s="510">
        <v>2.4391880313715144</v>
      </c>
      <c r="J199" s="510">
        <v>1039.2122097615347</v>
      </c>
      <c r="K199" s="511">
        <v>1033.4658693971942</v>
      </c>
      <c r="L199" s="512">
        <v>1.0064662978848784</v>
      </c>
      <c r="M199" s="513">
        <v>0.88164645374478923</v>
      </c>
      <c r="N199" s="513">
        <v>1.0064662978848784</v>
      </c>
      <c r="O199" s="513">
        <v>0.90721678437063535</v>
      </c>
      <c r="P199" s="510">
        <v>78.097999999999999</v>
      </c>
      <c r="Q199" s="510">
        <v>1849.2530000000002</v>
      </c>
      <c r="R199" s="510">
        <v>2.2478168455018057</v>
      </c>
      <c r="S199" s="510">
        <v>2.6039627892992474</v>
      </c>
      <c r="T199" s="510">
        <v>0.24584496401956515</v>
      </c>
      <c r="U199" s="510">
        <v>0.22857878289233541</v>
      </c>
      <c r="V199" s="510">
        <v>419.64621373146156</v>
      </c>
      <c r="W199" s="510">
        <v>604.72261502347192</v>
      </c>
      <c r="X199" s="510">
        <v>422.54603190862758</v>
      </c>
      <c r="Y199" s="569">
        <v>521.7858237893895</v>
      </c>
      <c r="Z199" s="512">
        <v>0.96785843453719056</v>
      </c>
      <c r="AA199" s="1026">
        <v>0.88193173114859524</v>
      </c>
      <c r="AB199" s="513">
        <v>0.96785843453719056</v>
      </c>
      <c r="AC199" s="513">
        <v>0.88340653340367237</v>
      </c>
      <c r="AD199" s="510">
        <v>46.16</v>
      </c>
      <c r="AE199" s="510">
        <v>1253.7050000000004</v>
      </c>
      <c r="AF199" s="510">
        <v>90.473737788659889</v>
      </c>
      <c r="AG199" s="510">
        <v>98.517030917360543</v>
      </c>
      <c r="AH199" s="510">
        <v>1.3388214904679376</v>
      </c>
      <c r="AI199" s="510">
        <v>1.4871121994408565</v>
      </c>
      <c r="AJ199" s="510">
        <v>830.24306759097988</v>
      </c>
      <c r="AK199" s="510">
        <v>885.26051981925434</v>
      </c>
      <c r="AL199" s="576">
        <v>0</v>
      </c>
      <c r="AM199" s="577">
        <v>0</v>
      </c>
      <c r="AN199" s="512">
        <v>0.98297038004297099</v>
      </c>
      <c r="AO199" s="1026">
        <v>0.88320076687716276</v>
      </c>
      <c r="AP199" s="513">
        <v>0.98297038004297099</v>
      </c>
      <c r="AQ199" s="513">
        <v>0.89534439715396263</v>
      </c>
      <c r="AR199" s="510">
        <v>50.23</v>
      </c>
      <c r="AS199" s="510">
        <v>1406.635</v>
      </c>
      <c r="AT199" s="514">
        <v>110.50623905447874</v>
      </c>
      <c r="AU199" s="514">
        <v>105.33379299664101</v>
      </c>
      <c r="AV199" s="510">
        <v>1.4334063308779614</v>
      </c>
      <c r="AW199" s="510">
        <v>1.5242049287839419</v>
      </c>
      <c r="AX199" s="510">
        <v>0.17917579135974518</v>
      </c>
      <c r="AY199" s="510">
        <v>8.076011189825362E-2</v>
      </c>
      <c r="AZ199" s="510">
        <v>846.98427234720293</v>
      </c>
      <c r="BA199" s="510">
        <v>927.60064977766092</v>
      </c>
      <c r="BB199" s="510">
        <v>483.91128807485893</v>
      </c>
      <c r="BC199" s="510">
        <v>240.2739175407979</v>
      </c>
      <c r="BD199" s="510">
        <v>0</v>
      </c>
      <c r="BE199" s="510">
        <v>16.955357999765397</v>
      </c>
      <c r="BF199" s="512">
        <v>1.0666989044765407</v>
      </c>
      <c r="BG199" s="513">
        <v>0.88101947107260103</v>
      </c>
      <c r="BH199" s="513">
        <v>1.0666989044765407</v>
      </c>
      <c r="BI199" s="513">
        <v>0.88362769927484108</v>
      </c>
      <c r="BJ199" s="510">
        <v>56.478000000000002</v>
      </c>
      <c r="BK199" s="510">
        <v>1457.0090000000002</v>
      </c>
      <c r="BL199" s="510">
        <v>2.2769928113601754</v>
      </c>
      <c r="BM199" s="510">
        <v>2.7597633233562728</v>
      </c>
      <c r="BN199" s="514">
        <v>0</v>
      </c>
      <c r="BO199" s="514">
        <v>0</v>
      </c>
      <c r="BP199" s="514">
        <v>824.54902794005864</v>
      </c>
      <c r="BQ199" s="514">
        <v>932.94369492569979</v>
      </c>
      <c r="BR199" s="514">
        <v>0</v>
      </c>
      <c r="BS199" s="515">
        <v>0</v>
      </c>
      <c r="BT199" s="512">
        <v>0.99336552476772166</v>
      </c>
      <c r="BU199" s="1026">
        <v>0.89958178262093658</v>
      </c>
      <c r="BV199" s="513">
        <v>0.99336552476772166</v>
      </c>
      <c r="BW199" s="513">
        <v>0.90458737037626458</v>
      </c>
      <c r="BX199" s="510">
        <v>53.884999999999998</v>
      </c>
      <c r="BY199" s="510">
        <v>1385.694</v>
      </c>
      <c r="BZ199" s="514">
        <v>76.793242571568939</v>
      </c>
      <c r="CA199" s="514">
        <v>82.805082393313654</v>
      </c>
      <c r="CB199" s="510">
        <v>1.8279669666883178</v>
      </c>
      <c r="CC199" s="510">
        <v>1.9750969550275892</v>
      </c>
      <c r="CD199" s="582">
        <v>0.18001299062818965</v>
      </c>
      <c r="CE199" s="582">
        <v>5.6505981840146526E-2</v>
      </c>
      <c r="CF199" s="514">
        <v>697.15468126566066</v>
      </c>
      <c r="CG199" s="514">
        <v>886.8080976030775</v>
      </c>
      <c r="CH199" s="582">
        <v>488.67840772014802</v>
      </c>
      <c r="CI199" s="582">
        <v>150.23872370090368</v>
      </c>
      <c r="CJ199" s="514">
        <v>0</v>
      </c>
      <c r="CK199" s="514">
        <v>14.750731402459706</v>
      </c>
    </row>
    <row r="200" spans="1:89" ht="12.75" customHeight="1">
      <c r="A200" s="560"/>
      <c r="B200" s="512"/>
      <c r="C200" s="513"/>
      <c r="D200" s="513"/>
      <c r="E200" s="513"/>
      <c r="F200" s="510"/>
      <c r="G200" s="510"/>
      <c r="H200" s="510"/>
      <c r="I200" s="510"/>
      <c r="J200" s="510"/>
      <c r="K200" s="511"/>
      <c r="L200" s="512"/>
      <c r="M200" s="513"/>
      <c r="N200" s="513"/>
      <c r="O200" s="513"/>
      <c r="P200" s="510"/>
      <c r="Q200" s="510"/>
      <c r="R200" s="510"/>
      <c r="S200" s="510"/>
      <c r="T200" s="510"/>
      <c r="U200" s="510"/>
      <c r="V200" s="510"/>
      <c r="W200" s="510"/>
      <c r="X200" s="510"/>
      <c r="Y200" s="569"/>
      <c r="Z200" s="512"/>
      <c r="AA200" s="513"/>
      <c r="AB200" s="513"/>
      <c r="AC200" s="513"/>
      <c r="AD200" s="510"/>
      <c r="AE200" s="510"/>
      <c r="AF200" s="510"/>
      <c r="AG200" s="510"/>
      <c r="AH200" s="510"/>
      <c r="AI200" s="510"/>
      <c r="AJ200" s="510"/>
      <c r="AK200" s="569"/>
      <c r="AL200" s="510"/>
      <c r="AM200" s="569"/>
      <c r="AN200" s="512"/>
      <c r="AO200" s="513"/>
      <c r="AP200" s="513"/>
      <c r="AQ200" s="513"/>
      <c r="AR200" s="510"/>
      <c r="AS200" s="510"/>
      <c r="AT200" s="514"/>
      <c r="AU200" s="514"/>
      <c r="AV200" s="510"/>
      <c r="AW200" s="510"/>
      <c r="AX200" s="510"/>
      <c r="AY200" s="510"/>
      <c r="AZ200" s="510"/>
      <c r="BA200" s="510"/>
      <c r="BB200" s="510"/>
      <c r="BC200" s="569"/>
      <c r="BD200" s="510"/>
      <c r="BE200" s="511"/>
      <c r="BF200" s="512"/>
      <c r="BG200" s="513"/>
      <c r="BH200" s="513"/>
      <c r="BI200" s="513"/>
      <c r="BJ200" s="510"/>
      <c r="BK200" s="510"/>
      <c r="BL200" s="510"/>
      <c r="BM200" s="510"/>
      <c r="BN200" s="514"/>
      <c r="BO200" s="514"/>
      <c r="BP200" s="514"/>
      <c r="BQ200" s="514"/>
      <c r="BR200" s="514"/>
      <c r="BS200" s="515"/>
      <c r="BT200" s="512"/>
      <c r="BU200" s="513"/>
      <c r="BV200" s="513"/>
      <c r="BW200" s="513"/>
      <c r="BX200" s="510"/>
      <c r="BY200" s="510"/>
      <c r="BZ200" s="510"/>
      <c r="CA200" s="510"/>
      <c r="CB200" s="510"/>
      <c r="CC200" s="510"/>
      <c r="CD200" s="510"/>
      <c r="CE200" s="510"/>
      <c r="CF200" s="1023"/>
      <c r="CG200" s="514"/>
      <c r="CH200" s="514"/>
      <c r="CI200" s="514"/>
      <c r="CJ200" s="514"/>
      <c r="CK200" s="515"/>
    </row>
    <row r="201" spans="1:89" ht="12.75" customHeight="1" thickBot="1">
      <c r="A201" s="588" t="s">
        <v>226</v>
      </c>
      <c r="B201" s="718">
        <f>+'[11]eff all'!$B$41:$C$41</f>
        <v>0.83939758980569712</v>
      </c>
      <c r="C201" s="719"/>
      <c r="D201" s="720">
        <f>+'[11]eff all'!$D$41:$E$41</f>
        <v>0.84053150634019802</v>
      </c>
      <c r="E201" s="719"/>
      <c r="F201" s="722">
        <f>+'[11]eff all'!$F$41:$G$41</f>
        <v>1669.0300000000004</v>
      </c>
      <c r="G201" s="723"/>
      <c r="H201" s="713">
        <f>+'[11]eff all'!$H$41:$I$41</f>
        <v>2.4391880313715144</v>
      </c>
      <c r="I201" s="714"/>
      <c r="J201" s="715">
        <f>+'[11]eff all'!$J$41:$K$41</f>
        <v>1033.4658693971942</v>
      </c>
      <c r="K201" s="717"/>
      <c r="L201" s="718">
        <f>+'[11]eff all'!$L$41:$M$41</f>
        <v>0.88164645374478923</v>
      </c>
      <c r="M201" s="719"/>
      <c r="N201" s="720">
        <f>+'[11]eff all'!$N$41:$O$41</f>
        <v>0.90721678437063535</v>
      </c>
      <c r="O201" s="719"/>
      <c r="P201" s="715">
        <f>+'[11]eff all'!$P$41:$Q$41</f>
        <v>1849.2530000000002</v>
      </c>
      <c r="Q201" s="716"/>
      <c r="R201" s="713">
        <f>+'[11]eff all'!$R$41:$S$41</f>
        <v>2.6039627892992474</v>
      </c>
      <c r="S201" s="714"/>
      <c r="T201" s="713">
        <f>+'[11]eff all'!$T$41:$U$41</f>
        <v>0.22857878289233541</v>
      </c>
      <c r="U201" s="714"/>
      <c r="V201" s="715">
        <f>+'[11]eff all'!$V$41:$W$41</f>
        <v>604.72261502347192</v>
      </c>
      <c r="W201" s="716"/>
      <c r="X201" s="715">
        <f>+'[11]eff all'!$X$41:$Y$41</f>
        <v>521.7858237893895</v>
      </c>
      <c r="Y201" s="717"/>
      <c r="Z201" s="718">
        <f>+'[11]eff all'!$Z$41:$AA$41</f>
        <v>0.88193173114859524</v>
      </c>
      <c r="AA201" s="719"/>
      <c r="AB201" s="720">
        <f>+'[11]eff all'!$AB$41:$AC$41</f>
        <v>0.88340653340367237</v>
      </c>
      <c r="AC201" s="719"/>
      <c r="AD201" s="722">
        <f>+'[11]eff all'!$AD$41:$AE$41</f>
        <v>1253.7050000000004</v>
      </c>
      <c r="AE201" s="723"/>
      <c r="AF201" s="715">
        <f>+'[11]eff all'!$AF$41:$AG$41</f>
        <v>98.517030917360543</v>
      </c>
      <c r="AG201" s="716"/>
      <c r="AH201" s="713">
        <f>+'[11]eff all'!$AH$41:$AI$41</f>
        <v>1.4871121994408565</v>
      </c>
      <c r="AI201" s="714"/>
      <c r="AJ201" s="713">
        <f>+'[11]eff all'!$AJ$41:$AK$41</f>
        <v>885.26051981925434</v>
      </c>
      <c r="AK201" s="714"/>
      <c r="AL201" s="715">
        <f>+'[11]eff all'!$AL$41:$AM$41</f>
        <v>0</v>
      </c>
      <c r="AM201" s="717"/>
      <c r="AN201" s="718">
        <f>+'[11]eff all'!$AN$41:$AO$41</f>
        <v>0.88320076687716276</v>
      </c>
      <c r="AO201" s="719"/>
      <c r="AP201" s="720">
        <f>+'[11]eff all'!$AP$41:$AQ$41</f>
        <v>0.89534439715396263</v>
      </c>
      <c r="AQ201" s="719"/>
      <c r="AR201" s="724">
        <f>+'[11]eff all'!$AR$41:$AS$41</f>
        <v>1406.635</v>
      </c>
      <c r="AS201" s="725"/>
      <c r="AT201" s="715">
        <f>+'[11]eff all'!$AT$41:$AU$41</f>
        <v>105.33379299664101</v>
      </c>
      <c r="AU201" s="716"/>
      <c r="AV201" s="713">
        <f>+'[11]eff all'!$AV$41:$AW$41</f>
        <v>1.5242049287839419</v>
      </c>
      <c r="AW201" s="714"/>
      <c r="AX201" s="713">
        <f>+'[11]eff all'!$AX$41:$AY$41</f>
        <v>8.076011189825362E-2</v>
      </c>
      <c r="AY201" s="714"/>
      <c r="AZ201" s="715">
        <f>+'[11]eff all'!$AZ$41:$BA$41</f>
        <v>927.60064977766092</v>
      </c>
      <c r="BA201" s="716"/>
      <c r="BB201" s="715">
        <f>+'[11]eff all'!$BB$41:$BC$41</f>
        <v>240.2739175407979</v>
      </c>
      <c r="BC201" s="716"/>
      <c r="BD201" s="715">
        <f>+'[11]eff all'!$BD$41:$BE$41</f>
        <v>16.955357999765397</v>
      </c>
      <c r="BE201" s="717"/>
      <c r="BF201" s="718">
        <f>+'[11]eff all'!$BF$41:$BG$41</f>
        <v>0.88101947107260103</v>
      </c>
      <c r="BG201" s="719"/>
      <c r="BH201" s="735">
        <f>+'[11]eff all'!$BH$41:$BI$41</f>
        <v>0.88362769927484108</v>
      </c>
      <c r="BI201" s="736"/>
      <c r="BJ201" s="722">
        <f>+'[11]eff all'!$BJ$41:$BK$41</f>
        <v>1457.0090000000002</v>
      </c>
      <c r="BK201" s="723"/>
      <c r="BL201" s="713">
        <f>+'[11]eff all'!$BL$41:$BM$41</f>
        <v>2.7597633233562728</v>
      </c>
      <c r="BM201" s="714"/>
      <c r="BN201" s="713">
        <f>+'[11]eff all'!$BN$41:$BO$41</f>
        <v>0</v>
      </c>
      <c r="BO201" s="714"/>
      <c r="BP201" s="715">
        <f>+'[11]eff all'!$BP$41:$BQ$41</f>
        <v>932.94369492569979</v>
      </c>
      <c r="BQ201" s="716"/>
      <c r="BR201" s="715">
        <f>+'[11]eff all'!$BR$41:$BS$41</f>
        <v>0</v>
      </c>
      <c r="BS201" s="717"/>
      <c r="BT201" s="718">
        <f>+'[11]eff all'!$BT$41:$BU$41</f>
        <v>0.89958178262093658</v>
      </c>
      <c r="BU201" s="719"/>
      <c r="BV201" s="720">
        <f>+'[11]eff all'!$BV$41:$BW$41</f>
        <v>0.90458737037626458</v>
      </c>
      <c r="BW201" s="719"/>
      <c r="BX201" s="722">
        <f>+'[11]eff all'!$BX$41:$BY$41</f>
        <v>1385.694</v>
      </c>
      <c r="BY201" s="723"/>
      <c r="BZ201" s="715">
        <f>+'[11]eff all'!$BZ$41:$CA$41</f>
        <v>82.805082393313654</v>
      </c>
      <c r="CA201" s="716"/>
      <c r="CB201" s="713">
        <f>+'[11]eff all'!$CB$41:$CC$41</f>
        <v>1.9750969550275892</v>
      </c>
      <c r="CC201" s="714"/>
      <c r="CD201" s="713">
        <f>+'[11]eff all'!$CD$41:$CE$41</f>
        <v>5.6505981840146526E-2</v>
      </c>
      <c r="CE201" s="714"/>
      <c r="CF201" s="715">
        <f>+'[11]eff all'!$CF$41:$CG$41</f>
        <v>886.8080976030775</v>
      </c>
      <c r="CG201" s="716"/>
      <c r="CH201" s="730">
        <f>+'[11]eff all'!$CH$41:$CI$41</f>
        <v>150.23872370090368</v>
      </c>
      <c r="CI201" s="730"/>
      <c r="CJ201" s="730">
        <f>+'[11]eff all'!$CJ$41:$CK$41</f>
        <v>14.750731402459706</v>
      </c>
      <c r="CK201" s="807"/>
    </row>
    <row r="202" spans="1:89" ht="14.25" customHeight="1" thickTop="1">
      <c r="A202" s="559">
        <v>45809</v>
      </c>
      <c r="B202" s="518">
        <v>0.8513144500911296</v>
      </c>
      <c r="C202" s="519">
        <v>0.8513144500911296</v>
      </c>
      <c r="D202" s="519">
        <v>0.8513144500911296</v>
      </c>
      <c r="E202" s="519">
        <v>0.8513144500911296</v>
      </c>
      <c r="F202" s="520">
        <v>49.875</v>
      </c>
      <c r="G202" s="520">
        <v>49.875</v>
      </c>
      <c r="H202" s="520">
        <v>2.4994887218045112</v>
      </c>
      <c r="I202" s="520">
        <v>2.4994887218045112</v>
      </c>
      <c r="J202" s="520">
        <v>1160.5862656641568</v>
      </c>
      <c r="K202" s="548">
        <v>1160.5862656641568</v>
      </c>
      <c r="L202" s="518">
        <v>0.94186355247579912</v>
      </c>
      <c r="M202" s="519">
        <v>0.94186355247579912</v>
      </c>
      <c r="N202" s="519">
        <v>0.94186355247579912</v>
      </c>
      <c r="O202" s="519">
        <v>0.94186355247579912</v>
      </c>
      <c r="P202" s="520">
        <v>66.771000000000001</v>
      </c>
      <c r="Q202" s="520">
        <v>66.771000000000001</v>
      </c>
      <c r="R202" s="520">
        <v>2.4408500696410118</v>
      </c>
      <c r="S202" s="520">
        <v>2.4408500696410118</v>
      </c>
      <c r="T202" s="520">
        <v>0.24711326773599318</v>
      </c>
      <c r="U202" s="520">
        <v>0.24711326773599318</v>
      </c>
      <c r="V202" s="520">
        <v>635.29136900750325</v>
      </c>
      <c r="W202" s="520">
        <v>635.29136900750325</v>
      </c>
      <c r="X202" s="520">
        <v>468.76638061433857</v>
      </c>
      <c r="Y202" s="556">
        <v>468.76638061433857</v>
      </c>
      <c r="Z202" s="518">
        <v>0.89811009526456675</v>
      </c>
      <c r="AA202" s="519">
        <v>0.89811009526456675</v>
      </c>
      <c r="AB202" s="519">
        <v>0.89811009526456675</v>
      </c>
      <c r="AC202" s="519">
        <v>0.89811009526456675</v>
      </c>
      <c r="AD202" s="520">
        <v>43.427</v>
      </c>
      <c r="AE202" s="520">
        <v>43.427</v>
      </c>
      <c r="AF202" s="520">
        <v>104.62797503253809</v>
      </c>
      <c r="AG202" s="520">
        <v>104.62797503253809</v>
      </c>
      <c r="AH202" s="520">
        <v>1.492159255762544</v>
      </c>
      <c r="AI202" s="520">
        <v>1.492159255762544</v>
      </c>
      <c r="AJ202" s="520">
        <v>834.02859971906889</v>
      </c>
      <c r="AK202" s="520">
        <v>834.02859971906889</v>
      </c>
      <c r="AL202" s="520">
        <v>0</v>
      </c>
      <c r="AM202" s="556">
        <v>0</v>
      </c>
      <c r="AN202" s="518">
        <v>0.95492792243580915</v>
      </c>
      <c r="AO202" s="519">
        <v>0.95492792243580915</v>
      </c>
      <c r="AP202" s="519">
        <v>0.95492792243580915</v>
      </c>
      <c r="AQ202" s="519">
        <v>0.95492792243580915</v>
      </c>
      <c r="AR202" s="520">
        <v>50.771999999999998</v>
      </c>
      <c r="AS202" s="520">
        <v>50.771999999999998</v>
      </c>
      <c r="AT202" s="521">
        <v>108.057872579478</v>
      </c>
      <c r="AU202" s="521">
        <v>108.057872579478</v>
      </c>
      <c r="AV202" s="520">
        <v>1.3688647285905617</v>
      </c>
      <c r="AW202" s="520">
        <v>1.3688647285905617</v>
      </c>
      <c r="AX202" s="520">
        <v>0.16938470022847238</v>
      </c>
      <c r="AY202" s="520">
        <v>0.16938470022847238</v>
      </c>
      <c r="AZ202" s="520">
        <v>793.92893720948609</v>
      </c>
      <c r="BA202" s="520">
        <v>793.92893720948609</v>
      </c>
      <c r="BB202" s="520">
        <v>463.83833609076095</v>
      </c>
      <c r="BC202" s="548">
        <v>463.83833609076095</v>
      </c>
      <c r="BD202" s="1027">
        <v>0</v>
      </c>
      <c r="BE202" s="548">
        <v>0</v>
      </c>
      <c r="BF202" s="518">
        <v>0.92249332026764741</v>
      </c>
      <c r="BG202" s="519">
        <v>0.92249332026764741</v>
      </c>
      <c r="BH202" s="519">
        <v>0.92249332026764741</v>
      </c>
      <c r="BI202" s="519">
        <v>0.92249332026764741</v>
      </c>
      <c r="BJ202" s="520">
        <v>47.427999999999997</v>
      </c>
      <c r="BK202" s="520">
        <v>47.427999999999997</v>
      </c>
      <c r="BL202" s="520">
        <v>2.7915998987939616</v>
      </c>
      <c r="BM202" s="520">
        <v>2.7915998987939616</v>
      </c>
      <c r="BN202" s="521">
        <v>0</v>
      </c>
      <c r="BO202" s="521">
        <v>0</v>
      </c>
      <c r="BP202" s="520">
        <v>985.13006090833346</v>
      </c>
      <c r="BQ202" s="521">
        <v>985.13006090833346</v>
      </c>
      <c r="BR202" s="521">
        <v>0</v>
      </c>
      <c r="BS202" s="1028">
        <v>0</v>
      </c>
      <c r="BT202" s="518">
        <v>0.94384464947360525</v>
      </c>
      <c r="BU202" s="519">
        <v>0.94384464947360525</v>
      </c>
      <c r="BV202" s="519">
        <v>0.94384464947360525</v>
      </c>
      <c r="BW202" s="519">
        <v>0.94384464947360525</v>
      </c>
      <c r="BX202" s="520">
        <v>48.625999999999998</v>
      </c>
      <c r="BY202" s="520">
        <v>48.625999999999998</v>
      </c>
      <c r="BZ202" s="521">
        <v>74.466471057802679</v>
      </c>
      <c r="CA202" s="521">
        <v>74.466471057802679</v>
      </c>
      <c r="CB202" s="520">
        <v>1.9372352239542634</v>
      </c>
      <c r="CC202" s="520">
        <v>1.9372352239542634</v>
      </c>
      <c r="CD202" s="521">
        <v>0.174803603010735</v>
      </c>
      <c r="CE202" s="521">
        <v>0.174803603010735</v>
      </c>
      <c r="CF202" s="521">
        <v>777.06003930489067</v>
      </c>
      <c r="CG202" s="521">
        <v>777.06003930489067</v>
      </c>
      <c r="CH202" s="521">
        <v>484.30880598856817</v>
      </c>
      <c r="CI202" s="522">
        <v>484.30880598856817</v>
      </c>
      <c r="CJ202" s="1029"/>
      <c r="CK202" s="583"/>
    </row>
    <row r="203" spans="1:89" ht="14.25" customHeight="1">
      <c r="A203" s="560">
        <v>45810</v>
      </c>
      <c r="B203" s="512">
        <v>0.62075636111139976</v>
      </c>
      <c r="C203" s="513">
        <v>0.72974860426731758</v>
      </c>
      <c r="D203" s="513">
        <v>0.65440918655828295</v>
      </c>
      <c r="E203" s="513">
        <v>0.75008691832552365</v>
      </c>
      <c r="F203" s="510">
        <v>40.563000000000002</v>
      </c>
      <c r="G203" s="510">
        <v>90.438000000000002</v>
      </c>
      <c r="H203" s="510">
        <v>3.4699356556467715</v>
      </c>
      <c r="I203" s="510">
        <v>2.9347508790552643</v>
      </c>
      <c r="J203" s="510">
        <v>1540.9661514187819</v>
      </c>
      <c r="K203" s="511">
        <v>1331.1931931267818</v>
      </c>
      <c r="L203" s="512">
        <v>0.81565926887868412</v>
      </c>
      <c r="M203" s="513">
        <v>0.88014827908377458</v>
      </c>
      <c r="N203" s="513">
        <v>0.81565926887868412</v>
      </c>
      <c r="O203" s="513">
        <v>0.88014827908377458</v>
      </c>
      <c r="P203" s="510">
        <v>55.337000000000003</v>
      </c>
      <c r="Q203" s="510">
        <v>122.108</v>
      </c>
      <c r="R203" s="510">
        <v>2.3958653342248408</v>
      </c>
      <c r="S203" s="510">
        <v>2.4204638516722898</v>
      </c>
      <c r="T203" s="510">
        <v>0.28552324845943944</v>
      </c>
      <c r="U203" s="510">
        <v>0.26451993317391159</v>
      </c>
      <c r="V203" s="510">
        <v>699.88850136437077</v>
      </c>
      <c r="W203" s="510">
        <v>664.56554853081036</v>
      </c>
      <c r="X203" s="510">
        <v>480.69103854563855</v>
      </c>
      <c r="Y203" s="569">
        <v>474.17040652537094</v>
      </c>
      <c r="Z203" s="512">
        <v>0.80794190207289951</v>
      </c>
      <c r="AA203" s="513">
        <v>0.85260133530805937</v>
      </c>
      <c r="AB203" s="513">
        <v>0.80794190207289951</v>
      </c>
      <c r="AC203" s="513">
        <v>0.85260133530805937</v>
      </c>
      <c r="AD203" s="510">
        <v>39.81</v>
      </c>
      <c r="AE203" s="510">
        <v>83.236999999999995</v>
      </c>
      <c r="AF203" s="510">
        <v>119.74585337825154</v>
      </c>
      <c r="AG203" s="510">
        <v>111.85844630063826</v>
      </c>
      <c r="AH203" s="510">
        <v>1.5800050238633507</v>
      </c>
      <c r="AI203" s="510">
        <v>1.5341735045712843</v>
      </c>
      <c r="AJ203" s="510">
        <v>962.56769655865355</v>
      </c>
      <c r="AK203" s="510">
        <v>895.50536420101639</v>
      </c>
      <c r="AL203" s="510">
        <v>0</v>
      </c>
      <c r="AM203" s="569">
        <v>0</v>
      </c>
      <c r="AN203" s="512">
        <v>0.34625307449178105</v>
      </c>
      <c r="AO203" s="513">
        <v>0.65208333854527145</v>
      </c>
      <c r="AP203" s="513">
        <v>0.34625307449178105</v>
      </c>
      <c r="AQ203" s="513">
        <v>0.65208333854527145</v>
      </c>
      <c r="AR203" s="510">
        <v>18.23</v>
      </c>
      <c r="AS203" s="510">
        <v>69.001999999999995</v>
      </c>
      <c r="AT203" s="514">
        <v>158.12841161923751</v>
      </c>
      <c r="AU203" s="514">
        <v>121.28627069395029</v>
      </c>
      <c r="AV203" s="510">
        <v>2.4245748765770707</v>
      </c>
      <c r="AW203" s="510">
        <v>1.6477783252659344</v>
      </c>
      <c r="AX203" s="510">
        <v>0.32912781130005486</v>
      </c>
      <c r="AY203" s="510">
        <v>0.21158806991101708</v>
      </c>
      <c r="AZ203" s="510">
        <v>1725.7169500822811</v>
      </c>
      <c r="BA203" s="510">
        <v>1040.1028955682448</v>
      </c>
      <c r="BB203" s="510">
        <v>824.73944048272233</v>
      </c>
      <c r="BC203" s="511">
        <v>559.18669024086466</v>
      </c>
      <c r="BD203" s="1030">
        <v>0</v>
      </c>
      <c r="BE203" s="511">
        <v>0</v>
      </c>
      <c r="BF203" s="512">
        <v>0.75586659247953603</v>
      </c>
      <c r="BG203" s="513">
        <v>0.83937361830732959</v>
      </c>
      <c r="BH203" s="513">
        <v>0.75586659247953603</v>
      </c>
      <c r="BI203" s="513">
        <v>0.83937361830732959</v>
      </c>
      <c r="BJ203" s="510">
        <v>38.680999999999997</v>
      </c>
      <c r="BK203" s="510">
        <v>86.108999999999995</v>
      </c>
      <c r="BL203" s="510">
        <v>3.3763346345751146</v>
      </c>
      <c r="BM203" s="510">
        <v>3.0542684272259581</v>
      </c>
      <c r="BN203" s="514">
        <v>0</v>
      </c>
      <c r="BO203" s="514">
        <v>0</v>
      </c>
      <c r="BP203" s="514">
        <v>1260.9197624621177</v>
      </c>
      <c r="BQ203" s="514">
        <v>1109.0174762284732</v>
      </c>
      <c r="BR203" s="514">
        <v>0</v>
      </c>
      <c r="BS203" s="1031">
        <v>0</v>
      </c>
      <c r="BT203" s="512">
        <v>0.93027685837456264</v>
      </c>
      <c r="BU203" s="513">
        <v>0.93706075392408394</v>
      </c>
      <c r="BV203" s="513">
        <v>0.93027685837456264</v>
      </c>
      <c r="BW203" s="513">
        <v>0.93706075392408394</v>
      </c>
      <c r="BX203" s="510">
        <v>47.927</v>
      </c>
      <c r="BY203" s="510">
        <v>96.552999999999997</v>
      </c>
      <c r="BZ203" s="514">
        <v>80.731876253324984</v>
      </c>
      <c r="CA203" s="514">
        <v>77.576494307269797</v>
      </c>
      <c r="CB203" s="510">
        <v>1.9550566486531602</v>
      </c>
      <c r="CC203" s="510">
        <v>1.9460814267811462</v>
      </c>
      <c r="CD203" s="514">
        <v>0.27541886619233419</v>
      </c>
      <c r="CE203" s="514">
        <v>0.22474703012853045</v>
      </c>
      <c r="CF203" s="514">
        <v>829.1946641392783</v>
      </c>
      <c r="CG203" s="514">
        <v>802.93863618367959</v>
      </c>
      <c r="CH203" s="514">
        <v>698.24942099443024</v>
      </c>
      <c r="CI203" s="515">
        <v>590.50469690222133</v>
      </c>
      <c r="CJ203" s="1029"/>
      <c r="CK203" s="583"/>
    </row>
    <row r="204" spans="1:89" ht="12.75" customHeight="1">
      <c r="A204" s="560">
        <v>45811</v>
      </c>
      <c r="B204" s="512">
        <v>0.93548740002183073</v>
      </c>
      <c r="C204" s="513">
        <v>0.79871778875900534</v>
      </c>
      <c r="D204" s="513">
        <v>0.97616076524017126</v>
      </c>
      <c r="E204" s="513">
        <v>0.82511558891751025</v>
      </c>
      <c r="F204" s="510">
        <v>58.463000000000001</v>
      </c>
      <c r="G204" s="510">
        <v>148.90100000000001</v>
      </c>
      <c r="H204" s="510">
        <v>2.3021227100901425</v>
      </c>
      <c r="I204" s="510">
        <v>2.6863620795024881</v>
      </c>
      <c r="J204" s="510">
        <v>1079.5439850846221</v>
      </c>
      <c r="K204" s="511">
        <v>1232.3881639478727</v>
      </c>
      <c r="L204" s="512">
        <v>0.97873059305346322</v>
      </c>
      <c r="M204" s="513">
        <v>0.91314286688009882</v>
      </c>
      <c r="N204" s="513">
        <v>0.97873059305346322</v>
      </c>
      <c r="O204" s="513">
        <v>0.91314286688009882</v>
      </c>
      <c r="P204" s="510">
        <v>68.308000000000007</v>
      </c>
      <c r="Q204" s="510">
        <v>190.416</v>
      </c>
      <c r="R204" s="510">
        <v>1.9406218890905895</v>
      </c>
      <c r="S204" s="510">
        <v>2.2483299722712378</v>
      </c>
      <c r="T204" s="510">
        <v>0.21227381858640273</v>
      </c>
      <c r="U204" s="510">
        <v>0.24577766574237458</v>
      </c>
      <c r="V204" s="510">
        <v>581.29223517011314</v>
      </c>
      <c r="W204" s="510">
        <v>634.69288295101398</v>
      </c>
      <c r="X204" s="510">
        <v>409.90806347719155</v>
      </c>
      <c r="Y204" s="569">
        <v>451.11755314679442</v>
      </c>
      <c r="Z204" s="512">
        <v>0.93752817424496837</v>
      </c>
      <c r="AA204" s="513">
        <v>0.88025319633057941</v>
      </c>
      <c r="AB204" s="513">
        <v>0.93752817424496837</v>
      </c>
      <c r="AC204" s="513">
        <v>0.88025319633057941</v>
      </c>
      <c r="AD204" s="510">
        <v>44.189</v>
      </c>
      <c r="AE204" s="510">
        <v>127.42599999999999</v>
      </c>
      <c r="AF204" s="510">
        <v>110.19280805111698</v>
      </c>
      <c r="AG204" s="510">
        <v>111.28083350098909</v>
      </c>
      <c r="AH204" s="510">
        <v>1.4370092104369865</v>
      </c>
      <c r="AI204" s="510">
        <v>1.500478709211621</v>
      </c>
      <c r="AJ204" s="510">
        <v>739.0513476204485</v>
      </c>
      <c r="AK204" s="510">
        <v>841.24998038077001</v>
      </c>
      <c r="AL204" s="510">
        <v>0</v>
      </c>
      <c r="AM204" s="569">
        <v>0</v>
      </c>
      <c r="AN204" s="512">
        <v>0.82299208544864899</v>
      </c>
      <c r="AO204" s="513">
        <v>0.70886631708807057</v>
      </c>
      <c r="AP204" s="513">
        <v>0.82299208544864899</v>
      </c>
      <c r="AQ204" s="513">
        <v>0.70886631708807057</v>
      </c>
      <c r="AR204" s="510">
        <v>43.33</v>
      </c>
      <c r="AS204" s="510">
        <v>112.33199999999999</v>
      </c>
      <c r="AT204" s="514">
        <v>102.63768988471799</v>
      </c>
      <c r="AU204" s="514">
        <v>114.09292412784237</v>
      </c>
      <c r="AV204" s="510">
        <v>1.6178167551350102</v>
      </c>
      <c r="AW204" s="510">
        <v>1.6362212014385928</v>
      </c>
      <c r="AX204" s="510">
        <v>0.19847680590814679</v>
      </c>
      <c r="AY204" s="510">
        <v>0.20653064131325002</v>
      </c>
      <c r="AZ204" s="510">
        <v>794.09046849757681</v>
      </c>
      <c r="BA204" s="510">
        <v>945.20813303422028</v>
      </c>
      <c r="BB204" s="510">
        <v>496.3951073159393</v>
      </c>
      <c r="BC204" s="511">
        <v>534.96599366164412</v>
      </c>
      <c r="BD204" s="1030">
        <v>0</v>
      </c>
      <c r="BE204" s="511">
        <v>0</v>
      </c>
      <c r="BF204" s="512">
        <v>0.70675860955383496</v>
      </c>
      <c r="BG204" s="513">
        <v>0.79418324708061927</v>
      </c>
      <c r="BH204" s="513">
        <v>0.70675860955383496</v>
      </c>
      <c r="BI204" s="513">
        <v>0.79418324708061927</v>
      </c>
      <c r="BJ204" s="510">
        <v>37.478000000000002</v>
      </c>
      <c r="BK204" s="510">
        <v>123.58699999999999</v>
      </c>
      <c r="BL204" s="510">
        <v>2.9403916964619241</v>
      </c>
      <c r="BM204" s="510">
        <v>3.019735085405423</v>
      </c>
      <c r="BN204" s="514">
        <v>0</v>
      </c>
      <c r="BO204" s="514">
        <v>0</v>
      </c>
      <c r="BP204" s="514">
        <v>1024.3451353246555</v>
      </c>
      <c r="BQ204" s="514">
        <v>1083.340422878256</v>
      </c>
      <c r="BR204" s="514">
        <v>0</v>
      </c>
      <c r="BS204" s="1031">
        <v>0</v>
      </c>
      <c r="BT204" s="512">
        <v>0.91408252952430902</v>
      </c>
      <c r="BU204" s="513">
        <v>0.92933566863441441</v>
      </c>
      <c r="BV204" s="513">
        <v>0.91408252952430902</v>
      </c>
      <c r="BW204" s="513">
        <v>0.92933566863441441</v>
      </c>
      <c r="BX204" s="510">
        <v>47.701000000000001</v>
      </c>
      <c r="BY204" s="510">
        <v>144.25399999999999</v>
      </c>
      <c r="BZ204" s="514">
        <v>77.763545886341191</v>
      </c>
      <c r="CA204" s="514">
        <v>77.638347339929439</v>
      </c>
      <c r="CB204" s="510">
        <v>2.0041508563761763</v>
      </c>
      <c r="CC204" s="510">
        <v>1.9652834583443095</v>
      </c>
      <c r="CD204" s="514">
        <v>0.19496446615374941</v>
      </c>
      <c r="CE204" s="514">
        <v>0.21489872031278162</v>
      </c>
      <c r="CF204" s="514">
        <v>751.4184821765358</v>
      </c>
      <c r="CG204" s="514">
        <v>785.9022776335197</v>
      </c>
      <c r="CH204" s="514">
        <v>488.48451814426579</v>
      </c>
      <c r="CI204" s="515">
        <v>556.76930968985118</v>
      </c>
      <c r="CJ204" s="1029"/>
      <c r="CK204" s="583"/>
    </row>
    <row r="205" spans="1:89" ht="12.75" customHeight="1">
      <c r="A205" s="560">
        <v>45812</v>
      </c>
      <c r="B205" s="512">
        <v>1.0724756748809814</v>
      </c>
      <c r="C205" s="513">
        <v>0.86206115343535494</v>
      </c>
      <c r="D205" s="513">
        <v>1.0724756748809814</v>
      </c>
      <c r="E205" s="513">
        <v>0.88379381784393241</v>
      </c>
      <c r="F205" s="510">
        <v>60.189</v>
      </c>
      <c r="G205" s="510">
        <v>209.09</v>
      </c>
      <c r="H205" s="510">
        <v>2.1129442256890796</v>
      </c>
      <c r="I205" s="510">
        <v>2.5212970491176048</v>
      </c>
      <c r="J205" s="510">
        <v>940.72936915381752</v>
      </c>
      <c r="K205" s="511">
        <v>1148.430771438143</v>
      </c>
      <c r="L205" s="512">
        <v>0.96343522779875246</v>
      </c>
      <c r="M205" s="513">
        <v>0.92609997167554725</v>
      </c>
      <c r="N205" s="513">
        <v>0.96343522779875246</v>
      </c>
      <c r="O205" s="513">
        <v>0.92609997167554725</v>
      </c>
      <c r="P205" s="510">
        <v>69.722999999999999</v>
      </c>
      <c r="Q205" s="510">
        <v>260.13900000000001</v>
      </c>
      <c r="R205" s="510">
        <v>1.9146909914949155</v>
      </c>
      <c r="S205" s="510">
        <v>2.1589073533764638</v>
      </c>
      <c r="T205" s="510">
        <v>0.21513704229594252</v>
      </c>
      <c r="U205" s="510">
        <v>0.23756530162720696</v>
      </c>
      <c r="V205" s="510">
        <v>480.43099120805761</v>
      </c>
      <c r="W205" s="510">
        <v>593.34728741172864</v>
      </c>
      <c r="X205" s="510">
        <v>383.05867504266882</v>
      </c>
      <c r="Y205" s="569">
        <v>432.87626999411856</v>
      </c>
      <c r="Z205" s="512">
        <v>0.90339279337119982</v>
      </c>
      <c r="AA205" s="513">
        <v>0.88597858257186302</v>
      </c>
      <c r="AB205" s="513">
        <v>0.90339279337119982</v>
      </c>
      <c r="AC205" s="513">
        <v>0.88597858257186302</v>
      </c>
      <c r="AD205" s="510">
        <v>42.996000000000002</v>
      </c>
      <c r="AE205" s="510">
        <v>170.422</v>
      </c>
      <c r="AF205" s="510">
        <v>114.8717655681593</v>
      </c>
      <c r="AG205" s="510">
        <v>112.1867946747815</v>
      </c>
      <c r="AH205" s="510">
        <v>1.4303656154060842</v>
      </c>
      <c r="AI205" s="510">
        <v>1.4827897806621211</v>
      </c>
      <c r="AJ205" s="510">
        <v>873.39892082984477</v>
      </c>
      <c r="AK205" s="510">
        <v>849.36088063747638</v>
      </c>
      <c r="AL205" s="510">
        <v>0</v>
      </c>
      <c r="AM205" s="569">
        <v>0</v>
      </c>
      <c r="AN205" s="512">
        <v>0.83308307249559654</v>
      </c>
      <c r="AO205" s="513">
        <v>0.73920400702505817</v>
      </c>
      <c r="AP205" s="513">
        <v>0.83308307249559654</v>
      </c>
      <c r="AQ205" s="513">
        <v>0.73920400702505817</v>
      </c>
      <c r="AR205" s="510">
        <v>42.661999999999999</v>
      </c>
      <c r="AS205" s="510">
        <v>154.994</v>
      </c>
      <c r="AT205" s="514">
        <v>106.10433187608041</v>
      </c>
      <c r="AU205" s="514">
        <v>111.89406918736293</v>
      </c>
      <c r="AV205" s="510">
        <v>1.6736205522479022</v>
      </c>
      <c r="AW205" s="510">
        <v>1.646515348981251</v>
      </c>
      <c r="AX205" s="510">
        <v>0.22736861844264214</v>
      </c>
      <c r="AY205" s="510">
        <v>0.2122662812754042</v>
      </c>
      <c r="AZ205" s="510">
        <v>862.89109746378506</v>
      </c>
      <c r="BA205" s="510">
        <v>922.55042130663151</v>
      </c>
      <c r="BB205" s="510">
        <v>610.33238010408138</v>
      </c>
      <c r="BC205" s="511">
        <v>555.71054363394785</v>
      </c>
      <c r="BD205" s="1030">
        <v>0</v>
      </c>
      <c r="BE205" s="511">
        <v>0</v>
      </c>
      <c r="BF205" s="1032">
        <v>0.7062082425084345</v>
      </c>
      <c r="BG205" s="513">
        <v>0.7724559035613846</v>
      </c>
      <c r="BH205" s="513">
        <v>0.7062082425084345</v>
      </c>
      <c r="BI205" s="513">
        <v>0.7724559035613846</v>
      </c>
      <c r="BJ205" s="510">
        <v>36.042999999999999</v>
      </c>
      <c r="BK205" s="510">
        <v>159.63</v>
      </c>
      <c r="BL205" s="510">
        <v>3.4209139083872042</v>
      </c>
      <c r="BM205" s="510">
        <v>3.1103176094719038</v>
      </c>
      <c r="BN205" s="514">
        <v>0</v>
      </c>
      <c r="BO205" s="514">
        <v>0</v>
      </c>
      <c r="BP205" s="514">
        <v>1233.474623031896</v>
      </c>
      <c r="BQ205" s="514">
        <v>1117.2393577660443</v>
      </c>
      <c r="BR205" s="514">
        <v>0</v>
      </c>
      <c r="BS205" s="1031">
        <v>0</v>
      </c>
      <c r="BT205" s="512">
        <v>1.0687418524159475</v>
      </c>
      <c r="BU205" s="513">
        <v>0.96466964231389496</v>
      </c>
      <c r="BV205" s="513">
        <v>1.0687418524159475</v>
      </c>
      <c r="BW205" s="513">
        <v>0.96466964231389496</v>
      </c>
      <c r="BX205" s="510">
        <v>56.323</v>
      </c>
      <c r="BY205" s="510">
        <v>200.577</v>
      </c>
      <c r="BZ205" s="514">
        <v>67.953599082685244</v>
      </c>
      <c r="CA205" s="514">
        <v>74.918822787798504</v>
      </c>
      <c r="CB205" s="510">
        <v>1.7257603465724483</v>
      </c>
      <c r="CC205" s="510">
        <v>1.8980242001824734</v>
      </c>
      <c r="CD205" s="514">
        <v>0.18997567601157608</v>
      </c>
      <c r="CE205" s="514">
        <v>0.20790020790020791</v>
      </c>
      <c r="CF205" s="514">
        <v>667.22056996363619</v>
      </c>
      <c r="CG205" s="514">
        <v>752.57587519908884</v>
      </c>
      <c r="CH205" s="514">
        <v>521.31456065906218</v>
      </c>
      <c r="CI205" s="515">
        <v>546.81344321632173</v>
      </c>
      <c r="CJ205" s="1029"/>
      <c r="CK205" s="583"/>
    </row>
    <row r="206" spans="1:89" ht="12.75" customHeight="1">
      <c r="A206" s="560">
        <v>45813</v>
      </c>
      <c r="B206" s="512">
        <v>0.94376039939040623</v>
      </c>
      <c r="C206" s="513">
        <v>0.87616489353027216</v>
      </c>
      <c r="D206" s="513">
        <v>0.94376039939040623</v>
      </c>
      <c r="E206" s="513">
        <v>0.8943608362945964</v>
      </c>
      <c r="F206" s="510">
        <v>47.761000000000003</v>
      </c>
      <c r="G206" s="510">
        <v>256.851</v>
      </c>
      <c r="H206" s="510">
        <v>2.4194426414857308</v>
      </c>
      <c r="I206" s="510">
        <v>2.5023573978688032</v>
      </c>
      <c r="J206" s="510">
        <v>1145.2494713259964</v>
      </c>
      <c r="K206" s="511">
        <v>1147.8392141747638</v>
      </c>
      <c r="L206" s="512">
        <v>0.98336619290241223</v>
      </c>
      <c r="M206" s="513">
        <v>0.93766265202323884</v>
      </c>
      <c r="N206" s="513">
        <v>0.98336619290241223</v>
      </c>
      <c r="O206" s="513">
        <v>0.93766265202323884</v>
      </c>
      <c r="P206" s="510">
        <v>69.882999999999996</v>
      </c>
      <c r="Q206" s="510">
        <v>330.02199999999999</v>
      </c>
      <c r="R206" s="510">
        <v>1.773435599502025</v>
      </c>
      <c r="S206" s="510">
        <v>2.0772827266061049</v>
      </c>
      <c r="T206" s="510">
        <v>0.22323025628550577</v>
      </c>
      <c r="U206" s="510">
        <v>0.2345298192241729</v>
      </c>
      <c r="V206" s="510">
        <v>470.39179771906186</v>
      </c>
      <c r="W206" s="510">
        <v>567.31114895370877</v>
      </c>
      <c r="X206" s="510">
        <v>413.80593277334975</v>
      </c>
      <c r="Y206" s="569">
        <v>428.83807746150256</v>
      </c>
      <c r="Z206" s="512">
        <v>0.88399955799391772</v>
      </c>
      <c r="AA206" s="513">
        <v>0.88558604189449386</v>
      </c>
      <c r="AB206" s="513">
        <v>0.88399955799391772</v>
      </c>
      <c r="AC206" s="513">
        <v>0.88558604189449386</v>
      </c>
      <c r="AD206" s="510">
        <v>42.073</v>
      </c>
      <c r="AE206" s="510">
        <v>212.495</v>
      </c>
      <c r="AF206" s="510">
        <v>109.19960844084602</v>
      </c>
      <c r="AG206" s="510">
        <v>111.59534599871679</v>
      </c>
      <c r="AH206" s="510">
        <v>1.4023245311720105</v>
      </c>
      <c r="AI206" s="510">
        <v>1.4668580437186756</v>
      </c>
      <c r="AJ206" s="510">
        <v>849.19687210324912</v>
      </c>
      <c r="AK206" s="510">
        <v>849.32840772724069</v>
      </c>
      <c r="AL206" s="510">
        <v>0</v>
      </c>
      <c r="AM206" s="569">
        <v>0</v>
      </c>
      <c r="AN206" s="512">
        <v>0.82408495858600506</v>
      </c>
      <c r="AO206" s="513">
        <v>0.75577414134054621</v>
      </c>
      <c r="AP206" s="513">
        <v>0.82408495858600506</v>
      </c>
      <c r="AQ206" s="513">
        <v>0.75577414134054621</v>
      </c>
      <c r="AR206" s="510">
        <v>41.914000000000001</v>
      </c>
      <c r="AS206" s="510">
        <v>196.90800000000002</v>
      </c>
      <c r="AT206" s="514">
        <v>103.27302834868496</v>
      </c>
      <c r="AU206" s="514">
        <v>110.05898729270984</v>
      </c>
      <c r="AV206" s="510">
        <v>1.5388652956052871</v>
      </c>
      <c r="AW206" s="510">
        <v>1.6236008694415667</v>
      </c>
      <c r="AX206" s="510">
        <v>0.17178031206756691</v>
      </c>
      <c r="AY206" s="510">
        <v>0.20364840433095657</v>
      </c>
      <c r="AZ206" s="510">
        <v>834.28591878608609</v>
      </c>
      <c r="BA206" s="510">
        <v>903.76236618116081</v>
      </c>
      <c r="BB206" s="510">
        <v>524.88428687311693</v>
      </c>
      <c r="BC206" s="511">
        <v>549.14884108314504</v>
      </c>
      <c r="BD206" s="1030">
        <v>0</v>
      </c>
      <c r="BE206" s="511">
        <v>0</v>
      </c>
      <c r="BF206" s="512">
        <v>0.38411846399944938</v>
      </c>
      <c r="BG206" s="513">
        <v>0.69199205361982374</v>
      </c>
      <c r="BH206" s="513">
        <v>0.38411846399944938</v>
      </c>
      <c r="BI206" s="513">
        <v>0.69199205361982374</v>
      </c>
      <c r="BJ206" s="510">
        <v>20.745999999999999</v>
      </c>
      <c r="BK206" s="510">
        <v>180.376</v>
      </c>
      <c r="BL206" s="510">
        <v>5.7794273594909873</v>
      </c>
      <c r="BM206" s="510">
        <v>3.4173060717612098</v>
      </c>
      <c r="BN206" s="514">
        <v>0</v>
      </c>
      <c r="BO206" s="514">
        <v>0</v>
      </c>
      <c r="BP206" s="514">
        <v>1753.2594497099903</v>
      </c>
      <c r="BQ206" s="514">
        <v>1190.3914003186517</v>
      </c>
      <c r="BR206" s="514">
        <v>0</v>
      </c>
      <c r="BS206" s="1031">
        <v>0</v>
      </c>
      <c r="BT206" s="512">
        <v>0.91187362995047794</v>
      </c>
      <c r="BU206" s="513">
        <v>0.95399383122194981</v>
      </c>
      <c r="BV206" s="513">
        <v>0.91187362995047794</v>
      </c>
      <c r="BW206" s="513">
        <v>0.95399383122194981</v>
      </c>
      <c r="BX206" s="510">
        <v>48.055999999999997</v>
      </c>
      <c r="BY206" s="510">
        <v>248.63299999999998</v>
      </c>
      <c r="BZ206" s="514">
        <v>78.701081318909303</v>
      </c>
      <c r="CA206" s="514">
        <v>75.649860968454576</v>
      </c>
      <c r="CB206" s="510">
        <v>1.953970367904112</v>
      </c>
      <c r="CC206" s="510">
        <v>1.9088375235789299</v>
      </c>
      <c r="CD206" s="514">
        <v>0.18728150491093726</v>
      </c>
      <c r="CE206" s="514">
        <v>0.20391500725969605</v>
      </c>
      <c r="CF206" s="514">
        <v>727.72722357904877</v>
      </c>
      <c r="CG206" s="514">
        <v>747.77310645056127</v>
      </c>
      <c r="CH206" s="514">
        <v>582.65357083402228</v>
      </c>
      <c r="CI206" s="515">
        <v>553.74065389550026</v>
      </c>
      <c r="CJ206" s="1029"/>
      <c r="CK206" s="583"/>
    </row>
    <row r="207" spans="1:89" ht="12.75" customHeight="1">
      <c r="A207" s="560">
        <v>45814</v>
      </c>
      <c r="B207" s="512">
        <v>0.86574765316783364</v>
      </c>
      <c r="C207" s="513">
        <v>0.87466649086921311</v>
      </c>
      <c r="D207" s="513">
        <v>0.86574765316783364</v>
      </c>
      <c r="E207" s="513">
        <v>0.89017219124558411</v>
      </c>
      <c r="F207" s="510">
        <v>42.639000000000003</v>
      </c>
      <c r="G207" s="510">
        <v>299.49</v>
      </c>
      <c r="H207" s="510">
        <v>2.6881493468420929</v>
      </c>
      <c r="I207" s="510">
        <v>2.5288089752579381</v>
      </c>
      <c r="J207" s="510">
        <v>1334.9168601514405</v>
      </c>
      <c r="K207" s="511">
        <v>1174.4738388593928</v>
      </c>
      <c r="L207" s="512">
        <v>0.98487356499382717</v>
      </c>
      <c r="M207" s="513">
        <v>0.94568238507368685</v>
      </c>
      <c r="N207" s="513">
        <v>0.98487356499382717</v>
      </c>
      <c r="O207" s="513">
        <v>0.94568238507368685</v>
      </c>
      <c r="P207" s="510">
        <v>70.933000000000007</v>
      </c>
      <c r="Q207" s="510">
        <v>400.95499999999998</v>
      </c>
      <c r="R207" s="510">
        <v>1.7412769796850549</v>
      </c>
      <c r="S207" s="510">
        <v>2.0178399072215085</v>
      </c>
      <c r="T207" s="510">
        <v>0.20441825384517781</v>
      </c>
      <c r="U207" s="510">
        <v>0.22920277836664962</v>
      </c>
      <c r="V207" s="510">
        <v>523.67558118224417</v>
      </c>
      <c r="W207" s="510">
        <v>559.59157511441686</v>
      </c>
      <c r="X207" s="510">
        <v>386.37869538860616</v>
      </c>
      <c r="Y207" s="569">
        <v>421.32658278360412</v>
      </c>
      <c r="Z207" s="512">
        <v>0.83707326899647949</v>
      </c>
      <c r="AA207" s="513">
        <v>0.87797503914294051</v>
      </c>
      <c r="AB207" s="513">
        <v>0.83707326899647949</v>
      </c>
      <c r="AC207" s="513">
        <v>0.87797503914294051</v>
      </c>
      <c r="AD207" s="510">
        <v>37.375</v>
      </c>
      <c r="AE207" s="510">
        <v>249.87</v>
      </c>
      <c r="AF207" s="510">
        <v>115.36770569857634</v>
      </c>
      <c r="AG207" s="510">
        <v>112.15960718966508</v>
      </c>
      <c r="AH207" s="510">
        <v>1.4662207357859531</v>
      </c>
      <c r="AI207" s="510">
        <v>1.4667627166126385</v>
      </c>
      <c r="AJ207" s="510">
        <v>1010.0206020067084</v>
      </c>
      <c r="AK207" s="510">
        <v>873.36438948253385</v>
      </c>
      <c r="AL207" s="510">
        <v>0</v>
      </c>
      <c r="AM207" s="569">
        <v>0</v>
      </c>
      <c r="AN207" s="512">
        <v>0.88278004392067677</v>
      </c>
      <c r="AO207" s="513">
        <v>0.77655206362961915</v>
      </c>
      <c r="AP207" s="513">
        <v>0.88278004392067677</v>
      </c>
      <c r="AQ207" s="513">
        <v>0.77655206362961915</v>
      </c>
      <c r="AR207" s="510">
        <v>44.987000000000002</v>
      </c>
      <c r="AS207" s="510">
        <v>241.89500000000001</v>
      </c>
      <c r="AT207" s="514">
        <v>103.75576186827819</v>
      </c>
      <c r="AU207" s="514">
        <v>108.8867298993412</v>
      </c>
      <c r="AV207" s="510">
        <v>1.5315535599173096</v>
      </c>
      <c r="AW207" s="510">
        <v>1.6064821513466587</v>
      </c>
      <c r="AX207" s="510">
        <v>0.18227487940960721</v>
      </c>
      <c r="AY207" s="510">
        <v>0.19967341201761094</v>
      </c>
      <c r="AZ207" s="510">
        <v>843.12179073954678</v>
      </c>
      <c r="BA207" s="510">
        <v>892.48459042146396</v>
      </c>
      <c r="BB207" s="510">
        <v>449.01860537489011</v>
      </c>
      <c r="BC207" s="511">
        <v>530.52688149817129</v>
      </c>
      <c r="BD207" s="1030">
        <v>0</v>
      </c>
      <c r="BE207" s="511">
        <v>0</v>
      </c>
      <c r="BF207" s="512">
        <v>0.57838311336662984</v>
      </c>
      <c r="BG207" s="513">
        <v>0.67254637272668816</v>
      </c>
      <c r="BH207" s="513">
        <v>0.57838311336662984</v>
      </c>
      <c r="BI207" s="513">
        <v>0.67254637272668816</v>
      </c>
      <c r="BJ207" s="510">
        <v>31.134</v>
      </c>
      <c r="BK207" s="510">
        <v>211.51</v>
      </c>
      <c r="BL207" s="510">
        <v>3.7033468234084923</v>
      </c>
      <c r="BM207" s="510">
        <v>3.4594109025577984</v>
      </c>
      <c r="BN207" s="514">
        <v>0</v>
      </c>
      <c r="BO207" s="514">
        <v>0</v>
      </c>
      <c r="BP207" s="514">
        <v>1152.9496845028768</v>
      </c>
      <c r="BQ207" s="514">
        <v>1184.8800279002869</v>
      </c>
      <c r="BR207" s="514">
        <v>0</v>
      </c>
      <c r="BS207" s="1031">
        <v>0</v>
      </c>
      <c r="BT207" s="512">
        <v>0.91522263257428338</v>
      </c>
      <c r="BU207" s="513">
        <v>0.94758993683298376</v>
      </c>
      <c r="BV207" s="513">
        <v>0.91522263257428338</v>
      </c>
      <c r="BW207" s="513">
        <v>0.94758993683298376</v>
      </c>
      <c r="BX207" s="510">
        <v>47.192999999999998</v>
      </c>
      <c r="BY207" s="510">
        <v>295.82599999999996</v>
      </c>
      <c r="BZ207" s="514">
        <v>74.491376694583494</v>
      </c>
      <c r="CA207" s="514">
        <v>75.465048449146622</v>
      </c>
      <c r="CB207" s="510">
        <v>1.9473226961625667</v>
      </c>
      <c r="CC207" s="510">
        <v>1.9149770473183563</v>
      </c>
      <c r="CD207" s="514">
        <v>0.17587354056745705</v>
      </c>
      <c r="CE207" s="514">
        <v>0.19944156362185883</v>
      </c>
      <c r="CF207" s="514">
        <v>711.17823665985293</v>
      </c>
      <c r="CG207" s="514">
        <v>741.93514193752696</v>
      </c>
      <c r="CH207" s="514">
        <v>428.02958065815233</v>
      </c>
      <c r="CI207" s="515">
        <v>533.68601813228088</v>
      </c>
      <c r="CJ207" s="1029"/>
      <c r="CK207" s="583"/>
    </row>
    <row r="208" spans="1:89" ht="12.75" customHeight="1">
      <c r="A208" s="560">
        <v>45815</v>
      </c>
      <c r="B208" s="512">
        <v>1.0287141537141538</v>
      </c>
      <c r="C208" s="513">
        <v>0.8937741116141833</v>
      </c>
      <c r="D208" s="513">
        <v>1.0287141537141538</v>
      </c>
      <c r="E208" s="513">
        <v>0.90762279502025101</v>
      </c>
      <c r="F208" s="510">
        <v>49.877000000000002</v>
      </c>
      <c r="G208" s="510">
        <v>349.36700000000002</v>
      </c>
      <c r="H208" s="510">
        <v>2.2446217695531003</v>
      </c>
      <c r="I208" s="510">
        <v>2.4882372977413434</v>
      </c>
      <c r="J208" s="510">
        <v>1086.6423401568047</v>
      </c>
      <c r="K208" s="511">
        <v>1161.9346704182149</v>
      </c>
      <c r="L208" s="512">
        <v>0.92606401557551188</v>
      </c>
      <c r="M208" s="513">
        <v>0.94278959360446357</v>
      </c>
      <c r="N208" s="513">
        <v>0.92606401557551188</v>
      </c>
      <c r="O208" s="513">
        <v>0.94278959360446357</v>
      </c>
      <c r="P208" s="510">
        <v>67.909000000000006</v>
      </c>
      <c r="Q208" s="510">
        <v>468.86399999999998</v>
      </c>
      <c r="R208" s="510">
        <v>1.8956692043764449</v>
      </c>
      <c r="S208" s="510">
        <v>2.0001450313950317</v>
      </c>
      <c r="T208" s="510">
        <v>0.20174056457906903</v>
      </c>
      <c r="U208" s="510">
        <v>0.22522522522522523</v>
      </c>
      <c r="V208" s="510">
        <v>555.33566979338764</v>
      </c>
      <c r="W208" s="510">
        <v>558.97516124078663</v>
      </c>
      <c r="X208" s="510">
        <v>377.29903252882536</v>
      </c>
      <c r="Y208" s="569">
        <v>414.9497508872509</v>
      </c>
      <c r="Z208" s="512">
        <v>0.66249976091486962</v>
      </c>
      <c r="AA208" s="513">
        <v>0.84922878018551895</v>
      </c>
      <c r="AB208" s="513">
        <v>0.66249976091486962</v>
      </c>
      <c r="AC208" s="513">
        <v>0.84922878018551895</v>
      </c>
      <c r="AD208" s="510">
        <v>29.026</v>
      </c>
      <c r="AE208" s="510">
        <v>278.89600000000002</v>
      </c>
      <c r="AF208" s="510">
        <v>132.19600888256417</v>
      </c>
      <c r="AG208" s="510">
        <v>114.24488842545938</v>
      </c>
      <c r="AH208" s="510">
        <v>2.0636670571212017</v>
      </c>
      <c r="AI208" s="510">
        <v>1.5288853192587917</v>
      </c>
      <c r="AJ208" s="510">
        <v>1227.8116171707936</v>
      </c>
      <c r="AK208" s="510">
        <v>910.25335608972591</v>
      </c>
      <c r="AL208" s="510">
        <v>0</v>
      </c>
      <c r="AM208" s="569">
        <v>0</v>
      </c>
      <c r="AN208" s="512">
        <v>1.0517167310627966</v>
      </c>
      <c r="AO208" s="513">
        <v>0.81549207374310195</v>
      </c>
      <c r="AP208" s="513">
        <v>1.0517167310627966</v>
      </c>
      <c r="AQ208" s="513">
        <v>0.81549207374310195</v>
      </c>
      <c r="AR208" s="510">
        <v>54.003999999999998</v>
      </c>
      <c r="AS208" s="510">
        <v>295.899</v>
      </c>
      <c r="AT208" s="514">
        <v>102.07166675103085</v>
      </c>
      <c r="AU208" s="514">
        <v>107.64292485011377</v>
      </c>
      <c r="AV208" s="510">
        <v>1.386934301162877</v>
      </c>
      <c r="AW208" s="510">
        <v>1.5664128638488133</v>
      </c>
      <c r="AX208" s="510">
        <v>0.16850603658988222</v>
      </c>
      <c r="AY208" s="510">
        <v>0.19398510978408173</v>
      </c>
      <c r="AZ208" s="510">
        <v>739.17598696392849</v>
      </c>
      <c r="BA208" s="510">
        <v>864.50450998482597</v>
      </c>
      <c r="BB208" s="510">
        <v>491.16917265387536</v>
      </c>
      <c r="BC208" s="511">
        <v>523.34377608575915</v>
      </c>
      <c r="BD208" s="1030">
        <v>0</v>
      </c>
      <c r="BE208" s="511">
        <v>0</v>
      </c>
      <c r="BF208" s="512">
        <v>0.97465814659301253</v>
      </c>
      <c r="BG208" s="513">
        <v>0.7170172030385682</v>
      </c>
      <c r="BH208" s="513">
        <v>0.97465814659301253</v>
      </c>
      <c r="BI208" s="513">
        <v>0.7170172030385682</v>
      </c>
      <c r="BJ208" s="510">
        <v>52.908000000000001</v>
      </c>
      <c r="BK208" s="510">
        <v>264.41800000000001</v>
      </c>
      <c r="BL208" s="510">
        <v>2.1301126483707566</v>
      </c>
      <c r="BM208" s="510">
        <v>3.1934285865561343</v>
      </c>
      <c r="BN208" s="514">
        <v>0</v>
      </c>
      <c r="BO208" s="514">
        <v>0</v>
      </c>
      <c r="BP208" s="514">
        <v>681.94993874510351</v>
      </c>
      <c r="BQ208" s="514">
        <v>1084.2476006183983</v>
      </c>
      <c r="BR208" s="514">
        <v>0</v>
      </c>
      <c r="BS208" s="1031">
        <v>0</v>
      </c>
      <c r="BT208" s="512">
        <v>0.97379005465752311</v>
      </c>
      <c r="BU208" s="513">
        <v>0.95130399199587545</v>
      </c>
      <c r="BV208" s="513">
        <v>0.97379005465752311</v>
      </c>
      <c r="BW208" s="513">
        <v>0.95130399199587545</v>
      </c>
      <c r="BX208" s="510">
        <v>50.213000000000001</v>
      </c>
      <c r="BY208" s="510">
        <v>346.03899999999999</v>
      </c>
      <c r="BZ208" s="514">
        <v>70.531542727023336</v>
      </c>
      <c r="CA208" s="514">
        <v>74.749157688784422</v>
      </c>
      <c r="CB208" s="510">
        <v>1.804313623961922</v>
      </c>
      <c r="CC208" s="510">
        <v>1.8989189079843602</v>
      </c>
      <c r="CD208" s="514">
        <v>0.1752534204289726</v>
      </c>
      <c r="CE208" s="514">
        <v>0.19593167244154561</v>
      </c>
      <c r="CF208" s="514">
        <v>701.00915382221967</v>
      </c>
      <c r="CG208" s="514">
        <v>735.99645687245049</v>
      </c>
      <c r="CH208" s="514">
        <v>507.53589707844361</v>
      </c>
      <c r="CI208" s="515">
        <v>529.89142842280773</v>
      </c>
      <c r="CJ208" s="1029"/>
      <c r="CK208" s="583"/>
    </row>
    <row r="209" spans="1:89" ht="12.75" customHeight="1">
      <c r="A209" s="560">
        <v>45816</v>
      </c>
      <c r="B209" s="512">
        <v>1.0504323004323004</v>
      </c>
      <c r="C209" s="513">
        <v>0.91106128412472476</v>
      </c>
      <c r="D209" s="513">
        <v>1.0504323004323004</v>
      </c>
      <c r="E209" s="513">
        <v>0.92359863383244101</v>
      </c>
      <c r="F209" s="510">
        <v>50.93</v>
      </c>
      <c r="G209" s="510">
        <v>400.29700000000003</v>
      </c>
      <c r="H209" s="510">
        <v>2.2572354211663068</v>
      </c>
      <c r="I209" s="510">
        <v>2.458846806246362</v>
      </c>
      <c r="J209" s="510">
        <v>1077.0693108187738</v>
      </c>
      <c r="K209" s="511">
        <v>1151.1372056248251</v>
      </c>
      <c r="L209" s="512">
        <v>0.99534159182546533</v>
      </c>
      <c r="M209" s="513">
        <v>0.94934093733945191</v>
      </c>
      <c r="N209" s="513">
        <v>0.99534159182546533</v>
      </c>
      <c r="O209" s="513">
        <v>0.94934093733945191</v>
      </c>
      <c r="P209" s="510">
        <v>70.497</v>
      </c>
      <c r="Q209" s="510">
        <v>539.36099999999999</v>
      </c>
      <c r="R209" s="510">
        <v>1.8437664014071524</v>
      </c>
      <c r="S209" s="510">
        <v>1.9797056146069147</v>
      </c>
      <c r="T209" s="510">
        <v>0.17873100983020554</v>
      </c>
      <c r="U209" s="510">
        <v>0.21914821427578188</v>
      </c>
      <c r="V209" s="510">
        <v>517.65621232109515</v>
      </c>
      <c r="W209" s="510">
        <v>553.57458177361809</v>
      </c>
      <c r="X209" s="510">
        <v>356.41232960267808</v>
      </c>
      <c r="Y209" s="569">
        <v>407.29863672011879</v>
      </c>
      <c r="Z209" s="512">
        <v>8.0729747617856201E-2</v>
      </c>
      <c r="AA209" s="513">
        <v>0.75877208888257708</v>
      </c>
      <c r="AB209" s="513">
        <v>8.0729747617856201E-2</v>
      </c>
      <c r="AC209" s="513">
        <v>0.75877208888257708</v>
      </c>
      <c r="AD209" s="510">
        <v>3.5369999999999999</v>
      </c>
      <c r="AE209" s="510">
        <v>282.43299999999999</v>
      </c>
      <c r="AF209" s="510">
        <v>256.8738831431483</v>
      </c>
      <c r="AG209" s="510">
        <v>116.03107755462088</v>
      </c>
      <c r="AH209" s="510">
        <v>8.7927622278767323</v>
      </c>
      <c r="AI209" s="510">
        <v>1.6198532041227478</v>
      </c>
      <c r="AJ209" s="510">
        <v>4262.1260955613643</v>
      </c>
      <c r="AK209" s="510">
        <v>952.22994480107047</v>
      </c>
      <c r="AL209" s="510">
        <v>0</v>
      </c>
      <c r="AM209" s="569">
        <v>0</v>
      </c>
      <c r="AN209" s="512">
        <v>1.0241404239154572</v>
      </c>
      <c r="AO209" s="513">
        <v>0.84135851078355672</v>
      </c>
      <c r="AP209" s="513">
        <v>1.0241404239154572</v>
      </c>
      <c r="AQ209" s="513">
        <v>0.84135851078355672</v>
      </c>
      <c r="AR209" s="510">
        <v>52.588000000000001</v>
      </c>
      <c r="AS209" s="510">
        <v>348.48700000000002</v>
      </c>
      <c r="AT209" s="514">
        <v>110.92584242903425</v>
      </c>
      <c r="AU209" s="514">
        <v>108.1383294696269</v>
      </c>
      <c r="AV209" s="510">
        <v>1.397657260211455</v>
      </c>
      <c r="AW209" s="510">
        <v>1.5409470080662979</v>
      </c>
      <c r="AX209" s="510">
        <v>0.18445272685783828</v>
      </c>
      <c r="AY209" s="510">
        <v>0.19254663732076086</v>
      </c>
      <c r="AZ209" s="510">
        <v>732.39408230014499</v>
      </c>
      <c r="BA209" s="510">
        <v>844.56854918547913</v>
      </c>
      <c r="BB209" s="510">
        <v>473.64417737887192</v>
      </c>
      <c r="BC209" s="511">
        <v>515.84391957232299</v>
      </c>
      <c r="BD209" s="1030">
        <v>0</v>
      </c>
      <c r="BE209" s="511">
        <v>0</v>
      </c>
      <c r="BF209" s="512">
        <v>0.85720203121764349</v>
      </c>
      <c r="BG209" s="513">
        <v>0.73494563404049273</v>
      </c>
      <c r="BH209" s="513">
        <v>0.85720203121764349</v>
      </c>
      <c r="BI209" s="513">
        <v>0.73494563404049273</v>
      </c>
      <c r="BJ209" s="510">
        <v>46.356999999999999</v>
      </c>
      <c r="BK209" s="510">
        <v>310.77499999999998</v>
      </c>
      <c r="BL209" s="510">
        <v>2.6921500528507023</v>
      </c>
      <c r="BM209" s="510">
        <v>3.1186549754645645</v>
      </c>
      <c r="BN209" s="514">
        <v>0</v>
      </c>
      <c r="BO209" s="514">
        <v>0</v>
      </c>
      <c r="BP209" s="514">
        <v>859.66945577620163</v>
      </c>
      <c r="BQ209" s="514">
        <v>1050.7482230608416</v>
      </c>
      <c r="BR209" s="514">
        <v>0</v>
      </c>
      <c r="BS209" s="1031">
        <v>0</v>
      </c>
      <c r="BT209" s="512">
        <v>0.99035183560424067</v>
      </c>
      <c r="BU209" s="513">
        <v>0.95615205666456504</v>
      </c>
      <c r="BV209" s="513">
        <v>0.99035183560424067</v>
      </c>
      <c r="BW209" s="513">
        <v>0.95615205666456504</v>
      </c>
      <c r="BX209" s="510">
        <v>51.067</v>
      </c>
      <c r="BY209" s="510">
        <v>397.10599999999999</v>
      </c>
      <c r="BZ209" s="514">
        <v>71.417331616594524</v>
      </c>
      <c r="CA209" s="514">
        <v>74.320691833248318</v>
      </c>
      <c r="CB209" s="510">
        <v>1.7878473378111108</v>
      </c>
      <c r="CC209" s="510">
        <v>1.8846353366607405</v>
      </c>
      <c r="CD209" s="514">
        <v>0.17623905849178531</v>
      </c>
      <c r="CE209" s="514">
        <v>0.19339924352691723</v>
      </c>
      <c r="CF209" s="514">
        <v>715.99532062940193</v>
      </c>
      <c r="CG209" s="514">
        <v>733.4243526369977</v>
      </c>
      <c r="CH209" s="514">
        <v>450.23204809368298</v>
      </c>
      <c r="CI209" s="515">
        <v>519.64739893126796</v>
      </c>
      <c r="CJ209" s="1029"/>
      <c r="CK209" s="583"/>
    </row>
    <row r="210" spans="1:89" ht="12.75" customHeight="1">
      <c r="A210" s="560">
        <v>45817</v>
      </c>
      <c r="B210" s="512">
        <v>0.82415844916171288</v>
      </c>
      <c r="C210" s="513">
        <v>0.90123537084510408</v>
      </c>
      <c r="D210" s="513">
        <v>0.98252256811005179</v>
      </c>
      <c r="E210" s="513">
        <v>0.92936159099315674</v>
      </c>
      <c r="F210" s="510">
        <v>46.162999999999997</v>
      </c>
      <c r="G210" s="510">
        <v>446.46000000000004</v>
      </c>
      <c r="H210" s="510">
        <v>2.3481359530359813</v>
      </c>
      <c r="I210" s="510">
        <v>2.4473995430721676</v>
      </c>
      <c r="J210" s="510">
        <v>1116.2103849402927</v>
      </c>
      <c r="K210" s="511">
        <v>1147.5258477803145</v>
      </c>
      <c r="L210" s="512">
        <v>0.97446362164837874</v>
      </c>
      <c r="M210" s="513">
        <v>0.95211863189046875</v>
      </c>
      <c r="N210" s="513">
        <v>0.97446362164837874</v>
      </c>
      <c r="O210" s="513">
        <v>0.95211863189046875</v>
      </c>
      <c r="P210" s="510">
        <v>68.822000000000003</v>
      </c>
      <c r="Q210" s="510">
        <v>608.18299999999999</v>
      </c>
      <c r="R210" s="510">
        <v>1.8921420476010578</v>
      </c>
      <c r="S210" s="510">
        <v>1.9697969196771368</v>
      </c>
      <c r="T210" s="510">
        <v>0.22667170381564034</v>
      </c>
      <c r="U210" s="510">
        <v>0.21999957249709379</v>
      </c>
      <c r="V210" s="510">
        <v>502.82220801488984</v>
      </c>
      <c r="W210" s="510">
        <v>547.83144218105599</v>
      </c>
      <c r="X210" s="510">
        <v>438.6533375955363</v>
      </c>
      <c r="Y210" s="569">
        <v>410.84673527540235</v>
      </c>
      <c r="Z210" s="512">
        <v>0.71584028118145981</v>
      </c>
      <c r="AA210" s="513">
        <v>0.75425093701365697</v>
      </c>
      <c r="AB210" s="513">
        <v>0.71584028118145981</v>
      </c>
      <c r="AC210" s="513">
        <v>0.75425093701365697</v>
      </c>
      <c r="AD210" s="510">
        <v>31.363</v>
      </c>
      <c r="AE210" s="510">
        <v>313.79599999999999</v>
      </c>
      <c r="AF210" s="510">
        <v>122.06878497587473</v>
      </c>
      <c r="AG210" s="510">
        <v>116.63452889833712</v>
      </c>
      <c r="AH210" s="510">
        <v>2.2925102828173327</v>
      </c>
      <c r="AI210" s="510">
        <v>1.687083328022027</v>
      </c>
      <c r="AJ210" s="510">
        <v>1142.0342441730529</v>
      </c>
      <c r="AK210" s="510">
        <v>971.20033397493978</v>
      </c>
      <c r="AL210" s="510">
        <v>0</v>
      </c>
      <c r="AM210" s="569">
        <v>0</v>
      </c>
      <c r="AN210" s="512">
        <v>0.90332401327089507</v>
      </c>
      <c r="AO210" s="513">
        <v>0.84887097868309913</v>
      </c>
      <c r="AP210" s="513">
        <v>0.90332401327089507</v>
      </c>
      <c r="AQ210" s="513">
        <v>0.84887097868309913</v>
      </c>
      <c r="AR210" s="510">
        <v>51.619</v>
      </c>
      <c r="AS210" s="510">
        <v>400.10599999999999</v>
      </c>
      <c r="AT210" s="514">
        <v>96.923873604458493</v>
      </c>
      <c r="AU210" s="514">
        <v>106.69151538209978</v>
      </c>
      <c r="AV210" s="510">
        <v>1.3057207617350202</v>
      </c>
      <c r="AW210" s="510">
        <v>1.5105996910818633</v>
      </c>
      <c r="AX210" s="510">
        <v>0.17822894670567038</v>
      </c>
      <c r="AY210" s="510">
        <v>0.1906994646418699</v>
      </c>
      <c r="AZ210" s="510">
        <v>658.43236017745369</v>
      </c>
      <c r="BA210" s="510">
        <v>820.55450305669012</v>
      </c>
      <c r="BB210" s="510">
        <v>470.29194676378683</v>
      </c>
      <c r="BC210" s="511">
        <v>509.96710871619035</v>
      </c>
      <c r="BD210" s="1030">
        <v>0</v>
      </c>
      <c r="BE210" s="511">
        <v>0</v>
      </c>
      <c r="BF210" s="512">
        <v>0.60911699140047426</v>
      </c>
      <c r="BG210" s="513">
        <v>0.72069089288339283</v>
      </c>
      <c r="BH210" s="513">
        <v>0.60911699140047426</v>
      </c>
      <c r="BI210" s="513">
        <v>0.72069089288339283</v>
      </c>
      <c r="BJ210" s="510">
        <v>32.906999999999996</v>
      </c>
      <c r="BK210" s="510">
        <v>343.68199999999996</v>
      </c>
      <c r="BL210" s="510">
        <v>3.7955450208162405</v>
      </c>
      <c r="BM210" s="510">
        <v>3.1834661111143441</v>
      </c>
      <c r="BN210" s="514">
        <v>0</v>
      </c>
      <c r="BO210" s="514">
        <v>0</v>
      </c>
      <c r="BP210" s="514">
        <v>1141.002150744803</v>
      </c>
      <c r="BQ210" s="514">
        <v>1059.3898918078114</v>
      </c>
      <c r="BR210" s="514">
        <v>0</v>
      </c>
      <c r="BS210" s="1031">
        <v>0</v>
      </c>
      <c r="BT210" s="512">
        <v>0.9997963172448161</v>
      </c>
      <c r="BU210" s="513">
        <v>0.96097232821185175</v>
      </c>
      <c r="BV210" s="513">
        <v>0.9997963172448161</v>
      </c>
      <c r="BW210" s="513">
        <v>0.96097232821185175</v>
      </c>
      <c r="BX210" s="510">
        <v>51.554000000000002</v>
      </c>
      <c r="BY210" s="510">
        <v>448.65999999999997</v>
      </c>
      <c r="BZ210" s="514">
        <v>68.228328843796746</v>
      </c>
      <c r="CA210" s="514">
        <v>73.620639050387837</v>
      </c>
      <c r="CB210" s="510">
        <v>1.7670791791131628</v>
      </c>
      <c r="CC210" s="510">
        <v>1.8711273570186779</v>
      </c>
      <c r="CD210" s="514">
        <v>0.1687550917484579</v>
      </c>
      <c r="CE210" s="514">
        <v>0.19056746757009763</v>
      </c>
      <c r="CF210" s="514">
        <v>673.58308231060892</v>
      </c>
      <c r="CG210" s="514">
        <v>726.54819507802961</v>
      </c>
      <c r="CH210" s="514">
        <v>452.41882298172618</v>
      </c>
      <c r="CI210" s="515">
        <v>511.92239112022475</v>
      </c>
      <c r="CJ210" s="1029"/>
      <c r="CK210" s="583"/>
    </row>
    <row r="211" spans="1:89" ht="12.75" customHeight="1">
      <c r="A211" s="560">
        <v>45818</v>
      </c>
      <c r="B211" s="512">
        <v>0.85948417179403269</v>
      </c>
      <c r="C211" s="513">
        <v>0.89677886152141306</v>
      </c>
      <c r="D211" s="513">
        <v>0.85948417179403269</v>
      </c>
      <c r="E211" s="513">
        <v>0.92169566003541847</v>
      </c>
      <c r="F211" s="510">
        <v>50.878</v>
      </c>
      <c r="G211" s="510">
        <v>497.33800000000002</v>
      </c>
      <c r="H211" s="510">
        <v>2.3594480915130309</v>
      </c>
      <c r="I211" s="510">
        <v>2.4384020525276573</v>
      </c>
      <c r="J211" s="510">
        <v>1107.530170211111</v>
      </c>
      <c r="K211" s="511">
        <v>1143.4342640216516</v>
      </c>
      <c r="L211" s="512">
        <v>0.9840507506642201</v>
      </c>
      <c r="M211" s="513">
        <v>0.95533871946523752</v>
      </c>
      <c r="N211" s="513">
        <v>0.9840507506642201</v>
      </c>
      <c r="O211" s="513">
        <v>0.95533871946523752</v>
      </c>
      <c r="P211" s="510">
        <v>70.495999999999995</v>
      </c>
      <c r="Q211" s="510">
        <v>678.67899999999997</v>
      </c>
      <c r="R211" s="510">
        <v>1.8440762596459375</v>
      </c>
      <c r="S211" s="510">
        <v>1.9567380160576651</v>
      </c>
      <c r="T211" s="510">
        <v>0.16596686336813438</v>
      </c>
      <c r="U211" s="510">
        <v>0.2143870666397516</v>
      </c>
      <c r="V211" s="510">
        <v>549.13016341352522</v>
      </c>
      <c r="W211" s="510">
        <v>547.96634344071492</v>
      </c>
      <c r="X211" s="510">
        <v>335.26724920562867</v>
      </c>
      <c r="Y211" s="569">
        <v>402.99611451068915</v>
      </c>
      <c r="Z211" s="512">
        <v>0.8558598454932792</v>
      </c>
      <c r="AA211" s="513">
        <v>0.7639354620617117</v>
      </c>
      <c r="AB211" s="513">
        <v>0.8558598454932792</v>
      </c>
      <c r="AC211" s="513">
        <v>0.7639354620617117</v>
      </c>
      <c r="AD211" s="510">
        <v>37.512999999999998</v>
      </c>
      <c r="AE211" s="510">
        <v>351.30899999999997</v>
      </c>
      <c r="AF211" s="510">
        <v>105.21313425610172</v>
      </c>
      <c r="AG211" s="510">
        <v>115.41494506412232</v>
      </c>
      <c r="AH211" s="510">
        <v>2.0179671047370245</v>
      </c>
      <c r="AI211" s="510">
        <v>1.7224153095992418</v>
      </c>
      <c r="AJ211" s="510">
        <v>999.89123770426249</v>
      </c>
      <c r="AK211" s="510">
        <v>974.26396704895194</v>
      </c>
      <c r="AL211" s="510">
        <v>0</v>
      </c>
      <c r="AM211" s="569">
        <v>0</v>
      </c>
      <c r="AN211" s="512">
        <v>1.0034588563138442</v>
      </c>
      <c r="AO211" s="513">
        <v>0.86528572668776338</v>
      </c>
      <c r="AP211" s="513">
        <v>1.0034588563138442</v>
      </c>
      <c r="AQ211" s="513">
        <v>0.86528572668776338</v>
      </c>
      <c r="AR211" s="510">
        <v>56.188000000000002</v>
      </c>
      <c r="AS211" s="510">
        <v>456.29399999999998</v>
      </c>
      <c r="AT211" s="514">
        <v>92.333603596883449</v>
      </c>
      <c r="AU211" s="514">
        <v>104.9234834829564</v>
      </c>
      <c r="AV211" s="510">
        <v>1.2778529223321704</v>
      </c>
      <c r="AW211" s="510">
        <v>1.4819392759931096</v>
      </c>
      <c r="AX211" s="510">
        <v>0.17441446572221828</v>
      </c>
      <c r="AY211" s="510">
        <v>0.18869413141527172</v>
      </c>
      <c r="AZ211" s="510">
        <v>689.62981419520202</v>
      </c>
      <c r="BA211" s="510">
        <v>804.43244925420902</v>
      </c>
      <c r="BB211" s="510">
        <v>467.95223179326246</v>
      </c>
      <c r="BC211" s="511">
        <v>504.79340074600998</v>
      </c>
      <c r="BD211" s="1030">
        <v>0</v>
      </c>
      <c r="BE211" s="511">
        <v>0</v>
      </c>
      <c r="BF211" s="512">
        <v>0.85103046568682728</v>
      </c>
      <c r="BG211" s="513">
        <v>0.73401545315107886</v>
      </c>
      <c r="BH211" s="513">
        <v>0.85103046568682728</v>
      </c>
      <c r="BI211" s="513">
        <v>0.73401545315107886</v>
      </c>
      <c r="BJ211" s="510">
        <v>46.213000000000001</v>
      </c>
      <c r="BK211" s="510">
        <v>389.89499999999998</v>
      </c>
      <c r="BL211" s="510">
        <v>2.8044056867115312</v>
      </c>
      <c r="BM211" s="510">
        <v>3.1385372985034428</v>
      </c>
      <c r="BN211" s="514">
        <v>0</v>
      </c>
      <c r="BO211" s="514">
        <v>0</v>
      </c>
      <c r="BP211" s="514">
        <v>967.81959996401304</v>
      </c>
      <c r="BQ211" s="514">
        <v>1048.5363597107662</v>
      </c>
      <c r="BR211" s="514">
        <v>0</v>
      </c>
      <c r="BS211" s="1031">
        <v>0</v>
      </c>
      <c r="BT211" s="512">
        <v>0.85773370758631251</v>
      </c>
      <c r="BU211" s="513">
        <v>0.95064168747023425</v>
      </c>
      <c r="BV211" s="513">
        <v>0.85773370758631251</v>
      </c>
      <c r="BW211" s="513">
        <v>0.95064168747023425</v>
      </c>
      <c r="BX211" s="510">
        <v>44.527999999999999</v>
      </c>
      <c r="BY211" s="510">
        <v>493.18799999999999</v>
      </c>
      <c r="BZ211" s="514">
        <v>82.961264277514545</v>
      </c>
      <c r="CA211" s="514">
        <v>74.463967274337918</v>
      </c>
      <c r="CB211" s="510">
        <v>2.1469637082285304</v>
      </c>
      <c r="CC211" s="510">
        <v>1.8960315336139566</v>
      </c>
      <c r="CD211" s="514">
        <v>0.19987423643550128</v>
      </c>
      <c r="CE211" s="514">
        <v>0.19140773903663513</v>
      </c>
      <c r="CF211" s="514">
        <v>880.81483172077662</v>
      </c>
      <c r="CG211" s="514">
        <v>740.47632146477906</v>
      </c>
      <c r="CH211" s="514">
        <v>523.6413043478226</v>
      </c>
      <c r="CI211" s="515">
        <v>512.98044559072775</v>
      </c>
      <c r="CJ211" s="1029"/>
      <c r="CK211" s="583"/>
    </row>
    <row r="212" spans="1:89" ht="12.75" customHeight="1">
      <c r="A212" s="560">
        <v>45819</v>
      </c>
      <c r="B212" s="512">
        <v>0.97231437486289651</v>
      </c>
      <c r="C212" s="513">
        <v>0.9040638846846315</v>
      </c>
      <c r="D212" s="513">
        <v>0.97231437486289651</v>
      </c>
      <c r="E212" s="513">
        <v>0.92669981583637573</v>
      </c>
      <c r="F212" s="510">
        <v>57.557000000000002</v>
      </c>
      <c r="G212" s="510">
        <v>554.89499999999998</v>
      </c>
      <c r="H212" s="510">
        <v>2.0846117761523359</v>
      </c>
      <c r="I212" s="510">
        <v>2.40170482703935</v>
      </c>
      <c r="J212" s="510">
        <v>969.37262192263222</v>
      </c>
      <c r="K212" s="511">
        <v>1125.3795582948146</v>
      </c>
      <c r="L212" s="512">
        <v>0.82768571177723205</v>
      </c>
      <c r="M212" s="513">
        <v>0.94606310330921262</v>
      </c>
      <c r="N212" s="513">
        <v>0.84464251974259541</v>
      </c>
      <c r="O212" s="513">
        <v>0.94744519538143834</v>
      </c>
      <c r="P212" s="510">
        <v>46.073</v>
      </c>
      <c r="Q212" s="510">
        <v>724.75199999999995</v>
      </c>
      <c r="R212" s="510">
        <v>2.6233585831180952</v>
      </c>
      <c r="S212" s="510">
        <v>1.9991155595293288</v>
      </c>
      <c r="T212" s="510">
        <v>0.26913810691728346</v>
      </c>
      <c r="U212" s="510">
        <v>0.21786762920281694</v>
      </c>
      <c r="V212" s="510">
        <v>786.03455386016174</v>
      </c>
      <c r="W212" s="510">
        <v>563.10050886372198</v>
      </c>
      <c r="X212" s="510">
        <v>568.55425086276125</v>
      </c>
      <c r="Y212" s="569">
        <v>413.52076296443477</v>
      </c>
      <c r="Z212" s="512">
        <v>0.89562773438639454</v>
      </c>
      <c r="AA212" s="513">
        <v>0.77539077227705722</v>
      </c>
      <c r="AB212" s="513">
        <v>0.89562773438639454</v>
      </c>
      <c r="AC212" s="513">
        <v>0.77539077227705722</v>
      </c>
      <c r="AD212" s="510">
        <v>39.24</v>
      </c>
      <c r="AE212" s="510">
        <v>390.54899999999998</v>
      </c>
      <c r="AF212" s="510">
        <v>103.30682324253902</v>
      </c>
      <c r="AG212" s="510">
        <v>114.19839425928367</v>
      </c>
      <c r="AH212" s="510">
        <v>1.9393476044852189</v>
      </c>
      <c r="AI212" s="510">
        <v>1.744211353760988</v>
      </c>
      <c r="AJ212" s="510">
        <v>907.85372069317486</v>
      </c>
      <c r="AK212" s="510">
        <v>967.59146739589744</v>
      </c>
      <c r="AL212" s="510">
        <v>0</v>
      </c>
      <c r="AM212" s="569">
        <v>0</v>
      </c>
      <c r="AN212" s="512">
        <v>0.87980516597811098</v>
      </c>
      <c r="AO212" s="513">
        <v>0.86656293855650546</v>
      </c>
      <c r="AP212" s="513">
        <v>0.87980516597811098</v>
      </c>
      <c r="AQ212" s="513">
        <v>0.86656293855650546</v>
      </c>
      <c r="AR212" s="510">
        <v>44.747999999999998</v>
      </c>
      <c r="AS212" s="510">
        <v>501.04199999999997</v>
      </c>
      <c r="AT212" s="514">
        <v>123.78765856425743</v>
      </c>
      <c r="AU212" s="514">
        <v>106.60824066207124</v>
      </c>
      <c r="AV212" s="510">
        <v>1.5464378296236705</v>
      </c>
      <c r="AW212" s="510">
        <v>1.4876996339628215</v>
      </c>
      <c r="AX212" s="510">
        <v>0.18324841333690892</v>
      </c>
      <c r="AY212" s="510">
        <v>0.18820777499690644</v>
      </c>
      <c r="AZ212" s="510">
        <v>941.81147760793635</v>
      </c>
      <c r="BA212" s="510">
        <v>816.70175354561081</v>
      </c>
      <c r="BB212" s="510">
        <v>500.6257262894427</v>
      </c>
      <c r="BC212" s="511">
        <v>504.42118624785917</v>
      </c>
      <c r="BD212" s="1030">
        <v>0</v>
      </c>
      <c r="BE212" s="511">
        <v>0</v>
      </c>
      <c r="BF212" s="512">
        <v>0.85169223509866776</v>
      </c>
      <c r="BG212" s="513">
        <v>0.74483417736212698</v>
      </c>
      <c r="BH212" s="513">
        <v>0.85169223509866776</v>
      </c>
      <c r="BI212" s="513">
        <v>0.74483417736212698</v>
      </c>
      <c r="BJ212" s="510">
        <v>45.802999999999997</v>
      </c>
      <c r="BK212" s="510">
        <v>435.69799999999998</v>
      </c>
      <c r="BL212" s="510">
        <v>2.82077593170753</v>
      </c>
      <c r="BM212" s="510">
        <v>3.1051324541310721</v>
      </c>
      <c r="BN212" s="514">
        <v>0</v>
      </c>
      <c r="BO212" s="514">
        <v>0</v>
      </c>
      <c r="BP212" s="514">
        <v>947.47939382787581</v>
      </c>
      <c r="BQ212" s="514">
        <v>1037.912688708526</v>
      </c>
      <c r="BR212" s="514">
        <v>0</v>
      </c>
      <c r="BS212" s="1031">
        <v>0</v>
      </c>
      <c r="BT212" s="512">
        <v>1.1123259803286152</v>
      </c>
      <c r="BU212" s="513">
        <v>0.96547353814439818</v>
      </c>
      <c r="BV212" s="513">
        <v>1.1123259803286152</v>
      </c>
      <c r="BW212" s="513">
        <v>0.96547353814439818</v>
      </c>
      <c r="BX212" s="510">
        <v>58.283000000000001</v>
      </c>
      <c r="BY212" s="510">
        <v>551.471</v>
      </c>
      <c r="BZ212" s="514">
        <v>64.735688117107529</v>
      </c>
      <c r="CA212" s="514">
        <v>73.435820202015236</v>
      </c>
      <c r="CB212" s="510">
        <v>1.6574301254225072</v>
      </c>
      <c r="CC212" s="510">
        <v>1.8708146031250965</v>
      </c>
      <c r="CD212" s="514">
        <v>0.16471355283701936</v>
      </c>
      <c r="CE212" s="514">
        <v>0.18858652585539404</v>
      </c>
      <c r="CF212" s="514">
        <v>629.17370973527966</v>
      </c>
      <c r="CG212" s="514">
        <v>728.71314603138285</v>
      </c>
      <c r="CH212" s="514">
        <v>451.21218880290957</v>
      </c>
      <c r="CI212" s="515">
        <v>506.45237918222318</v>
      </c>
      <c r="CJ212" s="1029"/>
      <c r="CK212" s="583"/>
    </row>
    <row r="213" spans="1:89" ht="12.75" customHeight="1">
      <c r="A213" s="560">
        <v>45820</v>
      </c>
      <c r="B213" s="512">
        <v>1.0277608813192756</v>
      </c>
      <c r="C213" s="513">
        <v>0.91494247412840057</v>
      </c>
      <c r="D213" s="513">
        <v>1.0277608813192756</v>
      </c>
      <c r="E213" s="513">
        <v>0.93579019515829198</v>
      </c>
      <c r="F213" s="510">
        <v>60.826999999999998</v>
      </c>
      <c r="G213" s="510">
        <v>615.72199999999998</v>
      </c>
      <c r="H213" s="510">
        <v>1.9604616371019448</v>
      </c>
      <c r="I213" s="510">
        <v>2.3581145387041555</v>
      </c>
      <c r="J213" s="510">
        <v>892.60854554720368</v>
      </c>
      <c r="K213" s="511">
        <v>1102.3841766251667</v>
      </c>
      <c r="L213" s="512">
        <v>0.93582396885481833</v>
      </c>
      <c r="M213" s="513">
        <v>0.94538887134866345</v>
      </c>
      <c r="N213" s="513">
        <v>0.93582396885481833</v>
      </c>
      <c r="O213" s="513">
        <v>0.94667891047223285</v>
      </c>
      <c r="P213" s="510">
        <v>50.534999999999997</v>
      </c>
      <c r="Q213" s="510">
        <v>775.28699999999992</v>
      </c>
      <c r="R213" s="510">
        <v>2.3650934995547646</v>
      </c>
      <c r="S213" s="510">
        <v>2.0229708482149196</v>
      </c>
      <c r="T213" s="510">
        <v>0.26318393192836653</v>
      </c>
      <c r="U213" s="510">
        <v>0.22082145063698994</v>
      </c>
      <c r="V213" s="510">
        <v>806.23587612545577</v>
      </c>
      <c r="W213" s="510">
        <v>578.94863450567357</v>
      </c>
      <c r="X213" s="510">
        <v>472.93954684871869</v>
      </c>
      <c r="Y213" s="569">
        <v>417.39381674141322</v>
      </c>
      <c r="Z213" s="512">
        <v>0.93143914914817461</v>
      </c>
      <c r="AA213" s="513">
        <v>0.78787846179259569</v>
      </c>
      <c r="AB213" s="513">
        <v>0.93143914914817461</v>
      </c>
      <c r="AC213" s="513">
        <v>0.78787846179259569</v>
      </c>
      <c r="AD213" s="510">
        <v>40.808999999999997</v>
      </c>
      <c r="AE213" s="510">
        <v>431.35799999999995</v>
      </c>
      <c r="AF213" s="510">
        <v>98.943139436918131</v>
      </c>
      <c r="AG213" s="510">
        <v>112.75515756483054</v>
      </c>
      <c r="AH213" s="510">
        <v>1.879487367982553</v>
      </c>
      <c r="AI213" s="510">
        <v>1.7570092591304676</v>
      </c>
      <c r="AJ213" s="510">
        <v>927.13421059080997</v>
      </c>
      <c r="AK213" s="510">
        <v>963.76397331219266</v>
      </c>
      <c r="AL213" s="510">
        <v>0</v>
      </c>
      <c r="AM213" s="569">
        <v>0</v>
      </c>
      <c r="AN213" s="512">
        <v>0.94114851356575113</v>
      </c>
      <c r="AO213" s="513">
        <v>0.87259343075889506</v>
      </c>
      <c r="AP213" s="513">
        <v>0.94114851356575113</v>
      </c>
      <c r="AQ213" s="513">
        <v>0.87259343075889506</v>
      </c>
      <c r="AR213" s="510">
        <v>47.868000000000002</v>
      </c>
      <c r="AS213" s="510">
        <v>548.91</v>
      </c>
      <c r="AT213" s="514">
        <v>123.81270197989642</v>
      </c>
      <c r="AU213" s="514">
        <v>108.10856522231181</v>
      </c>
      <c r="AV213" s="510">
        <v>1.4519094175649703</v>
      </c>
      <c r="AW213" s="510">
        <v>1.484578528356197</v>
      </c>
      <c r="AX213" s="510">
        <v>0.18383889028160777</v>
      </c>
      <c r="AY213" s="510">
        <v>0.18782678399008945</v>
      </c>
      <c r="AZ213" s="510">
        <v>920.14331077128884</v>
      </c>
      <c r="BA213" s="510">
        <v>825.7224317283343</v>
      </c>
      <c r="BB213" s="510">
        <v>467.80730341773437</v>
      </c>
      <c r="BC213" s="511">
        <v>501.22825235466638</v>
      </c>
      <c r="BD213" s="1030">
        <v>0</v>
      </c>
      <c r="BE213" s="511">
        <v>0</v>
      </c>
      <c r="BF213" s="512">
        <v>0.83253652014977642</v>
      </c>
      <c r="BG213" s="513">
        <v>0.75221772864549508</v>
      </c>
      <c r="BH213" s="513">
        <v>0.83253652014977642</v>
      </c>
      <c r="BI213" s="513">
        <v>0.75221772864549508</v>
      </c>
      <c r="BJ213" s="510">
        <v>44.768999999999998</v>
      </c>
      <c r="BK213" s="510">
        <v>480.46699999999998</v>
      </c>
      <c r="BL213" s="510">
        <v>2.8457191360092922</v>
      </c>
      <c r="BM213" s="510">
        <v>3.0809608152068715</v>
      </c>
      <c r="BN213" s="514">
        <v>0</v>
      </c>
      <c r="BO213" s="514">
        <v>0</v>
      </c>
      <c r="BP213" s="514">
        <v>890.56234518557494</v>
      </c>
      <c r="BQ213" s="514">
        <v>1024.1828643310371</v>
      </c>
      <c r="BR213" s="514">
        <v>0</v>
      </c>
      <c r="BS213" s="1031">
        <v>0</v>
      </c>
      <c r="BT213" s="512">
        <v>0.87031716311504737</v>
      </c>
      <c r="BU213" s="513">
        <v>0.95742892238771637</v>
      </c>
      <c r="BV213" s="513">
        <v>0.87031716311504737</v>
      </c>
      <c r="BW213" s="513">
        <v>0.95742892238771637</v>
      </c>
      <c r="BX213" s="510">
        <v>45.908000000000001</v>
      </c>
      <c r="BY213" s="510">
        <v>597.37900000000002</v>
      </c>
      <c r="BZ213" s="514">
        <v>82.067678930581323</v>
      </c>
      <c r="CA213" s="514">
        <v>74.099170220196342</v>
      </c>
      <c r="CB213" s="510">
        <v>2.0345037901890737</v>
      </c>
      <c r="CC213" s="510">
        <v>1.8833939592787829</v>
      </c>
      <c r="CD213" s="514">
        <v>0.19822253202056286</v>
      </c>
      <c r="CE213" s="514">
        <v>0.18932704363561489</v>
      </c>
      <c r="CF213" s="514">
        <v>776.1539245532141</v>
      </c>
      <c r="CG213" s="514">
        <v>732.35892410590543</v>
      </c>
      <c r="CH213" s="514">
        <v>507.68929162673425</v>
      </c>
      <c r="CI213" s="515">
        <v>506.54743471062744</v>
      </c>
      <c r="CJ213" s="1029"/>
      <c r="CK213" s="583"/>
    </row>
    <row r="214" spans="1:89" ht="12.75" customHeight="1">
      <c r="A214" s="560">
        <v>45821</v>
      </c>
      <c r="B214" s="512">
        <v>0.98717558799675587</v>
      </c>
      <c r="C214" s="513">
        <v>0.92078153017799491</v>
      </c>
      <c r="D214" s="513">
        <v>0.98717558799675587</v>
      </c>
      <c r="E214" s="513">
        <v>0.94003083597181025</v>
      </c>
      <c r="F214" s="510">
        <v>58.424999999999997</v>
      </c>
      <c r="G214" s="510">
        <v>674.14699999999993</v>
      </c>
      <c r="H214" s="510">
        <v>1.9886178861788619</v>
      </c>
      <c r="I214" s="510">
        <v>2.326092083774014</v>
      </c>
      <c r="J214" s="510">
        <v>924.28207103124328</v>
      </c>
      <c r="K214" s="511">
        <v>1086.9489443697018</v>
      </c>
      <c r="L214" s="512">
        <v>0.93627645691356309</v>
      </c>
      <c r="M214" s="513">
        <v>0.94484290690780326</v>
      </c>
      <c r="N214" s="513">
        <v>0.93627645691356309</v>
      </c>
      <c r="O214" s="513">
        <v>0.94605485471887973</v>
      </c>
      <c r="P214" s="510">
        <v>48.935000000000002</v>
      </c>
      <c r="Q214" s="510">
        <v>824.22199999999998</v>
      </c>
      <c r="R214" s="510">
        <v>2.4480228875038312</v>
      </c>
      <c r="S214" s="510">
        <v>2.0482066724741639</v>
      </c>
      <c r="T214" s="510">
        <v>0.21457034842137529</v>
      </c>
      <c r="U214" s="510">
        <v>0.22045031557031963</v>
      </c>
      <c r="V214" s="510">
        <v>803.54531521407091</v>
      </c>
      <c r="W214" s="510">
        <v>592.28319554683162</v>
      </c>
      <c r="X214" s="510">
        <v>392.35720854194341</v>
      </c>
      <c r="Y214" s="569">
        <v>415.90736476337685</v>
      </c>
      <c r="Z214" s="512">
        <v>0.94652604854749689</v>
      </c>
      <c r="AA214" s="513">
        <v>0.79963346384206513</v>
      </c>
      <c r="AB214" s="513">
        <v>0.94652604854749689</v>
      </c>
      <c r="AC214" s="513">
        <v>0.79963346384206513</v>
      </c>
      <c r="AD214" s="510">
        <v>41.47</v>
      </c>
      <c r="AE214" s="510">
        <v>472.82799999999997</v>
      </c>
      <c r="AF214" s="510">
        <v>97.888921074642937</v>
      </c>
      <c r="AG214" s="510">
        <v>111.45129479179661</v>
      </c>
      <c r="AH214" s="510">
        <v>1.6252712804436944</v>
      </c>
      <c r="AI214" s="510">
        <v>1.745455006894685</v>
      </c>
      <c r="AJ214" s="510">
        <v>861.83891970097113</v>
      </c>
      <c r="AK214" s="510">
        <v>954.82450277902331</v>
      </c>
      <c r="AL214" s="510">
        <v>0</v>
      </c>
      <c r="AM214" s="569">
        <v>0</v>
      </c>
      <c r="AN214" s="512">
        <v>0.92026818179072745</v>
      </c>
      <c r="AO214" s="513">
        <v>0.8761597448237276</v>
      </c>
      <c r="AP214" s="513">
        <v>0.92026818179072745</v>
      </c>
      <c r="AQ214" s="513">
        <v>0.8761597448237276</v>
      </c>
      <c r="AR214" s="510">
        <v>46.805999999999997</v>
      </c>
      <c r="AS214" s="510">
        <v>595.71600000000001</v>
      </c>
      <c r="AT214" s="514">
        <v>130.15751843300814</v>
      </c>
      <c r="AU214" s="514">
        <v>109.84097345707443</v>
      </c>
      <c r="AV214" s="510">
        <v>1.433576891851472</v>
      </c>
      <c r="AW214" s="510">
        <v>1.4805712789315715</v>
      </c>
      <c r="AX214" s="510">
        <v>0.1816006494893817</v>
      </c>
      <c r="AY214" s="510">
        <v>0.1873375903954233</v>
      </c>
      <c r="AZ214" s="510">
        <v>880.87980173481947</v>
      </c>
      <c r="BA214" s="510">
        <v>830.05620127711859</v>
      </c>
      <c r="BB214" s="510">
        <v>483.52775285219718</v>
      </c>
      <c r="BC214" s="511">
        <v>499.83750646281095</v>
      </c>
      <c r="BD214" s="1030">
        <v>0</v>
      </c>
      <c r="BE214" s="511">
        <v>0</v>
      </c>
      <c r="BF214" s="512">
        <v>0.91867855300667134</v>
      </c>
      <c r="BG214" s="513">
        <v>0.76480861167116532</v>
      </c>
      <c r="BH214" s="513">
        <v>0.91867855300667134</v>
      </c>
      <c r="BI214" s="513">
        <v>0.76480861167116532</v>
      </c>
      <c r="BJ214" s="510">
        <v>48.015999999999998</v>
      </c>
      <c r="BK214" s="510">
        <v>528.48299999999995</v>
      </c>
      <c r="BL214" s="510">
        <v>2.5824725091636123</v>
      </c>
      <c r="BM214" s="510">
        <v>3.0356700215522543</v>
      </c>
      <c r="BN214" s="514">
        <v>0</v>
      </c>
      <c r="BO214" s="514">
        <v>0</v>
      </c>
      <c r="BP214" s="514">
        <v>835.16066629936245</v>
      </c>
      <c r="BQ214" s="514">
        <v>1007.0090103741665</v>
      </c>
      <c r="BR214" s="514">
        <v>0</v>
      </c>
      <c r="BS214" s="1031">
        <v>0</v>
      </c>
      <c r="BT214" s="512">
        <v>1.0844732212727553</v>
      </c>
      <c r="BU214" s="513">
        <v>0.96754590425538611</v>
      </c>
      <c r="BV214" s="513">
        <v>1.0844732212727553</v>
      </c>
      <c r="BW214" s="513">
        <v>0.96754590425538611</v>
      </c>
      <c r="BX214" s="510">
        <v>58.545999999999999</v>
      </c>
      <c r="BY214" s="510">
        <v>655.92500000000007</v>
      </c>
      <c r="BZ214" s="514">
        <v>65.408288102674462</v>
      </c>
      <c r="CA214" s="514">
        <v>73.323446799908282</v>
      </c>
      <c r="CB214" s="510">
        <v>1.6499846274724148</v>
      </c>
      <c r="CC214" s="510">
        <v>1.8625605061554293</v>
      </c>
      <c r="CD214" s="514">
        <v>0.1673897448160421</v>
      </c>
      <c r="CE214" s="514">
        <v>0.18736898273430649</v>
      </c>
      <c r="CF214" s="514">
        <v>626.4358871138752</v>
      </c>
      <c r="CG214" s="514">
        <v>722.90453507707514</v>
      </c>
      <c r="CH214" s="514">
        <v>453.79701431353004</v>
      </c>
      <c r="CI214" s="515">
        <v>501.8390822121429</v>
      </c>
      <c r="CJ214" s="1029"/>
      <c r="CK214" s="583"/>
    </row>
    <row r="215" spans="1:89" ht="12.75" customHeight="1">
      <c r="A215" s="560">
        <v>45822</v>
      </c>
      <c r="B215" s="512">
        <v>0.77532874637615212</v>
      </c>
      <c r="C215" s="513">
        <v>0.91161749213497723</v>
      </c>
      <c r="D215" s="513">
        <v>0.90770194697695861</v>
      </c>
      <c r="E215" s="513">
        <v>0.93824023157372971</v>
      </c>
      <c r="F215" s="510">
        <v>38.168999999999997</v>
      </c>
      <c r="G215" s="510">
        <v>712.31599999999992</v>
      </c>
      <c r="H215" s="510">
        <v>2.3111163509654431</v>
      </c>
      <c r="I215" s="510">
        <v>2.3252896186523961</v>
      </c>
      <c r="J215" s="510">
        <v>1013.2662631978997</v>
      </c>
      <c r="K215" s="511">
        <v>1083.0007047434033</v>
      </c>
      <c r="L215" s="512">
        <v>0.91913089537563264</v>
      </c>
      <c r="M215" s="513">
        <v>0.94337309268756897</v>
      </c>
      <c r="N215" s="513">
        <v>0.91913089537563264</v>
      </c>
      <c r="O215" s="513">
        <v>0.94451389890810367</v>
      </c>
      <c r="P215" s="510">
        <v>48.613</v>
      </c>
      <c r="Q215" s="510">
        <v>872.83500000000004</v>
      </c>
      <c r="R215" s="510">
        <v>2.4177277682924321</v>
      </c>
      <c r="S215" s="510">
        <v>2.0687873423957561</v>
      </c>
      <c r="T215" s="510">
        <v>0.25918992861991647</v>
      </c>
      <c r="U215" s="510">
        <v>0.22260793849925814</v>
      </c>
      <c r="V215" s="510">
        <v>827.61483553779055</v>
      </c>
      <c r="W215" s="510">
        <v>605.39011382449064</v>
      </c>
      <c r="X215" s="510">
        <v>475.18153580318022</v>
      </c>
      <c r="Y215" s="569">
        <v>419.20867059638994</v>
      </c>
      <c r="Z215" s="512">
        <v>0.90642350905358138</v>
      </c>
      <c r="AA215" s="513">
        <v>0.80704995183275341</v>
      </c>
      <c r="AB215" s="513">
        <v>0.90642350905358138</v>
      </c>
      <c r="AC215" s="513">
        <v>0.80704995183275341</v>
      </c>
      <c r="AD215" s="510">
        <v>40.000999999999998</v>
      </c>
      <c r="AE215" s="510">
        <v>512.82899999999995</v>
      </c>
      <c r="AF215" s="510">
        <v>99.25059580846613</v>
      </c>
      <c r="AG215" s="510">
        <v>110.49963222974922</v>
      </c>
      <c r="AH215" s="510">
        <v>1.6099597510062251</v>
      </c>
      <c r="AI215" s="510">
        <v>1.73488628763194</v>
      </c>
      <c r="AJ215" s="510">
        <v>958.86002849929207</v>
      </c>
      <c r="AK215" s="510">
        <v>955.13927644497528</v>
      </c>
      <c r="AL215" s="510">
        <v>0</v>
      </c>
      <c r="AM215" s="569">
        <v>0</v>
      </c>
      <c r="AN215" s="512">
        <v>0.83254556099573984</v>
      </c>
      <c r="AO215" s="513">
        <v>0.87308775635805946</v>
      </c>
      <c r="AP215" s="513">
        <v>0.83254556099573984</v>
      </c>
      <c r="AQ215" s="513">
        <v>0.87308775635805946</v>
      </c>
      <c r="AR215" s="510">
        <v>42.892000000000003</v>
      </c>
      <c r="AS215" s="510">
        <v>638.60800000000006</v>
      </c>
      <c r="AT215" s="514">
        <v>138.02111002793171</v>
      </c>
      <c r="AU215" s="514">
        <v>111.73368763822657</v>
      </c>
      <c r="AV215" s="510">
        <v>1.5364170474680594</v>
      </c>
      <c r="AW215" s="510">
        <v>1.4843221506777238</v>
      </c>
      <c r="AX215" s="510">
        <v>0.19117784202182223</v>
      </c>
      <c r="AY215" s="510">
        <v>0.18759552025655798</v>
      </c>
      <c r="AZ215" s="510">
        <v>974.66567192017158</v>
      </c>
      <c r="BA215" s="510">
        <v>839.76887229724639</v>
      </c>
      <c r="BB215" s="510">
        <v>529.36911312132997</v>
      </c>
      <c r="BC215" s="511">
        <v>501.82099190739848</v>
      </c>
      <c r="BD215" s="1030">
        <v>0</v>
      </c>
      <c r="BE215" s="511">
        <v>0</v>
      </c>
      <c r="BF215" s="512">
        <v>0.88853148156823369</v>
      </c>
      <c r="BG215" s="513">
        <v>0.77264450647579541</v>
      </c>
      <c r="BH215" s="513">
        <v>0.88853148156823369</v>
      </c>
      <c r="BI215" s="513">
        <v>0.77264450647579541</v>
      </c>
      <c r="BJ215" s="510">
        <v>41.515000000000001</v>
      </c>
      <c r="BK215" s="510">
        <v>569.99799999999993</v>
      </c>
      <c r="BL215" s="510">
        <v>2.7170902083584245</v>
      </c>
      <c r="BM215" s="510">
        <v>3.0124667104095102</v>
      </c>
      <c r="BN215" s="514">
        <v>0</v>
      </c>
      <c r="BO215" s="514">
        <v>0</v>
      </c>
      <c r="BP215" s="514">
        <v>968.97143657200252</v>
      </c>
      <c r="BQ215" s="514">
        <v>1004.238597361495</v>
      </c>
      <c r="BR215" s="514">
        <v>0</v>
      </c>
      <c r="BS215" s="1031">
        <v>0</v>
      </c>
      <c r="BT215" s="512">
        <v>1.0700619862413234</v>
      </c>
      <c r="BU215" s="513">
        <v>0.97510746490066902</v>
      </c>
      <c r="BV215" s="513">
        <v>1.0700619862413234</v>
      </c>
      <c r="BW215" s="513">
        <v>0.97510746490066902</v>
      </c>
      <c r="BX215" s="510">
        <v>57.768000000000001</v>
      </c>
      <c r="BY215" s="510">
        <v>713.6930000000001</v>
      </c>
      <c r="BZ215" s="514">
        <v>67.284231161672537</v>
      </c>
      <c r="CA215" s="514">
        <v>72.834618397514532</v>
      </c>
      <c r="CB215" s="510">
        <v>1.6877856252596593</v>
      </c>
      <c r="CC215" s="510">
        <v>1.8484138137826767</v>
      </c>
      <c r="CD215" s="514">
        <v>0.1609887827170752</v>
      </c>
      <c r="CE215" s="514">
        <v>0.18523370693001048</v>
      </c>
      <c r="CF215" s="514">
        <v>631.91076046796206</v>
      </c>
      <c r="CG215" s="514">
        <v>715.5392836711917</v>
      </c>
      <c r="CH215" s="514">
        <v>443.22635369062624</v>
      </c>
      <c r="CI215" s="515">
        <v>497.09482928934415</v>
      </c>
      <c r="CJ215" s="1029"/>
      <c r="CK215" s="583"/>
    </row>
    <row r="216" spans="1:89" ht="12.75" customHeight="1">
      <c r="A216" s="560">
        <v>45823</v>
      </c>
      <c r="B216" s="512">
        <v>0.98724488553929446</v>
      </c>
      <c r="C216" s="513">
        <v>0.91618822028525415</v>
      </c>
      <c r="D216" s="513">
        <v>0.98724488553929446</v>
      </c>
      <c r="E216" s="513">
        <v>0.94128307167577341</v>
      </c>
      <c r="F216" s="510">
        <v>49.621000000000002</v>
      </c>
      <c r="G216" s="510">
        <v>761.9369999999999</v>
      </c>
      <c r="H216" s="510">
        <v>2.5245762882650489</v>
      </c>
      <c r="I216" s="510">
        <v>2.3382681245299808</v>
      </c>
      <c r="J216" s="510">
        <v>1160.8298905705319</v>
      </c>
      <c r="K216" s="511">
        <v>1088.0693154420935</v>
      </c>
      <c r="L216" s="512">
        <v>0.91443252435416222</v>
      </c>
      <c r="M216" s="513">
        <v>0.94179384541589239</v>
      </c>
      <c r="N216" s="513">
        <v>0.91443252435416222</v>
      </c>
      <c r="O216" s="513">
        <v>0.94287052280491668</v>
      </c>
      <c r="P216" s="510">
        <v>48.832999999999998</v>
      </c>
      <c r="Q216" s="510">
        <v>921.66800000000001</v>
      </c>
      <c r="R216" s="510">
        <v>2.4247742305408226</v>
      </c>
      <c r="S216" s="510">
        <v>2.0876486977957356</v>
      </c>
      <c r="T216" s="510">
        <v>0.27235680789629968</v>
      </c>
      <c r="U216" s="510">
        <v>0.2252437971156642</v>
      </c>
      <c r="V216" s="510">
        <v>794.04726312128321</v>
      </c>
      <c r="W216" s="510">
        <v>615.38578967697788</v>
      </c>
      <c r="X216" s="510">
        <v>499.66211373456474</v>
      </c>
      <c r="Y216" s="569">
        <v>423.47135845011434</v>
      </c>
      <c r="Z216" s="512">
        <v>0.84647357286991631</v>
      </c>
      <c r="AA216" s="513">
        <v>0.80967276444106706</v>
      </c>
      <c r="AB216" s="513">
        <v>0.84647357286991631</v>
      </c>
      <c r="AC216" s="513">
        <v>0.80967276444106706</v>
      </c>
      <c r="AD216" s="510">
        <v>38.335000000000001</v>
      </c>
      <c r="AE216" s="510">
        <v>551.16399999999999</v>
      </c>
      <c r="AF216" s="510">
        <v>101.06647114502825</v>
      </c>
      <c r="AG216" s="510">
        <v>109.84352945420005</v>
      </c>
      <c r="AH216" s="510">
        <v>1.612103821572975</v>
      </c>
      <c r="AI216" s="510">
        <v>1.7263464232061601</v>
      </c>
      <c r="AJ216" s="510">
        <v>953.99869570889655</v>
      </c>
      <c r="AK216" s="510">
        <v>955.05994586003578</v>
      </c>
      <c r="AL216" s="510">
        <v>0</v>
      </c>
      <c r="AM216" s="569">
        <v>0</v>
      </c>
      <c r="AN216" s="512">
        <v>0.71461851532738829</v>
      </c>
      <c r="AO216" s="513">
        <v>0.86260626251621542</v>
      </c>
      <c r="AP216" s="513">
        <v>0.71461851532738829</v>
      </c>
      <c r="AQ216" s="513">
        <v>0.86260626251621542</v>
      </c>
      <c r="AR216" s="510">
        <v>37.021000000000001</v>
      </c>
      <c r="AS216" s="510">
        <v>675.62900000000002</v>
      </c>
      <c r="AT216" s="514">
        <v>126.31082593307363</v>
      </c>
      <c r="AU216" s="514">
        <v>112.53243996652144</v>
      </c>
      <c r="AV216" s="510">
        <v>1.7260473785148969</v>
      </c>
      <c r="AW216" s="510">
        <v>1.4975674519595812</v>
      </c>
      <c r="AX216" s="510">
        <v>0.2079900596958483</v>
      </c>
      <c r="AY216" s="510">
        <v>0.18871303629654737</v>
      </c>
      <c r="AZ216" s="510">
        <v>998.39388455201004</v>
      </c>
      <c r="BA216" s="510">
        <v>848.46070846574071</v>
      </c>
      <c r="BB216" s="510">
        <v>553.06447691850565</v>
      </c>
      <c r="BC216" s="511">
        <v>504.6288717624613</v>
      </c>
      <c r="BD216" s="1030">
        <v>0</v>
      </c>
      <c r="BE216" s="511">
        <v>0</v>
      </c>
      <c r="BF216" s="512">
        <v>0.93523190906532938</v>
      </c>
      <c r="BG216" s="513">
        <v>0.78226556075964837</v>
      </c>
      <c r="BH216" s="513">
        <v>0.93523190906532938</v>
      </c>
      <c r="BI216" s="513">
        <v>0.78226556075964837</v>
      </c>
      <c r="BJ216" s="510">
        <v>43.395000000000003</v>
      </c>
      <c r="BK216" s="510">
        <v>613.39299999999992</v>
      </c>
      <c r="BL216" s="510">
        <v>2.5095057034220534</v>
      </c>
      <c r="BM216" s="510">
        <v>2.9768843139716306</v>
      </c>
      <c r="BN216" s="514">
        <v>0</v>
      </c>
      <c r="BO216" s="514">
        <v>0</v>
      </c>
      <c r="BP216" s="514">
        <v>895.25968991271168</v>
      </c>
      <c r="BQ216" s="514">
        <v>996.52879355098537</v>
      </c>
      <c r="BR216" s="514">
        <v>0</v>
      </c>
      <c r="BS216" s="1031">
        <v>0</v>
      </c>
      <c r="BT216" s="512">
        <v>0.96751623157036426</v>
      </c>
      <c r="BU216" s="513">
        <v>0.97458600050674216</v>
      </c>
      <c r="BV216" s="513">
        <v>0.96751623157036426</v>
      </c>
      <c r="BW216" s="513">
        <v>0.97458600050674216</v>
      </c>
      <c r="BX216" s="510">
        <v>52.231999999999999</v>
      </c>
      <c r="BY216" s="510">
        <v>765.92500000000007</v>
      </c>
      <c r="BZ216" s="514">
        <v>71.823092008481822</v>
      </c>
      <c r="CA216" s="514">
        <v>72.765637692677956</v>
      </c>
      <c r="CB216" s="510">
        <v>1.8475264205850819</v>
      </c>
      <c r="CC216" s="510">
        <v>1.8483532982994417</v>
      </c>
      <c r="CD216" s="514">
        <v>0.17805176903047942</v>
      </c>
      <c r="CE216" s="514">
        <v>0.18474393706955641</v>
      </c>
      <c r="CF216" s="514">
        <v>699.75945313673208</v>
      </c>
      <c r="CG216" s="514">
        <v>714.46318338921105</v>
      </c>
      <c r="CH216" s="514">
        <v>479.11242150405889</v>
      </c>
      <c r="CI216" s="515">
        <v>495.8685249861278</v>
      </c>
      <c r="CJ216" s="1029"/>
      <c r="CK216" s="583"/>
    </row>
    <row r="217" spans="1:89" ht="12.75" customHeight="1">
      <c r="A217" s="560">
        <v>45824</v>
      </c>
      <c r="B217" s="512">
        <v>0.95140395068162331</v>
      </c>
      <c r="C217" s="513">
        <v>0.91821482696817647</v>
      </c>
      <c r="D217" s="513">
        <v>0.95140395068162331</v>
      </c>
      <c r="E217" s="513">
        <v>0.94188052298615266</v>
      </c>
      <c r="F217" s="510">
        <v>48.314</v>
      </c>
      <c r="G217" s="510">
        <v>810.25099999999986</v>
      </c>
      <c r="H217" s="510">
        <v>2.4330007865215051</v>
      </c>
      <c r="I217" s="510">
        <v>2.3439168850146439</v>
      </c>
      <c r="J217" s="510">
        <v>1179.3173821252915</v>
      </c>
      <c r="K217" s="511">
        <v>1093.5102949579868</v>
      </c>
      <c r="L217" s="512">
        <v>0.96227831626056148</v>
      </c>
      <c r="M217" s="513">
        <v>0.94290009666072105</v>
      </c>
      <c r="N217" s="513">
        <v>0.96227831626056148</v>
      </c>
      <c r="O217" s="513">
        <v>0.94391976218640128</v>
      </c>
      <c r="P217" s="510">
        <v>53.76</v>
      </c>
      <c r="Q217" s="510">
        <v>975.428</v>
      </c>
      <c r="R217" s="510">
        <v>2.2361421130952381</v>
      </c>
      <c r="S217" s="510">
        <v>2.0958328036513203</v>
      </c>
      <c r="T217" s="510">
        <v>0.25483630952380953</v>
      </c>
      <c r="U217" s="510">
        <v>0.22687476676904905</v>
      </c>
      <c r="V217" s="510">
        <v>772.223028273811</v>
      </c>
      <c r="W217" s="510">
        <v>624.02975924414818</v>
      </c>
      <c r="X217" s="510">
        <v>515.25297619047615</v>
      </c>
      <c r="Y217" s="569">
        <v>428.52983510828068</v>
      </c>
      <c r="Z217" s="512">
        <v>0.74606171713010105</v>
      </c>
      <c r="AA217" s="513">
        <v>0.80577031478405847</v>
      </c>
      <c r="AB217" s="513">
        <v>0.74606171713010105</v>
      </c>
      <c r="AC217" s="513">
        <v>0.80577031478405847</v>
      </c>
      <c r="AD217" s="510">
        <v>33.192999999999998</v>
      </c>
      <c r="AE217" s="510">
        <v>584.35699999999997</v>
      </c>
      <c r="AF217" s="510">
        <v>113.59025512058402</v>
      </c>
      <c r="AG217" s="510">
        <v>110.05635323323288</v>
      </c>
      <c r="AH217" s="510">
        <v>1.8015846714668755</v>
      </c>
      <c r="AI217" s="510">
        <v>1.7306201517223205</v>
      </c>
      <c r="AJ217" s="510">
        <v>1126.9707468441977</v>
      </c>
      <c r="AK217" s="510">
        <v>964.8249272277053</v>
      </c>
      <c r="AL217" s="510">
        <v>0</v>
      </c>
      <c r="AM217" s="569">
        <v>0</v>
      </c>
      <c r="AN217" s="512">
        <v>0.88629239354340938</v>
      </c>
      <c r="AO217" s="513">
        <v>0.86406404899007028</v>
      </c>
      <c r="AP217" s="513">
        <v>0.88629239354340938</v>
      </c>
      <c r="AQ217" s="513">
        <v>0.86406404899007028</v>
      </c>
      <c r="AR217" s="510">
        <v>45.526000000000003</v>
      </c>
      <c r="AS217" s="510">
        <v>721.15499999999997</v>
      </c>
      <c r="AT217" s="514">
        <v>125.015567847415</v>
      </c>
      <c r="AU217" s="514">
        <v>113.32049091244232</v>
      </c>
      <c r="AV217" s="510">
        <v>1.5024381672011597</v>
      </c>
      <c r="AW217" s="510">
        <v>1.4978749367334347</v>
      </c>
      <c r="AX217" s="510">
        <v>0.19768923252646839</v>
      </c>
      <c r="AY217" s="510">
        <v>0.18927969715248455</v>
      </c>
      <c r="AZ217" s="510">
        <v>925.3512278697898</v>
      </c>
      <c r="BA217" s="510">
        <v>853.31475202973002</v>
      </c>
      <c r="BB217" s="510">
        <v>511.35614813512973</v>
      </c>
      <c r="BC217" s="511">
        <v>505.053559914304</v>
      </c>
      <c r="BD217" s="1030">
        <v>0</v>
      </c>
      <c r="BE217" s="511">
        <v>0</v>
      </c>
      <c r="BF217" s="512">
        <v>0.92503217503217527</v>
      </c>
      <c r="BG217" s="513">
        <v>0.79026529241841315</v>
      </c>
      <c r="BH217" s="513">
        <v>0.92503217503217527</v>
      </c>
      <c r="BI217" s="513">
        <v>0.79026529241841315</v>
      </c>
      <c r="BJ217" s="510">
        <v>43.055999999999997</v>
      </c>
      <c r="BK217" s="510">
        <v>656.44899999999996</v>
      </c>
      <c r="BL217" s="510">
        <v>2.5873281308063918</v>
      </c>
      <c r="BM217" s="510">
        <v>2.9513336146448546</v>
      </c>
      <c r="BN217" s="514">
        <v>0</v>
      </c>
      <c r="BO217" s="514">
        <v>0</v>
      </c>
      <c r="BP217" s="514">
        <v>954.6203409375272</v>
      </c>
      <c r="BQ217" s="514">
        <v>993.78004942048153</v>
      </c>
      <c r="BR217" s="514">
        <v>0</v>
      </c>
      <c r="BS217" s="1031">
        <v>0</v>
      </c>
      <c r="BT217" s="512">
        <v>0.99946725466123243</v>
      </c>
      <c r="BU217" s="513">
        <v>0.97618511545850661</v>
      </c>
      <c r="BV217" s="513">
        <v>0.99946725466123243</v>
      </c>
      <c r="BW217" s="513">
        <v>0.97618511545850661</v>
      </c>
      <c r="BX217" s="510">
        <v>53.95</v>
      </c>
      <c r="BY217" s="510">
        <v>819.87500000000011</v>
      </c>
      <c r="BZ217" s="514">
        <v>71.124002223559586</v>
      </c>
      <c r="CA217" s="514">
        <v>72.657613623693123</v>
      </c>
      <c r="CB217" s="510">
        <v>1.7905468025949951</v>
      </c>
      <c r="CC217" s="510">
        <v>1.8445494740051833</v>
      </c>
      <c r="CD217" s="514">
        <v>0.17979610750695085</v>
      </c>
      <c r="CE217" s="514">
        <v>0.1844183564567769</v>
      </c>
      <c r="CF217" s="514">
        <v>706.77454310643043</v>
      </c>
      <c r="CG217" s="514">
        <v>713.95724999295442</v>
      </c>
      <c r="CH217" s="514">
        <v>467.46987951807063</v>
      </c>
      <c r="CI217" s="515">
        <v>493.99981704528108</v>
      </c>
      <c r="CJ217" s="1029"/>
      <c r="CK217" s="583"/>
    </row>
    <row r="218" spans="1:89" ht="12.75" customHeight="1">
      <c r="A218" s="560">
        <v>45825</v>
      </c>
      <c r="B218" s="512">
        <v>0.99661680911680917</v>
      </c>
      <c r="C218" s="513">
        <v>0.92246231173289939</v>
      </c>
      <c r="D218" s="513">
        <v>0.99661680911680917</v>
      </c>
      <c r="E218" s="513">
        <v>0.94491808844317493</v>
      </c>
      <c r="F218" s="510">
        <v>50.372999999999998</v>
      </c>
      <c r="G218" s="510">
        <v>860.62399999999991</v>
      </c>
      <c r="H218" s="510">
        <v>2.2417564965358427</v>
      </c>
      <c r="I218" s="510">
        <v>2.337937357080444</v>
      </c>
      <c r="J218" s="510">
        <v>1005.2726659122116</v>
      </c>
      <c r="K218" s="511">
        <v>1088.3456770901107</v>
      </c>
      <c r="L218" s="512">
        <v>0.88143206116052952</v>
      </c>
      <c r="M218" s="513">
        <v>0.93991385726702681</v>
      </c>
      <c r="N218" s="513">
        <v>0.88143206116052952</v>
      </c>
      <c r="O218" s="513">
        <v>0.94088086213730038</v>
      </c>
      <c r="P218" s="510">
        <v>46.561</v>
      </c>
      <c r="Q218" s="510">
        <v>1021.989</v>
      </c>
      <c r="R218" s="510">
        <v>2.3827666931552156</v>
      </c>
      <c r="S218" s="510">
        <v>2.1089052817593927</v>
      </c>
      <c r="T218" s="510">
        <v>0.36940787354223492</v>
      </c>
      <c r="U218" s="510">
        <v>0.23336846091298435</v>
      </c>
      <c r="V218" s="510">
        <v>765.53553403059925</v>
      </c>
      <c r="W218" s="510">
        <v>630.47664896588878</v>
      </c>
      <c r="X218" s="510">
        <v>597.06621421361228</v>
      </c>
      <c r="Y218" s="569">
        <v>436.20821750527648</v>
      </c>
      <c r="Z218" s="512">
        <v>0.93884012776773129</v>
      </c>
      <c r="AA218" s="513">
        <v>0.81321228289717118</v>
      </c>
      <c r="AB218" s="513">
        <v>0.93884012776773129</v>
      </c>
      <c r="AC218" s="513">
        <v>0.81321228289717118</v>
      </c>
      <c r="AD218" s="510">
        <v>40.332999999999998</v>
      </c>
      <c r="AE218" s="510">
        <v>624.68999999999994</v>
      </c>
      <c r="AF218" s="510">
        <v>102.57816465473263</v>
      </c>
      <c r="AG218" s="510">
        <v>109.57352530268071</v>
      </c>
      <c r="AH218" s="510">
        <v>1.5322440681327945</v>
      </c>
      <c r="AI218" s="510">
        <v>1.7178120347692456</v>
      </c>
      <c r="AJ218" s="510">
        <v>925.26219224953616</v>
      </c>
      <c r="AK218" s="510">
        <v>962.27056620083692</v>
      </c>
      <c r="AL218" s="510">
        <v>0</v>
      </c>
      <c r="AM218" s="569">
        <v>0</v>
      </c>
      <c r="AN218" s="512">
        <v>0.88020942316049466</v>
      </c>
      <c r="AO218" s="513">
        <v>0.86500178722735943</v>
      </c>
      <c r="AP218" s="513">
        <v>0.88020942316049466</v>
      </c>
      <c r="AQ218" s="513">
        <v>0.86500178722735943</v>
      </c>
      <c r="AR218" s="510">
        <v>45.298999999999999</v>
      </c>
      <c r="AS218" s="510">
        <v>766.45399999999995</v>
      </c>
      <c r="AT218" s="514">
        <v>119.78607990486258</v>
      </c>
      <c r="AU218" s="514">
        <v>113.70262045415996</v>
      </c>
      <c r="AV218" s="510">
        <v>1.4194573831651913</v>
      </c>
      <c r="AW218" s="510">
        <v>1.4932402988307192</v>
      </c>
      <c r="AX218" s="510">
        <v>0.19205721980617671</v>
      </c>
      <c r="AY218" s="510">
        <v>0.18944385442570591</v>
      </c>
      <c r="AZ218" s="510">
        <v>854.95485551557317</v>
      </c>
      <c r="BA218" s="510">
        <v>853.41168550232612</v>
      </c>
      <c r="BB218" s="510">
        <v>522.05567451820309</v>
      </c>
      <c r="BC218" s="511">
        <v>506.05841968337307</v>
      </c>
      <c r="BD218" s="1030">
        <v>0</v>
      </c>
      <c r="BE218" s="511">
        <v>0</v>
      </c>
      <c r="BF218" s="512">
        <v>0.96651814933064972</v>
      </c>
      <c r="BG218" s="513">
        <v>0.79962444010973077</v>
      </c>
      <c r="BH218" s="513">
        <v>0.96651814933064972</v>
      </c>
      <c r="BI218" s="513">
        <v>0.79962444010973077</v>
      </c>
      <c r="BJ218" s="510">
        <v>45.023000000000003</v>
      </c>
      <c r="BK218" s="510">
        <v>701.47199999999998</v>
      </c>
      <c r="BL218" s="510">
        <v>2.4965017879750349</v>
      </c>
      <c r="BM218" s="510">
        <v>2.9221408694858813</v>
      </c>
      <c r="BN218" s="514">
        <v>0</v>
      </c>
      <c r="BO218" s="514">
        <v>0</v>
      </c>
      <c r="BP218" s="514">
        <v>870.20669019509296</v>
      </c>
      <c r="BQ218" s="514">
        <v>985.84866605463844</v>
      </c>
      <c r="BR218" s="514">
        <v>0</v>
      </c>
      <c r="BS218" s="1031">
        <v>0</v>
      </c>
      <c r="BT218" s="512">
        <v>0.9978628969599368</v>
      </c>
      <c r="BU218" s="513">
        <v>0.97750301029341202</v>
      </c>
      <c r="BV218" s="513">
        <v>0.9978628969599368</v>
      </c>
      <c r="BW218" s="513">
        <v>0.97750301029341202</v>
      </c>
      <c r="BX218" s="510">
        <v>54.249000000000002</v>
      </c>
      <c r="BY218" s="510">
        <v>874.12400000000014</v>
      </c>
      <c r="BZ218" s="514">
        <v>72.527147991120543</v>
      </c>
      <c r="CA218" s="514">
        <v>72.649516797497498</v>
      </c>
      <c r="CB218" s="510">
        <v>1.7880513926523991</v>
      </c>
      <c r="CC218" s="510">
        <v>1.8410431471965072</v>
      </c>
      <c r="CD218" s="514">
        <v>0.18617854706999207</v>
      </c>
      <c r="CE218" s="514">
        <v>0.18452759562716498</v>
      </c>
      <c r="CF218" s="514">
        <v>667.49127518199691</v>
      </c>
      <c r="CG218" s="514">
        <v>711.07352563860695</v>
      </c>
      <c r="CH218" s="514">
        <v>511.74030857711841</v>
      </c>
      <c r="CI218" s="515">
        <v>495.10080949613547</v>
      </c>
      <c r="CJ218" s="1029"/>
      <c r="CK218" s="583"/>
    </row>
    <row r="219" spans="1:89" ht="12.75" customHeight="1">
      <c r="A219" s="560">
        <v>45826</v>
      </c>
      <c r="B219" s="512">
        <v>0.72073903232229364</v>
      </c>
      <c r="C219" s="513">
        <v>0.91013007307023031</v>
      </c>
      <c r="D219" s="513">
        <v>0.72073903232229364</v>
      </c>
      <c r="E219" s="513">
        <v>0.93090026370288426</v>
      </c>
      <c r="F219" s="510">
        <v>43.784999999999997</v>
      </c>
      <c r="G219" s="510">
        <v>904.40899999999988</v>
      </c>
      <c r="H219" s="510">
        <v>2.5098549731643258</v>
      </c>
      <c r="I219" s="510">
        <v>2.3462603755601728</v>
      </c>
      <c r="J219" s="510">
        <v>1201.7846294392918</v>
      </c>
      <c r="K219" s="511">
        <v>1093.8375779099931</v>
      </c>
      <c r="L219" s="512">
        <v>0.73340922454509205</v>
      </c>
      <c r="M219" s="513">
        <v>0.9306649146858752</v>
      </c>
      <c r="N219" s="513">
        <v>0.73340922454509205</v>
      </c>
      <c r="O219" s="513">
        <v>0.93157947779682315</v>
      </c>
      <c r="P219" s="510">
        <v>37.390999999999998</v>
      </c>
      <c r="Q219" s="510">
        <v>1059.3800000000001</v>
      </c>
      <c r="R219" s="510">
        <v>3.43459656066968</v>
      </c>
      <c r="S219" s="510">
        <v>2.1556957843266815</v>
      </c>
      <c r="T219" s="510">
        <v>0.2995373218154101</v>
      </c>
      <c r="U219" s="510">
        <v>0.23570390228246704</v>
      </c>
      <c r="V219" s="510">
        <v>1073.2291193068188</v>
      </c>
      <c r="W219" s="510">
        <v>646.10367384696792</v>
      </c>
      <c r="X219" s="510">
        <v>532.21363429702342</v>
      </c>
      <c r="Y219" s="569">
        <v>439.59674526609905</v>
      </c>
      <c r="Z219" s="512">
        <v>0.96479422844115081</v>
      </c>
      <c r="AA219" s="513">
        <v>0.82124056349013341</v>
      </c>
      <c r="AB219" s="513">
        <v>0.96479422844115081</v>
      </c>
      <c r="AC219" s="513">
        <v>0.82124056349013341</v>
      </c>
      <c r="AD219" s="510">
        <v>41.448</v>
      </c>
      <c r="AE219" s="510">
        <v>666.13799999999992</v>
      </c>
      <c r="AF219" s="510">
        <v>99.246931814052743</v>
      </c>
      <c r="AG219" s="510">
        <v>108.93099080244704</v>
      </c>
      <c r="AH219" s="510">
        <v>1.4524223122949238</v>
      </c>
      <c r="AI219" s="510">
        <v>1.7012991302102569</v>
      </c>
      <c r="AJ219" s="510">
        <v>1010.1848098822491</v>
      </c>
      <c r="AK219" s="510">
        <v>965.25185472079397</v>
      </c>
      <c r="AL219" s="510">
        <v>0</v>
      </c>
      <c r="AM219" s="569">
        <v>0</v>
      </c>
      <c r="AN219" s="512">
        <v>0.91150636588157075</v>
      </c>
      <c r="AO219" s="513">
        <v>0.86765657510200689</v>
      </c>
      <c r="AP219" s="513">
        <v>0.91150636588157075</v>
      </c>
      <c r="AQ219" s="513">
        <v>0.86765657510200689</v>
      </c>
      <c r="AR219" s="510">
        <v>48.898000000000003</v>
      </c>
      <c r="AS219" s="510">
        <v>815.35199999999998</v>
      </c>
      <c r="AT219" s="514">
        <v>116.49499668089429</v>
      </c>
      <c r="AU219" s="514">
        <v>113.87008384755919</v>
      </c>
      <c r="AV219" s="510">
        <v>1.329297721788212</v>
      </c>
      <c r="AW219" s="510">
        <v>1.4834083929394912</v>
      </c>
      <c r="AX219" s="510">
        <v>0.17587631395967113</v>
      </c>
      <c r="AY219" s="510">
        <v>0.18863018671690263</v>
      </c>
      <c r="AZ219" s="510">
        <v>805.55728250644211</v>
      </c>
      <c r="BA219" s="510">
        <v>850.54177827490446</v>
      </c>
      <c r="BB219" s="510">
        <v>492.78089083398095</v>
      </c>
      <c r="BC219" s="511">
        <v>505.26214444804208</v>
      </c>
      <c r="BD219" s="1030">
        <v>0</v>
      </c>
      <c r="BE219" s="511">
        <v>0</v>
      </c>
      <c r="BF219" s="512">
        <v>0.96370408870408897</v>
      </c>
      <c r="BG219" s="513">
        <v>0.80789157266794953</v>
      </c>
      <c r="BH219" s="513">
        <v>0.96370408870408897</v>
      </c>
      <c r="BI219" s="513">
        <v>0.80789157266794953</v>
      </c>
      <c r="BJ219" s="510">
        <v>44.856000000000002</v>
      </c>
      <c r="BK219" s="510">
        <v>746.32799999999997</v>
      </c>
      <c r="BL219" s="510">
        <v>2.5280898876404496</v>
      </c>
      <c r="BM219" s="510">
        <v>2.898457514658435</v>
      </c>
      <c r="BN219" s="514">
        <v>0</v>
      </c>
      <c r="BO219" s="514">
        <v>0</v>
      </c>
      <c r="BP219" s="514">
        <v>926.29566690262175</v>
      </c>
      <c r="BQ219" s="514">
        <v>982.26939617602898</v>
      </c>
      <c r="BR219" s="514">
        <v>0</v>
      </c>
      <c r="BS219" s="1031">
        <v>0</v>
      </c>
      <c r="BT219" s="512">
        <v>0.95564837966887051</v>
      </c>
      <c r="BU219" s="513">
        <v>0.97625050941465596</v>
      </c>
      <c r="BV219" s="513">
        <v>0.95564837966887051</v>
      </c>
      <c r="BW219" s="513">
        <v>0.97625050941465596</v>
      </c>
      <c r="BX219" s="510">
        <v>51.954000000000001</v>
      </c>
      <c r="BY219" s="510">
        <v>926.07800000000009</v>
      </c>
      <c r="BZ219" s="514">
        <v>72.892189676805927</v>
      </c>
      <c r="CA219" s="514">
        <v>72.663131014411832</v>
      </c>
      <c r="CB219" s="510">
        <v>1.8708857835777803</v>
      </c>
      <c r="CC219" s="510">
        <v>1.8427173521020905</v>
      </c>
      <c r="CD219" s="514">
        <v>0.17900450398429382</v>
      </c>
      <c r="CE219" s="514">
        <v>0.18421774407771266</v>
      </c>
      <c r="CF219" s="514">
        <v>739.50998124138994</v>
      </c>
      <c r="CG219" s="514">
        <v>712.66884224734508</v>
      </c>
      <c r="CH219" s="514">
        <v>502.4444701081726</v>
      </c>
      <c r="CI219" s="515">
        <v>495.51279697822417</v>
      </c>
      <c r="CJ219" s="1029"/>
      <c r="CK219" s="583"/>
    </row>
    <row r="220" spans="1:89" ht="12.75" customHeight="1">
      <c r="A220" s="560">
        <v>45827</v>
      </c>
      <c r="B220" s="512">
        <v>0.83746677732274333</v>
      </c>
      <c r="C220" s="513">
        <v>0.90587012385332166</v>
      </c>
      <c r="D220" s="513">
        <v>0.83746677732274333</v>
      </c>
      <c r="E220" s="513">
        <v>0.92530512425481304</v>
      </c>
      <c r="F220" s="510">
        <v>51.826999999999998</v>
      </c>
      <c r="G220" s="510">
        <v>956.23599999999988</v>
      </c>
      <c r="H220" s="510">
        <v>2.3423698072433288</v>
      </c>
      <c r="I220" s="510">
        <v>2.3460495107902237</v>
      </c>
      <c r="J220" s="510">
        <v>985.65728288347373</v>
      </c>
      <c r="K220" s="511">
        <v>1087.9743180553762</v>
      </c>
      <c r="L220" s="512">
        <v>0.96240959085152822</v>
      </c>
      <c r="M220" s="513">
        <v>0.93202574815851136</v>
      </c>
      <c r="N220" s="513">
        <v>0.96240959085152822</v>
      </c>
      <c r="O220" s="513">
        <v>0.93290234873447719</v>
      </c>
      <c r="P220" s="510">
        <v>49.066000000000003</v>
      </c>
      <c r="Q220" s="510">
        <v>1108.4460000000001</v>
      </c>
      <c r="R220" s="510">
        <v>2.5551094444217992</v>
      </c>
      <c r="S220" s="510">
        <v>2.1733760598170773</v>
      </c>
      <c r="T220" s="510">
        <v>0.21399747279174988</v>
      </c>
      <c r="U220" s="510">
        <v>0.2347430546909817</v>
      </c>
      <c r="V220" s="510">
        <v>853.32185219904613</v>
      </c>
      <c r="W220" s="510">
        <v>655.27630574696377</v>
      </c>
      <c r="X220" s="510">
        <v>422.26796559735868</v>
      </c>
      <c r="Y220" s="569">
        <v>438.82967686292329</v>
      </c>
      <c r="Z220" s="512">
        <v>0.79674110591505765</v>
      </c>
      <c r="AA220" s="513">
        <v>0.81993111749678105</v>
      </c>
      <c r="AB220" s="513">
        <v>0.79674110591505765</v>
      </c>
      <c r="AC220" s="513">
        <v>0.81993111749678105</v>
      </c>
      <c r="AD220" s="510">
        <v>36.491999999999997</v>
      </c>
      <c r="AE220" s="510">
        <v>702.62999999999988</v>
      </c>
      <c r="AF220" s="510">
        <v>113.66898730854773</v>
      </c>
      <c r="AG220" s="510">
        <v>109.17706479373781</v>
      </c>
      <c r="AH220" s="510">
        <v>1.6359750082209801</v>
      </c>
      <c r="AI220" s="510">
        <v>1.6979064372429304</v>
      </c>
      <c r="AJ220" s="510">
        <v>890.43242354490155</v>
      </c>
      <c r="AK220" s="510">
        <v>961.36601056032441</v>
      </c>
      <c r="AL220" s="510">
        <v>0</v>
      </c>
      <c r="AM220" s="569">
        <v>0</v>
      </c>
      <c r="AN220" s="512">
        <v>0.90292469910741469</v>
      </c>
      <c r="AO220" s="513">
        <v>0.8695578871414148</v>
      </c>
      <c r="AP220" s="513">
        <v>0.90292469910741469</v>
      </c>
      <c r="AQ220" s="513">
        <v>0.8695578871414148</v>
      </c>
      <c r="AR220" s="510">
        <v>48.348999999999997</v>
      </c>
      <c r="AS220" s="510">
        <v>863.70100000000002</v>
      </c>
      <c r="AT220" s="514">
        <v>119.06528252731498</v>
      </c>
      <c r="AU220" s="514">
        <v>114.16090516299997</v>
      </c>
      <c r="AV220" s="510">
        <v>1.3237088667811123</v>
      </c>
      <c r="AW220" s="510">
        <v>1.4744685950346241</v>
      </c>
      <c r="AX220" s="510">
        <v>0.20682951043454881</v>
      </c>
      <c r="AY220" s="510">
        <v>0.18964896416699759</v>
      </c>
      <c r="AZ220" s="510">
        <v>813.74299365033414</v>
      </c>
      <c r="BA220" s="510">
        <v>848.4818241497926</v>
      </c>
      <c r="BB220" s="510">
        <v>557.40553062110939</v>
      </c>
      <c r="BC220" s="511">
        <v>508.18107192188035</v>
      </c>
      <c r="BD220" s="1030">
        <v>0</v>
      </c>
      <c r="BE220" s="511">
        <v>0</v>
      </c>
      <c r="BF220" s="512">
        <v>0.90964934714934742</v>
      </c>
      <c r="BG220" s="513">
        <v>0.81277269086952653</v>
      </c>
      <c r="BH220" s="513">
        <v>0.90964934714934742</v>
      </c>
      <c r="BI220" s="513">
        <v>0.81277269086952653</v>
      </c>
      <c r="BJ220" s="510">
        <v>42.34</v>
      </c>
      <c r="BK220" s="510">
        <v>788.66800000000001</v>
      </c>
      <c r="BL220" s="510">
        <v>2.6806802078412848</v>
      </c>
      <c r="BM220" s="510">
        <v>2.8867660409703451</v>
      </c>
      <c r="BN220" s="514">
        <v>0</v>
      </c>
      <c r="BO220" s="514">
        <v>0</v>
      </c>
      <c r="BP220" s="514">
        <v>923.18929421243854</v>
      </c>
      <c r="BQ220" s="514">
        <v>979.09765405242501</v>
      </c>
      <c r="BR220" s="514">
        <v>0</v>
      </c>
      <c r="BS220" s="1031">
        <v>0</v>
      </c>
      <c r="BT220" s="512">
        <v>0.93224418383333962</v>
      </c>
      <c r="BU220" s="513">
        <v>0.97390049958318026</v>
      </c>
      <c r="BV220" s="513">
        <v>0.93224418383333962</v>
      </c>
      <c r="BW220" s="513">
        <v>0.97390049958318026</v>
      </c>
      <c r="BX220" s="510">
        <v>49.889000000000003</v>
      </c>
      <c r="BY220" s="510">
        <v>975.9670000000001</v>
      </c>
      <c r="BZ220" s="514">
        <v>76.375633310415637</v>
      </c>
      <c r="CA220" s="514">
        <v>72.85290487668928</v>
      </c>
      <c r="CB220" s="510">
        <v>1.8901962356431277</v>
      </c>
      <c r="CC220" s="510">
        <v>1.8451443542660764</v>
      </c>
      <c r="CD220" s="514">
        <v>0.20846278738800136</v>
      </c>
      <c r="CE220" s="514">
        <v>0.1854570902499777</v>
      </c>
      <c r="CF220" s="514">
        <v>726.27503624138012</v>
      </c>
      <c r="CG220" s="514">
        <v>713.36435696471597</v>
      </c>
      <c r="CH220" s="514">
        <v>562.24819098398495</v>
      </c>
      <c r="CI220" s="515">
        <v>498.92414395158841</v>
      </c>
      <c r="CJ220" s="1029"/>
      <c r="CK220" s="583"/>
    </row>
    <row r="221" spans="1:89" ht="12.75" customHeight="1">
      <c r="A221" s="560">
        <v>45828</v>
      </c>
      <c r="B221" s="512">
        <v>0.90097576966628978</v>
      </c>
      <c r="C221" s="513">
        <v>0.90561007592757325</v>
      </c>
      <c r="D221" s="513">
        <v>0.90097576966628978</v>
      </c>
      <c r="E221" s="513">
        <v>0.92398622131384534</v>
      </c>
      <c r="F221" s="510">
        <v>53.368000000000002</v>
      </c>
      <c r="G221" s="510">
        <v>1009.6039999999999</v>
      </c>
      <c r="H221" s="510">
        <v>2.2834470094438615</v>
      </c>
      <c r="I221" s="510">
        <v>2.3427403219480114</v>
      </c>
      <c r="J221" s="510">
        <v>1019.2523609653819</v>
      </c>
      <c r="K221" s="511">
        <v>1084.3416527668287</v>
      </c>
      <c r="L221" s="512">
        <v>0.78522731799926149</v>
      </c>
      <c r="M221" s="513">
        <v>0.92455649936013173</v>
      </c>
      <c r="N221" s="513">
        <v>0.78522731799926149</v>
      </c>
      <c r="O221" s="513">
        <v>0.92538179051117531</v>
      </c>
      <c r="P221" s="510">
        <v>50.063000000000002</v>
      </c>
      <c r="Q221" s="510">
        <v>1158.5090000000002</v>
      </c>
      <c r="R221" s="510">
        <v>2.5054431416415315</v>
      </c>
      <c r="S221" s="510">
        <v>2.187725775112666</v>
      </c>
      <c r="T221" s="510">
        <v>0.20973573297644965</v>
      </c>
      <c r="U221" s="510">
        <v>0.2336624057301237</v>
      </c>
      <c r="V221" s="510">
        <v>734.99970037753576</v>
      </c>
      <c r="W221" s="510">
        <v>658.72141692468483</v>
      </c>
      <c r="X221" s="510">
        <v>460.7394682699798</v>
      </c>
      <c r="Y221" s="569">
        <v>439.77647130924305</v>
      </c>
      <c r="Z221" s="512">
        <v>0.8112263151831024</v>
      </c>
      <c r="AA221" s="513">
        <v>0.81944867224094475</v>
      </c>
      <c r="AB221" s="513">
        <v>0.8112263151831024</v>
      </c>
      <c r="AC221" s="513">
        <v>0.81944867224094475</v>
      </c>
      <c r="AD221" s="510">
        <v>40.789000000000001</v>
      </c>
      <c r="AE221" s="510">
        <v>743.41899999999987</v>
      </c>
      <c r="AF221" s="510">
        <v>112.27925046430485</v>
      </c>
      <c r="AG221" s="510">
        <v>109.34727170439891</v>
      </c>
      <c r="AH221" s="510">
        <v>1.5200176518178921</v>
      </c>
      <c r="AI221" s="510">
        <v>1.6881462539967369</v>
      </c>
      <c r="AJ221" s="510">
        <v>863.35678736912575</v>
      </c>
      <c r="AK221" s="510">
        <v>955.9885609595666</v>
      </c>
      <c r="AL221" s="510">
        <v>0</v>
      </c>
      <c r="AM221" s="569">
        <v>0</v>
      </c>
      <c r="AN221" s="512">
        <v>0.8108379859589635</v>
      </c>
      <c r="AO221" s="513">
        <v>0.86662598800399238</v>
      </c>
      <c r="AP221" s="513">
        <v>0.8108379859589635</v>
      </c>
      <c r="AQ221" s="513">
        <v>0.86662598800399238</v>
      </c>
      <c r="AR221" s="510">
        <v>42.326000000000001</v>
      </c>
      <c r="AS221" s="510">
        <v>906.02700000000004</v>
      </c>
      <c r="AT221" s="514">
        <v>137.44755457679869</v>
      </c>
      <c r="AU221" s="514">
        <v>115.24876537366525</v>
      </c>
      <c r="AV221" s="510">
        <v>1.3892170297216839</v>
      </c>
      <c r="AW221" s="510">
        <v>1.4704859788946685</v>
      </c>
      <c r="AX221" s="510">
        <v>0.17010820772102253</v>
      </c>
      <c r="AY221" s="510">
        <v>0.18873609726862439</v>
      </c>
      <c r="AZ221" s="510">
        <v>1005.6575154751239</v>
      </c>
      <c r="BA221" s="510">
        <v>855.82445114770314</v>
      </c>
      <c r="BB221" s="510">
        <v>487.47814582053439</v>
      </c>
      <c r="BC221" s="511">
        <v>507.21391305115628</v>
      </c>
      <c r="BD221" s="1030">
        <v>0</v>
      </c>
      <c r="BE221" s="511">
        <v>0</v>
      </c>
      <c r="BF221" s="512">
        <v>0.81602016519919063</v>
      </c>
      <c r="BG221" s="513">
        <v>0.81292093596482518</v>
      </c>
      <c r="BH221" s="513">
        <v>0.81602016519919063</v>
      </c>
      <c r="BI221" s="513">
        <v>0.81292093596482518</v>
      </c>
      <c r="BJ221" s="510">
        <v>37.875</v>
      </c>
      <c r="BK221" s="510">
        <v>826.54300000000001</v>
      </c>
      <c r="BL221" s="510">
        <v>2.9465346534653465</v>
      </c>
      <c r="BM221" s="510">
        <v>2.8895048412484288</v>
      </c>
      <c r="BN221" s="514">
        <v>0</v>
      </c>
      <c r="BO221" s="514">
        <v>0</v>
      </c>
      <c r="BP221" s="514">
        <v>1058.3046498998433</v>
      </c>
      <c r="BQ221" s="514">
        <v>982.72718689913825</v>
      </c>
      <c r="BR221" s="514">
        <v>0</v>
      </c>
      <c r="BS221" s="1031">
        <v>0</v>
      </c>
      <c r="BT221" s="512">
        <v>0.94819328772972289</v>
      </c>
      <c r="BU221" s="513">
        <v>0.97261996959665264</v>
      </c>
      <c r="BV221" s="513">
        <v>1.0061888978119389</v>
      </c>
      <c r="BW221" s="513">
        <v>0.97542051269796559</v>
      </c>
      <c r="BX221" s="510">
        <v>49.813000000000002</v>
      </c>
      <c r="BY221" s="510">
        <v>1025.7800000000002</v>
      </c>
      <c r="BZ221" s="514">
        <v>80.614226362473445</v>
      </c>
      <c r="CA221" s="514">
        <v>73.229803146465798</v>
      </c>
      <c r="CB221" s="510">
        <v>1.8188023206793404</v>
      </c>
      <c r="CC221" s="510">
        <v>1.8438651562713246</v>
      </c>
      <c r="CD221" s="514">
        <v>0.16260815449782184</v>
      </c>
      <c r="CE221" s="514">
        <v>0.18434752091091652</v>
      </c>
      <c r="CF221" s="514">
        <v>744.74738291296205</v>
      </c>
      <c r="CG221" s="514">
        <v>714.88835106828583</v>
      </c>
      <c r="CH221" s="514">
        <v>467.08690502479135</v>
      </c>
      <c r="CI221" s="515">
        <v>497.37809276842967</v>
      </c>
      <c r="CJ221" s="1029"/>
      <c r="CK221" s="583"/>
    </row>
    <row r="222" spans="1:89" ht="12.75" customHeight="1">
      <c r="A222" s="560">
        <v>45829</v>
      </c>
      <c r="B222" s="512">
        <v>0.99301135927118678</v>
      </c>
      <c r="C222" s="513">
        <v>0.90988595425351082</v>
      </c>
      <c r="D222" s="513">
        <v>0.99301135927118678</v>
      </c>
      <c r="E222" s="513">
        <v>0.92742819977522406</v>
      </c>
      <c r="F222" s="510">
        <v>56.945</v>
      </c>
      <c r="G222" s="510">
        <v>1066.549</v>
      </c>
      <c r="H222" s="510">
        <v>2.148564404249715</v>
      </c>
      <c r="I222" s="510">
        <v>2.3323729148871735</v>
      </c>
      <c r="J222" s="510">
        <v>991.28808499426725</v>
      </c>
      <c r="K222" s="511">
        <v>1079.3733527479746</v>
      </c>
      <c r="L222" s="512">
        <v>0.9723721019217223</v>
      </c>
      <c r="M222" s="513">
        <v>0.92717487479027694</v>
      </c>
      <c r="N222" s="513">
        <v>0.9723721019217223</v>
      </c>
      <c r="O222" s="513">
        <v>0.92795714414535202</v>
      </c>
      <c r="P222" s="510">
        <v>70.585999999999999</v>
      </c>
      <c r="Q222" s="510">
        <v>1229.0950000000003</v>
      </c>
      <c r="R222" s="510">
        <v>2.0201031365993258</v>
      </c>
      <c r="S222" s="510">
        <v>2.1780993332492602</v>
      </c>
      <c r="T222" s="510">
        <v>0.2082565947921684</v>
      </c>
      <c r="U222" s="510">
        <v>0.23220336914559075</v>
      </c>
      <c r="V222" s="510">
        <v>548.87158926700022</v>
      </c>
      <c r="W222" s="510">
        <v>652.41282406974256</v>
      </c>
      <c r="X222" s="510">
        <v>360.46808148924714</v>
      </c>
      <c r="Y222" s="569">
        <v>435.22185022313158</v>
      </c>
      <c r="Z222" s="512">
        <v>0.91375019633859311</v>
      </c>
      <c r="AA222" s="513">
        <v>0.823963095503641</v>
      </c>
      <c r="AB222" s="513">
        <v>0.91375019633859311</v>
      </c>
      <c r="AC222" s="513">
        <v>0.823963095503641</v>
      </c>
      <c r="AD222" s="510">
        <v>41.68</v>
      </c>
      <c r="AE222" s="510">
        <v>785.09899999999982</v>
      </c>
      <c r="AF222" s="510">
        <v>102.08138475650162</v>
      </c>
      <c r="AG222" s="510">
        <v>108.96153415029636</v>
      </c>
      <c r="AH222" s="510">
        <v>1.5043186180422266</v>
      </c>
      <c r="AI222" s="510">
        <v>1.6783870569189367</v>
      </c>
      <c r="AJ222" s="510">
        <v>937.11372360845849</v>
      </c>
      <c r="AK222" s="510">
        <v>954.98651762389284</v>
      </c>
      <c r="AL222" s="510">
        <v>0</v>
      </c>
      <c r="AM222" s="569">
        <v>0</v>
      </c>
      <c r="AN222" s="512">
        <v>0.89647788533274808</v>
      </c>
      <c r="AO222" s="513">
        <v>0.86808458749434336</v>
      </c>
      <c r="AP222" s="513">
        <v>0.89647788533274808</v>
      </c>
      <c r="AQ222" s="513">
        <v>0.86808458749434336</v>
      </c>
      <c r="AR222" s="510">
        <v>48.146999999999998</v>
      </c>
      <c r="AS222" s="510">
        <v>954.17400000000009</v>
      </c>
      <c r="AT222" s="514">
        <v>121.33575285987696</v>
      </c>
      <c r="AU222" s="514">
        <v>115.55591080678187</v>
      </c>
      <c r="AV222" s="510">
        <v>1.389494672565269</v>
      </c>
      <c r="AW222" s="510">
        <v>1.4663992102069432</v>
      </c>
      <c r="AX222" s="510">
        <v>0.1765426714021642</v>
      </c>
      <c r="AY222" s="510">
        <v>0.18812082492291757</v>
      </c>
      <c r="AZ222" s="510">
        <v>834.71244314287435</v>
      </c>
      <c r="BA222" s="510">
        <v>854.75915294275467</v>
      </c>
      <c r="BB222" s="510">
        <v>518.30851351070544</v>
      </c>
      <c r="BC222" s="511">
        <v>507.77373938086743</v>
      </c>
      <c r="BD222" s="1030">
        <v>0</v>
      </c>
      <c r="BE222" s="511">
        <v>0</v>
      </c>
      <c r="BF222" s="512">
        <v>0.94576181532703307</v>
      </c>
      <c r="BG222" s="513">
        <v>0.81865647887339754</v>
      </c>
      <c r="BH222" s="513">
        <v>0.94576181532703307</v>
      </c>
      <c r="BI222" s="513">
        <v>0.81865647887339754</v>
      </c>
      <c r="BJ222" s="510">
        <v>43.392000000000003</v>
      </c>
      <c r="BK222" s="510">
        <v>869.93500000000006</v>
      </c>
      <c r="BL222" s="510">
        <v>2.4866334808259585</v>
      </c>
      <c r="BM222" s="510">
        <v>2.8694097834895711</v>
      </c>
      <c r="BN222" s="514">
        <v>0</v>
      </c>
      <c r="BO222" s="514">
        <v>0</v>
      </c>
      <c r="BP222" s="514">
        <v>922.73019475802812</v>
      </c>
      <c r="BQ222" s="514">
        <v>979.73456160760827</v>
      </c>
      <c r="BR222" s="514">
        <v>0</v>
      </c>
      <c r="BS222" s="1031">
        <v>0</v>
      </c>
      <c r="BT222" s="512">
        <v>1.0092092897737959</v>
      </c>
      <c r="BU222" s="513">
        <v>0.97435650333920298</v>
      </c>
      <c r="BV222" s="513">
        <v>1.0092092897737959</v>
      </c>
      <c r="BW222" s="513">
        <v>0.9770285299987308</v>
      </c>
      <c r="BX222" s="510">
        <v>53.031999999999996</v>
      </c>
      <c r="BY222" s="510">
        <v>1078.8120000000001</v>
      </c>
      <c r="BZ222" s="514">
        <v>74.922601267244588</v>
      </c>
      <c r="CA222" s="514">
        <v>73.313017339430971</v>
      </c>
      <c r="CB222" s="510">
        <v>1.7423442449841606</v>
      </c>
      <c r="CC222" s="510">
        <v>1.8388746139271714</v>
      </c>
      <c r="CD222" s="514">
        <v>0.16028058530698447</v>
      </c>
      <c r="CE222" s="514">
        <v>0.18316444385119926</v>
      </c>
      <c r="CF222" s="514">
        <v>708.58333438410716</v>
      </c>
      <c r="CG222" s="514">
        <v>714.57841046251258</v>
      </c>
      <c r="CH222" s="514">
        <v>470.56494192185727</v>
      </c>
      <c r="CI222" s="515">
        <v>496.06001787151024</v>
      </c>
      <c r="CJ222" s="1029"/>
      <c r="CK222" s="583"/>
    </row>
    <row r="223" spans="1:89" ht="12.75" customHeight="1">
      <c r="A223" s="560">
        <v>45830</v>
      </c>
      <c r="B223" s="512">
        <v>0.67556077071772813</v>
      </c>
      <c r="C223" s="513">
        <v>0.89896214445536693</v>
      </c>
      <c r="D223" s="513">
        <v>0.75941257598245782</v>
      </c>
      <c r="E223" s="513">
        <v>0.92029511829907495</v>
      </c>
      <c r="F223" s="510">
        <v>38.720999999999997</v>
      </c>
      <c r="G223" s="510">
        <v>1105.27</v>
      </c>
      <c r="H223" s="510">
        <v>2.6724774670075671</v>
      </c>
      <c r="I223" s="510">
        <v>2.3442878210753935</v>
      </c>
      <c r="J223" s="510">
        <v>1219.3042535058726</v>
      </c>
      <c r="K223" s="511">
        <v>1084.275561627476</v>
      </c>
      <c r="L223" s="512">
        <v>0.74914083274839571</v>
      </c>
      <c r="M223" s="513">
        <v>0.91786735493415872</v>
      </c>
      <c r="N223" s="513">
        <v>0.88860197624191906</v>
      </c>
      <c r="O223" s="513">
        <v>0.92620682623373551</v>
      </c>
      <c r="P223" s="510">
        <v>54.781999999999996</v>
      </c>
      <c r="Q223" s="510">
        <v>1283.8770000000002</v>
      </c>
      <c r="R223" s="510">
        <v>1.2303311306633569</v>
      </c>
      <c r="S223" s="510">
        <v>2.1376588255728546</v>
      </c>
      <c r="T223" s="510">
        <v>0.23000255558395094</v>
      </c>
      <c r="U223" s="510">
        <v>0.23210946219926046</v>
      </c>
      <c r="V223" s="510">
        <v>552.64922784855924</v>
      </c>
      <c r="W223" s="510">
        <v>648.15599157863244</v>
      </c>
      <c r="X223" s="510">
        <v>404.71322697236315</v>
      </c>
      <c r="Y223" s="569">
        <v>433.92007178257722</v>
      </c>
      <c r="Z223" s="512">
        <v>0.92624702664407732</v>
      </c>
      <c r="AA223" s="513">
        <v>0.82864850921224342</v>
      </c>
      <c r="AB223" s="513">
        <v>0.92624702664407732</v>
      </c>
      <c r="AC223" s="513">
        <v>0.82864850921224342</v>
      </c>
      <c r="AD223" s="510">
        <v>42.369</v>
      </c>
      <c r="AE223" s="510">
        <v>827.46799999999985</v>
      </c>
      <c r="AF223" s="510">
        <v>109.90757962309796</v>
      </c>
      <c r="AG223" s="510">
        <v>109.00997469499067</v>
      </c>
      <c r="AH223" s="510">
        <v>1.4845759871604238</v>
      </c>
      <c r="AI223" s="510">
        <v>1.668463312176423</v>
      </c>
      <c r="AJ223" s="510">
        <v>885.13347022586845</v>
      </c>
      <c r="AK223" s="510">
        <v>951.40981886912891</v>
      </c>
      <c r="AL223" s="510">
        <v>0</v>
      </c>
      <c r="AM223" s="569">
        <v>0</v>
      </c>
      <c r="AN223" s="512">
        <v>0.67948846775996763</v>
      </c>
      <c r="AO223" s="513">
        <v>0.85922591664198256</v>
      </c>
      <c r="AP223" s="513">
        <v>0.68859978325422555</v>
      </c>
      <c r="AQ223" s="513">
        <v>0.8597602685782163</v>
      </c>
      <c r="AR223" s="510">
        <v>36.811</v>
      </c>
      <c r="AS223" s="510">
        <v>990.98500000000013</v>
      </c>
      <c r="AT223" s="514">
        <v>146.22368403635886</v>
      </c>
      <c r="AU223" s="514">
        <v>116.6950919249158</v>
      </c>
      <c r="AV223" s="510">
        <v>1.6245144114530983</v>
      </c>
      <c r="AW223" s="510">
        <v>1.4722725369203367</v>
      </c>
      <c r="AX223" s="510">
        <v>0.23090923908614272</v>
      </c>
      <c r="AY223" s="510">
        <v>0.18971023779371024</v>
      </c>
      <c r="AZ223" s="510">
        <v>1057.3529651462882</v>
      </c>
      <c r="BA223" s="510">
        <v>862.2846763573616</v>
      </c>
      <c r="BB223" s="510">
        <v>558.31137431746572</v>
      </c>
      <c r="BC223" s="511">
        <v>509.6510037992503</v>
      </c>
      <c r="BD223" s="1030">
        <v>0</v>
      </c>
      <c r="BE223" s="511">
        <v>0</v>
      </c>
      <c r="BF223" s="512">
        <v>0.7012621595954931</v>
      </c>
      <c r="BG223" s="513">
        <v>0.81379391349345742</v>
      </c>
      <c r="BH223" s="513">
        <v>0.81899230317721827</v>
      </c>
      <c r="BI223" s="513">
        <v>0.81866846074610877</v>
      </c>
      <c r="BJ223" s="510">
        <v>32.200000000000003</v>
      </c>
      <c r="BK223" s="510">
        <v>902.1350000000001</v>
      </c>
      <c r="BL223" s="510">
        <v>2.9161490683229814</v>
      </c>
      <c r="BM223" s="510">
        <v>2.8710780537281004</v>
      </c>
      <c r="BN223" s="514">
        <v>0</v>
      </c>
      <c r="BO223" s="514">
        <v>0</v>
      </c>
      <c r="BP223" s="514">
        <v>1045.9229734584014</v>
      </c>
      <c r="BQ223" s="514">
        <v>982.09703159446792</v>
      </c>
      <c r="BR223" s="514">
        <v>0</v>
      </c>
      <c r="BS223" s="1031">
        <v>0</v>
      </c>
      <c r="BT223" s="512">
        <v>0.67783650800371187</v>
      </c>
      <c r="BU223" s="513">
        <v>0.96092126512324905</v>
      </c>
      <c r="BV223" s="513">
        <v>0.81137537117651293</v>
      </c>
      <c r="BW223" s="513">
        <v>0.97069437114986856</v>
      </c>
      <c r="BX223" s="510">
        <v>35.619</v>
      </c>
      <c r="BY223" s="510">
        <v>1114.431</v>
      </c>
      <c r="BZ223" s="514">
        <v>82.222570141962407</v>
      </c>
      <c r="CA223" s="514">
        <v>73.597780919476193</v>
      </c>
      <c r="CB223" s="510">
        <v>1.7855638844436958</v>
      </c>
      <c r="CC223" s="510">
        <v>1.8371707176128445</v>
      </c>
      <c r="CD223" s="514">
        <v>0.19090934613548949</v>
      </c>
      <c r="CE223" s="514">
        <v>0.18341198333499337</v>
      </c>
      <c r="CF223" s="514">
        <v>798.67346794238176</v>
      </c>
      <c r="CG223" s="514">
        <v>717.26622321393074</v>
      </c>
      <c r="CH223" s="514">
        <v>453.35354726410566</v>
      </c>
      <c r="CI223" s="515">
        <v>494.69505065813854</v>
      </c>
      <c r="CJ223" s="1029"/>
      <c r="CK223" s="583"/>
    </row>
    <row r="224" spans="1:89" ht="12.75" customHeight="1">
      <c r="A224" s="560">
        <v>45831</v>
      </c>
      <c r="B224" s="512">
        <v>0.90312047042773913</v>
      </c>
      <c r="C224" s="513">
        <v>0.8991473634093099</v>
      </c>
      <c r="D224" s="513">
        <v>0.90312047042773913</v>
      </c>
      <c r="E224" s="513">
        <v>0.91951280332416618</v>
      </c>
      <c r="F224" s="510">
        <v>51.764000000000003</v>
      </c>
      <c r="G224" s="510">
        <v>1157.0339999999999</v>
      </c>
      <c r="H224" s="510">
        <v>2.4030020863920871</v>
      </c>
      <c r="I224" s="510">
        <v>2.3469146109794528</v>
      </c>
      <c r="J224" s="510">
        <v>1110.4153465729191</v>
      </c>
      <c r="K224" s="511">
        <v>1085.4450171732215</v>
      </c>
      <c r="L224" s="512">
        <v>0.96183560875514718</v>
      </c>
      <c r="M224" s="513">
        <v>0.91994453705448498</v>
      </c>
      <c r="N224" s="513">
        <v>0.96183560875514718</v>
      </c>
      <c r="O224" s="513">
        <v>0.92790459296631345</v>
      </c>
      <c r="P224" s="510">
        <v>66.710999999999999</v>
      </c>
      <c r="Q224" s="510">
        <v>1350.5880000000002</v>
      </c>
      <c r="R224" s="510">
        <v>1.809356777742801</v>
      </c>
      <c r="S224" s="510">
        <v>2.12144266053008</v>
      </c>
      <c r="T224" s="510">
        <v>0.25183253136664119</v>
      </c>
      <c r="U224" s="510">
        <v>0.23308366430028987</v>
      </c>
      <c r="V224" s="510">
        <v>507.50071202650372</v>
      </c>
      <c r="W224" s="510">
        <v>641.20845883422624</v>
      </c>
      <c r="X224" s="510">
        <v>458.69496784638216</v>
      </c>
      <c r="Y224" s="569">
        <v>435.14380403202154</v>
      </c>
      <c r="Z224" s="512">
        <v>0.94987923499929561</v>
      </c>
      <c r="AA224" s="513">
        <v>0.83395859225807389</v>
      </c>
      <c r="AB224" s="513">
        <v>0.94987923499929561</v>
      </c>
      <c r="AC224" s="513">
        <v>0.83395859225807389</v>
      </c>
      <c r="AD224" s="510">
        <v>43.45</v>
      </c>
      <c r="AE224" s="510">
        <v>870.91799999999989</v>
      </c>
      <c r="AF224" s="510">
        <v>116.12755031221515</v>
      </c>
      <c r="AG224" s="510">
        <v>109.36506973329324</v>
      </c>
      <c r="AH224" s="510">
        <v>1.4108170310701955</v>
      </c>
      <c r="AI224" s="510">
        <v>1.6556093685054165</v>
      </c>
      <c r="AJ224" s="510">
        <v>971.32151898733753</v>
      </c>
      <c r="AK224" s="510">
        <v>952.40321132414329</v>
      </c>
      <c r="AL224" s="510">
        <v>0</v>
      </c>
      <c r="AM224" s="569">
        <v>0</v>
      </c>
      <c r="AN224" s="512">
        <v>0.96743842283169379</v>
      </c>
      <c r="AO224" s="513">
        <v>0.86397393256511468</v>
      </c>
      <c r="AP224" s="513">
        <v>0.96743842283169379</v>
      </c>
      <c r="AQ224" s="513">
        <v>0.86448764807192868</v>
      </c>
      <c r="AR224" s="510">
        <v>51.204000000000001</v>
      </c>
      <c r="AS224" s="510">
        <v>1042.1890000000001</v>
      </c>
      <c r="AT224" s="514">
        <v>117.00247030265888</v>
      </c>
      <c r="AU224" s="514">
        <v>116.71019379459008</v>
      </c>
      <c r="AV224" s="510">
        <v>1.2987266619795328</v>
      </c>
      <c r="AW224" s="510">
        <v>1.4637460191961342</v>
      </c>
      <c r="AX224" s="510">
        <v>0.16600265604249667</v>
      </c>
      <c r="AY224" s="510">
        <v>0.18854545576666032</v>
      </c>
      <c r="AZ224" s="510">
        <v>794.35044137176692</v>
      </c>
      <c r="BA224" s="510">
        <v>858.9469856235288</v>
      </c>
      <c r="BB224" s="510">
        <v>521.44363721584159</v>
      </c>
      <c r="BC224" s="511">
        <v>510.2303900732017</v>
      </c>
      <c r="BD224" s="1030">
        <v>0</v>
      </c>
      <c r="BE224" s="511">
        <v>0</v>
      </c>
      <c r="BF224" s="512">
        <v>0.87157933351416617</v>
      </c>
      <c r="BG224" s="513">
        <v>0.81633717448759857</v>
      </c>
      <c r="BH224" s="513">
        <v>0.87163297806646844</v>
      </c>
      <c r="BI224" s="513">
        <v>0.82101275041403732</v>
      </c>
      <c r="BJ224" s="510">
        <v>44.481999999999999</v>
      </c>
      <c r="BK224" s="510">
        <v>946.61700000000008</v>
      </c>
      <c r="BL224" s="510">
        <v>2.8371026482622184</v>
      </c>
      <c r="BM224" s="510">
        <v>2.8694815326578755</v>
      </c>
      <c r="BN224" s="514">
        <v>0</v>
      </c>
      <c r="BO224" s="514">
        <v>0</v>
      </c>
      <c r="BP224" s="514">
        <v>1102.8343380494928</v>
      </c>
      <c r="BQ224" s="514">
        <v>987.77053721050106</v>
      </c>
      <c r="BR224" s="514">
        <v>0</v>
      </c>
      <c r="BS224" s="1031">
        <v>0</v>
      </c>
      <c r="BT224" s="512">
        <v>9.7030621951322116E-2</v>
      </c>
      <c r="BU224" s="513">
        <v>0.92279976291111598</v>
      </c>
      <c r="BV224" s="513">
        <v>0.13447939904706821</v>
      </c>
      <c r="BW224" s="513">
        <v>0.9434733511846396</v>
      </c>
      <c r="BX224" s="510">
        <v>5.1950000000000003</v>
      </c>
      <c r="BY224" s="510">
        <v>1119.626</v>
      </c>
      <c r="BZ224" s="514">
        <v>269.54060626696935</v>
      </c>
      <c r="CA224" s="514">
        <v>74.506944316610813</v>
      </c>
      <c r="CB224" s="510">
        <v>5.0048123195380168</v>
      </c>
      <c r="CC224" s="510">
        <v>1.8518683917665359</v>
      </c>
      <c r="CD224" s="514">
        <v>0</v>
      </c>
      <c r="CE224" s="514">
        <v>0.18256096232134661</v>
      </c>
      <c r="CF224" s="514">
        <v>2134.8379162433048</v>
      </c>
      <c r="CG224" s="514">
        <v>723.84367402812006</v>
      </c>
      <c r="CH224" s="514">
        <v>0</v>
      </c>
      <c r="CI224" s="515">
        <v>492.39969418359345</v>
      </c>
      <c r="CJ224" s="1029"/>
      <c r="CK224" s="583"/>
    </row>
    <row r="225" spans="1:89" ht="12.75" customHeight="1">
      <c r="A225" s="560">
        <v>45832</v>
      </c>
      <c r="B225" s="512">
        <v>0.89035921317029676</v>
      </c>
      <c r="C225" s="513">
        <v>0.89877265517386795</v>
      </c>
      <c r="D225" s="513">
        <v>0.89035921317029676</v>
      </c>
      <c r="E225" s="513">
        <v>0.91824282735429807</v>
      </c>
      <c r="F225" s="510">
        <v>51.027000000000001</v>
      </c>
      <c r="G225" s="510">
        <v>1208.0609999999999</v>
      </c>
      <c r="H225" s="510">
        <v>2.3991808258373015</v>
      </c>
      <c r="I225" s="510">
        <v>2.3491222711435928</v>
      </c>
      <c r="J225" s="510">
        <v>1064.4705744018006</v>
      </c>
      <c r="K225" s="511">
        <v>1084.5590826953289</v>
      </c>
      <c r="L225" s="512">
        <v>0.9845043080969339</v>
      </c>
      <c r="M225" s="513">
        <v>0.92283984998917212</v>
      </c>
      <c r="N225" s="513">
        <v>0.9845043080969339</v>
      </c>
      <c r="O225" s="513">
        <v>0.93046389156351594</v>
      </c>
      <c r="P225" s="510">
        <v>67.864000000000004</v>
      </c>
      <c r="Q225" s="510">
        <v>1418.4520000000002</v>
      </c>
      <c r="R225" s="510">
        <v>1.8714635152658257</v>
      </c>
      <c r="S225" s="510">
        <v>2.1094827318795417</v>
      </c>
      <c r="T225" s="510">
        <v>0.22987150772132497</v>
      </c>
      <c r="U225" s="510">
        <v>0.23292998282634866</v>
      </c>
      <c r="V225" s="510">
        <v>412.716167629371</v>
      </c>
      <c r="W225" s="510">
        <v>630.27654090515546</v>
      </c>
      <c r="X225" s="510">
        <v>419.95756218318991</v>
      </c>
      <c r="Y225" s="569">
        <v>434.41723794671935</v>
      </c>
      <c r="Z225" s="512">
        <v>0.89323626381671406</v>
      </c>
      <c r="AA225" s="513">
        <v>0.83644608512020313</v>
      </c>
      <c r="AB225" s="513">
        <v>0.89323626381671406</v>
      </c>
      <c r="AC225" s="513">
        <v>0.83644608512020313</v>
      </c>
      <c r="AD225" s="510">
        <v>40.859000000000002</v>
      </c>
      <c r="AE225" s="510">
        <v>911.77699999999993</v>
      </c>
      <c r="AF225" s="510">
        <v>121.53732616657888</v>
      </c>
      <c r="AG225" s="510">
        <v>109.91053888376273</v>
      </c>
      <c r="AH225" s="510">
        <v>1.5369930737414033</v>
      </c>
      <c r="AI225" s="510">
        <v>1.6502938766825661</v>
      </c>
      <c r="AJ225" s="510">
        <v>903.40879610366903</v>
      </c>
      <c r="AK225" s="510">
        <v>950.20764945814597</v>
      </c>
      <c r="AL225" s="510">
        <v>0</v>
      </c>
      <c r="AM225" s="569">
        <v>0</v>
      </c>
      <c r="AN225" s="512">
        <v>0.90579014482499431</v>
      </c>
      <c r="AO225" s="513">
        <v>0.86568445128061222</v>
      </c>
      <c r="AP225" s="513">
        <v>0.90579014482499431</v>
      </c>
      <c r="AQ225" s="513">
        <v>0.8661781163852379</v>
      </c>
      <c r="AR225" s="510">
        <v>46.600999999999999</v>
      </c>
      <c r="AS225" s="510">
        <v>1088.79</v>
      </c>
      <c r="AT225" s="514">
        <v>132.57477876937483</v>
      </c>
      <c r="AU225" s="514">
        <v>117.38920951333286</v>
      </c>
      <c r="AV225" s="510">
        <v>1.4591961545889574</v>
      </c>
      <c r="AW225" s="510">
        <v>1.4635512816980318</v>
      </c>
      <c r="AX225" s="510">
        <v>0.23819231346966804</v>
      </c>
      <c r="AY225" s="510">
        <v>0.19067037720772598</v>
      </c>
      <c r="AZ225" s="510">
        <v>805.61318426643288</v>
      </c>
      <c r="BA225" s="510">
        <v>856.66426032568268</v>
      </c>
      <c r="BB225" s="510">
        <v>577.45541941160059</v>
      </c>
      <c r="BC225" s="511">
        <v>513.10766998227393</v>
      </c>
      <c r="BD225" s="1030">
        <v>0</v>
      </c>
      <c r="BE225" s="511">
        <v>0</v>
      </c>
      <c r="BF225" s="512">
        <v>0.7448704901272778</v>
      </c>
      <c r="BG225" s="513">
        <v>0.81323856843993103</v>
      </c>
      <c r="BH225" s="513">
        <v>0.7448704901272778</v>
      </c>
      <c r="BI225" s="513">
        <v>0.81769333972443647</v>
      </c>
      <c r="BJ225" s="510">
        <v>39.146999999999998</v>
      </c>
      <c r="BK225" s="510">
        <v>985.76400000000012</v>
      </c>
      <c r="BL225" s="510">
        <v>3.2467366592586915</v>
      </c>
      <c r="BM225" s="510">
        <v>2.884463218376812</v>
      </c>
      <c r="BN225" s="514">
        <v>0</v>
      </c>
      <c r="BO225" s="514">
        <v>0</v>
      </c>
      <c r="BP225" s="514">
        <v>1053.8927568475733</v>
      </c>
      <c r="BQ225" s="514">
        <v>990.39640560509906</v>
      </c>
      <c r="BR225" s="514">
        <v>0</v>
      </c>
      <c r="BS225" s="1031">
        <v>0</v>
      </c>
      <c r="BT225" s="512">
        <v>0.84884229224077978</v>
      </c>
      <c r="BU225" s="513">
        <v>0.91972262051898734</v>
      </c>
      <c r="BV225" s="513">
        <v>0.84884229224077978</v>
      </c>
      <c r="BW225" s="513">
        <v>0.93945158536383966</v>
      </c>
      <c r="BX225" s="510">
        <v>44.710999999999999</v>
      </c>
      <c r="BY225" s="510">
        <v>1164.337</v>
      </c>
      <c r="BZ225" s="514">
        <v>91.140639322048656</v>
      </c>
      <c r="CA225" s="514">
        <v>75.145684764941606</v>
      </c>
      <c r="CB225" s="510">
        <v>2.0509494307888438</v>
      </c>
      <c r="CC225" s="510">
        <v>1.8595131821800728</v>
      </c>
      <c r="CD225" s="514">
        <v>0</v>
      </c>
      <c r="CE225" s="514">
        <v>0.17555054936843886</v>
      </c>
      <c r="CF225" s="514">
        <v>850.87003752288865</v>
      </c>
      <c r="CG225" s="514">
        <v>728.72153648393362</v>
      </c>
      <c r="CH225" s="514">
        <v>0</v>
      </c>
      <c r="CI225" s="515">
        <v>473.49135173064155</v>
      </c>
      <c r="CJ225" s="1029"/>
      <c r="CK225" s="583"/>
    </row>
    <row r="226" spans="1:89" ht="12.75" customHeight="1">
      <c r="A226" s="560">
        <v>45833</v>
      </c>
      <c r="B226" s="512">
        <v>0.8392375909909896</v>
      </c>
      <c r="C226" s="513">
        <v>0.89633642047157425</v>
      </c>
      <c r="D226" s="513">
        <v>0.88211834381534693</v>
      </c>
      <c r="E226" s="513">
        <v>0.91680432151457769</v>
      </c>
      <c r="F226" s="510">
        <v>48.13</v>
      </c>
      <c r="G226" s="510">
        <v>1256.191</v>
      </c>
      <c r="H226" s="510">
        <v>2.5030542281321417</v>
      </c>
      <c r="I226" s="510">
        <v>2.3550200566633577</v>
      </c>
      <c r="J226" s="510">
        <v>1206.8136297527155</v>
      </c>
      <c r="K226" s="511">
        <v>1089.2431724156595</v>
      </c>
      <c r="L226" s="512">
        <v>0.89310264223646862</v>
      </c>
      <c r="M226" s="513">
        <v>0.9215156167895352</v>
      </c>
      <c r="N226" s="513">
        <v>0.91435417519285955</v>
      </c>
      <c r="O226" s="513">
        <v>0.92975691369629554</v>
      </c>
      <c r="P226" s="510">
        <v>63.978999999999999</v>
      </c>
      <c r="Q226" s="510">
        <v>1482.4310000000003</v>
      </c>
      <c r="R226" s="510">
        <v>1.9064067897278794</v>
      </c>
      <c r="S226" s="510">
        <v>2.1007183470933888</v>
      </c>
      <c r="T226" s="510">
        <v>0.24383000672095531</v>
      </c>
      <c r="U226" s="510">
        <v>0.2334004078436028</v>
      </c>
      <c r="V226" s="510">
        <v>575.64466465560656</v>
      </c>
      <c r="W226" s="510">
        <v>627.91872943833528</v>
      </c>
      <c r="X226" s="510">
        <v>523.92191187733476</v>
      </c>
      <c r="Y226" s="569">
        <v>438.28009532990058</v>
      </c>
      <c r="Z226" s="512">
        <v>0.73215085798947044</v>
      </c>
      <c r="AA226" s="513">
        <v>0.83231785699248162</v>
      </c>
      <c r="AB226" s="513">
        <v>0.76289842546051534</v>
      </c>
      <c r="AC226" s="513">
        <v>0.83364777815243274</v>
      </c>
      <c r="AD226" s="510">
        <v>32.892000000000003</v>
      </c>
      <c r="AE226" s="510">
        <v>944.66899999999998</v>
      </c>
      <c r="AF226" s="510">
        <v>125.56096107489716</v>
      </c>
      <c r="AG226" s="510">
        <v>110.45546381165894</v>
      </c>
      <c r="AH226" s="510">
        <v>1.6690988690259028</v>
      </c>
      <c r="AI226" s="510">
        <v>1.6509486391529733</v>
      </c>
      <c r="AJ226" s="510">
        <v>1108.6093883011065</v>
      </c>
      <c r="AK226" s="510">
        <v>955.72296751560577</v>
      </c>
      <c r="AL226" s="510">
        <v>0</v>
      </c>
      <c r="AM226" s="569">
        <v>0</v>
      </c>
      <c r="AN226" s="512">
        <v>0.75275847606361235</v>
      </c>
      <c r="AO226" s="513">
        <v>0.86127781852636431</v>
      </c>
      <c r="AP226" s="513">
        <v>0.90299404855175702</v>
      </c>
      <c r="AQ226" s="513">
        <v>0.86738422893087153</v>
      </c>
      <c r="AR226" s="510">
        <v>38.445</v>
      </c>
      <c r="AS226" s="510">
        <v>1127.2349999999999</v>
      </c>
      <c r="AT226" s="514">
        <v>135.51711358997292</v>
      </c>
      <c r="AU226" s="514">
        <v>118.0074721402265</v>
      </c>
      <c r="AV226" s="510">
        <v>1.4592274678111588</v>
      </c>
      <c r="AW226" s="510">
        <v>1.463403815530923</v>
      </c>
      <c r="AX226" s="510">
        <v>0.24450513720899988</v>
      </c>
      <c r="AY226" s="510">
        <v>0.19250644275594705</v>
      </c>
      <c r="AZ226" s="510">
        <v>984.37716217973707</v>
      </c>
      <c r="BA226" s="510">
        <v>861.01998252360863</v>
      </c>
      <c r="BB226" s="510">
        <v>535.83040707504699</v>
      </c>
      <c r="BC226" s="511">
        <v>513.88264204003633</v>
      </c>
      <c r="BD226" s="1030">
        <v>0</v>
      </c>
      <c r="BE226" s="511">
        <v>0</v>
      </c>
      <c r="BF226" s="512">
        <v>0.77117325321227226</v>
      </c>
      <c r="BG226" s="513">
        <v>0.81129422795235018</v>
      </c>
      <c r="BH226" s="513">
        <v>0.92557443695354291</v>
      </c>
      <c r="BI226" s="513">
        <v>0.82190231087620136</v>
      </c>
      <c r="BJ226" s="510">
        <v>45.301000000000002</v>
      </c>
      <c r="BK226" s="510">
        <v>1031.0650000000001</v>
      </c>
      <c r="BL226" s="510">
        <v>2.5959691839032248</v>
      </c>
      <c r="BM226" s="510">
        <v>2.8717879086187583</v>
      </c>
      <c r="BN226" s="514">
        <v>0</v>
      </c>
      <c r="BO226" s="514">
        <v>0</v>
      </c>
      <c r="BP226" s="514">
        <v>797.65156750358415</v>
      </c>
      <c r="BQ226" s="514">
        <v>981.92794444034541</v>
      </c>
      <c r="BR226" s="514">
        <v>0</v>
      </c>
      <c r="BS226" s="1031">
        <v>0</v>
      </c>
      <c r="BT226" s="512">
        <v>0.68288039467184647</v>
      </c>
      <c r="BU226" s="513">
        <v>0.91036638638677947</v>
      </c>
      <c r="BV226" s="513">
        <v>0.81405621243541171</v>
      </c>
      <c r="BW226" s="513">
        <v>0.93518290091691891</v>
      </c>
      <c r="BX226" s="510">
        <v>35.555999999999997</v>
      </c>
      <c r="BY226" s="510">
        <v>1199.893</v>
      </c>
      <c r="BZ226" s="514">
        <v>95.007690301439197</v>
      </c>
      <c r="CA226" s="514">
        <v>75.734248469251654</v>
      </c>
      <c r="CB226" s="510">
        <v>2.3877826527168415</v>
      </c>
      <c r="CC226" s="510">
        <v>1.875167202408881</v>
      </c>
      <c r="CD226" s="514">
        <v>0</v>
      </c>
      <c r="CE226" s="514">
        <v>0.17034852274327794</v>
      </c>
      <c r="CF226" s="514">
        <v>975.46760998205809</v>
      </c>
      <c r="CG226" s="514">
        <v>736.03327460499895</v>
      </c>
      <c r="CH226" s="514">
        <v>0</v>
      </c>
      <c r="CI226" s="515">
        <v>459.46055189921105</v>
      </c>
      <c r="CJ226" s="1029"/>
      <c r="CK226" s="583"/>
    </row>
    <row r="227" spans="1:89" ht="12.75" customHeight="1">
      <c r="A227" s="560">
        <v>45834</v>
      </c>
      <c r="B227" s="512">
        <v>0.8253203546352631</v>
      </c>
      <c r="C227" s="513">
        <v>0.89264599644085685</v>
      </c>
      <c r="D227" s="513">
        <v>0.8253203546352631</v>
      </c>
      <c r="E227" s="513">
        <v>0.91194746573798036</v>
      </c>
      <c r="F227" s="510">
        <v>63.402000000000001</v>
      </c>
      <c r="G227" s="510">
        <v>1319.5930000000001</v>
      </c>
      <c r="H227" s="510">
        <v>2.2564430144159493</v>
      </c>
      <c r="I227" s="510">
        <v>2.3502837617356258</v>
      </c>
      <c r="J227" s="510">
        <v>779.92145358193682</v>
      </c>
      <c r="K227" s="511">
        <v>1074.381305447969</v>
      </c>
      <c r="L227" s="512">
        <v>0.94435046596590755</v>
      </c>
      <c r="M227" s="513">
        <v>0.92247866333808204</v>
      </c>
      <c r="N227" s="513">
        <v>0.95818139044022588</v>
      </c>
      <c r="O227" s="513">
        <v>0.93094924446528948</v>
      </c>
      <c r="P227" s="510">
        <v>66.891000000000005</v>
      </c>
      <c r="Q227" s="510">
        <v>1549.3220000000003</v>
      </c>
      <c r="R227" s="510">
        <v>1.9793963313450236</v>
      </c>
      <c r="S227" s="510">
        <v>2.0954803455963313</v>
      </c>
      <c r="T227" s="510">
        <v>0.23321523074853118</v>
      </c>
      <c r="U227" s="510">
        <v>0.2333924129393373</v>
      </c>
      <c r="V227" s="510">
        <v>494.30521295839662</v>
      </c>
      <c r="W227" s="510">
        <v>622.15005015096983</v>
      </c>
      <c r="X227" s="510">
        <v>453.78302013723822</v>
      </c>
      <c r="Y227" s="569">
        <v>438.94942432883539</v>
      </c>
      <c r="Z227" s="512">
        <v>0.94218942088354651</v>
      </c>
      <c r="AA227" s="513">
        <v>0.83640149389988316</v>
      </c>
      <c r="AB227" s="513">
        <v>0.97819233314513843</v>
      </c>
      <c r="AC227" s="513">
        <v>0.83883745761657913</v>
      </c>
      <c r="AD227" s="510">
        <v>41.28</v>
      </c>
      <c r="AE227" s="510">
        <v>985.94899999999996</v>
      </c>
      <c r="AF227" s="510">
        <v>107.25115060732509</v>
      </c>
      <c r="AG227" s="510">
        <v>110.32130469280503</v>
      </c>
      <c r="AH227" s="510">
        <v>1.5455426356589146</v>
      </c>
      <c r="AI227" s="510">
        <v>1.6465354698873877</v>
      </c>
      <c r="AJ227" s="510">
        <v>887.56250000000875</v>
      </c>
      <c r="AK227" s="510">
        <v>952.86920520229762</v>
      </c>
      <c r="AL227" s="510">
        <v>0</v>
      </c>
      <c r="AM227" s="569">
        <v>0</v>
      </c>
      <c r="AN227" s="512">
        <v>0.75653298670279157</v>
      </c>
      <c r="AO227" s="513">
        <v>0.85734186181776006</v>
      </c>
      <c r="AP227" s="513">
        <v>0.81910338409926298</v>
      </c>
      <c r="AQ227" s="513">
        <v>0.86569226451095871</v>
      </c>
      <c r="AR227" s="510">
        <v>38.658999999999999</v>
      </c>
      <c r="AS227" s="510">
        <v>1165.894</v>
      </c>
      <c r="AT227" s="514">
        <v>143.81752513011105</v>
      </c>
      <c r="AU227" s="514">
        <v>118.86328822516727</v>
      </c>
      <c r="AV227" s="510">
        <v>1.5675521870715745</v>
      </c>
      <c r="AW227" s="510">
        <v>1.4668571928494356</v>
      </c>
      <c r="AX227" s="510">
        <v>0.21987118135492384</v>
      </c>
      <c r="AY227" s="510">
        <v>0.1934138094886842</v>
      </c>
      <c r="AZ227" s="510">
        <v>972.31123412400621</v>
      </c>
      <c r="BA227" s="510">
        <v>864.71020521591151</v>
      </c>
      <c r="BB227" s="510">
        <v>618.22602757442576</v>
      </c>
      <c r="BC227" s="511">
        <v>517.34248568051657</v>
      </c>
      <c r="BD227" s="1030">
        <v>0</v>
      </c>
      <c r="BE227" s="511">
        <v>0</v>
      </c>
      <c r="BF227" s="512">
        <v>0.82166056129393872</v>
      </c>
      <c r="BG227" s="513">
        <v>0.81174330812159978</v>
      </c>
      <c r="BH227" s="513">
        <v>0.85061488630664805</v>
      </c>
      <c r="BI227" s="513">
        <v>0.82312066941156314</v>
      </c>
      <c r="BJ227" s="510">
        <v>47.286000000000001</v>
      </c>
      <c r="BK227" s="510">
        <v>1078.3510000000001</v>
      </c>
      <c r="BL227" s="510">
        <v>2.7978682908260373</v>
      </c>
      <c r="BM227" s="510">
        <v>2.8685465122209743</v>
      </c>
      <c r="BN227" s="514">
        <v>0</v>
      </c>
      <c r="BO227" s="514">
        <v>0</v>
      </c>
      <c r="BP227" s="514">
        <v>798.51107633471281</v>
      </c>
      <c r="BQ227" s="514">
        <v>973.88506227559299</v>
      </c>
      <c r="BR227" s="514">
        <v>0</v>
      </c>
      <c r="BS227" s="1031">
        <v>0</v>
      </c>
      <c r="BT227" s="512">
        <v>0.92109898769378007</v>
      </c>
      <c r="BU227" s="513">
        <v>0.91078334914244463</v>
      </c>
      <c r="BV227" s="513">
        <v>0.93597272683200894</v>
      </c>
      <c r="BW227" s="513">
        <v>0.93521390812277372</v>
      </c>
      <c r="BX227" s="510">
        <v>49.072000000000003</v>
      </c>
      <c r="BY227" s="510">
        <v>1248.9650000000001</v>
      </c>
      <c r="BZ227" s="514">
        <v>79.777282338699393</v>
      </c>
      <c r="CA227" s="514">
        <v>75.893099804590534</v>
      </c>
      <c r="CB227" s="510">
        <v>1.9175904792957286</v>
      </c>
      <c r="CC227" s="510">
        <v>1.8768340185673731</v>
      </c>
      <c r="CD227" s="514">
        <v>0</v>
      </c>
      <c r="CE227" s="514">
        <v>0.16365550675959692</v>
      </c>
      <c r="CF227" s="514">
        <v>743.75112578328594</v>
      </c>
      <c r="CG227" s="514">
        <v>736.33650999832128</v>
      </c>
      <c r="CH227" s="514">
        <v>0</v>
      </c>
      <c r="CI227" s="515">
        <v>441.4082860608583</v>
      </c>
      <c r="CJ227" s="1029"/>
      <c r="CK227" s="583"/>
    </row>
    <row r="228" spans="1:89" ht="12.75" customHeight="1">
      <c r="A228" s="560">
        <v>45835</v>
      </c>
      <c r="B228" s="512">
        <v>0.88302297872815949</v>
      </c>
      <c r="C228" s="513">
        <v>0.89215665986533665</v>
      </c>
      <c r="D228" s="513">
        <v>0.88302297872815949</v>
      </c>
      <c r="E228" s="513">
        <v>0.91044648416775453</v>
      </c>
      <c r="F228" s="510">
        <v>69.935000000000002</v>
      </c>
      <c r="G228" s="510">
        <v>1389.528</v>
      </c>
      <c r="H228" s="510">
        <v>2.3551869593193682</v>
      </c>
      <c r="I228" s="510">
        <v>2.3505305398667748</v>
      </c>
      <c r="J228" s="510">
        <v>846.91756631158887</v>
      </c>
      <c r="K228" s="511">
        <v>1062.9330463294029</v>
      </c>
      <c r="L228" s="512">
        <v>0.98326499196618899</v>
      </c>
      <c r="M228" s="513">
        <v>0.92497057513327108</v>
      </c>
      <c r="N228" s="513">
        <v>0.98326499196618899</v>
      </c>
      <c r="O228" s="513">
        <v>0.93311278686482535</v>
      </c>
      <c r="P228" s="510">
        <v>70.593000000000004</v>
      </c>
      <c r="Q228" s="510">
        <v>1619.9150000000004</v>
      </c>
      <c r="R228" s="510">
        <v>2.0685464564475229</v>
      </c>
      <c r="S228" s="510">
        <v>2.0943066148532479</v>
      </c>
      <c r="T228" s="510">
        <v>0.19407023359256581</v>
      </c>
      <c r="U228" s="510">
        <v>0.23167882265427503</v>
      </c>
      <c r="V228" s="510">
        <v>614.52226141401638</v>
      </c>
      <c r="W228" s="510">
        <v>621.81764475296563</v>
      </c>
      <c r="X228" s="510">
        <v>403.14195458473216</v>
      </c>
      <c r="Y228" s="569">
        <v>437.38899880549275</v>
      </c>
      <c r="Z228" s="512">
        <v>0.76123792551618297</v>
      </c>
      <c r="AA228" s="513">
        <v>0.83370797293907573</v>
      </c>
      <c r="AB228" s="513">
        <v>0.76123792551618297</v>
      </c>
      <c r="AC228" s="513">
        <v>0.83604883488409354</v>
      </c>
      <c r="AD228" s="510">
        <v>33.351999999999997</v>
      </c>
      <c r="AE228" s="510">
        <v>1019.3009999999999</v>
      </c>
      <c r="AF228" s="510">
        <v>128.74135425087596</v>
      </c>
      <c r="AG228" s="510">
        <v>110.92401723096675</v>
      </c>
      <c r="AH228" s="510">
        <v>1.8589589829695372</v>
      </c>
      <c r="AI228" s="510">
        <v>1.6534860654507355</v>
      </c>
      <c r="AJ228" s="510">
        <v>1190.9084912449136</v>
      </c>
      <c r="AK228" s="510">
        <v>960.65796070051999</v>
      </c>
      <c r="AL228" s="510">
        <v>0</v>
      </c>
      <c r="AM228" s="569">
        <v>0</v>
      </c>
      <c r="AN228" s="512">
        <v>0.71686583638730073</v>
      </c>
      <c r="AO228" s="513">
        <v>0.85225441662934576</v>
      </c>
      <c r="AP228" s="513">
        <v>0.71686583638730073</v>
      </c>
      <c r="AQ228" s="513">
        <v>0.86025182565965119</v>
      </c>
      <c r="AR228" s="510">
        <v>36.631999999999998</v>
      </c>
      <c r="AS228" s="510">
        <v>1202.5260000000001</v>
      </c>
      <c r="AT228" s="514">
        <v>151.33279134287616</v>
      </c>
      <c r="AU228" s="514">
        <v>119.85239186052142</v>
      </c>
      <c r="AV228" s="510">
        <v>1.7006988425420397</v>
      </c>
      <c r="AW228" s="510">
        <v>1.4739806041615731</v>
      </c>
      <c r="AX228" s="510">
        <v>0.21019873334789257</v>
      </c>
      <c r="AY228" s="510">
        <v>0.19392512095372569</v>
      </c>
      <c r="AZ228" s="510">
        <v>1111.847018999782</v>
      </c>
      <c r="BA228" s="510">
        <v>872.23862103605234</v>
      </c>
      <c r="BB228" s="510">
        <v>556.89015068792071</v>
      </c>
      <c r="BC228" s="511">
        <v>518.54720812689288</v>
      </c>
      <c r="BD228" s="1030">
        <v>0</v>
      </c>
      <c r="BE228" s="511">
        <v>0</v>
      </c>
      <c r="BF228" s="512">
        <v>0.86071150855365453</v>
      </c>
      <c r="BG228" s="513">
        <v>0.81379084095874199</v>
      </c>
      <c r="BH228" s="513">
        <v>0.86071150855365453</v>
      </c>
      <c r="BI228" s="513">
        <v>0.82471357155145297</v>
      </c>
      <c r="BJ228" s="510">
        <v>49.896000000000001</v>
      </c>
      <c r="BK228" s="510">
        <v>1128.2470000000001</v>
      </c>
      <c r="BL228" s="510">
        <v>2.701619368286035</v>
      </c>
      <c r="BM228" s="510">
        <v>2.8611642663352974</v>
      </c>
      <c r="BN228" s="514">
        <v>0</v>
      </c>
      <c r="BO228" s="514">
        <v>0</v>
      </c>
      <c r="BP228" s="514">
        <v>859.4640242565165</v>
      </c>
      <c r="BQ228" s="514">
        <v>968.82486525047352</v>
      </c>
      <c r="BR228" s="514">
        <v>0</v>
      </c>
      <c r="BS228" s="1031">
        <v>0</v>
      </c>
      <c r="BT228" s="512">
        <v>0.8977617024664486</v>
      </c>
      <c r="BU228" s="513">
        <v>0.9102923752290647</v>
      </c>
      <c r="BV228" s="513">
        <v>0.8977617024664486</v>
      </c>
      <c r="BW228" s="513">
        <v>0.93376538052714919</v>
      </c>
      <c r="BX228" s="510">
        <v>48.237000000000002</v>
      </c>
      <c r="BY228" s="510">
        <v>1297.2020000000002</v>
      </c>
      <c r="BZ228" s="514">
        <v>83.620364876599808</v>
      </c>
      <c r="CA228" s="514">
        <v>76.180441394627024</v>
      </c>
      <c r="CB228" s="510">
        <v>1.9507846673715197</v>
      </c>
      <c r="CC228" s="510">
        <v>1.8795839044343123</v>
      </c>
      <c r="CD228" s="514">
        <v>0</v>
      </c>
      <c r="CE228" s="514">
        <v>0.15756990815616995</v>
      </c>
      <c r="CF228" s="514">
        <v>854.50428189349464</v>
      </c>
      <c r="CG228" s="514">
        <v>740.73062811786428</v>
      </c>
      <c r="CH228" s="514">
        <v>0</v>
      </c>
      <c r="CI228" s="515">
        <v>424.99433395878202</v>
      </c>
      <c r="CJ228" s="1029"/>
      <c r="CK228" s="583"/>
    </row>
    <row r="229" spans="1:89" ht="12.75" customHeight="1">
      <c r="A229" s="560">
        <v>45836</v>
      </c>
      <c r="B229" s="512">
        <v>0.94961951696899805</v>
      </c>
      <c r="C229" s="513">
        <v>0.89497629650727795</v>
      </c>
      <c r="D229" s="513">
        <v>0.94961951696899805</v>
      </c>
      <c r="E229" s="513">
        <v>0.91240609472578815</v>
      </c>
      <c r="F229" s="510">
        <v>76.319000000000003</v>
      </c>
      <c r="G229" s="510">
        <v>1465.847</v>
      </c>
      <c r="H229" s="510">
        <v>2.1168123272055452</v>
      </c>
      <c r="I229" s="510">
        <v>2.3383620527926858</v>
      </c>
      <c r="J229" s="510">
        <v>755.14878339596839</v>
      </c>
      <c r="K229" s="511">
        <v>1046.9083267216834</v>
      </c>
      <c r="L229" s="512">
        <v>0.98739277850534291</v>
      </c>
      <c r="M229" s="513">
        <v>0.92747626144155371</v>
      </c>
      <c r="N229" s="513">
        <v>0.98739277850534291</v>
      </c>
      <c r="O229" s="513">
        <v>0.93531004039762666</v>
      </c>
      <c r="P229" s="510">
        <v>72.316000000000003</v>
      </c>
      <c r="Q229" s="510">
        <v>1692.2310000000004</v>
      </c>
      <c r="R229" s="510">
        <v>2.0683251286022455</v>
      </c>
      <c r="S229" s="510">
        <v>2.0931963189422715</v>
      </c>
      <c r="T229" s="510">
        <v>0.21571989601194755</v>
      </c>
      <c r="U229" s="510">
        <v>0.23099683199279528</v>
      </c>
      <c r="V229" s="510">
        <v>540.29260467944266</v>
      </c>
      <c r="W229" s="510">
        <v>618.33374403376297</v>
      </c>
      <c r="X229" s="510">
        <v>416.71276066154098</v>
      </c>
      <c r="Y229" s="569">
        <v>436.50541799553361</v>
      </c>
      <c r="Z229" s="512">
        <v>0.94022652625670577</v>
      </c>
      <c r="AA229" s="513">
        <v>0.83739305747654635</v>
      </c>
      <c r="AB229" s="513">
        <v>0.94022652625670577</v>
      </c>
      <c r="AC229" s="513">
        <v>0.83966270410379973</v>
      </c>
      <c r="AD229" s="510">
        <v>41.194000000000003</v>
      </c>
      <c r="AE229" s="510">
        <v>1060.4949999999999</v>
      </c>
      <c r="AF229" s="510">
        <v>104.99416638291947</v>
      </c>
      <c r="AG229" s="510">
        <v>110.69367736530548</v>
      </c>
      <c r="AH229" s="510">
        <v>1.5560518522114868</v>
      </c>
      <c r="AI229" s="510">
        <v>1.6497013187238037</v>
      </c>
      <c r="AJ229" s="510">
        <v>922.51784240422035</v>
      </c>
      <c r="AK229" s="510">
        <v>959.17644119019894</v>
      </c>
      <c r="AL229" s="510">
        <v>0</v>
      </c>
      <c r="AM229" s="569">
        <v>0</v>
      </c>
      <c r="AN229" s="512">
        <v>0.8567086859948474</v>
      </c>
      <c r="AO229" s="513">
        <v>0.85241009340151319</v>
      </c>
      <c r="AP229" s="513">
        <v>0.8567086859948474</v>
      </c>
      <c r="AQ229" s="513">
        <v>0.86012687183731729</v>
      </c>
      <c r="AR229" s="510">
        <v>43.777999999999999</v>
      </c>
      <c r="AS229" s="510">
        <v>1246.3040000000001</v>
      </c>
      <c r="AT229" s="514">
        <v>134.37410937548145</v>
      </c>
      <c r="AU229" s="514">
        <v>120.36248550490507</v>
      </c>
      <c r="AV229" s="510">
        <v>1.516743569829595</v>
      </c>
      <c r="AW229" s="510">
        <v>1.4754827072688523</v>
      </c>
      <c r="AX229" s="510">
        <v>0.19416145095710174</v>
      </c>
      <c r="AY229" s="510">
        <v>0.19393342234318428</v>
      </c>
      <c r="AZ229" s="510">
        <v>933.16734432820238</v>
      </c>
      <c r="BA229" s="510">
        <v>874.37881929288505</v>
      </c>
      <c r="BB229" s="510">
        <v>530.17497373110302</v>
      </c>
      <c r="BC229" s="511">
        <v>518.95564806018456</v>
      </c>
      <c r="BD229" s="1030">
        <v>0</v>
      </c>
      <c r="BE229" s="511">
        <v>0</v>
      </c>
      <c r="BF229" s="512">
        <v>0.74636577615209276</v>
      </c>
      <c r="BG229" s="513">
        <v>0.81130526663953928</v>
      </c>
      <c r="BH229" s="513">
        <v>0.74636577615209276</v>
      </c>
      <c r="BI229" s="513">
        <v>0.82178802056067335</v>
      </c>
      <c r="BJ229" s="510">
        <v>39.606000000000002</v>
      </c>
      <c r="BK229" s="510">
        <v>1167.8530000000001</v>
      </c>
      <c r="BL229" s="510">
        <v>3.6080391859819221</v>
      </c>
      <c r="BM229" s="510">
        <v>2.8864934199766581</v>
      </c>
      <c r="BN229" s="514">
        <v>0</v>
      </c>
      <c r="BO229" s="514">
        <v>0</v>
      </c>
      <c r="BP229" s="514">
        <v>1097.6863354037207</v>
      </c>
      <c r="BQ229" s="514">
        <v>973.19501062569589</v>
      </c>
      <c r="BR229" s="514">
        <v>0</v>
      </c>
      <c r="BS229" s="1031">
        <v>0</v>
      </c>
      <c r="BT229" s="512">
        <v>0.96933597278438866</v>
      </c>
      <c r="BU229" s="513">
        <v>0.91236759833579828</v>
      </c>
      <c r="BV229" s="513">
        <v>0.96933597278438866</v>
      </c>
      <c r="BW229" s="513">
        <v>0.93504666780166912</v>
      </c>
      <c r="BX229" s="510">
        <v>50.319000000000003</v>
      </c>
      <c r="BY229" s="510">
        <v>1347.5210000000002</v>
      </c>
      <c r="BZ229" s="514">
        <v>80.014319636363766</v>
      </c>
      <c r="CA229" s="514">
        <v>76.32360570838982</v>
      </c>
      <c r="CB229" s="510">
        <v>1.8382718257517041</v>
      </c>
      <c r="CC229" s="510">
        <v>1.8780412327525873</v>
      </c>
      <c r="CD229" s="514">
        <v>0</v>
      </c>
      <c r="CE229" s="514">
        <v>0.1516859477514636</v>
      </c>
      <c r="CF229" s="514">
        <v>767.53562272697866</v>
      </c>
      <c r="CG229" s="514">
        <v>741.73157765685914</v>
      </c>
      <c r="CH229" s="514">
        <v>0</v>
      </c>
      <c r="CI229" s="515">
        <v>409.12423628277401</v>
      </c>
      <c r="CJ229" s="1029"/>
      <c r="CK229" s="583"/>
    </row>
    <row r="230" spans="1:89" ht="12.75" customHeight="1">
      <c r="A230" s="560">
        <v>45837</v>
      </c>
      <c r="B230" s="512">
        <v>0.93850616796714648</v>
      </c>
      <c r="C230" s="513">
        <v>0.89703747914235965</v>
      </c>
      <c r="D230" s="513">
        <v>0.93850616796714648</v>
      </c>
      <c r="E230" s="513">
        <v>0.9136648669548656</v>
      </c>
      <c r="F230" s="510">
        <v>76.403000000000006</v>
      </c>
      <c r="G230" s="510">
        <v>1542.25</v>
      </c>
      <c r="H230" s="510">
        <v>2.0798267083753252</v>
      </c>
      <c r="I230" s="510">
        <v>2.3255542227265362</v>
      </c>
      <c r="J230" s="510">
        <v>764.13386908891198</v>
      </c>
      <c r="K230" s="511">
        <v>1032.8996920084289</v>
      </c>
      <c r="L230" s="512">
        <v>0.97058013931035547</v>
      </c>
      <c r="M230" s="513">
        <v>0.92912442264201933</v>
      </c>
      <c r="N230" s="513">
        <v>0.97058013931035547</v>
      </c>
      <c r="O230" s="513">
        <v>0.93666961353720735</v>
      </c>
      <c r="P230" s="510">
        <v>70.405000000000001</v>
      </c>
      <c r="Q230" s="510">
        <v>1762.6360000000004</v>
      </c>
      <c r="R230" s="510">
        <v>2.0750088772104256</v>
      </c>
      <c r="S230" s="510">
        <v>2.0924698576450265</v>
      </c>
      <c r="T230" s="510">
        <v>0.23861941623464245</v>
      </c>
      <c r="U230" s="510">
        <v>0.23130130100599328</v>
      </c>
      <c r="V230" s="510">
        <v>548.58717420638447</v>
      </c>
      <c r="W230" s="510">
        <v>615.5478555980925</v>
      </c>
      <c r="X230" s="510">
        <v>449.24366167175629</v>
      </c>
      <c r="Y230" s="569">
        <v>437.01422188131858</v>
      </c>
      <c r="Z230" s="512">
        <v>0.79001754863435603</v>
      </c>
      <c r="AA230" s="513">
        <v>0.83581041896826236</v>
      </c>
      <c r="AB230" s="513">
        <v>0.79001754863435603</v>
      </c>
      <c r="AC230" s="513">
        <v>0.83799990070833341</v>
      </c>
      <c r="AD230" s="510">
        <v>34.578000000000003</v>
      </c>
      <c r="AE230" s="510">
        <v>1095.0729999999999</v>
      </c>
      <c r="AF230" s="510">
        <v>127.4483520112408</v>
      </c>
      <c r="AG230" s="510">
        <v>111.22272258868982</v>
      </c>
      <c r="AH230" s="510">
        <v>1.9202961420556424</v>
      </c>
      <c r="AI230" s="510">
        <v>1.6582456146759168</v>
      </c>
      <c r="AJ230" s="510">
        <v>1120.4268610098909</v>
      </c>
      <c r="AK230" s="510">
        <v>964.26808075808674</v>
      </c>
      <c r="AL230" s="510">
        <v>0</v>
      </c>
      <c r="AM230" s="569">
        <v>0</v>
      </c>
      <c r="AN230" s="512">
        <v>0.81009440279233191</v>
      </c>
      <c r="AO230" s="513">
        <v>0.85098110270848948</v>
      </c>
      <c r="AP230" s="513">
        <v>0.81009440279233191</v>
      </c>
      <c r="AQ230" s="513">
        <v>0.85842251280996462</v>
      </c>
      <c r="AR230" s="510">
        <v>41.396000000000001</v>
      </c>
      <c r="AS230" s="510">
        <v>1287.7</v>
      </c>
      <c r="AT230" s="514">
        <v>144.30260872457231</v>
      </c>
      <c r="AU230" s="514">
        <v>121.13209437405266</v>
      </c>
      <c r="AV230" s="510">
        <v>1.5967726350372016</v>
      </c>
      <c r="AW230" s="510">
        <v>1.4793818435971109</v>
      </c>
      <c r="AX230" s="510">
        <v>0.22707507971784713</v>
      </c>
      <c r="AY230" s="510">
        <v>0.19499883513240659</v>
      </c>
      <c r="AZ230" s="510">
        <v>961.01362450478223</v>
      </c>
      <c r="BA230" s="510">
        <v>877.16388910460489</v>
      </c>
      <c r="BB230" s="510">
        <v>584.59754565658523</v>
      </c>
      <c r="BC230" s="511">
        <v>521.06585384794607</v>
      </c>
      <c r="BD230" s="1030">
        <v>0</v>
      </c>
      <c r="BE230" s="511">
        <v>0</v>
      </c>
      <c r="BF230" s="512">
        <v>0.93333735309043941</v>
      </c>
      <c r="BG230" s="513">
        <v>0.81560256037499057</v>
      </c>
      <c r="BH230" s="513">
        <v>0.93333735309043941</v>
      </c>
      <c r="BI230" s="513">
        <v>0.82576511524993845</v>
      </c>
      <c r="BJ230" s="510">
        <v>49.037999999999997</v>
      </c>
      <c r="BK230" s="510">
        <v>1216.8910000000001</v>
      </c>
      <c r="BL230" s="510">
        <v>2.8977527631632611</v>
      </c>
      <c r="BM230" s="510">
        <v>2.8869471464576533</v>
      </c>
      <c r="BN230" s="514">
        <v>0</v>
      </c>
      <c r="BO230" s="514">
        <v>0</v>
      </c>
      <c r="BP230" s="514">
        <v>893.64054406788</v>
      </c>
      <c r="BQ230" s="514">
        <v>969.98914261363723</v>
      </c>
      <c r="BR230" s="514">
        <v>0</v>
      </c>
      <c r="BS230" s="1031">
        <v>0</v>
      </c>
      <c r="BT230" s="512">
        <v>0.86781960526542412</v>
      </c>
      <c r="BU230" s="513">
        <v>0.91085878922382735</v>
      </c>
      <c r="BV230" s="513">
        <v>0.86781960526542412</v>
      </c>
      <c r="BW230" s="513">
        <v>0.93271509895434868</v>
      </c>
      <c r="BX230" s="510">
        <v>44.933</v>
      </c>
      <c r="BY230" s="510">
        <v>1392.4540000000002</v>
      </c>
      <c r="BZ230" s="514">
        <v>89.834644768720523</v>
      </c>
      <c r="CA230" s="514">
        <v>76.759592475706967</v>
      </c>
      <c r="CB230" s="510">
        <v>2.0497184697215856</v>
      </c>
      <c r="CC230" s="510">
        <v>1.8835810734142735</v>
      </c>
      <c r="CD230" s="514">
        <v>0</v>
      </c>
      <c r="CE230" s="514">
        <v>0.14679120459275494</v>
      </c>
      <c r="CF230" s="514">
        <v>929.13905147667811</v>
      </c>
      <c r="CG230" s="514">
        <v>747.77901622297759</v>
      </c>
      <c r="CH230" s="514">
        <v>0</v>
      </c>
      <c r="CI230" s="515">
        <v>395.92223513308159</v>
      </c>
      <c r="CJ230" s="1029"/>
      <c r="CK230" s="583"/>
    </row>
    <row r="231" spans="1:89" ht="12.75" customHeight="1">
      <c r="A231" s="560">
        <v>45838</v>
      </c>
      <c r="B231" s="512">
        <v>0.89200350639306381</v>
      </c>
      <c r="C231" s="513">
        <v>0.89683016748794442</v>
      </c>
      <c r="D231" s="513">
        <v>0.98865954697069791</v>
      </c>
      <c r="E231" s="513">
        <v>0.91651254782215474</v>
      </c>
      <c r="F231" s="510">
        <v>65.87</v>
      </c>
      <c r="G231" s="510">
        <v>1608.12</v>
      </c>
      <c r="H231" s="510">
        <v>2.0923941096098373</v>
      </c>
      <c r="I231" s="510">
        <v>2.3160037808123777</v>
      </c>
      <c r="J231" s="510">
        <v>850.80279338094761</v>
      </c>
      <c r="K231" s="511">
        <v>1025.4408439668696</v>
      </c>
      <c r="L231" s="512">
        <v>0.91639568267379412</v>
      </c>
      <c r="M231" s="513">
        <v>0.92866754762333059</v>
      </c>
      <c r="N231" s="513">
        <v>0.97388175870868143</v>
      </c>
      <c r="O231" s="513">
        <v>0.93793898235070616</v>
      </c>
      <c r="P231" s="510">
        <v>64.722999999999999</v>
      </c>
      <c r="Q231" s="510">
        <v>1827.3590000000004</v>
      </c>
      <c r="R231" s="510">
        <v>2.0691717009409332</v>
      </c>
      <c r="S231" s="510">
        <v>2.0916446631450083</v>
      </c>
      <c r="T231" s="510">
        <v>0.23793705483367583</v>
      </c>
      <c r="U231" s="510">
        <v>0.23153633194134263</v>
      </c>
      <c r="V231" s="510">
        <v>579.71308499296435</v>
      </c>
      <c r="W231" s="510">
        <v>614.27862833739778</v>
      </c>
      <c r="X231" s="510">
        <v>439.87454228017856</v>
      </c>
      <c r="Y231" s="569">
        <v>437.11553121198392</v>
      </c>
      <c r="Z231" s="512">
        <v>0.85085008434960008</v>
      </c>
      <c r="AA231" s="513">
        <v>0.83629623576679857</v>
      </c>
      <c r="AB231" s="513">
        <v>0.90757342330624002</v>
      </c>
      <c r="AC231" s="513">
        <v>0.84011645284697367</v>
      </c>
      <c r="AD231" s="510">
        <v>37.212000000000003</v>
      </c>
      <c r="AE231" s="510">
        <v>1132.2849999999999</v>
      </c>
      <c r="AF231" s="510">
        <v>113.02640118036732</v>
      </c>
      <c r="AG231" s="510">
        <v>111.28199961501578</v>
      </c>
      <c r="AH231" s="510">
        <v>1.6956895625067181</v>
      </c>
      <c r="AI231" s="510">
        <v>1.6594761919481404</v>
      </c>
      <c r="AJ231" s="510">
        <v>981.46780608407346</v>
      </c>
      <c r="AK231" s="510">
        <v>964.83334142905812</v>
      </c>
      <c r="AL231" s="510">
        <v>0</v>
      </c>
      <c r="AM231" s="569">
        <v>0</v>
      </c>
      <c r="AN231" s="512">
        <v>0.560545561735036</v>
      </c>
      <c r="AO231" s="513">
        <v>0.841493556505851</v>
      </c>
      <c r="AP231" s="513">
        <v>0.61476436321283467</v>
      </c>
      <c r="AQ231" s="513">
        <v>0.85108230952572761</v>
      </c>
      <c r="AR231" s="510">
        <v>28.643999999999998</v>
      </c>
      <c r="AS231" s="510">
        <v>1316.3440000000001</v>
      </c>
      <c r="AT231" s="514">
        <v>153.63832368405593</v>
      </c>
      <c r="AU231" s="514">
        <v>121.83943867945894</v>
      </c>
      <c r="AV231" s="510">
        <v>1.9864544058092446</v>
      </c>
      <c r="AW231" s="510">
        <v>1.4904158791318984</v>
      </c>
      <c r="AX231" s="510">
        <v>0.20597681888004471</v>
      </c>
      <c r="AY231" s="510">
        <v>0.19523771901569797</v>
      </c>
      <c r="AZ231" s="510">
        <v>1174.5000698226495</v>
      </c>
      <c r="BA231" s="510">
        <v>883.63400448514949</v>
      </c>
      <c r="BB231" s="510">
        <v>558.58120374248301</v>
      </c>
      <c r="BC231" s="511">
        <v>521.88219796648889</v>
      </c>
      <c r="BD231" s="1030">
        <v>0</v>
      </c>
      <c r="BE231" s="511">
        <v>0</v>
      </c>
      <c r="BF231" s="512">
        <v>0.8154473175049306</v>
      </c>
      <c r="BG231" s="513">
        <v>0.81559727954315242</v>
      </c>
      <c r="BH231" s="513">
        <v>0.92460168284023636</v>
      </c>
      <c r="BI231" s="513">
        <v>0.82877820530328572</v>
      </c>
      <c r="BJ231" s="510">
        <v>42.844000000000001</v>
      </c>
      <c r="BK231" s="510">
        <v>1259.7350000000001</v>
      </c>
      <c r="BL231" s="510">
        <v>3.1182896088133694</v>
      </c>
      <c r="BM231" s="510">
        <v>2.8948151793829653</v>
      </c>
      <c r="BN231" s="514">
        <v>0</v>
      </c>
      <c r="BO231" s="514">
        <v>0</v>
      </c>
      <c r="BP231" s="514">
        <v>1000.2817197273799</v>
      </c>
      <c r="BQ231" s="514">
        <v>971.01940308418136</v>
      </c>
      <c r="BR231" s="514">
        <v>0</v>
      </c>
      <c r="BS231" s="1031">
        <v>0</v>
      </c>
      <c r="BT231" s="512">
        <v>0.85799798834114094</v>
      </c>
      <c r="BU231" s="513">
        <v>0.90927146053562879</v>
      </c>
      <c r="BV231" s="513">
        <v>0.961954253309239</v>
      </c>
      <c r="BW231" s="513">
        <v>0.93351910522430248</v>
      </c>
      <c r="BX231" s="510">
        <v>40.606000000000002</v>
      </c>
      <c r="BY231" s="510">
        <v>1433.0600000000002</v>
      </c>
      <c r="BZ231" s="514">
        <v>88.564384959613676</v>
      </c>
      <c r="CA231" s="514">
        <v>77.094083288095504</v>
      </c>
      <c r="CB231" s="510">
        <v>1.9849283357139338</v>
      </c>
      <c r="CC231" s="510">
        <v>1.8864527654110776</v>
      </c>
      <c r="CD231" s="514">
        <v>0</v>
      </c>
      <c r="CE231" s="514">
        <v>0.14263185072502196</v>
      </c>
      <c r="CF231" s="514">
        <v>988.42707974190989</v>
      </c>
      <c r="CG231" s="514">
        <v>754.59782022786919</v>
      </c>
      <c r="CH231" s="514">
        <v>0</v>
      </c>
      <c r="CI231" s="515">
        <v>384.70371094022579</v>
      </c>
      <c r="CJ231" s="1029"/>
      <c r="CK231" s="583"/>
    </row>
    <row r="232" spans="1:89" ht="12.75" hidden="1" customHeight="1">
      <c r="A232" s="560"/>
      <c r="B232" s="512"/>
      <c r="C232" s="513"/>
      <c r="D232" s="513"/>
      <c r="E232" s="513"/>
      <c r="F232" s="510"/>
      <c r="G232" s="510"/>
      <c r="H232" s="510"/>
      <c r="I232" s="510"/>
      <c r="J232" s="510"/>
      <c r="K232" s="511"/>
      <c r="L232" s="512"/>
      <c r="M232" s="513"/>
      <c r="N232" s="513"/>
      <c r="O232" s="513"/>
      <c r="P232" s="510"/>
      <c r="Q232" s="510"/>
      <c r="R232" s="510"/>
      <c r="S232" s="510"/>
      <c r="T232" s="510"/>
      <c r="U232" s="510"/>
      <c r="V232" s="510"/>
      <c r="W232" s="510"/>
      <c r="X232" s="510"/>
      <c r="Y232" s="569"/>
      <c r="Z232" s="512"/>
      <c r="AA232" s="513"/>
      <c r="AB232" s="513"/>
      <c r="AC232" s="513"/>
      <c r="AD232" s="510"/>
      <c r="AE232" s="510"/>
      <c r="AF232" s="510"/>
      <c r="AG232" s="510"/>
      <c r="AH232" s="510"/>
      <c r="AI232" s="510"/>
      <c r="AJ232" s="510"/>
      <c r="AK232" s="510"/>
      <c r="AL232" s="510"/>
      <c r="AM232" s="569"/>
      <c r="AN232" s="512"/>
      <c r="AO232" s="513"/>
      <c r="AP232" s="513"/>
      <c r="AQ232" s="513"/>
      <c r="AR232" s="510"/>
      <c r="AS232" s="510"/>
      <c r="AT232" s="514"/>
      <c r="AU232" s="514"/>
      <c r="AV232" s="510"/>
      <c r="AW232" s="510"/>
      <c r="AX232" s="510"/>
      <c r="AY232" s="510"/>
      <c r="AZ232" s="510"/>
      <c r="BA232" s="510"/>
      <c r="BB232" s="510"/>
      <c r="BC232" s="511"/>
      <c r="BD232" s="1030">
        <v>0</v>
      </c>
      <c r="BE232" s="511">
        <v>0</v>
      </c>
      <c r="BF232" s="512"/>
      <c r="BG232" s="513"/>
      <c r="BH232" s="513"/>
      <c r="BI232" s="513"/>
      <c r="BJ232" s="510"/>
      <c r="BK232" s="510"/>
      <c r="BL232" s="510"/>
      <c r="BM232" s="510"/>
      <c r="BN232" s="514"/>
      <c r="BO232" s="514"/>
      <c r="BP232" s="514"/>
      <c r="BQ232" s="514"/>
      <c r="BR232" s="514"/>
      <c r="BS232" s="1031"/>
      <c r="BT232" s="512"/>
      <c r="BU232" s="513"/>
      <c r="BV232" s="513"/>
      <c r="BW232" s="513"/>
      <c r="BX232" s="510"/>
      <c r="BY232" s="510"/>
      <c r="BZ232" s="514"/>
      <c r="CA232" s="514"/>
      <c r="CB232" s="510"/>
      <c r="CC232" s="510"/>
      <c r="CD232" s="514"/>
      <c r="CE232" s="514"/>
      <c r="CF232" s="514"/>
      <c r="CG232" s="514"/>
      <c r="CH232" s="514"/>
      <c r="CI232" s="515"/>
      <c r="CJ232" s="1033"/>
      <c r="CK232" s="515"/>
    </row>
    <row r="233" spans="1:89" ht="12.75" customHeight="1">
      <c r="A233" s="560"/>
      <c r="B233" s="512"/>
      <c r="C233" s="513"/>
      <c r="D233" s="513"/>
      <c r="E233" s="513"/>
      <c r="F233" s="510"/>
      <c r="G233" s="510"/>
      <c r="H233" s="510"/>
      <c r="I233" s="510"/>
      <c r="J233" s="510"/>
      <c r="K233" s="511"/>
      <c r="L233" s="512"/>
      <c r="M233" s="513"/>
      <c r="N233" s="513"/>
      <c r="O233" s="513"/>
      <c r="P233" s="510"/>
      <c r="Q233" s="510"/>
      <c r="R233" s="510"/>
      <c r="S233" s="510"/>
      <c r="T233" s="510"/>
      <c r="U233" s="510"/>
      <c r="V233" s="510"/>
      <c r="W233" s="510"/>
      <c r="X233" s="510"/>
      <c r="Y233" s="569"/>
      <c r="Z233" s="512"/>
      <c r="AA233" s="513"/>
      <c r="AB233" s="513"/>
      <c r="AC233" s="513"/>
      <c r="AD233" s="510"/>
      <c r="AE233" s="510"/>
      <c r="AF233" s="510"/>
      <c r="AG233" s="510"/>
      <c r="AH233" s="510"/>
      <c r="AI233" s="510"/>
      <c r="AJ233" s="510"/>
      <c r="AK233" s="510"/>
      <c r="AL233" s="510"/>
      <c r="AM233" s="569"/>
      <c r="AN233" s="512"/>
      <c r="AO233" s="513"/>
      <c r="AP233" s="513"/>
      <c r="AQ233" s="513"/>
      <c r="AR233" s="510"/>
      <c r="AS233" s="510"/>
      <c r="AT233" s="514"/>
      <c r="AU233" s="514"/>
      <c r="AV233" s="510"/>
      <c r="AW233" s="510"/>
      <c r="AX233" s="510"/>
      <c r="AY233" s="510"/>
      <c r="AZ233" s="510"/>
      <c r="BA233" s="510"/>
      <c r="BB233" s="510"/>
      <c r="BC233" s="511"/>
      <c r="BD233" s="1030"/>
      <c r="BE233" s="511"/>
      <c r="BF233" s="512"/>
      <c r="BG233" s="513"/>
      <c r="BH233" s="513"/>
      <c r="BI233" s="513"/>
      <c r="BJ233" s="510"/>
      <c r="BK233" s="510"/>
      <c r="BL233" s="510"/>
      <c r="BM233" s="510"/>
      <c r="BN233" s="514"/>
      <c r="BO233" s="514"/>
      <c r="BP233" s="514"/>
      <c r="BQ233" s="514"/>
      <c r="BR233" s="514"/>
      <c r="BS233" s="1031"/>
      <c r="BT233" s="512"/>
      <c r="BU233" s="513"/>
      <c r="BV233" s="513"/>
      <c r="BW233" s="513"/>
      <c r="BX233" s="510"/>
      <c r="BY233" s="510"/>
      <c r="BZ233" s="510"/>
      <c r="CA233" s="510"/>
      <c r="CB233" s="510"/>
      <c r="CC233" s="510"/>
      <c r="CD233" s="510"/>
      <c r="CE233" s="510"/>
      <c r="CF233" s="1023"/>
      <c r="CG233" s="514"/>
      <c r="CH233" s="514"/>
      <c r="CI233" s="515"/>
      <c r="CJ233" s="1033"/>
      <c r="CK233" s="515"/>
    </row>
    <row r="234" spans="1:89" ht="12.75" customHeight="1" thickBot="1">
      <c r="A234" s="589" t="s">
        <v>227</v>
      </c>
      <c r="B234" s="731">
        <f>+'[12]eff all'!$B$42:$C$42</f>
        <v>0.89683016748794442</v>
      </c>
      <c r="C234" s="732"/>
      <c r="D234" s="733">
        <f>+'[12]eff all'!$D$42:$E$42</f>
        <v>0.91651254782215474</v>
      </c>
      <c r="E234" s="732"/>
      <c r="F234" s="726">
        <f>+'[12]eff all'!$F$42:$G$42</f>
        <v>1608.12</v>
      </c>
      <c r="G234" s="727"/>
      <c r="H234" s="728">
        <f>+'[12]eff all'!$H$42:$I$42</f>
        <v>2.3160037808123777</v>
      </c>
      <c r="I234" s="729"/>
      <c r="J234" s="726">
        <f>+'[12]eff all'!$J$42:$K$42</f>
        <v>1025.4408439668696</v>
      </c>
      <c r="K234" s="734"/>
      <c r="L234" s="731">
        <f>+'[12]eff all'!$L$42:$M$42</f>
        <v>0.92866754762333059</v>
      </c>
      <c r="M234" s="732"/>
      <c r="N234" s="733">
        <f>+'[12]eff all'!$N$42:$O$42</f>
        <v>0.93793898235070616</v>
      </c>
      <c r="O234" s="732"/>
      <c r="P234" s="726">
        <f>+'[12]eff all'!$P$42:$Q$42</f>
        <v>1827.3590000000004</v>
      </c>
      <c r="Q234" s="727"/>
      <c r="R234" s="728">
        <f>+'[12]eff all'!$R$42:$S$42</f>
        <v>2.0916446631450083</v>
      </c>
      <c r="S234" s="729"/>
      <c r="T234" s="728">
        <f>+'[12]eff all'!$T$42:$U$42</f>
        <v>0.23153633194134263</v>
      </c>
      <c r="U234" s="729"/>
      <c r="V234" s="726">
        <f>+'[12]eff all'!$V$42:$W$42</f>
        <v>614.27862833739778</v>
      </c>
      <c r="W234" s="727"/>
      <c r="X234" s="726">
        <f>+'[12]eff all'!$X$42:$Y$42</f>
        <v>437.11553121198392</v>
      </c>
      <c r="Y234" s="734"/>
      <c r="Z234" s="731">
        <f>+'[12]eff all'!$Z$42:$AA$42</f>
        <v>0.83629623576679857</v>
      </c>
      <c r="AA234" s="732"/>
      <c r="AB234" s="733">
        <f>+'[12]eff all'!$AB$42:$AC$42</f>
        <v>0.84011645284697367</v>
      </c>
      <c r="AC234" s="732"/>
      <c r="AD234" s="726">
        <f>+'[12]eff all'!$AD$42:$AE$42</f>
        <v>1132.2849999999999</v>
      </c>
      <c r="AE234" s="727"/>
      <c r="AF234" s="726">
        <f>+'[12]eff all'!$AF$42:$AG$42</f>
        <v>111.28199961501578</v>
      </c>
      <c r="AG234" s="727"/>
      <c r="AH234" s="728">
        <f>+'[12]eff all'!$AH$42:$AI$42</f>
        <v>1.6594761919481404</v>
      </c>
      <c r="AI234" s="729"/>
      <c r="AJ234" s="728">
        <f>+'[12]eff all'!$AJ$42:$AK$42</f>
        <v>964.83334142905812</v>
      </c>
      <c r="AK234" s="729"/>
      <c r="AL234" s="726">
        <f>+'[12]eff all'!$AL$42:$AM$42</f>
        <v>0</v>
      </c>
      <c r="AM234" s="734"/>
      <c r="AN234" s="731">
        <f>+'[12]eff all'!$AN$42:$AO$42</f>
        <v>0.841493556505851</v>
      </c>
      <c r="AO234" s="732"/>
      <c r="AP234" s="733">
        <f>+'[12]eff all'!$AP$42:$AQ$42</f>
        <v>0.85108230952572761</v>
      </c>
      <c r="AQ234" s="732"/>
      <c r="AR234" s="745">
        <f>+'[12]eff all'!$AR$42:$AS$42</f>
        <v>1316.3440000000001</v>
      </c>
      <c r="AS234" s="746"/>
      <c r="AT234" s="726">
        <f>+'[12]eff all'!$AT$42:$AU$42</f>
        <v>121.83943867945894</v>
      </c>
      <c r="AU234" s="727"/>
      <c r="AV234" s="728">
        <f>+'[12]eff all'!$AV$42:$AW$42</f>
        <v>1.4904158791318984</v>
      </c>
      <c r="AW234" s="729"/>
      <c r="AX234" s="728">
        <f>+'[12]eff all'!$AX$42:$AY$42</f>
        <v>0.19523771901569797</v>
      </c>
      <c r="AY234" s="729"/>
      <c r="AZ234" s="726">
        <f>+'[12]eff all'!$AZ$42:$BA$42</f>
        <v>883.63400448514949</v>
      </c>
      <c r="BA234" s="727"/>
      <c r="BB234" s="726">
        <f>+'[12]eff all'!$BB$42:$BC$42</f>
        <v>521.88219796648889</v>
      </c>
      <c r="BC234" s="727"/>
      <c r="BD234" s="726">
        <f>+'[12]eff all'!$BD$42:$BE$42</f>
        <v>0</v>
      </c>
      <c r="BE234" s="734"/>
      <c r="BF234" s="731">
        <f>+'[12]eff all'!$BF$42:$BG$42</f>
        <v>0.81559727954315242</v>
      </c>
      <c r="BG234" s="732"/>
      <c r="BH234" s="733">
        <f>+'[12]eff all'!$BH$42:$BI$42</f>
        <v>0.82877820530328572</v>
      </c>
      <c r="BI234" s="732"/>
      <c r="BJ234" s="726">
        <f>+'[12]eff all'!$BJ$42:$BK$42</f>
        <v>1259.7350000000001</v>
      </c>
      <c r="BK234" s="727"/>
      <c r="BL234" s="728">
        <f>+'[12]eff all'!$BL$42:$BM$42</f>
        <v>2.8948151793829653</v>
      </c>
      <c r="BM234" s="729"/>
      <c r="BN234" s="728">
        <f>+'[12]eff all'!$BN$42:$BO$42</f>
        <v>0</v>
      </c>
      <c r="BO234" s="729"/>
      <c r="BP234" s="726">
        <f>+'[12]eff all'!$BP$42:$BQ$42</f>
        <v>971.01940308418136</v>
      </c>
      <c r="BQ234" s="727"/>
      <c r="BR234" s="726">
        <f>+'[12]eff all'!$BR$42:$BS$42</f>
        <v>0</v>
      </c>
      <c r="BS234" s="734"/>
      <c r="BT234" s="731">
        <f>+'[12]eff all'!$BT$42:$BU$42</f>
        <v>0.90927146053562879</v>
      </c>
      <c r="BU234" s="732"/>
      <c r="BV234" s="733">
        <f>+'[12]eff all'!$BV$42:$BW$42</f>
        <v>0.93351910522430248</v>
      </c>
      <c r="BW234" s="732"/>
      <c r="BX234" s="726">
        <f>+'[12]eff all'!$BX$42:$BY$42</f>
        <v>1433.0600000000002</v>
      </c>
      <c r="BY234" s="727"/>
      <c r="BZ234" s="726">
        <f>+'[12]eff all'!$BZ$42:$CA$42</f>
        <v>77.094083288095504</v>
      </c>
      <c r="CA234" s="727"/>
      <c r="CB234" s="728">
        <f>+'[12]eff all'!$CB$42:$CC$42</f>
        <v>1.8864527654110776</v>
      </c>
      <c r="CC234" s="729"/>
      <c r="CD234" s="728">
        <f>+'[12]eff all'!$CD$42:$CE$42</f>
        <v>0.14263185072502196</v>
      </c>
      <c r="CE234" s="729"/>
      <c r="CF234" s="726">
        <f>+'[12]eff all'!$CF$42:$CG$42</f>
        <v>754.59782022786919</v>
      </c>
      <c r="CG234" s="727"/>
      <c r="CH234" s="756">
        <f>+'[12]eff all'!$CH$42:$CI$42</f>
        <v>384.70371094022579</v>
      </c>
      <c r="CI234" s="756"/>
      <c r="CJ234" s="756">
        <v>0</v>
      </c>
      <c r="CK234" s="808"/>
    </row>
    <row r="235" spans="1:89" ht="14.25" customHeight="1" thickTop="1">
      <c r="A235" s="559">
        <v>45778</v>
      </c>
      <c r="B235" s="518">
        <v>0.78835446524516817</v>
      </c>
      <c r="C235" s="519">
        <v>0.78835446524516817</v>
      </c>
      <c r="D235" s="519">
        <v>0.78835446524516817</v>
      </c>
      <c r="E235" s="519">
        <v>0.78835446524516817</v>
      </c>
      <c r="F235" s="520">
        <v>58.665999999999997</v>
      </c>
      <c r="G235" s="520">
        <v>58.665999999999997</v>
      </c>
      <c r="H235" s="520">
        <v>2.479937272014455</v>
      </c>
      <c r="I235" s="520">
        <v>2.479937272014455</v>
      </c>
      <c r="J235" s="520">
        <v>764.09266014388254</v>
      </c>
      <c r="K235" s="548">
        <v>764.09266014388254</v>
      </c>
      <c r="L235" s="518">
        <v>0.86266938848165864</v>
      </c>
      <c r="M235" s="519">
        <v>0.86266938848165864</v>
      </c>
      <c r="N235" s="519">
        <v>0.86266938848165864</v>
      </c>
      <c r="O235" s="519">
        <v>0.86266938848165864</v>
      </c>
      <c r="P235" s="520">
        <v>43.981000000000002</v>
      </c>
      <c r="Q235" s="520">
        <v>43.981000000000002</v>
      </c>
      <c r="R235" s="520">
        <v>2.7765626065801139</v>
      </c>
      <c r="S235" s="520">
        <v>2.7765626065801139</v>
      </c>
      <c r="T235" s="520">
        <v>0.28648734680884924</v>
      </c>
      <c r="U235" s="520">
        <v>0.28648734680884924</v>
      </c>
      <c r="V235" s="520">
        <v>1064.643368727405</v>
      </c>
      <c r="W235" s="520">
        <v>1064.643368727405</v>
      </c>
      <c r="X235" s="520">
        <v>582.06953002432874</v>
      </c>
      <c r="Y235" s="556">
        <v>582.06953002432874</v>
      </c>
      <c r="Z235" s="581">
        <v>0.92919595281044098</v>
      </c>
      <c r="AA235" s="1025">
        <v>0.92919595281044098</v>
      </c>
      <c r="AB235" s="519">
        <v>0.92919595281044098</v>
      </c>
      <c r="AC235" s="519">
        <v>0.92919595281044098</v>
      </c>
      <c r="AD235" s="520">
        <v>40.991999999999997</v>
      </c>
      <c r="AE235" s="520">
        <v>40.991999999999997</v>
      </c>
      <c r="AF235" s="520">
        <v>103.00492350108387</v>
      </c>
      <c r="AG235" s="520">
        <v>103.00492350108387</v>
      </c>
      <c r="AH235" s="520">
        <v>1.5710382513661205</v>
      </c>
      <c r="AI235" s="520">
        <v>1.5710382513661205</v>
      </c>
      <c r="AJ235" s="520">
        <v>855.64793130367343</v>
      </c>
      <c r="AK235" s="556">
        <v>855.64793130367343</v>
      </c>
      <c r="AL235" s="576">
        <v>63.914910226385636</v>
      </c>
      <c r="AM235" s="577">
        <v>63.914910226385636</v>
      </c>
      <c r="AN235" s="518">
        <v>0.94578008808028302</v>
      </c>
      <c r="AO235" s="519">
        <v>0.94578008808028302</v>
      </c>
      <c r="AP235" s="519">
        <v>0.94578008808028302</v>
      </c>
      <c r="AQ235" s="519">
        <v>0.94578008808028302</v>
      </c>
      <c r="AR235" s="520">
        <v>51.220999999999997</v>
      </c>
      <c r="AS235" s="520">
        <v>51.220999999999997</v>
      </c>
      <c r="AT235" s="521">
        <v>104.7327597921024</v>
      </c>
      <c r="AU235" s="521">
        <v>104.7327597921024</v>
      </c>
      <c r="AV235" s="520">
        <v>1.4232443724253727</v>
      </c>
      <c r="AW235" s="520">
        <v>1.4232443724253727</v>
      </c>
      <c r="AX235" s="520">
        <v>0.18156615450694055</v>
      </c>
      <c r="AY235" s="520">
        <v>0.18156615450694055</v>
      </c>
      <c r="AZ235" s="520">
        <v>774.18871166123256</v>
      </c>
      <c r="BA235" s="520">
        <v>774.18871166123256</v>
      </c>
      <c r="BB235" s="520">
        <v>496.23396653717361</v>
      </c>
      <c r="BC235" s="520">
        <v>496.23396653717361</v>
      </c>
      <c r="BD235" s="520">
        <v>0</v>
      </c>
      <c r="BE235" s="548">
        <v>0</v>
      </c>
      <c r="BF235" s="518">
        <v>0.71100564422760237</v>
      </c>
      <c r="BG235" s="519">
        <v>0.71100564422760237</v>
      </c>
      <c r="BH235" s="519">
        <v>0.71100564422760237</v>
      </c>
      <c r="BI235" s="519">
        <v>0.71100564422760237</v>
      </c>
      <c r="BJ235" s="520">
        <v>37.747999999999998</v>
      </c>
      <c r="BK235" s="520">
        <v>37.747999999999998</v>
      </c>
      <c r="BL235" s="520">
        <v>3.4968740065698847</v>
      </c>
      <c r="BM235" s="520">
        <v>3.4968740065698847</v>
      </c>
      <c r="BN235" s="521">
        <v>0</v>
      </c>
      <c r="BO235" s="521">
        <v>0</v>
      </c>
      <c r="BP235" s="521">
        <v>1060.9535935333129</v>
      </c>
      <c r="BQ235" s="521">
        <v>1060.9535935333129</v>
      </c>
      <c r="BR235" s="521">
        <v>0</v>
      </c>
      <c r="BS235" s="1028">
        <v>0</v>
      </c>
      <c r="BT235" s="512">
        <v>0.94349526429508912</v>
      </c>
      <c r="BU235" s="1025">
        <v>0.94349526429508912</v>
      </c>
      <c r="BV235" s="581">
        <v>0.94349526429508912</v>
      </c>
      <c r="BW235" s="581">
        <v>0.94349526429508912</v>
      </c>
      <c r="BX235" s="576">
        <v>48.607999999999997</v>
      </c>
      <c r="BY235" s="576">
        <v>48.607999999999997</v>
      </c>
      <c r="BZ235" s="582">
        <v>71.862769225894752</v>
      </c>
      <c r="CA235" s="582">
        <v>71.862769225894752</v>
      </c>
      <c r="CB235" s="576">
        <v>2.0531599736668862</v>
      </c>
      <c r="CC235" s="576">
        <v>2.0531599736668862</v>
      </c>
      <c r="CD235" s="582">
        <v>0.17692560895325873</v>
      </c>
      <c r="CE235" s="582">
        <v>0.17692560895325873</v>
      </c>
      <c r="CF235" s="582">
        <v>857.78644978818045</v>
      </c>
      <c r="CG235" s="582">
        <v>857.78644978818045</v>
      </c>
      <c r="CH235" s="582">
        <v>482.68597761686397</v>
      </c>
      <c r="CI235" s="582">
        <v>482.68597761686397</v>
      </c>
      <c r="CJ235" s="582">
        <v>0</v>
      </c>
      <c r="CK235" s="582">
        <v>0</v>
      </c>
    </row>
    <row r="236" spans="1:89" ht="14.25" customHeight="1">
      <c r="A236" s="560">
        <v>45779</v>
      </c>
      <c r="B236" s="512">
        <v>0.73371601886894999</v>
      </c>
      <c r="C236" s="513">
        <v>0.76073561138032686</v>
      </c>
      <c r="D236" s="513">
        <v>0.73371601886894999</v>
      </c>
      <c r="E236" s="513">
        <v>0.76073561138032686</v>
      </c>
      <c r="F236" s="510">
        <v>55.811</v>
      </c>
      <c r="G236" s="510">
        <v>114.477</v>
      </c>
      <c r="H236" s="510">
        <v>2.3102614180000356</v>
      </c>
      <c r="I236" s="510">
        <v>2.3972151611240684</v>
      </c>
      <c r="J236" s="510">
        <v>733.20958234039267</v>
      </c>
      <c r="K236" s="511">
        <v>749.0362256173787</v>
      </c>
      <c r="L236" s="512">
        <v>0.80117496069610994</v>
      </c>
      <c r="M236" s="513">
        <v>0.83028846818409974</v>
      </c>
      <c r="N236" s="513">
        <v>0.80117496069610994</v>
      </c>
      <c r="O236" s="513">
        <v>0.83028846818409974</v>
      </c>
      <c r="P236" s="510">
        <v>45.43</v>
      </c>
      <c r="Q236" s="510">
        <v>89.411000000000001</v>
      </c>
      <c r="R236" s="510">
        <v>2.8572529165749505</v>
      </c>
      <c r="S236" s="510">
        <v>2.8175615975662947</v>
      </c>
      <c r="T236" s="510">
        <v>0.27734976887519258</v>
      </c>
      <c r="U236" s="510">
        <v>0.28184451577546388</v>
      </c>
      <c r="V236" s="510">
        <v>922.83777239710241</v>
      </c>
      <c r="W236" s="510">
        <v>992.59151558533461</v>
      </c>
      <c r="X236" s="510">
        <v>531.76315210213522</v>
      </c>
      <c r="Y236" s="569">
        <v>556.50870698236236</v>
      </c>
      <c r="Z236" s="513">
        <v>1.0497010038770234</v>
      </c>
      <c r="AA236" s="1026">
        <v>0.98876078578843341</v>
      </c>
      <c r="AB236" s="513">
        <v>1.0497010038770234</v>
      </c>
      <c r="AC236" s="513">
        <v>0.98876078578843341</v>
      </c>
      <c r="AD236" s="510">
        <v>45.262999999999998</v>
      </c>
      <c r="AE236" s="510">
        <v>86.254999999999995</v>
      </c>
      <c r="AF236" s="510">
        <v>98.409487323463352</v>
      </c>
      <c r="AG236" s="510">
        <v>100.59343167211583</v>
      </c>
      <c r="AH236" s="510">
        <v>1.4029118706228045</v>
      </c>
      <c r="AI236" s="510">
        <v>1.4828125905744596</v>
      </c>
      <c r="AJ236" s="510">
        <v>807.31016503547153</v>
      </c>
      <c r="AK236" s="569">
        <v>830.28230247522731</v>
      </c>
      <c r="AL236" s="576">
        <v>100.30267547444933</v>
      </c>
      <c r="AM236" s="577">
        <v>83.009680598226197</v>
      </c>
      <c r="AN236" s="512">
        <v>1.0085415827677136</v>
      </c>
      <c r="AO236" s="513">
        <v>0.97716083542399823</v>
      </c>
      <c r="AP236" s="513">
        <v>1.0085415827677136</v>
      </c>
      <c r="AQ236" s="513">
        <v>0.97716083542399823</v>
      </c>
      <c r="AR236" s="510">
        <v>54.62</v>
      </c>
      <c r="AS236" s="510">
        <v>105.84099999999999</v>
      </c>
      <c r="AT236" s="514">
        <v>98.626751803432967</v>
      </c>
      <c r="AU236" s="514">
        <v>101.58171098926491</v>
      </c>
      <c r="AV236" s="510">
        <v>1.3310142804833396</v>
      </c>
      <c r="AW236" s="510">
        <v>1.3756483782277191</v>
      </c>
      <c r="AX236" s="510">
        <v>0.15745148297326986</v>
      </c>
      <c r="AY236" s="510">
        <v>0.16912160693870995</v>
      </c>
      <c r="AZ236" s="510">
        <v>761.28304650311134</v>
      </c>
      <c r="BA236" s="510">
        <v>767.52865146776719</v>
      </c>
      <c r="BB236" s="510">
        <v>470.69571585499858</v>
      </c>
      <c r="BC236" s="510">
        <v>483.0547708355042</v>
      </c>
      <c r="BD236" s="510">
        <v>0</v>
      </c>
      <c r="BE236" s="511">
        <v>0</v>
      </c>
      <c r="BF236" s="512">
        <v>0.10206288397712027</v>
      </c>
      <c r="BG236" s="513">
        <v>0.40910170772878618</v>
      </c>
      <c r="BH236" s="513">
        <v>0.10206288397712027</v>
      </c>
      <c r="BI236" s="513">
        <v>0.40910170772878618</v>
      </c>
      <c r="BJ236" s="510">
        <v>5.3280000000000003</v>
      </c>
      <c r="BK236" s="510">
        <v>43.076000000000001</v>
      </c>
      <c r="BL236" s="510">
        <v>4.6546546546546548</v>
      </c>
      <c r="BM236" s="510">
        <v>3.6400780016714647</v>
      </c>
      <c r="BN236" s="514">
        <v>0</v>
      </c>
      <c r="BO236" s="514">
        <v>0</v>
      </c>
      <c r="BP236" s="514">
        <v>1180.5492135595252</v>
      </c>
      <c r="BQ236" s="514">
        <v>1075.746180205698</v>
      </c>
      <c r="BR236" s="514">
        <v>0</v>
      </c>
      <c r="BS236" s="1031">
        <v>0</v>
      </c>
      <c r="BT236" s="512">
        <v>0.53287062810017038</v>
      </c>
      <c r="BU236" s="1026">
        <v>0.7381829461976297</v>
      </c>
      <c r="BV236" s="581">
        <v>0.53287062810017038</v>
      </c>
      <c r="BW236" s="581">
        <v>0.7381829461976297</v>
      </c>
      <c r="BX236" s="510">
        <v>27.452999999999999</v>
      </c>
      <c r="BY236" s="510">
        <v>76.060999999999993</v>
      </c>
      <c r="BZ236" s="514">
        <v>116.95254404890434</v>
      </c>
      <c r="CA236" s="514">
        <v>88.137201434465283</v>
      </c>
      <c r="CB236" s="510">
        <v>3.0707026554474921</v>
      </c>
      <c r="CC236" s="510">
        <v>2.4204257109425331</v>
      </c>
      <c r="CD236" s="514">
        <v>0.24405347320875678</v>
      </c>
      <c r="CE236" s="514">
        <v>0.20115433665084606</v>
      </c>
      <c r="CF236" s="514">
        <v>1411.6440385442816</v>
      </c>
      <c r="CG236" s="514">
        <v>1057.6924776358453</v>
      </c>
      <c r="CH236" s="514">
        <v>797.74887990383638</v>
      </c>
      <c r="CI236" s="514">
        <v>596.40288715636848</v>
      </c>
      <c r="CJ236" s="582">
        <v>0</v>
      </c>
      <c r="CK236" s="582">
        <v>0</v>
      </c>
    </row>
    <row r="237" spans="1:89" ht="12.75" customHeight="1">
      <c r="A237" s="560">
        <v>45780</v>
      </c>
      <c r="B237" s="512">
        <v>0.95119391031407319</v>
      </c>
      <c r="C237" s="513">
        <v>0.82439665253264249</v>
      </c>
      <c r="D237" s="513">
        <v>0.95119391031407319</v>
      </c>
      <c r="E237" s="513">
        <v>0.82439665253264249</v>
      </c>
      <c r="F237" s="510">
        <v>71.864999999999995</v>
      </c>
      <c r="G237" s="510">
        <v>186.34199999999998</v>
      </c>
      <c r="H237" s="510">
        <v>1.9739511584220415</v>
      </c>
      <c r="I237" s="510">
        <v>2.2339783838318792</v>
      </c>
      <c r="J237" s="510">
        <v>643.29367564183417</v>
      </c>
      <c r="K237" s="511">
        <v>708.25535842698423</v>
      </c>
      <c r="L237" s="512">
        <v>0.84585081574641041</v>
      </c>
      <c r="M237" s="513">
        <v>0.83579579423964179</v>
      </c>
      <c r="N237" s="513">
        <v>0.84585081574641041</v>
      </c>
      <c r="O237" s="513">
        <v>0.83579579423964179</v>
      </c>
      <c r="P237" s="510">
        <v>49.89</v>
      </c>
      <c r="Q237" s="510">
        <v>139.30099999999999</v>
      </c>
      <c r="R237" s="510">
        <v>2.5843054720384844</v>
      </c>
      <c r="S237" s="510">
        <v>2.7340220098922479</v>
      </c>
      <c r="T237" s="510">
        <v>0.26057326117458407</v>
      </c>
      <c r="U237" s="510">
        <v>0.27422631567612582</v>
      </c>
      <c r="V237" s="510">
        <v>799.46382040487003</v>
      </c>
      <c r="W237" s="510">
        <v>923.42373708730963</v>
      </c>
      <c r="X237" s="510">
        <v>501.1224694327521</v>
      </c>
      <c r="Y237" s="569">
        <v>536.67238569715937</v>
      </c>
      <c r="Z237" s="513">
        <v>1.0236190630222952</v>
      </c>
      <c r="AA237" s="1026">
        <v>1.0006017279290131</v>
      </c>
      <c r="AB237" s="513">
        <v>1.0236190630222952</v>
      </c>
      <c r="AC237" s="513">
        <v>1.0006017279290131</v>
      </c>
      <c r="AD237" s="510">
        <v>45.936999999999998</v>
      </c>
      <c r="AE237" s="510">
        <v>132.19200000000001</v>
      </c>
      <c r="AF237" s="510">
        <v>101.98366330611081</v>
      </c>
      <c r="AG237" s="510">
        <v>101.07654010962207</v>
      </c>
      <c r="AH237" s="510">
        <v>1.4345734375340142</v>
      </c>
      <c r="AI237" s="510">
        <v>1.4660493827160495</v>
      </c>
      <c r="AJ237" s="510">
        <v>801.53906437075284</v>
      </c>
      <c r="AK237" s="569">
        <v>820.29396635197293</v>
      </c>
      <c r="AL237" s="576">
        <v>121.68839932951651</v>
      </c>
      <c r="AM237" s="577">
        <v>96.450617283950621</v>
      </c>
      <c r="AN237" s="512">
        <v>0.64973721212820501</v>
      </c>
      <c r="AO237" s="513">
        <v>0.86943081412197543</v>
      </c>
      <c r="AP237" s="513">
        <v>0.64973721212820501</v>
      </c>
      <c r="AQ237" s="513">
        <v>0.86943081412197543</v>
      </c>
      <c r="AR237" s="510">
        <v>34.51</v>
      </c>
      <c r="AS237" s="510">
        <v>140.351</v>
      </c>
      <c r="AT237" s="514">
        <v>121.21832695127651</v>
      </c>
      <c r="AU237" s="514">
        <v>106.41003153453369</v>
      </c>
      <c r="AV237" s="510">
        <v>1.6227180527383369</v>
      </c>
      <c r="AW237" s="510">
        <v>1.4363987431510998</v>
      </c>
      <c r="AX237" s="510">
        <v>0.18835120254998552</v>
      </c>
      <c r="AY237" s="510">
        <v>0.17384984788138311</v>
      </c>
      <c r="AZ237" s="510">
        <v>891.34453781512639</v>
      </c>
      <c r="BA237" s="510">
        <v>797.97293927367787</v>
      </c>
      <c r="BB237" s="510">
        <v>581.25760649087329</v>
      </c>
      <c r="BC237" s="510">
        <v>507.20123119892725</v>
      </c>
      <c r="BD237" s="510">
        <v>0</v>
      </c>
      <c r="BE237" s="511">
        <v>0</v>
      </c>
      <c r="BF237" s="512">
        <v>0.62827673961741559</v>
      </c>
      <c r="BG237" s="513">
        <v>0.48174818615987974</v>
      </c>
      <c r="BH237" s="513">
        <v>0.62827673961741559</v>
      </c>
      <c r="BI237" s="513">
        <v>0.48174818615987974</v>
      </c>
      <c r="BJ237" s="510">
        <v>32.798000000000002</v>
      </c>
      <c r="BK237" s="510">
        <v>75.873999999999995</v>
      </c>
      <c r="BL237" s="510">
        <v>3.2197085188121224</v>
      </c>
      <c r="BM237" s="510">
        <v>3.4583651843846375</v>
      </c>
      <c r="BN237" s="514">
        <v>0</v>
      </c>
      <c r="BO237" s="514">
        <v>0</v>
      </c>
      <c r="BP237" s="514">
        <v>977.71506114352735</v>
      </c>
      <c r="BQ237" s="514">
        <v>1033.3703381122132</v>
      </c>
      <c r="BR237" s="514">
        <v>0</v>
      </c>
      <c r="BS237" s="1031">
        <v>0</v>
      </c>
      <c r="BT237" s="512">
        <v>0.97165959174102756</v>
      </c>
      <c r="BU237" s="1026">
        <v>0.8160084947120958</v>
      </c>
      <c r="BV237" s="581">
        <v>0.97165959174102756</v>
      </c>
      <c r="BW237" s="581">
        <v>0.8160084947120958</v>
      </c>
      <c r="BX237" s="510">
        <v>50.058999999999997</v>
      </c>
      <c r="BY237" s="510">
        <v>126.11999999999999</v>
      </c>
      <c r="BZ237" s="514">
        <v>76.448430764071077</v>
      </c>
      <c r="CA237" s="514">
        <v>83.497745590909432</v>
      </c>
      <c r="CB237" s="510">
        <v>1.9536946403244173</v>
      </c>
      <c r="CC237" s="510">
        <v>2.2351728512527753</v>
      </c>
      <c r="CD237" s="514">
        <v>0.17579256477356722</v>
      </c>
      <c r="CE237" s="514">
        <v>0.19108785283856647</v>
      </c>
      <c r="CF237" s="514">
        <v>778.65721298098128</v>
      </c>
      <c r="CG237" s="514">
        <v>946.93901812618947</v>
      </c>
      <c r="CH237" s="514">
        <v>553.36303162268621</v>
      </c>
      <c r="CI237" s="514">
        <v>579.31969552807311</v>
      </c>
      <c r="CJ237" s="582">
        <v>0</v>
      </c>
      <c r="CK237" s="582">
        <v>0</v>
      </c>
    </row>
    <row r="238" spans="1:89" ht="12.75" customHeight="1">
      <c r="A238" s="560">
        <v>45781</v>
      </c>
      <c r="B238" s="512">
        <v>0.90368220589626957</v>
      </c>
      <c r="C238" s="513">
        <v>0.84426412782081728</v>
      </c>
      <c r="D238" s="513">
        <v>0.90368220589626957</v>
      </c>
      <c r="E238" s="513">
        <v>0.84426412782081728</v>
      </c>
      <c r="F238" s="510">
        <v>68.299000000000007</v>
      </c>
      <c r="G238" s="510">
        <v>254.64099999999999</v>
      </c>
      <c r="H238" s="510">
        <v>2.0434413388190165</v>
      </c>
      <c r="I238" s="510">
        <v>2.1828731429738339</v>
      </c>
      <c r="J238" s="510">
        <v>744.16111509685402</v>
      </c>
      <c r="K238" s="511">
        <v>717.88588640478588</v>
      </c>
      <c r="L238" s="512">
        <v>0.98303516442681249</v>
      </c>
      <c r="M238" s="513">
        <v>0.880484761002853</v>
      </c>
      <c r="N238" s="513">
        <v>0.98303516442681249</v>
      </c>
      <c r="O238" s="513">
        <v>0.880484761002853</v>
      </c>
      <c r="P238" s="510">
        <v>71.397999999999996</v>
      </c>
      <c r="Q238" s="510">
        <v>210.69899999999998</v>
      </c>
      <c r="R238" s="510">
        <v>1.9814840751841787</v>
      </c>
      <c r="S238" s="510">
        <v>2.4790150878741715</v>
      </c>
      <c r="T238" s="510">
        <v>0.1918821255497353</v>
      </c>
      <c r="U238" s="510">
        <v>0.24632295359731185</v>
      </c>
      <c r="V238" s="510">
        <v>681.98394913024401</v>
      </c>
      <c r="W238" s="510">
        <v>841.60883535280425</v>
      </c>
      <c r="X238" s="510">
        <v>371.3409339197176</v>
      </c>
      <c r="Y238" s="569">
        <v>480.6477486841419</v>
      </c>
      <c r="Z238" s="513">
        <v>0.86715073756189831</v>
      </c>
      <c r="AA238" s="1026">
        <v>0.96670140303115792</v>
      </c>
      <c r="AB238" s="513">
        <v>0.86715073756189831</v>
      </c>
      <c r="AC238" s="513">
        <v>0.96670140303115792</v>
      </c>
      <c r="AD238" s="510">
        <v>39.012</v>
      </c>
      <c r="AE238" s="510">
        <v>171.20400000000001</v>
      </c>
      <c r="AF238" s="510">
        <v>105.63598391175701</v>
      </c>
      <c r="AG238" s="510">
        <v>102.11549376496242</v>
      </c>
      <c r="AH238" s="510">
        <v>1.6430841792269044</v>
      </c>
      <c r="AI238" s="510">
        <v>1.5063900376159434</v>
      </c>
      <c r="AJ238" s="510">
        <v>923.18927509486127</v>
      </c>
      <c r="AK238" s="569">
        <v>843.74056680919091</v>
      </c>
      <c r="AL238" s="576">
        <v>84.076694350456265</v>
      </c>
      <c r="AM238" s="577">
        <v>93.630989930141823</v>
      </c>
      <c r="AN238" s="512">
        <v>0.65900923319914317</v>
      </c>
      <c r="AO238" s="513">
        <v>0.81839516460488793</v>
      </c>
      <c r="AP238" s="513">
        <v>0.65900923319914317</v>
      </c>
      <c r="AQ238" s="513">
        <v>0.81839516460488793</v>
      </c>
      <c r="AR238" s="510">
        <v>34.064</v>
      </c>
      <c r="AS238" s="510">
        <v>174.41499999999999</v>
      </c>
      <c r="AT238" s="514">
        <v>110.6348195058419</v>
      </c>
      <c r="AU238" s="514">
        <v>107.23515080440522</v>
      </c>
      <c r="AV238" s="510">
        <v>1.8377172381399718</v>
      </c>
      <c r="AW238" s="510">
        <v>1.5147779720780898</v>
      </c>
      <c r="AX238" s="510">
        <v>0.17907468294974166</v>
      </c>
      <c r="AY238" s="510">
        <v>0.17487028065246682</v>
      </c>
      <c r="AZ238" s="510">
        <v>1064.9207374354169</v>
      </c>
      <c r="BA238" s="510">
        <v>850.10899291918702</v>
      </c>
      <c r="BB238" s="510">
        <v>504.77923907937662</v>
      </c>
      <c r="BC238" s="510">
        <v>506.72820571625442</v>
      </c>
      <c r="BD238" s="510">
        <v>0</v>
      </c>
      <c r="BE238" s="511">
        <v>0</v>
      </c>
      <c r="BF238" s="512">
        <v>0.79725478829586138</v>
      </c>
      <c r="BG238" s="513">
        <v>0.56096759797865126</v>
      </c>
      <c r="BH238" s="513">
        <v>0.79725478829586138</v>
      </c>
      <c r="BI238" s="513">
        <v>0.56096759797865126</v>
      </c>
      <c r="BJ238" s="510">
        <v>42.097999999999999</v>
      </c>
      <c r="BK238" s="510">
        <v>117.97199999999999</v>
      </c>
      <c r="BL238" s="510">
        <v>2.741222860943513</v>
      </c>
      <c r="BM238" s="510">
        <v>3.202454819787746</v>
      </c>
      <c r="BN238" s="514">
        <v>0</v>
      </c>
      <c r="BO238" s="514">
        <v>0</v>
      </c>
      <c r="BP238" s="514">
        <v>953.43838025220396</v>
      </c>
      <c r="BQ238" s="514">
        <v>1004.8468277708553</v>
      </c>
      <c r="BR238" s="514">
        <v>0</v>
      </c>
      <c r="BS238" s="1031">
        <v>0</v>
      </c>
      <c r="BT238" s="512">
        <v>0.93050978182690669</v>
      </c>
      <c r="BU238" s="1026">
        <v>0.84463381649079849</v>
      </c>
      <c r="BV238" s="581">
        <v>0.93050978182690669</v>
      </c>
      <c r="BW238" s="581">
        <v>0.84463381649079849</v>
      </c>
      <c r="BX238" s="510">
        <v>47.939</v>
      </c>
      <c r="BY238" s="510">
        <v>174.059</v>
      </c>
      <c r="BZ238" s="514">
        <v>69.427074073041467</v>
      </c>
      <c r="CA238" s="514">
        <v>79.622427900384537</v>
      </c>
      <c r="CB238" s="510">
        <v>2.0672104132334841</v>
      </c>
      <c r="CC238" s="510">
        <v>2.188912954802682</v>
      </c>
      <c r="CD238" s="514">
        <v>0.1752226788210017</v>
      </c>
      <c r="CE238" s="514">
        <v>0.18671829666952011</v>
      </c>
      <c r="CF238" s="514">
        <v>804.53349189890332</v>
      </c>
      <c r="CG238" s="514">
        <v>907.71795790057706</v>
      </c>
      <c r="CH238" s="514">
        <v>495.32113727862162</v>
      </c>
      <c r="CI238" s="514">
        <v>556.18497176245069</v>
      </c>
      <c r="CJ238" s="582">
        <v>0</v>
      </c>
      <c r="CK238" s="582">
        <v>0</v>
      </c>
    </row>
    <row r="239" spans="1:89" ht="12.75" customHeight="1">
      <c r="A239" s="560">
        <v>45782</v>
      </c>
      <c r="B239" s="512">
        <v>0.76252846264077623</v>
      </c>
      <c r="C239" s="513">
        <v>0.8302839886785518</v>
      </c>
      <c r="D239" s="513">
        <v>0.76252846264077623</v>
      </c>
      <c r="E239" s="513">
        <v>0.8302839886785518</v>
      </c>
      <c r="F239" s="510">
        <v>47.454000000000001</v>
      </c>
      <c r="G239" s="510">
        <v>302.09499999999997</v>
      </c>
      <c r="H239" s="510">
        <v>2.5014540397016058</v>
      </c>
      <c r="I239" s="510">
        <v>2.2329167976960895</v>
      </c>
      <c r="J239" s="510">
        <v>1005.1557297593295</v>
      </c>
      <c r="K239" s="511">
        <v>763.01110577798488</v>
      </c>
      <c r="L239" s="512">
        <v>0.92541822135205876</v>
      </c>
      <c r="M239" s="513">
        <v>0.89124685434445017</v>
      </c>
      <c r="N239" s="513">
        <v>0.92541822135205876</v>
      </c>
      <c r="O239" s="513">
        <v>0.89124685434445017</v>
      </c>
      <c r="P239" s="510">
        <v>69.745000000000005</v>
      </c>
      <c r="Q239" s="510">
        <v>280.44399999999996</v>
      </c>
      <c r="R239" s="510">
        <v>1.919564126460678</v>
      </c>
      <c r="S239" s="510">
        <v>2.3398824720799878</v>
      </c>
      <c r="T239" s="510">
        <v>0.22367194780987881</v>
      </c>
      <c r="U239" s="510">
        <v>0.24068976337521933</v>
      </c>
      <c r="V239" s="510">
        <v>489.57043515663537</v>
      </c>
      <c r="W239" s="510">
        <v>754.05867124987537</v>
      </c>
      <c r="X239" s="510">
        <v>435.32869739766289</v>
      </c>
      <c r="Y239" s="569">
        <v>469.37713055012773</v>
      </c>
      <c r="Z239" s="513">
        <v>0.97994325493022127</v>
      </c>
      <c r="AA239" s="1026">
        <v>0.96935742052406837</v>
      </c>
      <c r="AB239" s="513">
        <v>0.97994325493022127</v>
      </c>
      <c r="AC239" s="513">
        <v>0.96935742052406837</v>
      </c>
      <c r="AD239" s="510">
        <v>43.543999999999997</v>
      </c>
      <c r="AE239" s="510">
        <v>214.74799999999999</v>
      </c>
      <c r="AF239" s="510">
        <v>101.1747485076033</v>
      </c>
      <c r="AG239" s="510">
        <v>101.92474082902615</v>
      </c>
      <c r="AH239" s="510">
        <v>1.4605915855226899</v>
      </c>
      <c r="AI239" s="510">
        <v>1.4971035818727068</v>
      </c>
      <c r="AJ239" s="510">
        <v>713.7300202094267</v>
      </c>
      <c r="AK239" s="569">
        <v>817.37860189617606</v>
      </c>
      <c r="AL239" s="576">
        <v>70.044093330883697</v>
      </c>
      <c r="AM239" s="577">
        <v>88.848324547842125</v>
      </c>
      <c r="AN239" s="512">
        <v>0.93162747183332717</v>
      </c>
      <c r="AO239" s="513">
        <v>0.84049681831483669</v>
      </c>
      <c r="AP239" s="513">
        <v>0.93162747183332717</v>
      </c>
      <c r="AQ239" s="513">
        <v>0.84049681831483669</v>
      </c>
      <c r="AR239" s="510">
        <v>48.152999999999999</v>
      </c>
      <c r="AS239" s="510">
        <v>222.56799999999998</v>
      </c>
      <c r="AT239" s="514">
        <v>109.00067687581229</v>
      </c>
      <c r="AU239" s="514">
        <v>107.61712564767319</v>
      </c>
      <c r="AV239" s="510">
        <v>1.5409216455880217</v>
      </c>
      <c r="AW239" s="510">
        <v>1.5204342043779882</v>
      </c>
      <c r="AX239" s="510">
        <v>0.17652067368595933</v>
      </c>
      <c r="AY239" s="510">
        <v>0.17522734624923619</v>
      </c>
      <c r="AZ239" s="510">
        <v>749.45818536747333</v>
      </c>
      <c r="BA239" s="510">
        <v>828.33300384601546</v>
      </c>
      <c r="BB239" s="510">
        <v>576.41476128173679</v>
      </c>
      <c r="BC239" s="510">
        <v>521.80502138672227</v>
      </c>
      <c r="BD239" s="510">
        <v>0</v>
      </c>
      <c r="BE239" s="511">
        <v>0</v>
      </c>
      <c r="BF239" s="512">
        <v>1.1082543857472478</v>
      </c>
      <c r="BG239" s="513">
        <v>0.66870539300570597</v>
      </c>
      <c r="BH239" s="513">
        <v>1.1082543857472478</v>
      </c>
      <c r="BI239" s="513">
        <v>0.66870539300570597</v>
      </c>
      <c r="BJ239" s="510">
        <v>57.127000000000002</v>
      </c>
      <c r="BK239" s="510">
        <v>175.09899999999999</v>
      </c>
      <c r="BL239" s="510">
        <v>2.1741033136695433</v>
      </c>
      <c r="BM239" s="510">
        <v>2.8669495542521659</v>
      </c>
      <c r="BN239" s="514">
        <v>0</v>
      </c>
      <c r="BO239" s="514">
        <v>0</v>
      </c>
      <c r="BP239" s="514">
        <v>624.63780830115388</v>
      </c>
      <c r="BQ239" s="514">
        <v>880.80156962977162</v>
      </c>
      <c r="BR239" s="514">
        <v>0</v>
      </c>
      <c r="BS239" s="1031">
        <v>0</v>
      </c>
      <c r="BT239" s="512">
        <v>0.88464327200281823</v>
      </c>
      <c r="BU239" s="1026">
        <v>0.85263570759320229</v>
      </c>
      <c r="BV239" s="581">
        <v>0.91910989298994084</v>
      </c>
      <c r="BW239" s="581">
        <v>0.85907879858257163</v>
      </c>
      <c r="BX239" s="510">
        <v>45.576000000000001</v>
      </c>
      <c r="BY239" s="510">
        <v>219.63499999999999</v>
      </c>
      <c r="BZ239" s="514">
        <v>72.137466152886034</v>
      </c>
      <c r="CA239" s="514">
        <v>78.069239125353278</v>
      </c>
      <c r="CB239" s="510">
        <v>2.0668773038441284</v>
      </c>
      <c r="CC239" s="510">
        <v>2.163589591822797</v>
      </c>
      <c r="CD239" s="514">
        <v>0.16894856942250308</v>
      </c>
      <c r="CE239" s="514">
        <v>0.18303093769208006</v>
      </c>
      <c r="CF239" s="514">
        <v>671.3466720462776</v>
      </c>
      <c r="CG239" s="514">
        <v>858.6690461875279</v>
      </c>
      <c r="CH239" s="514">
        <v>540.06275232577514</v>
      </c>
      <c r="CI239" s="514">
        <v>552.83948368884717</v>
      </c>
      <c r="CJ239" s="582">
        <v>0</v>
      </c>
      <c r="CK239" s="582">
        <v>0</v>
      </c>
    </row>
    <row r="240" spans="1:89" ht="12.75" customHeight="1">
      <c r="A240" s="560">
        <v>45783</v>
      </c>
      <c r="B240" s="512">
        <v>0.83967826183211236</v>
      </c>
      <c r="C240" s="513">
        <v>0.83166371688803953</v>
      </c>
      <c r="D240" s="513">
        <v>0.83967826183211236</v>
      </c>
      <c r="E240" s="513">
        <v>0.83166371688803953</v>
      </c>
      <c r="F240" s="510">
        <v>52.594999999999999</v>
      </c>
      <c r="G240" s="510">
        <v>354.68999999999994</v>
      </c>
      <c r="H240" s="510">
        <v>2.4695693506987357</v>
      </c>
      <c r="I240" s="510">
        <v>2.2680086836392346</v>
      </c>
      <c r="J240" s="510">
        <v>864.8491301454543</v>
      </c>
      <c r="K240" s="511">
        <v>778.11209788829831</v>
      </c>
      <c r="L240" s="512">
        <v>0.85246649229859628</v>
      </c>
      <c r="M240" s="513">
        <v>0.88436078910326343</v>
      </c>
      <c r="N240" s="513">
        <v>0.85246649229859628</v>
      </c>
      <c r="O240" s="513">
        <v>0.88436078910326343</v>
      </c>
      <c r="P240" s="510">
        <v>57.914000000000001</v>
      </c>
      <c r="Q240" s="510">
        <v>338.35799999999995</v>
      </c>
      <c r="R240" s="510">
        <v>1.9316572849397382</v>
      </c>
      <c r="S240" s="510">
        <v>2.2700098712015091</v>
      </c>
      <c r="T240" s="510">
        <v>0.22447076699934385</v>
      </c>
      <c r="U240" s="510">
        <v>0.23791368905124163</v>
      </c>
      <c r="V240" s="510">
        <v>508.29005076492263</v>
      </c>
      <c r="W240" s="510">
        <v>711.99244587094074</v>
      </c>
      <c r="X240" s="510">
        <v>460.63128086473051</v>
      </c>
      <c r="Y240" s="569">
        <v>467.88017425330577</v>
      </c>
      <c r="Z240" s="513">
        <v>0.85023009005167127</v>
      </c>
      <c r="AA240" s="1026">
        <v>0.94968784725577637</v>
      </c>
      <c r="AB240" s="513">
        <v>0.85023009005167127</v>
      </c>
      <c r="AC240" s="513">
        <v>0.94968784725577637</v>
      </c>
      <c r="AD240" s="510">
        <v>37.250999999999998</v>
      </c>
      <c r="AE240" s="510">
        <v>251.999</v>
      </c>
      <c r="AF240" s="510">
        <v>106.11153310856484</v>
      </c>
      <c r="AG240" s="510">
        <v>102.54364090087206</v>
      </c>
      <c r="AH240" s="510">
        <v>1.5301602641539824</v>
      </c>
      <c r="AI240" s="510">
        <v>1.5019900872622511</v>
      </c>
      <c r="AJ240" s="510">
        <v>855.19153848218832</v>
      </c>
      <c r="AK240" s="569">
        <v>822.96818638169202</v>
      </c>
      <c r="AL240" s="576">
        <v>55.032079675713405</v>
      </c>
      <c r="AM240" s="577">
        <v>83.849539085472557</v>
      </c>
      <c r="AN240" s="512">
        <v>0.28973802822577027</v>
      </c>
      <c r="AO240" s="513">
        <v>0.750725666817179</v>
      </c>
      <c r="AP240" s="513">
        <v>0.28973802822577027</v>
      </c>
      <c r="AQ240" s="513">
        <v>0.750725666817179</v>
      </c>
      <c r="AR240" s="510">
        <v>14.941000000000001</v>
      </c>
      <c r="AS240" s="510">
        <v>237.50899999999999</v>
      </c>
      <c r="AT240" s="514">
        <v>80.122235523995926</v>
      </c>
      <c r="AU240" s="514">
        <v>105.88750212461571</v>
      </c>
      <c r="AV240" s="510">
        <v>1.5996251924235323</v>
      </c>
      <c r="AW240" s="510">
        <v>1.5254158789772179</v>
      </c>
      <c r="AX240" s="510">
        <v>8.7008901679941103E-2</v>
      </c>
      <c r="AY240" s="510">
        <v>0.16967778063147079</v>
      </c>
      <c r="AZ240" s="510">
        <v>1057.9439127233816</v>
      </c>
      <c r="BA240" s="510">
        <v>842.77715791822629</v>
      </c>
      <c r="BB240" s="510">
        <v>388.40773709926503</v>
      </c>
      <c r="BC240" s="510">
        <v>513.41338644009329</v>
      </c>
      <c r="BD240" s="510">
        <v>0</v>
      </c>
      <c r="BE240" s="511">
        <v>0</v>
      </c>
      <c r="BF240" s="512">
        <v>0.89379336952152488</v>
      </c>
      <c r="BG240" s="513">
        <v>0.70508479144966385</v>
      </c>
      <c r="BH240" s="513">
        <v>0.89379336952152488</v>
      </c>
      <c r="BI240" s="513">
        <v>0.70508479144966385</v>
      </c>
      <c r="BJ240" s="510">
        <v>45.118000000000002</v>
      </c>
      <c r="BK240" s="510">
        <v>220.21699999999998</v>
      </c>
      <c r="BL240" s="510">
        <v>2.6707744137594749</v>
      </c>
      <c r="BM240" s="510">
        <v>2.8267572439911546</v>
      </c>
      <c r="BN240" s="514">
        <v>0</v>
      </c>
      <c r="BO240" s="514">
        <v>0</v>
      </c>
      <c r="BP240" s="514">
        <v>908.1150087301005</v>
      </c>
      <c r="BQ240" s="514">
        <v>886.39753971985863</v>
      </c>
      <c r="BR240" s="514">
        <v>0</v>
      </c>
      <c r="BS240" s="1031">
        <v>0</v>
      </c>
      <c r="BT240" s="512">
        <v>0.23241737220561837</v>
      </c>
      <c r="BU240" s="1026">
        <v>0.7460198638756933</v>
      </c>
      <c r="BV240" s="581">
        <v>0.33006017354644029</v>
      </c>
      <c r="BW240" s="581">
        <v>0.7911675597973159</v>
      </c>
      <c r="BX240" s="510">
        <v>12.428000000000001</v>
      </c>
      <c r="BY240" s="510">
        <v>232.06299999999999</v>
      </c>
      <c r="BZ240" s="514">
        <v>104.53274534992183</v>
      </c>
      <c r="CA240" s="514">
        <v>79.486476924394651</v>
      </c>
      <c r="CB240" s="510">
        <v>2.6552944962986804</v>
      </c>
      <c r="CC240" s="510">
        <v>2.189922564131292</v>
      </c>
      <c r="CD240" s="514">
        <v>0.10460251046025104</v>
      </c>
      <c r="CE240" s="514">
        <v>0.17883074854673087</v>
      </c>
      <c r="CF240" s="514">
        <v>812.91414838392063</v>
      </c>
      <c r="CG240" s="514">
        <v>856.21866904897831</v>
      </c>
      <c r="CH240" s="514">
        <v>431.02671387191089</v>
      </c>
      <c r="CI240" s="514">
        <v>546.3158711212044</v>
      </c>
      <c r="CJ240" s="582">
        <v>0</v>
      </c>
      <c r="CK240" s="582">
        <v>0</v>
      </c>
    </row>
    <row r="241" spans="1:89" ht="12.75" customHeight="1">
      <c r="A241" s="560">
        <v>45784</v>
      </c>
      <c r="B241" s="512">
        <v>0.75004080679199647</v>
      </c>
      <c r="C241" s="513">
        <v>0.82195005597760629</v>
      </c>
      <c r="D241" s="513">
        <v>0.75004080679199647</v>
      </c>
      <c r="E241" s="513">
        <v>0.82195005597760629</v>
      </c>
      <c r="F241" s="510">
        <v>43.21</v>
      </c>
      <c r="G241" s="510">
        <v>397.89999999999992</v>
      </c>
      <c r="H241" s="510">
        <v>2.3000462855820412</v>
      </c>
      <c r="I241" s="510">
        <v>2.2714878110077916</v>
      </c>
      <c r="J241" s="510">
        <v>1185.0395741726672</v>
      </c>
      <c r="K241" s="511">
        <v>822.30243779844545</v>
      </c>
      <c r="L241" s="512">
        <v>0.9314212910588695</v>
      </c>
      <c r="M241" s="513">
        <v>0.8914932285721745</v>
      </c>
      <c r="N241" s="513">
        <v>0.9314212910588695</v>
      </c>
      <c r="O241" s="513">
        <v>0.8914932285721745</v>
      </c>
      <c r="P241" s="510">
        <v>63.658000000000001</v>
      </c>
      <c r="Q241" s="510">
        <v>402.01599999999996</v>
      </c>
      <c r="R241" s="510">
        <v>1.8448584624084954</v>
      </c>
      <c r="S241" s="510">
        <v>2.2026884502109372</v>
      </c>
      <c r="T241" s="510">
        <v>0.24505953690031101</v>
      </c>
      <c r="U241" s="510">
        <v>0.23904521213086047</v>
      </c>
      <c r="V241" s="510">
        <v>529.14229162084143</v>
      </c>
      <c r="W241" s="510">
        <v>683.03868502745991</v>
      </c>
      <c r="X241" s="510">
        <v>476.71934399447048</v>
      </c>
      <c r="Y241" s="569">
        <v>469.27982965852112</v>
      </c>
      <c r="Z241" s="513">
        <v>0.94828352396920312</v>
      </c>
      <c r="AA241" s="1026">
        <v>0.94948883388420124</v>
      </c>
      <c r="AB241" s="513">
        <v>0.94828352396920312</v>
      </c>
      <c r="AC241" s="513">
        <v>0.94948883388420124</v>
      </c>
      <c r="AD241" s="510">
        <v>41.546999999999997</v>
      </c>
      <c r="AE241" s="510">
        <v>293.54599999999999</v>
      </c>
      <c r="AF241" s="510">
        <v>109.02970076404365</v>
      </c>
      <c r="AG241" s="510">
        <v>103.46164465202244</v>
      </c>
      <c r="AH241" s="510">
        <v>1.4802512816809879</v>
      </c>
      <c r="AI241" s="510">
        <v>1.498913287866297</v>
      </c>
      <c r="AJ241" s="510">
        <v>860.12371531038889</v>
      </c>
      <c r="AK241" s="569">
        <v>828.22698997772318</v>
      </c>
      <c r="AL241" s="576">
        <v>40.291717813560545</v>
      </c>
      <c r="AM241" s="577">
        <v>77.684587764779621</v>
      </c>
      <c r="AN241" s="512">
        <v>0.67360674282073574</v>
      </c>
      <c r="AO241" s="513">
        <v>0.73989890484916987</v>
      </c>
      <c r="AP241" s="513">
        <v>0.67360674282073574</v>
      </c>
      <c r="AQ241" s="513">
        <v>0.73989890484916987</v>
      </c>
      <c r="AR241" s="510">
        <v>34.805</v>
      </c>
      <c r="AS241" s="510">
        <v>272.31399999999996</v>
      </c>
      <c r="AT241" s="514">
        <v>121.27521202085019</v>
      </c>
      <c r="AU241" s="514">
        <v>107.85423627320316</v>
      </c>
      <c r="AV241" s="510">
        <v>1.9048987214480677</v>
      </c>
      <c r="AW241" s="510">
        <v>1.5739183442643423</v>
      </c>
      <c r="AX241" s="510">
        <v>0.22123258152564287</v>
      </c>
      <c r="AY241" s="510">
        <v>0.1762671034173785</v>
      </c>
      <c r="AZ241" s="510">
        <v>968.69875017957042</v>
      </c>
      <c r="BA241" s="510">
        <v>858.87144987037027</v>
      </c>
      <c r="BB241" s="510">
        <v>686.39563281141307</v>
      </c>
      <c r="BC241" s="510">
        <v>535.52259523932435</v>
      </c>
      <c r="BD241" s="510">
        <v>0</v>
      </c>
      <c r="BE241" s="511">
        <v>0</v>
      </c>
      <c r="BF241" s="512">
        <v>1.0547082677625166</v>
      </c>
      <c r="BG241" s="513">
        <v>0.7537118529865956</v>
      </c>
      <c r="BH241" s="513">
        <v>1.0547082677625166</v>
      </c>
      <c r="BI241" s="513">
        <v>0.7537118529865956</v>
      </c>
      <c r="BJ241" s="510">
        <v>53.218000000000004</v>
      </c>
      <c r="BK241" s="510">
        <v>273.435</v>
      </c>
      <c r="BL241" s="510">
        <v>2.3206433913337592</v>
      </c>
      <c r="BM241" s="510">
        <v>2.7282535154607128</v>
      </c>
      <c r="BN241" s="514">
        <v>0</v>
      </c>
      <c r="BO241" s="514">
        <v>0</v>
      </c>
      <c r="BP241" s="514">
        <v>934.09766098344448</v>
      </c>
      <c r="BQ241" s="514">
        <v>895.68130022383764</v>
      </c>
      <c r="BR241" s="514">
        <v>0</v>
      </c>
      <c r="BS241" s="1031">
        <v>0</v>
      </c>
      <c r="BT241" s="512">
        <v>0.55405531281947207</v>
      </c>
      <c r="BU241" s="1026">
        <v>0.71964870315311968</v>
      </c>
      <c r="BV241" s="581">
        <v>0.55405531281947207</v>
      </c>
      <c r="BW241" s="581">
        <v>0.75690777629733241</v>
      </c>
      <c r="BX241" s="510">
        <v>27.446999999999999</v>
      </c>
      <c r="BY241" s="510">
        <v>259.51</v>
      </c>
      <c r="BZ241" s="514">
        <v>121.98634706782479</v>
      </c>
      <c r="CA241" s="514">
        <v>83.981463382822952</v>
      </c>
      <c r="CB241" s="510">
        <v>3.0349400663096149</v>
      </c>
      <c r="CC241" s="510">
        <v>2.279295595545451</v>
      </c>
      <c r="CD241" s="514">
        <v>0</v>
      </c>
      <c r="CE241" s="514">
        <v>0.15991676621324805</v>
      </c>
      <c r="CF241" s="514">
        <v>1315.2938637294753</v>
      </c>
      <c r="CG241" s="514">
        <v>904.77262407343062</v>
      </c>
      <c r="CH241" s="514">
        <v>0</v>
      </c>
      <c r="CI241" s="514">
        <v>488.53493121652366</v>
      </c>
      <c r="CJ241" s="582">
        <v>51.954676285204215</v>
      </c>
      <c r="CK241" s="582">
        <v>5.4949712920504021</v>
      </c>
    </row>
    <row r="242" spans="1:89" ht="12.75" customHeight="1">
      <c r="A242" s="560">
        <v>45785</v>
      </c>
      <c r="B242" s="512">
        <v>0.71270928882193663</v>
      </c>
      <c r="C242" s="513">
        <v>0.80971451610597622</v>
      </c>
      <c r="D242" s="513">
        <v>0.71270928882193663</v>
      </c>
      <c r="E242" s="513">
        <v>0.80971451610597622</v>
      </c>
      <c r="F242" s="510">
        <v>43.518000000000001</v>
      </c>
      <c r="G242" s="510">
        <v>441.41799999999989</v>
      </c>
      <c r="H242" s="510">
        <v>2.968794521807069</v>
      </c>
      <c r="I242" s="510">
        <v>2.3402330670702156</v>
      </c>
      <c r="J242" s="510">
        <v>1151.1953674341571</v>
      </c>
      <c r="K242" s="511">
        <v>854.72694815345346</v>
      </c>
      <c r="L242" s="512">
        <v>0.99864967451497633</v>
      </c>
      <c r="M242" s="513">
        <v>0.90555757419804495</v>
      </c>
      <c r="N242" s="513">
        <v>0.99864967451497633</v>
      </c>
      <c r="O242" s="513">
        <v>0.90555757419804495</v>
      </c>
      <c r="P242" s="510">
        <v>68.037000000000006</v>
      </c>
      <c r="Q242" s="510">
        <v>470.053</v>
      </c>
      <c r="R242" s="510">
        <v>2.1749636227346882</v>
      </c>
      <c r="S242" s="510">
        <v>2.1986754685109982</v>
      </c>
      <c r="T242" s="510">
        <v>0.22928700559989415</v>
      </c>
      <c r="U242" s="510">
        <v>0.23763277758040049</v>
      </c>
      <c r="V242" s="510">
        <v>609.76645060777867</v>
      </c>
      <c r="W242" s="510">
        <v>672.4330235101163</v>
      </c>
      <c r="X242" s="510">
        <v>440.39272748651467</v>
      </c>
      <c r="Y242" s="569">
        <v>465.09861653898605</v>
      </c>
      <c r="Z242" s="513">
        <v>1.0512836695003787</v>
      </c>
      <c r="AA242" s="1026">
        <v>0.96264890381859214</v>
      </c>
      <c r="AB242" s="513">
        <v>1.0512836695003787</v>
      </c>
      <c r="AC242" s="513">
        <v>0.96264890381859214</v>
      </c>
      <c r="AD242" s="510">
        <v>48.256999999999998</v>
      </c>
      <c r="AE242" s="510">
        <v>341.803</v>
      </c>
      <c r="AF242" s="510">
        <v>94.380807188005846</v>
      </c>
      <c r="AG242" s="510">
        <v>102.17957874417188</v>
      </c>
      <c r="AH242" s="510">
        <v>1.3055100814389622</v>
      </c>
      <c r="AI242" s="510">
        <v>1.4716079145004579</v>
      </c>
      <c r="AJ242" s="510">
        <v>807.91843670347976</v>
      </c>
      <c r="AK242" s="569">
        <v>825.3597540103525</v>
      </c>
      <c r="AL242" s="576">
        <v>0</v>
      </c>
      <c r="AM242" s="577">
        <v>66.716793006497895</v>
      </c>
      <c r="AN242" s="512">
        <v>0.83920685217739477</v>
      </c>
      <c r="AO242" s="513">
        <v>0.75211443231249364</v>
      </c>
      <c r="AP242" s="513">
        <v>0.83920685217739477</v>
      </c>
      <c r="AQ242" s="513">
        <v>0.75211443231249364</v>
      </c>
      <c r="AR242" s="510">
        <v>43.320999999999998</v>
      </c>
      <c r="AS242" s="510">
        <v>315.63499999999999</v>
      </c>
      <c r="AT242" s="514">
        <v>104.41587237628832</v>
      </c>
      <c r="AU242" s="514">
        <v>107.38231977985403</v>
      </c>
      <c r="AV242" s="510">
        <v>1.500427044620392</v>
      </c>
      <c r="AW242" s="510">
        <v>1.5638316409777118</v>
      </c>
      <c r="AX242" s="510">
        <v>0.17774289605503105</v>
      </c>
      <c r="AY242" s="510">
        <v>0.17646965640692575</v>
      </c>
      <c r="AZ242" s="510">
        <v>890.97019921054584</v>
      </c>
      <c r="BA242" s="510">
        <v>863.27701300552849</v>
      </c>
      <c r="BB242" s="510">
        <v>519.37859236857298</v>
      </c>
      <c r="BC242" s="510">
        <v>533.30682592234791</v>
      </c>
      <c r="BD242" s="510">
        <v>0</v>
      </c>
      <c r="BE242" s="511">
        <v>0</v>
      </c>
      <c r="BF242" s="512">
        <v>0.93653427066500128</v>
      </c>
      <c r="BG242" s="513">
        <v>0.77514729803663518</v>
      </c>
      <c r="BH242" s="513">
        <v>0.93653427066500128</v>
      </c>
      <c r="BI242" s="513">
        <v>0.77514729803663518</v>
      </c>
      <c r="BJ242" s="510">
        <v>45.127000000000002</v>
      </c>
      <c r="BK242" s="510">
        <v>318.56200000000001</v>
      </c>
      <c r="BL242" s="510">
        <v>2.707913222682651</v>
      </c>
      <c r="BM242" s="510">
        <v>2.7253721410588834</v>
      </c>
      <c r="BN242" s="514">
        <v>0</v>
      </c>
      <c r="BO242" s="514">
        <v>0</v>
      </c>
      <c r="BP242" s="514">
        <v>1035.8699810005628</v>
      </c>
      <c r="BQ242" s="514">
        <v>915.54021182475458</v>
      </c>
      <c r="BR242" s="514">
        <v>0</v>
      </c>
      <c r="BS242" s="1031">
        <v>0</v>
      </c>
      <c r="BT242" s="512">
        <v>0.87848781880710824</v>
      </c>
      <c r="BU242" s="1026">
        <v>0.73890504472913343</v>
      </c>
      <c r="BV242" s="581">
        <v>0.87848781880710824</v>
      </c>
      <c r="BW242" s="581">
        <v>0.7723135543484233</v>
      </c>
      <c r="BX242" s="510">
        <v>43.703000000000003</v>
      </c>
      <c r="BY242" s="510">
        <v>303.21299999999997</v>
      </c>
      <c r="BZ242" s="514">
        <v>88.874113454802085</v>
      </c>
      <c r="CA242" s="514">
        <v>84.686655726474797</v>
      </c>
      <c r="CB242" s="510">
        <v>2.1600347802210376</v>
      </c>
      <c r="CC242" s="510">
        <v>2.2621061761863772</v>
      </c>
      <c r="CD242" s="514">
        <v>0</v>
      </c>
      <c r="CE242" s="514">
        <v>0.13686748259474366</v>
      </c>
      <c r="CF242" s="514">
        <v>1000.3307637321426</v>
      </c>
      <c r="CG242" s="514">
        <v>918.5457056283268</v>
      </c>
      <c r="CH242" s="514">
        <v>0</v>
      </c>
      <c r="CI242" s="514">
        <v>418.12092489438146</v>
      </c>
      <c r="CJ242" s="582">
        <v>51.483879825183628</v>
      </c>
      <c r="CK242" s="582">
        <v>12.123490747428379</v>
      </c>
    </row>
    <row r="243" spans="1:89" ht="12.75" customHeight="1">
      <c r="A243" s="560">
        <v>45786</v>
      </c>
      <c r="B243" s="512">
        <v>0.9767183439264211</v>
      </c>
      <c r="C243" s="513">
        <v>0.82725231933978016</v>
      </c>
      <c r="D243" s="513">
        <v>0.9767183439264211</v>
      </c>
      <c r="E243" s="513">
        <v>0.82725231933978016</v>
      </c>
      <c r="F243" s="510">
        <v>62.476999999999997</v>
      </c>
      <c r="G243" s="510">
        <v>503.89499999999987</v>
      </c>
      <c r="H243" s="510">
        <v>2.1220769243081459</v>
      </c>
      <c r="I243" s="510">
        <v>2.313184294347038</v>
      </c>
      <c r="J243" s="510">
        <v>869.19154248762061</v>
      </c>
      <c r="K243" s="511">
        <v>856.52038619156804</v>
      </c>
      <c r="L243" s="512">
        <v>0.96655023250167238</v>
      </c>
      <c r="M243" s="513">
        <v>0.91286846540654221</v>
      </c>
      <c r="N243" s="513">
        <v>0.96655023250167238</v>
      </c>
      <c r="O243" s="513">
        <v>0.91286846540654221</v>
      </c>
      <c r="P243" s="510">
        <v>68.328000000000003</v>
      </c>
      <c r="Q243" s="510">
        <v>538.38099999999997</v>
      </c>
      <c r="R243" s="510">
        <v>2.259117784802716</v>
      </c>
      <c r="S243" s="510">
        <v>2.2063464349596291</v>
      </c>
      <c r="T243" s="510">
        <v>0.22099285797915932</v>
      </c>
      <c r="U243" s="510">
        <v>0.23552094148939132</v>
      </c>
      <c r="V243" s="510">
        <v>624.94321508018891</v>
      </c>
      <c r="W243" s="510">
        <v>666.40590956961682</v>
      </c>
      <c r="X243" s="510">
        <v>461.43601451820632</v>
      </c>
      <c r="Y243" s="569">
        <v>464.6337816527701</v>
      </c>
      <c r="Z243" s="513">
        <v>0.97086181743137179</v>
      </c>
      <c r="AA243" s="1026">
        <v>0.96359210091325354</v>
      </c>
      <c r="AB243" s="513">
        <v>0.97086181743137179</v>
      </c>
      <c r="AC243" s="513">
        <v>0.96359210091325354</v>
      </c>
      <c r="AD243" s="510">
        <v>44.725000000000001</v>
      </c>
      <c r="AE243" s="510">
        <v>386.52800000000002</v>
      </c>
      <c r="AF243" s="510">
        <v>101.04806034446254</v>
      </c>
      <c r="AG243" s="510">
        <v>102.04865120353575</v>
      </c>
      <c r="AH243" s="510">
        <v>1.4086081609837897</v>
      </c>
      <c r="AI243" s="510">
        <v>1.464318238264757</v>
      </c>
      <c r="AJ243" s="510">
        <v>817.540078256009</v>
      </c>
      <c r="AK243" s="569">
        <v>824.4549424621257</v>
      </c>
      <c r="AL243" s="576">
        <v>0</v>
      </c>
      <c r="AM243" s="577">
        <v>58.997019620829541</v>
      </c>
      <c r="AN243" s="512">
        <v>0.90636338393390381</v>
      </c>
      <c r="AO243" s="513">
        <v>0.76898000139685108</v>
      </c>
      <c r="AP243" s="513">
        <v>0.90636338393390381</v>
      </c>
      <c r="AQ243" s="513">
        <v>0.76898000139685108</v>
      </c>
      <c r="AR243" s="510">
        <v>46.695</v>
      </c>
      <c r="AS243" s="510">
        <v>362.33</v>
      </c>
      <c r="AT243" s="514">
        <v>110.18021478315059</v>
      </c>
      <c r="AU243" s="514">
        <v>107.74289634590966</v>
      </c>
      <c r="AV243" s="510">
        <v>1.4819573830174537</v>
      </c>
      <c r="AW243" s="510">
        <v>1.5532801589711041</v>
      </c>
      <c r="AX243" s="510">
        <v>0.21843880501124316</v>
      </c>
      <c r="AY243" s="510">
        <v>0.18187839814533716</v>
      </c>
      <c r="AZ243" s="510">
        <v>906.61698254631074</v>
      </c>
      <c r="BA243" s="510">
        <v>868.86241823751823</v>
      </c>
      <c r="BB243" s="510">
        <v>669.66484634328378</v>
      </c>
      <c r="BC243" s="510">
        <v>550.87986090028403</v>
      </c>
      <c r="BD243" s="510">
        <v>0</v>
      </c>
      <c r="BE243" s="511">
        <v>0</v>
      </c>
      <c r="BF243" s="512">
        <v>0.91748234286499586</v>
      </c>
      <c r="BG243" s="513">
        <v>0.79117723166363163</v>
      </c>
      <c r="BH243" s="513">
        <v>0.91748234286499586</v>
      </c>
      <c r="BI243" s="513">
        <v>0.79117723166363163</v>
      </c>
      <c r="BJ243" s="510">
        <v>47.853999999999999</v>
      </c>
      <c r="BK243" s="510">
        <v>366.416</v>
      </c>
      <c r="BL243" s="510">
        <v>2.5891252559869606</v>
      </c>
      <c r="BM243" s="510">
        <v>2.7075782716911925</v>
      </c>
      <c r="BN243" s="514">
        <v>0</v>
      </c>
      <c r="BO243" s="514">
        <v>0</v>
      </c>
      <c r="BP243" s="514">
        <v>970.79061457086289</v>
      </c>
      <c r="BQ243" s="514">
        <v>922.75592503873065</v>
      </c>
      <c r="BR243" s="514">
        <v>0</v>
      </c>
      <c r="BS243" s="1031">
        <v>0</v>
      </c>
      <c r="BT243" s="512">
        <v>1.0328675370606046</v>
      </c>
      <c r="BU243" s="1026">
        <v>0.77175087103831685</v>
      </c>
      <c r="BV243" s="581">
        <v>1.0328675370606046</v>
      </c>
      <c r="BW243" s="581">
        <v>0.80258983437863052</v>
      </c>
      <c r="BX243" s="510">
        <v>53.314999999999998</v>
      </c>
      <c r="BY243" s="510">
        <v>356.52799999999996</v>
      </c>
      <c r="BZ243" s="514">
        <v>72.695496047917061</v>
      </c>
      <c r="CA243" s="514">
        <v>82.893504337909789</v>
      </c>
      <c r="CB243" s="510">
        <v>1.7762355809809622</v>
      </c>
      <c r="CC243" s="510">
        <v>2.1894493560113095</v>
      </c>
      <c r="CD243" s="514">
        <v>0</v>
      </c>
      <c r="CE243" s="514">
        <v>0.1164003949198941</v>
      </c>
      <c r="CF243" s="514">
        <v>815.38433705948717</v>
      </c>
      <c r="CG243" s="514">
        <v>903.11901160920991</v>
      </c>
      <c r="CH243" s="514">
        <v>0</v>
      </c>
      <c r="CI243" s="514">
        <v>355.59535295965554</v>
      </c>
      <c r="CJ243" s="582">
        <v>70.711807183719401</v>
      </c>
      <c r="CK243" s="582">
        <v>20.88475519454293</v>
      </c>
    </row>
    <row r="244" spans="1:89" ht="12.75" customHeight="1">
      <c r="A244" s="560">
        <v>45787</v>
      </c>
      <c r="B244" s="512">
        <v>0.91268532111645473</v>
      </c>
      <c r="C244" s="513">
        <v>0.83563703008864865</v>
      </c>
      <c r="D244" s="513">
        <v>0.91268532111645473</v>
      </c>
      <c r="E244" s="513">
        <v>0.83563703008864865</v>
      </c>
      <c r="F244" s="510">
        <v>60.499000000000002</v>
      </c>
      <c r="G244" s="510">
        <v>564.39399999999989</v>
      </c>
      <c r="H244" s="510">
        <v>2.263491958544769</v>
      </c>
      <c r="I244" s="510">
        <v>2.3078576313709935</v>
      </c>
      <c r="J244" s="510">
        <v>823.97626407048142</v>
      </c>
      <c r="K244" s="511">
        <v>853.03188907040158</v>
      </c>
      <c r="L244" s="512">
        <v>0.88594057346935684</v>
      </c>
      <c r="M244" s="513">
        <v>0.90993040944182735</v>
      </c>
      <c r="N244" s="513">
        <v>0.88594057346935684</v>
      </c>
      <c r="O244" s="513">
        <v>0.90993040944182735</v>
      </c>
      <c r="P244" s="510">
        <v>63.991</v>
      </c>
      <c r="Q244" s="510">
        <v>602.37199999999996</v>
      </c>
      <c r="R244" s="510">
        <v>2.2440499445234487</v>
      </c>
      <c r="S244" s="510">
        <v>2.2103517427768886</v>
      </c>
      <c r="T244" s="510">
        <v>0.18283821162350955</v>
      </c>
      <c r="U244" s="510">
        <v>0.2299243656743673</v>
      </c>
      <c r="V244" s="510">
        <v>552.08716850808082</v>
      </c>
      <c r="W244" s="510">
        <v>654.26163566699722</v>
      </c>
      <c r="X244" s="510">
        <v>360.92575518432278</v>
      </c>
      <c r="Y244" s="569">
        <v>453.61670197153921</v>
      </c>
      <c r="Z244" s="513">
        <v>0.98794551224005789</v>
      </c>
      <c r="AA244" s="1026">
        <v>0.96610081531639702</v>
      </c>
      <c r="AB244" s="513">
        <v>0.98794551224005789</v>
      </c>
      <c r="AC244" s="513">
        <v>0.96610081531639702</v>
      </c>
      <c r="AD244" s="510">
        <v>45.512</v>
      </c>
      <c r="AE244" s="510">
        <v>432.04</v>
      </c>
      <c r="AF244" s="510">
        <v>99.678170180517498</v>
      </c>
      <c r="AG244" s="510">
        <v>101.79893975941111</v>
      </c>
      <c r="AH244" s="510">
        <v>1.3930391984531552</v>
      </c>
      <c r="AI244" s="510">
        <v>1.4568095546708637</v>
      </c>
      <c r="AJ244" s="510">
        <v>776.9322376516003</v>
      </c>
      <c r="AK244" s="569">
        <v>819.4488010369414</v>
      </c>
      <c r="AL244" s="576">
        <v>0</v>
      </c>
      <c r="AM244" s="577">
        <v>52.78214980094436</v>
      </c>
      <c r="AN244" s="512">
        <v>0.98313107176897352</v>
      </c>
      <c r="AO244" s="513">
        <v>0.79008738408391488</v>
      </c>
      <c r="AP244" s="513">
        <v>0.98313107176897352</v>
      </c>
      <c r="AQ244" s="513">
        <v>0.79008738408391488</v>
      </c>
      <c r="AR244" s="510">
        <v>50.65</v>
      </c>
      <c r="AS244" s="510">
        <v>412.97999999999996</v>
      </c>
      <c r="AT244" s="514">
        <v>103.01086931546615</v>
      </c>
      <c r="AU244" s="514">
        <v>107.16253611274591</v>
      </c>
      <c r="AV244" s="510">
        <v>1.4057255676209279</v>
      </c>
      <c r="AW244" s="510">
        <v>1.5351833018548118</v>
      </c>
      <c r="AX244" s="510">
        <v>0.16781836130306022</v>
      </c>
      <c r="AY244" s="510">
        <v>0.18015400261513878</v>
      </c>
      <c r="AZ244" s="510">
        <v>773.53879565646639</v>
      </c>
      <c r="BA244" s="510">
        <v>857.17143687345651</v>
      </c>
      <c r="BB244" s="510">
        <v>570.97729516287814</v>
      </c>
      <c r="BC244" s="510">
        <v>553.3447140297344</v>
      </c>
      <c r="BD244" s="510">
        <v>0</v>
      </c>
      <c r="BE244" s="511">
        <v>0</v>
      </c>
      <c r="BF244" s="512">
        <v>0.89971461317869195</v>
      </c>
      <c r="BG244" s="513">
        <v>0.80238937016079293</v>
      </c>
      <c r="BH244" s="513">
        <v>0.89971461317869195</v>
      </c>
      <c r="BI244" s="513">
        <v>0.80238937016079293</v>
      </c>
      <c r="BJ244" s="510">
        <v>48.003</v>
      </c>
      <c r="BK244" s="510">
        <v>414.41899999999998</v>
      </c>
      <c r="BL244" s="510">
        <v>2.5769222756911025</v>
      </c>
      <c r="BM244" s="510">
        <v>2.6924441205639704</v>
      </c>
      <c r="BN244" s="514">
        <v>0</v>
      </c>
      <c r="BO244" s="514">
        <v>0</v>
      </c>
      <c r="BP244" s="514">
        <v>894.00852034026786</v>
      </c>
      <c r="BQ244" s="514">
        <v>919.42605438188252</v>
      </c>
      <c r="BR244" s="514">
        <v>0</v>
      </c>
      <c r="BS244" s="1031">
        <v>0</v>
      </c>
      <c r="BT244" s="512">
        <v>0.9953281752938038</v>
      </c>
      <c r="BU244" s="1026">
        <v>0.79422372947169284</v>
      </c>
      <c r="BV244" s="581">
        <v>0.9953281752938038</v>
      </c>
      <c r="BW244" s="581">
        <v>0.82265646106292456</v>
      </c>
      <c r="BX244" s="510">
        <v>51.383000000000003</v>
      </c>
      <c r="BY244" s="510">
        <v>407.91099999999994</v>
      </c>
      <c r="BZ244" s="514">
        <v>74.089613061049917</v>
      </c>
      <c r="CA244" s="514">
        <v>81.784511578511555</v>
      </c>
      <c r="CB244" s="510">
        <v>1.8216141525407235</v>
      </c>
      <c r="CC244" s="510">
        <v>2.1431145519488322</v>
      </c>
      <c r="CD244" s="514">
        <v>0</v>
      </c>
      <c r="CE244" s="514">
        <v>0.1017378790961754</v>
      </c>
      <c r="CF244" s="514">
        <v>741.08438584956593</v>
      </c>
      <c r="CG244" s="514">
        <v>882.7081249809803</v>
      </c>
      <c r="CH244" s="514">
        <v>0</v>
      </c>
      <c r="CI244" s="514">
        <v>310.80235639637095</v>
      </c>
      <c r="CJ244" s="582">
        <v>81.155245898448896</v>
      </c>
      <c r="CK244" s="582">
        <v>28.476800086293338</v>
      </c>
    </row>
    <row r="245" spans="1:89" ht="12.75" customHeight="1">
      <c r="A245" s="560">
        <v>45788</v>
      </c>
      <c r="B245" s="512">
        <v>0.8524170942930015</v>
      </c>
      <c r="C245" s="513">
        <v>0.83718097361555333</v>
      </c>
      <c r="D245" s="513">
        <v>0.8524170942930015</v>
      </c>
      <c r="E245" s="513">
        <v>0.83718097361555333</v>
      </c>
      <c r="F245" s="510">
        <v>58.341000000000001</v>
      </c>
      <c r="G245" s="510">
        <v>622.7349999999999</v>
      </c>
      <c r="H245" s="510">
        <v>2.4229958348331357</v>
      </c>
      <c r="I245" s="510">
        <v>2.3186443671866854</v>
      </c>
      <c r="J245" s="510">
        <v>948.85655028197209</v>
      </c>
      <c r="K245" s="511">
        <v>862.00923346206775</v>
      </c>
      <c r="L245" s="512">
        <v>0.97431173004535809</v>
      </c>
      <c r="M245" s="513">
        <v>0.91626390749910447</v>
      </c>
      <c r="N245" s="513">
        <v>0.97431173004535809</v>
      </c>
      <c r="O245" s="513">
        <v>0.91626390749910447</v>
      </c>
      <c r="P245" s="510">
        <v>70.373999999999995</v>
      </c>
      <c r="Q245" s="510">
        <v>672.74599999999998</v>
      </c>
      <c r="R245" s="510">
        <v>2.2338505698127147</v>
      </c>
      <c r="S245" s="510">
        <v>2.2128098866436958</v>
      </c>
      <c r="T245" s="510">
        <v>0.21456788018302214</v>
      </c>
      <c r="U245" s="510">
        <v>0.22831796844574323</v>
      </c>
      <c r="V245" s="510">
        <v>640.45755534714272</v>
      </c>
      <c r="W245" s="510">
        <v>652.8176310227044</v>
      </c>
      <c r="X245" s="510">
        <v>438.11634978827408</v>
      </c>
      <c r="Y245" s="569">
        <v>451.99525526721823</v>
      </c>
      <c r="Z245" s="513">
        <v>0.91746170405225103</v>
      </c>
      <c r="AA245" s="1026">
        <v>0.96155829920240143</v>
      </c>
      <c r="AB245" s="513">
        <v>0.91746170405225103</v>
      </c>
      <c r="AC245" s="513">
        <v>0.96155829920240143</v>
      </c>
      <c r="AD245" s="510">
        <v>42.265000000000001</v>
      </c>
      <c r="AE245" s="510">
        <v>474.30500000000001</v>
      </c>
      <c r="AF245" s="510">
        <v>109.64975608972708</v>
      </c>
      <c r="AG245" s="510">
        <v>102.4985207298854</v>
      </c>
      <c r="AH245" s="510">
        <v>1.4858630072163728</v>
      </c>
      <c r="AI245" s="510">
        <v>1.459398488314481</v>
      </c>
      <c r="AJ245" s="510">
        <v>951.31290666035716</v>
      </c>
      <c r="AK245" s="569">
        <v>831.19912292723063</v>
      </c>
      <c r="AL245" s="576">
        <v>0</v>
      </c>
      <c r="AM245" s="577">
        <v>48.078767881426508</v>
      </c>
      <c r="AN245" s="512">
        <v>0.70201187507736362</v>
      </c>
      <c r="AO245" s="513">
        <v>0.78218525155781371</v>
      </c>
      <c r="AP245" s="513">
        <v>0.70201187507736362</v>
      </c>
      <c r="AQ245" s="513">
        <v>0.78218525155781371</v>
      </c>
      <c r="AR245" s="510">
        <v>36.167000000000002</v>
      </c>
      <c r="AS245" s="510">
        <v>449.14699999999993</v>
      </c>
      <c r="AT245" s="514">
        <v>117.88899604544883</v>
      </c>
      <c r="AU245" s="514">
        <v>108.02627087304948</v>
      </c>
      <c r="AV245" s="510">
        <v>1.5843171952332236</v>
      </c>
      <c r="AW245" s="510">
        <v>1.5391397471206536</v>
      </c>
      <c r="AX245" s="510">
        <v>0.1686620399811983</v>
      </c>
      <c r="AY245" s="510">
        <v>0.17922862670795978</v>
      </c>
      <c r="AZ245" s="510">
        <v>1018.2553156192112</v>
      </c>
      <c r="BA245" s="510">
        <v>870.14251458876515</v>
      </c>
      <c r="BB245" s="510">
        <v>605.80086819477071</v>
      </c>
      <c r="BC245" s="510">
        <v>557.5686801871102</v>
      </c>
      <c r="BD245" s="510">
        <v>0</v>
      </c>
      <c r="BE245" s="511">
        <v>0</v>
      </c>
      <c r="BF245" s="512">
        <v>1.0052467945250454</v>
      </c>
      <c r="BG245" s="513">
        <v>0.82036086344601267</v>
      </c>
      <c r="BH245" s="513">
        <v>1.0052467945250454</v>
      </c>
      <c r="BI245" s="513">
        <v>0.82036086344601267</v>
      </c>
      <c r="BJ245" s="510">
        <v>50.466999999999999</v>
      </c>
      <c r="BK245" s="510">
        <v>464.88599999999997</v>
      </c>
      <c r="BL245" s="510">
        <v>2.5699962351635719</v>
      </c>
      <c r="BM245" s="510">
        <v>2.6791514478818463</v>
      </c>
      <c r="BN245" s="514">
        <v>0</v>
      </c>
      <c r="BO245" s="514">
        <v>0</v>
      </c>
      <c r="BP245" s="514">
        <v>1024.1333481507502</v>
      </c>
      <c r="BQ245" s="514">
        <v>930.79284751962712</v>
      </c>
      <c r="BR245" s="514">
        <v>0</v>
      </c>
      <c r="BS245" s="1031">
        <v>0</v>
      </c>
      <c r="BT245" s="512">
        <v>1.0004433133724471</v>
      </c>
      <c r="BU245" s="1026">
        <v>0.81327314893563041</v>
      </c>
      <c r="BV245" s="581">
        <v>1.0004433133724471</v>
      </c>
      <c r="BW245" s="581">
        <v>0.8396112861416799</v>
      </c>
      <c r="BX245" s="510">
        <v>52.295000000000002</v>
      </c>
      <c r="BY245" s="510">
        <v>460.20599999999996</v>
      </c>
      <c r="BZ245" s="514">
        <v>73.94515228782744</v>
      </c>
      <c r="CA245" s="514">
        <v>80.893694652816691</v>
      </c>
      <c r="CB245" s="510">
        <v>1.7802849220766801</v>
      </c>
      <c r="CC245" s="510">
        <v>2.1018848081076738</v>
      </c>
      <c r="CD245" s="514">
        <v>0</v>
      </c>
      <c r="CE245" s="514">
        <v>9.0177007687861535E-2</v>
      </c>
      <c r="CF245" s="514">
        <v>889.12462604215261</v>
      </c>
      <c r="CG245" s="514">
        <v>883.43725698489595</v>
      </c>
      <c r="CH245" s="514">
        <v>0</v>
      </c>
      <c r="CI245" s="514">
        <v>275.48467425457312</v>
      </c>
      <c r="CJ245" s="582">
        <v>80.504828377473942</v>
      </c>
      <c r="CK245" s="582">
        <v>34.38894755826739</v>
      </c>
    </row>
    <row r="246" spans="1:89" ht="12.75" customHeight="1">
      <c r="A246" s="560">
        <v>45789</v>
      </c>
      <c r="B246" s="512">
        <v>0.79168560794291587</v>
      </c>
      <c r="C246" s="513">
        <v>0.83320104443249388</v>
      </c>
      <c r="D246" s="513">
        <v>0.79168560794291587</v>
      </c>
      <c r="E246" s="513">
        <v>0.83320104443249388</v>
      </c>
      <c r="F246" s="510">
        <v>56.454999999999998</v>
      </c>
      <c r="G246" s="510">
        <v>679.18999999999994</v>
      </c>
      <c r="H246" s="510">
        <v>2.5087237622885485</v>
      </c>
      <c r="I246" s="510">
        <v>2.3344439700231168</v>
      </c>
      <c r="J246" s="510">
        <v>881.66716854132346</v>
      </c>
      <c r="K246" s="511">
        <v>863.64322207335374</v>
      </c>
      <c r="L246" s="512">
        <v>1.0134068890874246</v>
      </c>
      <c r="M246" s="513">
        <v>0.92416127078211574</v>
      </c>
      <c r="N246" s="513">
        <v>1.0134068890874246</v>
      </c>
      <c r="O246" s="513">
        <v>0.92416127078211574</v>
      </c>
      <c r="P246" s="510">
        <v>65.843000000000004</v>
      </c>
      <c r="Q246" s="510">
        <v>738.58899999999994</v>
      </c>
      <c r="R246" s="510">
        <v>1.8910286590829699</v>
      </c>
      <c r="S246" s="510">
        <v>2.1841240527546444</v>
      </c>
      <c r="T246" s="510">
        <v>0.20807071366736021</v>
      </c>
      <c r="U246" s="510">
        <v>0.22651298624810276</v>
      </c>
      <c r="V246" s="510">
        <v>460.29008398765114</v>
      </c>
      <c r="W246" s="510">
        <v>635.65437611445498</v>
      </c>
      <c r="X246" s="510">
        <v>457.61888127819208</v>
      </c>
      <c r="Y246" s="569">
        <v>452.49658470407769</v>
      </c>
      <c r="Z246" s="513">
        <v>0.93662930572451275</v>
      </c>
      <c r="AA246" s="1026">
        <v>0.95942898575033608</v>
      </c>
      <c r="AB246" s="513">
        <v>0.93662930572451275</v>
      </c>
      <c r="AC246" s="513">
        <v>0.95942898575033608</v>
      </c>
      <c r="AD246" s="510">
        <v>43.148000000000003</v>
      </c>
      <c r="AE246" s="510">
        <v>517.45299999999997</v>
      </c>
      <c r="AF246" s="510">
        <v>103.19607454221727</v>
      </c>
      <c r="AG246" s="510">
        <v>102.55668649932629</v>
      </c>
      <c r="AH246" s="510">
        <v>1.4160563641420227</v>
      </c>
      <c r="AI246" s="510">
        <v>1.4557843900798719</v>
      </c>
      <c r="AJ246" s="510">
        <v>837.22350978029101</v>
      </c>
      <c r="AK246" s="569">
        <v>831.70146853917197</v>
      </c>
      <c r="AL246" s="576">
        <v>0</v>
      </c>
      <c r="AM246" s="577">
        <v>44.069702948866855</v>
      </c>
      <c r="AN246" s="512">
        <v>0.6939371953961021</v>
      </c>
      <c r="AO246" s="513">
        <v>0.77491951941619397</v>
      </c>
      <c r="AP246" s="513">
        <v>0.6939371953961021</v>
      </c>
      <c r="AQ246" s="513">
        <v>0.77491951941619397</v>
      </c>
      <c r="AR246" s="510">
        <v>35.750999999999998</v>
      </c>
      <c r="AS246" s="510">
        <v>484.89799999999991</v>
      </c>
      <c r="AT246" s="514">
        <v>126.6221154673465</v>
      </c>
      <c r="AU246" s="514">
        <v>109.39732218712113</v>
      </c>
      <c r="AV246" s="510">
        <v>1.6866661072417555</v>
      </c>
      <c r="AW246" s="510">
        <v>1.5500167045440487</v>
      </c>
      <c r="AX246" s="510">
        <v>0.16503034880143214</v>
      </c>
      <c r="AY246" s="510">
        <v>0.17818180318334995</v>
      </c>
      <c r="AZ246" s="510">
        <v>1082.8933456406792</v>
      </c>
      <c r="BA246" s="510">
        <v>885.82840102454543</v>
      </c>
      <c r="BB246" s="510">
        <v>632.42986210177469</v>
      </c>
      <c r="BC246" s="510">
        <v>563.0881133764226</v>
      </c>
      <c r="BD246" s="510">
        <v>0</v>
      </c>
      <c r="BE246" s="511">
        <v>0</v>
      </c>
      <c r="BF246" s="512">
        <v>0.96472216509289943</v>
      </c>
      <c r="BG246" s="513">
        <v>0.83205498543161438</v>
      </c>
      <c r="BH246" s="513">
        <v>0.96472216509289943</v>
      </c>
      <c r="BI246" s="513">
        <v>0.83205498543161438</v>
      </c>
      <c r="BJ246" s="510">
        <v>48.189</v>
      </c>
      <c r="BK246" s="510">
        <v>513.07499999999993</v>
      </c>
      <c r="BL246" s="510">
        <v>2.5815020025316984</v>
      </c>
      <c r="BM246" s="510">
        <v>2.6699800224138777</v>
      </c>
      <c r="BN246" s="514">
        <v>0</v>
      </c>
      <c r="BO246" s="514">
        <v>0</v>
      </c>
      <c r="BP246" s="514">
        <v>917.56732446980607</v>
      </c>
      <c r="BQ246" s="514">
        <v>929.55068072091763</v>
      </c>
      <c r="BR246" s="514">
        <v>0</v>
      </c>
      <c r="BS246" s="1031">
        <v>0</v>
      </c>
      <c r="BT246" s="512">
        <v>0.98810397046920151</v>
      </c>
      <c r="BU246" s="1026">
        <v>0.82805736516100303</v>
      </c>
      <c r="BV246" s="581">
        <v>0.98810397046920151</v>
      </c>
      <c r="BW246" s="581">
        <v>0.85253952791310217</v>
      </c>
      <c r="BX246" s="510">
        <v>51.65</v>
      </c>
      <c r="BY246" s="510">
        <v>511.85599999999994</v>
      </c>
      <c r="BZ246" s="514">
        <v>74.083804948292482</v>
      </c>
      <c r="CA246" s="514">
        <v>80.206527161884338</v>
      </c>
      <c r="CB246" s="510">
        <v>1.8063891577928364</v>
      </c>
      <c r="CC246" s="510">
        <v>2.072067143884218</v>
      </c>
      <c r="CD246" s="514">
        <v>0</v>
      </c>
      <c r="CE246" s="514">
        <v>8.1077490544215564E-2</v>
      </c>
      <c r="CF246" s="514">
        <v>832.56337272263761</v>
      </c>
      <c r="CG246" s="514">
        <v>878.30371137412715</v>
      </c>
      <c r="CH246" s="514">
        <v>0</v>
      </c>
      <c r="CI246" s="514">
        <v>247.68626332406001</v>
      </c>
      <c r="CJ246" s="582">
        <v>85.575992255566305</v>
      </c>
      <c r="CK246" s="582">
        <v>39.554093338751528</v>
      </c>
    </row>
    <row r="247" spans="1:89" ht="12.75" customHeight="1">
      <c r="A247" s="560">
        <v>45790</v>
      </c>
      <c r="B247" s="512">
        <v>0.14430542991870055</v>
      </c>
      <c r="C247" s="513">
        <v>0.7802921025741989</v>
      </c>
      <c r="D247" s="513">
        <v>0.14430542991870055</v>
      </c>
      <c r="E247" s="513">
        <v>0.7802921025741989</v>
      </c>
      <c r="F247" s="510">
        <v>9.7859999999999996</v>
      </c>
      <c r="G247" s="510">
        <v>688.97599999999989</v>
      </c>
      <c r="H247" s="510">
        <v>0.35867565910484367</v>
      </c>
      <c r="I247" s="510">
        <v>2.3063807737860254</v>
      </c>
      <c r="J247" s="510">
        <v>659.50541590019043</v>
      </c>
      <c r="K247" s="511">
        <v>860.74371240797984</v>
      </c>
      <c r="L247" s="512">
        <v>0.96439480611920525</v>
      </c>
      <c r="M247" s="513">
        <v>0.9273550980447387</v>
      </c>
      <c r="N247" s="513">
        <v>0.96439480611920525</v>
      </c>
      <c r="O247" s="513">
        <v>0.9273550980447387</v>
      </c>
      <c r="P247" s="510">
        <v>66.459000000000003</v>
      </c>
      <c r="Q247" s="510">
        <v>805.048</v>
      </c>
      <c r="R247" s="510">
        <v>1.8325885132186761</v>
      </c>
      <c r="S247" s="510">
        <v>2.1551037950532139</v>
      </c>
      <c r="T247" s="510">
        <v>0.23774056185016326</v>
      </c>
      <c r="U247" s="510">
        <v>0.22743985451799142</v>
      </c>
      <c r="V247" s="510">
        <v>472.88523751487901</v>
      </c>
      <c r="W247" s="510">
        <v>622.21732120320837</v>
      </c>
      <c r="X247" s="510">
        <v>467.49123519764061</v>
      </c>
      <c r="Y247" s="569">
        <v>453.73443571066571</v>
      </c>
      <c r="Z247" s="513">
        <v>0.85177522312330001</v>
      </c>
      <c r="AA247" s="1026">
        <v>0.95095733209068178</v>
      </c>
      <c r="AB247" s="513">
        <v>0.85177522312330001</v>
      </c>
      <c r="AC247" s="513">
        <v>0.95095733209068178</v>
      </c>
      <c r="AD247" s="510">
        <v>39.238999999999997</v>
      </c>
      <c r="AE247" s="510">
        <v>556.69200000000001</v>
      </c>
      <c r="AF247" s="510">
        <v>108.95687432222678</v>
      </c>
      <c r="AG247" s="510">
        <v>103.00781022659879</v>
      </c>
      <c r="AH247" s="510">
        <v>1.5290909554269987</v>
      </c>
      <c r="AI247" s="510">
        <v>1.460951477657304</v>
      </c>
      <c r="AJ247" s="510">
        <v>978.46326358979115</v>
      </c>
      <c r="AK247" s="569">
        <v>842.04612245191231</v>
      </c>
      <c r="AL247" s="576">
        <v>0</v>
      </c>
      <c r="AM247" s="577">
        <v>40.963405258203821</v>
      </c>
      <c r="AN247" s="512">
        <v>0.96370137378593823</v>
      </c>
      <c r="AO247" s="513">
        <v>0.78928015164965537</v>
      </c>
      <c r="AP247" s="513">
        <v>0.96370137378593823</v>
      </c>
      <c r="AQ247" s="513">
        <v>0.78928015164965537</v>
      </c>
      <c r="AR247" s="510">
        <v>49.649000000000001</v>
      </c>
      <c r="AS247" s="510">
        <v>534.54699999999991</v>
      </c>
      <c r="AT247" s="514">
        <v>104.96508798572144</v>
      </c>
      <c r="AU247" s="514">
        <v>108.98565399729817</v>
      </c>
      <c r="AV247" s="510">
        <v>1.442123708433201</v>
      </c>
      <c r="AW247" s="510">
        <v>1.5399955476319205</v>
      </c>
      <c r="AX247" s="510">
        <v>0.17120183689500293</v>
      </c>
      <c r="AY247" s="510">
        <v>0.17753350032831541</v>
      </c>
      <c r="AZ247" s="510">
        <v>826.07746379584773</v>
      </c>
      <c r="BA247" s="510">
        <v>880.27870327585799</v>
      </c>
      <c r="BB247" s="510">
        <v>557.31233257467238</v>
      </c>
      <c r="BC247" s="510">
        <v>562.55165588807051</v>
      </c>
      <c r="BD247" s="510">
        <v>0</v>
      </c>
      <c r="BE247" s="511">
        <v>0</v>
      </c>
      <c r="BF247" s="512">
        <v>0.99378491163088811</v>
      </c>
      <c r="BG247" s="513">
        <v>0.84429467308178674</v>
      </c>
      <c r="BH247" s="513">
        <v>0.99378491163088811</v>
      </c>
      <c r="BI247" s="513">
        <v>0.84429467308178674</v>
      </c>
      <c r="BJ247" s="510">
        <v>50.173999999999999</v>
      </c>
      <c r="BK247" s="510">
        <v>563.24899999999991</v>
      </c>
      <c r="BL247" s="510">
        <v>2.5869972495714912</v>
      </c>
      <c r="BM247" s="510">
        <v>2.6625879495569462</v>
      </c>
      <c r="BN247" s="514">
        <v>0</v>
      </c>
      <c r="BO247" s="514">
        <v>0</v>
      </c>
      <c r="BP247" s="514">
        <v>927.19184674104156</v>
      </c>
      <c r="BQ247" s="514">
        <v>929.34055671518263</v>
      </c>
      <c r="BR247" s="514">
        <v>0</v>
      </c>
      <c r="BS247" s="1031">
        <v>0</v>
      </c>
      <c r="BT247" s="512">
        <v>0.97447272577381572</v>
      </c>
      <c r="BU247" s="1026">
        <v>0.83946392143013404</v>
      </c>
      <c r="BV247" s="581">
        <v>0.97447272577381572</v>
      </c>
      <c r="BW247" s="581">
        <v>0.86229716797027312</v>
      </c>
      <c r="BX247" s="510">
        <v>50.892000000000003</v>
      </c>
      <c r="BY247" s="510">
        <v>562.74799999999993</v>
      </c>
      <c r="BZ247" s="514">
        <v>76.755276960368221</v>
      </c>
      <c r="CA247" s="514">
        <v>79.894414057518702</v>
      </c>
      <c r="CB247" s="510">
        <v>1.8765228326652519</v>
      </c>
      <c r="CC247" s="510">
        <v>2.0543831341915038</v>
      </c>
      <c r="CD247" s="514">
        <v>0</v>
      </c>
      <c r="CE247" s="514">
        <v>7.374526431013527E-2</v>
      </c>
      <c r="CF247" s="514">
        <v>815.27226836468094</v>
      </c>
      <c r="CG247" s="514">
        <v>872.60347574887987</v>
      </c>
      <c r="CH247" s="514">
        <v>0</v>
      </c>
      <c r="CI247" s="514">
        <v>225.28680688336536</v>
      </c>
      <c r="CJ247" s="582">
        <v>72.309989782284049</v>
      </c>
      <c r="CK247" s="582">
        <v>42.516366117693899</v>
      </c>
    </row>
    <row r="248" spans="1:89" ht="12.75" customHeight="1">
      <c r="A248" s="560">
        <v>45791</v>
      </c>
      <c r="B248" s="512">
        <v>0</v>
      </c>
      <c r="C248" s="513">
        <v>0.72799347964588013</v>
      </c>
      <c r="D248" s="513">
        <v>0</v>
      </c>
      <c r="E248" s="513">
        <v>0.72799347964588013</v>
      </c>
      <c r="F248" s="510">
        <v>0</v>
      </c>
      <c r="G248" s="510">
        <v>688.97599999999989</v>
      </c>
      <c r="H248" s="510">
        <v>0</v>
      </c>
      <c r="I248" s="510">
        <v>2.3495782146257644</v>
      </c>
      <c r="J248" s="510">
        <v>0</v>
      </c>
      <c r="K248" s="511">
        <v>874.23768026752782</v>
      </c>
      <c r="L248" s="512">
        <v>0.93105334541823959</v>
      </c>
      <c r="M248" s="513">
        <v>0.92762277914565172</v>
      </c>
      <c r="N248" s="513">
        <v>0.93105334541823959</v>
      </c>
      <c r="O248" s="513">
        <v>0.92762277914565172</v>
      </c>
      <c r="P248" s="510">
        <v>63.067</v>
      </c>
      <c r="Q248" s="510">
        <v>868.11500000000001</v>
      </c>
      <c r="R248" s="510">
        <v>1.8974265463713196</v>
      </c>
      <c r="S248" s="510">
        <v>2.1363840044233768</v>
      </c>
      <c r="T248" s="510">
        <v>0.25052721708659048</v>
      </c>
      <c r="U248" s="510">
        <v>0.22911711006030305</v>
      </c>
      <c r="V248" s="510">
        <v>447.19710783768784</v>
      </c>
      <c r="W248" s="510">
        <v>609.50241615454172</v>
      </c>
      <c r="X248" s="510">
        <v>477.61904006849858</v>
      </c>
      <c r="Y248" s="569">
        <v>455.46960944114545</v>
      </c>
      <c r="Z248" s="513">
        <v>0.38350398498736826</v>
      </c>
      <c r="AA248" s="1026">
        <v>0.90956012226021121</v>
      </c>
      <c r="AB248" s="513">
        <v>0.38350398498736826</v>
      </c>
      <c r="AC248" s="513">
        <v>0.90956012226021121</v>
      </c>
      <c r="AD248" s="510">
        <v>17.667000000000002</v>
      </c>
      <c r="AE248" s="510">
        <v>574.35900000000004</v>
      </c>
      <c r="AF248" s="510">
        <v>87.509387821331231</v>
      </c>
      <c r="AG248" s="510">
        <v>102.5310863855275</v>
      </c>
      <c r="AH248" s="510">
        <v>1.930152261278089</v>
      </c>
      <c r="AI248" s="510">
        <v>1.4753838627060774</v>
      </c>
      <c r="AJ248" s="510">
        <v>905.31046584028775</v>
      </c>
      <c r="AK248" s="569">
        <v>843.9921025003531</v>
      </c>
      <c r="AL248" s="576">
        <v>0</v>
      </c>
      <c r="AM248" s="577">
        <v>39.703391084670038</v>
      </c>
      <c r="AN248" s="512">
        <v>0.98744529780424972</v>
      </c>
      <c r="AO248" s="513">
        <v>0.80336278275098849</v>
      </c>
      <c r="AP248" s="513">
        <v>0.98744529780424972</v>
      </c>
      <c r="AQ248" s="513">
        <v>0.80336278275098849</v>
      </c>
      <c r="AR248" s="510">
        <v>51.161000000000001</v>
      </c>
      <c r="AS248" s="510">
        <v>585.70799999999986</v>
      </c>
      <c r="AT248" s="514">
        <v>103.51643442018876</v>
      </c>
      <c r="AU248" s="514">
        <v>108.50792321201867</v>
      </c>
      <c r="AV248" s="510">
        <v>1.3897304587478743</v>
      </c>
      <c r="AW248" s="510">
        <v>1.5268700444590142</v>
      </c>
      <c r="AX248" s="510">
        <v>0.16614217861261507</v>
      </c>
      <c r="AY248" s="510">
        <v>0.17653847992515048</v>
      </c>
      <c r="AZ248" s="510">
        <v>797.95391020503803</v>
      </c>
      <c r="BA248" s="510">
        <v>873.08771606329435</v>
      </c>
      <c r="BB248" s="510">
        <v>648.54088074901074</v>
      </c>
      <c r="BC248" s="510">
        <v>570.0627275024425</v>
      </c>
      <c r="BD248" s="510">
        <v>0</v>
      </c>
      <c r="BE248" s="511">
        <v>0</v>
      </c>
      <c r="BF248" s="512">
        <v>0.77246453559648831</v>
      </c>
      <c r="BG248" s="513">
        <v>0.83902263720045478</v>
      </c>
      <c r="BH248" s="513">
        <v>0.77246453559648831</v>
      </c>
      <c r="BI248" s="513">
        <v>0.83902263720045478</v>
      </c>
      <c r="BJ248" s="510">
        <v>40.819000000000003</v>
      </c>
      <c r="BK248" s="510">
        <v>604.06799999999987</v>
      </c>
      <c r="BL248" s="510">
        <v>3.1921409147700825</v>
      </c>
      <c r="BM248" s="510">
        <v>2.6983717064966202</v>
      </c>
      <c r="BN248" s="514">
        <v>0</v>
      </c>
      <c r="BO248" s="514">
        <v>0</v>
      </c>
      <c r="BP248" s="514">
        <v>1150.1014500150509</v>
      </c>
      <c r="BQ248" s="514">
        <v>944.25814695933957</v>
      </c>
      <c r="BR248" s="514">
        <v>0</v>
      </c>
      <c r="BS248" s="1031">
        <v>0</v>
      </c>
      <c r="BT248" s="512">
        <v>0.97448553368864499</v>
      </c>
      <c r="BU248" s="1026">
        <v>0.84865384936201638</v>
      </c>
      <c r="BV248" s="581">
        <v>0.97448553368864499</v>
      </c>
      <c r="BW248" s="581">
        <v>0.87012620415001829</v>
      </c>
      <c r="BX248" s="510">
        <v>47.71</v>
      </c>
      <c r="BY248" s="510">
        <v>610.45799999999997</v>
      </c>
      <c r="BZ248" s="514">
        <v>78.179990442030245</v>
      </c>
      <c r="CA248" s="514">
        <v>79.760424248727659</v>
      </c>
      <c r="CB248" s="510">
        <v>1.9576608677426117</v>
      </c>
      <c r="CC248" s="510">
        <v>2.0468238601181414</v>
      </c>
      <c r="CD248" s="514">
        <v>0</v>
      </c>
      <c r="CE248" s="514">
        <v>6.7981744853863824E-2</v>
      </c>
      <c r="CF248" s="514">
        <v>880.87149259770126</v>
      </c>
      <c r="CG248" s="514">
        <v>873.2496579331696</v>
      </c>
      <c r="CH248" s="514">
        <v>0</v>
      </c>
      <c r="CI248" s="514">
        <v>207.67964380841934</v>
      </c>
      <c r="CJ248" s="582">
        <v>83.420666526933559</v>
      </c>
      <c r="CK248" s="582">
        <v>45.713218599805394</v>
      </c>
    </row>
    <row r="249" spans="1:89" ht="12.75" customHeight="1">
      <c r="A249" s="560">
        <v>45792</v>
      </c>
      <c r="B249" s="512">
        <v>0.81571847992010116</v>
      </c>
      <c r="C249" s="513">
        <v>0.73329686685935258</v>
      </c>
      <c r="D249" s="513">
        <v>0.81571847992010116</v>
      </c>
      <c r="E249" s="513">
        <v>0.73329686685935258</v>
      </c>
      <c r="F249" s="510">
        <v>49.673999999999999</v>
      </c>
      <c r="G249" s="510">
        <v>738.64999999999986</v>
      </c>
      <c r="H249" s="510">
        <v>2.4955912549824859</v>
      </c>
      <c r="I249" s="510">
        <v>2.3593975495837007</v>
      </c>
      <c r="J249" s="510">
        <v>1208.3359503965814</v>
      </c>
      <c r="K249" s="511">
        <v>896.70569281797873</v>
      </c>
      <c r="L249" s="512">
        <v>0.93090834637430409</v>
      </c>
      <c r="M249" s="513">
        <v>0.92784138376135472</v>
      </c>
      <c r="N249" s="513">
        <v>0.93090834637430409</v>
      </c>
      <c r="O249" s="513">
        <v>0.92784138376135472</v>
      </c>
      <c r="P249" s="510">
        <v>62.095999999999997</v>
      </c>
      <c r="Q249" s="510">
        <v>930.21100000000001</v>
      </c>
      <c r="R249" s="510">
        <v>2.2762818861118266</v>
      </c>
      <c r="S249" s="510">
        <v>2.1457228521270975</v>
      </c>
      <c r="T249" s="510">
        <v>0.25283432105127546</v>
      </c>
      <c r="U249" s="510">
        <v>0.23070034648052964</v>
      </c>
      <c r="V249" s="510">
        <v>645.69650219014261</v>
      </c>
      <c r="W249" s="510">
        <v>611.91854321223798</v>
      </c>
      <c r="X249" s="510">
        <v>489.51623292965729</v>
      </c>
      <c r="Y249" s="569">
        <v>457.74238317973021</v>
      </c>
      <c r="Z249" s="513">
        <v>0.42618482800280455</v>
      </c>
      <c r="AA249" s="1026">
        <v>0.8795647499358008</v>
      </c>
      <c r="AB249" s="513">
        <v>0.42618482800280455</v>
      </c>
      <c r="AC249" s="513">
        <v>0.8795647499358008</v>
      </c>
      <c r="AD249" s="510">
        <v>17.805</v>
      </c>
      <c r="AE249" s="510">
        <v>592.16399999999999</v>
      </c>
      <c r="AF249" s="510">
        <v>161.3936943778931</v>
      </c>
      <c r="AG249" s="510">
        <v>104.30094867925708</v>
      </c>
      <c r="AH249" s="510">
        <v>2.8699803426003934</v>
      </c>
      <c r="AI249" s="510">
        <v>1.5173161489046953</v>
      </c>
      <c r="AJ249" s="510">
        <v>1570.670036506579</v>
      </c>
      <c r="AK249" s="569">
        <v>865.84162495524879</v>
      </c>
      <c r="AL249" s="576">
        <v>0</v>
      </c>
      <c r="AM249" s="577">
        <v>38.509602069696903</v>
      </c>
      <c r="AN249" s="512">
        <v>0.74818886505009918</v>
      </c>
      <c r="AO249" s="513">
        <v>0.79971282260920917</v>
      </c>
      <c r="AP249" s="513">
        <v>0.74818886505009918</v>
      </c>
      <c r="AQ249" s="513">
        <v>0.79971282260920917</v>
      </c>
      <c r="AR249" s="510">
        <v>38.642000000000003</v>
      </c>
      <c r="AS249" s="510">
        <v>624.34999999999991</v>
      </c>
      <c r="AT249" s="514">
        <v>125.84586016268645</v>
      </c>
      <c r="AU249" s="514">
        <v>109.580995302429</v>
      </c>
      <c r="AV249" s="510">
        <v>1.5345996584027739</v>
      </c>
      <c r="AW249" s="510">
        <v>1.5273484423800756</v>
      </c>
      <c r="AX249" s="510">
        <v>0.19926504839294032</v>
      </c>
      <c r="AY249" s="510">
        <v>0.17794506286538003</v>
      </c>
      <c r="AZ249" s="510">
        <v>992.5930334868815</v>
      </c>
      <c r="BA249" s="510">
        <v>880.48408745094912</v>
      </c>
      <c r="BB249" s="510">
        <v>508.25526629056475</v>
      </c>
      <c r="BC249" s="510">
        <v>566.23736686153688</v>
      </c>
      <c r="BD249" s="510">
        <v>0</v>
      </c>
      <c r="BE249" s="511">
        <v>0</v>
      </c>
      <c r="BF249" s="512">
        <v>1.0377647086457231</v>
      </c>
      <c r="BG249" s="513">
        <v>0.85228919450532348</v>
      </c>
      <c r="BH249" s="513">
        <v>1.0377647086457231</v>
      </c>
      <c r="BI249" s="513">
        <v>0.85228919450532348</v>
      </c>
      <c r="BJ249" s="510">
        <v>53.442</v>
      </c>
      <c r="BK249" s="510">
        <v>657.50999999999988</v>
      </c>
      <c r="BL249" s="510">
        <v>2.4194453800381726</v>
      </c>
      <c r="BM249" s="510">
        <v>2.6757007497984824</v>
      </c>
      <c r="BN249" s="514">
        <v>0</v>
      </c>
      <c r="BO249" s="514">
        <v>0</v>
      </c>
      <c r="BP249" s="514">
        <v>899.95692349414014</v>
      </c>
      <c r="BQ249" s="514">
        <v>940.65737132942172</v>
      </c>
      <c r="BR249" s="514">
        <v>0</v>
      </c>
      <c r="BS249" s="1031">
        <v>0</v>
      </c>
      <c r="BT249" s="512">
        <v>0.96855174047928094</v>
      </c>
      <c r="BU249" s="1026">
        <v>0.85706559376456926</v>
      </c>
      <c r="BV249" s="581">
        <v>0.96855174047928094</v>
      </c>
      <c r="BW249" s="581">
        <v>0.87719367037439866</v>
      </c>
      <c r="BX249" s="510">
        <v>52.567</v>
      </c>
      <c r="BY249" s="510">
        <v>663.02499999999998</v>
      </c>
      <c r="BZ249" s="514">
        <v>79.902782034263481</v>
      </c>
      <c r="CA249" s="514">
        <v>79.771710884544206</v>
      </c>
      <c r="CB249" s="510">
        <v>1.8452641390986741</v>
      </c>
      <c r="CC249" s="510">
        <v>2.0308434825232839</v>
      </c>
      <c r="CD249" s="514">
        <v>0</v>
      </c>
      <c r="CE249" s="514">
        <v>6.2591908299083746E-2</v>
      </c>
      <c r="CF249" s="514">
        <v>825.64787974633748</v>
      </c>
      <c r="CG249" s="514">
        <v>869.47561823037222</v>
      </c>
      <c r="CH249" s="514">
        <v>0</v>
      </c>
      <c r="CI249" s="514">
        <v>191.21405678518917</v>
      </c>
      <c r="CJ249" s="582">
        <v>12.174938649723211</v>
      </c>
      <c r="CK249" s="582">
        <v>43.05418347724445</v>
      </c>
    </row>
    <row r="250" spans="1:89" ht="12.75" customHeight="1">
      <c r="A250" s="560">
        <v>45793</v>
      </c>
      <c r="B250" s="512">
        <v>0.62917353137604992</v>
      </c>
      <c r="C250" s="513">
        <v>0.72578436107441135</v>
      </c>
      <c r="D250" s="513">
        <v>0.62917353137604992</v>
      </c>
      <c r="E250" s="513">
        <v>0.72578436107441135</v>
      </c>
      <c r="F250" s="510">
        <v>49.281999999999996</v>
      </c>
      <c r="G250" s="510">
        <v>787.9319999999999</v>
      </c>
      <c r="H250" s="510">
        <v>2.9737835315125198</v>
      </c>
      <c r="I250" s="510">
        <v>2.3978249392079527</v>
      </c>
      <c r="J250" s="510">
        <v>1110.2313217807528</v>
      </c>
      <c r="K250" s="511">
        <v>910.0608681967467</v>
      </c>
      <c r="L250" s="512">
        <v>1.0094592846598429</v>
      </c>
      <c r="M250" s="513">
        <v>0.9331636380125341</v>
      </c>
      <c r="N250" s="513">
        <v>1.0094592846598429</v>
      </c>
      <c r="O250" s="513">
        <v>0.9331636380125341</v>
      </c>
      <c r="P250" s="510">
        <v>70.597999999999999</v>
      </c>
      <c r="Q250" s="510">
        <v>1000.809</v>
      </c>
      <c r="R250" s="510">
        <v>2.4011161789285818</v>
      </c>
      <c r="S250" s="510">
        <v>2.16373853552476</v>
      </c>
      <c r="T250" s="510">
        <v>0.20822119606787726</v>
      </c>
      <c r="U250" s="510">
        <v>0.22911464625118275</v>
      </c>
      <c r="V250" s="510">
        <v>563.5489673928513</v>
      </c>
      <c r="W250" s="510">
        <v>608.5065082348375</v>
      </c>
      <c r="X250" s="510">
        <v>384.88342445961644</v>
      </c>
      <c r="Y250" s="569">
        <v>452.60284429896211</v>
      </c>
      <c r="Z250" s="513">
        <v>0.81298935462551758</v>
      </c>
      <c r="AA250" s="1026">
        <v>0.87557600304340111</v>
      </c>
      <c r="AB250" s="513">
        <v>0.81298935462551758</v>
      </c>
      <c r="AC250" s="513">
        <v>0.87557600304340111</v>
      </c>
      <c r="AD250" s="510">
        <v>34.883000000000003</v>
      </c>
      <c r="AE250" s="510">
        <v>627.04700000000003</v>
      </c>
      <c r="AF250" s="510">
        <v>108.75369163548731</v>
      </c>
      <c r="AG250" s="510">
        <v>104.54865743560576</v>
      </c>
      <c r="AH250" s="510">
        <v>1.7659031619986811</v>
      </c>
      <c r="AI250" s="510">
        <v>1.5311451932630249</v>
      </c>
      <c r="AJ250" s="510">
        <v>985.42040535504918</v>
      </c>
      <c r="AK250" s="569">
        <v>872.493864096312</v>
      </c>
      <c r="AL250" s="576">
        <v>0</v>
      </c>
      <c r="AM250" s="577">
        <v>36.367289852275825</v>
      </c>
      <c r="AN250" s="512">
        <v>0.97977023705347421</v>
      </c>
      <c r="AO250" s="513">
        <v>0.81094635400485138</v>
      </c>
      <c r="AP250" s="513">
        <v>0.97977023705347421</v>
      </c>
      <c r="AQ250" s="513">
        <v>0.81094635400485138</v>
      </c>
      <c r="AR250" s="510">
        <v>50.898000000000003</v>
      </c>
      <c r="AS250" s="510">
        <v>675.24799999999993</v>
      </c>
      <c r="AT250" s="514">
        <v>103.58334996028984</v>
      </c>
      <c r="AU250" s="514">
        <v>109.12891228607916</v>
      </c>
      <c r="AV250" s="510">
        <v>1.3870879012927815</v>
      </c>
      <c r="AW250" s="510">
        <v>1.5167760585740353</v>
      </c>
      <c r="AX250" s="510">
        <v>0.23380093520374082</v>
      </c>
      <c r="AY250" s="510">
        <v>0.18215529701679981</v>
      </c>
      <c r="AZ250" s="510">
        <v>834.69723761247928</v>
      </c>
      <c r="BA250" s="510">
        <v>877.03282349595997</v>
      </c>
      <c r="BB250" s="510">
        <v>591.37883610357437</v>
      </c>
      <c r="BC250" s="510">
        <v>568.13244911499226</v>
      </c>
      <c r="BD250" s="510">
        <v>0</v>
      </c>
      <c r="BE250" s="511">
        <v>0</v>
      </c>
      <c r="BF250" s="512">
        <v>0.9786005288575248</v>
      </c>
      <c r="BG250" s="513">
        <v>0.86004654616614251</v>
      </c>
      <c r="BH250" s="513">
        <v>0.9786005288575248</v>
      </c>
      <c r="BI250" s="513">
        <v>0.86004654616614251</v>
      </c>
      <c r="BJ250" s="510">
        <v>49.399000000000001</v>
      </c>
      <c r="BK250" s="510">
        <v>706.90899999999988</v>
      </c>
      <c r="BL250" s="510">
        <v>2.6194862244174986</v>
      </c>
      <c r="BM250" s="510">
        <v>2.6717724629337019</v>
      </c>
      <c r="BN250" s="514">
        <v>0</v>
      </c>
      <c r="BO250" s="514">
        <v>0</v>
      </c>
      <c r="BP250" s="514">
        <v>997.37228421070893</v>
      </c>
      <c r="BQ250" s="514">
        <v>944.62062541364298</v>
      </c>
      <c r="BR250" s="514">
        <v>0</v>
      </c>
      <c r="BS250" s="1031">
        <v>0</v>
      </c>
      <c r="BT250" s="512">
        <v>1.0115334353017611</v>
      </c>
      <c r="BU250" s="1026">
        <v>0.86699221336614107</v>
      </c>
      <c r="BV250" s="581">
        <v>1.0115334353017611</v>
      </c>
      <c r="BW250" s="581">
        <v>0.88601622515424261</v>
      </c>
      <c r="BX250" s="510">
        <v>53.741</v>
      </c>
      <c r="BY250" s="510">
        <v>716.76599999999996</v>
      </c>
      <c r="BZ250" s="514">
        <v>72.781668156536313</v>
      </c>
      <c r="CA250" s="514">
        <v>79.24761810357262</v>
      </c>
      <c r="CB250" s="510">
        <v>1.9072961053943915</v>
      </c>
      <c r="CC250" s="510">
        <v>2.0215802646888945</v>
      </c>
      <c r="CD250" s="514">
        <v>0</v>
      </c>
      <c r="CE250" s="514">
        <v>5.7898951680185724E-2</v>
      </c>
      <c r="CF250" s="514">
        <v>829.42365293306784</v>
      </c>
      <c r="CG250" s="514">
        <v>866.47264003798796</v>
      </c>
      <c r="CH250" s="514">
        <v>0</v>
      </c>
      <c r="CI250" s="514">
        <v>176.87739094767338</v>
      </c>
      <c r="CJ250" s="582">
        <v>0</v>
      </c>
      <c r="CK250" s="582">
        <v>39.826107823194739</v>
      </c>
    </row>
    <row r="251" spans="1:89" ht="12.75" customHeight="1">
      <c r="A251" s="560">
        <v>45794</v>
      </c>
      <c r="B251" s="512">
        <v>0.89763266252571883</v>
      </c>
      <c r="C251" s="513">
        <v>0.73738996674284929</v>
      </c>
      <c r="D251" s="513">
        <v>0.89763266252571883</v>
      </c>
      <c r="E251" s="513">
        <v>0.73738996674284929</v>
      </c>
      <c r="F251" s="510">
        <v>70.578000000000003</v>
      </c>
      <c r="G251" s="510">
        <v>858.50999999999988</v>
      </c>
      <c r="H251" s="510">
        <v>2.1793051659157245</v>
      </c>
      <c r="I251" s="510">
        <v>2.3798604559061638</v>
      </c>
      <c r="J251" s="510">
        <v>841.40752075718035</v>
      </c>
      <c r="K251" s="511">
        <v>904.41688506831531</v>
      </c>
      <c r="L251" s="512">
        <v>0.9562277509242062</v>
      </c>
      <c r="M251" s="513">
        <v>0.93462365673396719</v>
      </c>
      <c r="N251" s="513">
        <v>0.9562277509242062</v>
      </c>
      <c r="O251" s="513">
        <v>0.93462365673396719</v>
      </c>
      <c r="P251" s="510">
        <v>69.307000000000002</v>
      </c>
      <c r="Q251" s="510">
        <v>1070.116</v>
      </c>
      <c r="R251" s="510">
        <v>2.5258776169795261</v>
      </c>
      <c r="S251" s="510">
        <v>2.1871927903143207</v>
      </c>
      <c r="T251" s="510">
        <v>0.21209978790021208</v>
      </c>
      <c r="U251" s="510">
        <v>0.2280126640476359</v>
      </c>
      <c r="V251" s="510">
        <v>601.13394029462245</v>
      </c>
      <c r="W251" s="510">
        <v>608.02901741493338</v>
      </c>
      <c r="X251" s="510">
        <v>447.58826669744764</v>
      </c>
      <c r="Y251" s="569">
        <v>452.2780707885874</v>
      </c>
      <c r="Z251" s="513">
        <v>0.92643171504300525</v>
      </c>
      <c r="AA251" s="1026">
        <v>0.8785798889673484</v>
      </c>
      <c r="AB251" s="513">
        <v>0.92643171504300525</v>
      </c>
      <c r="AC251" s="513">
        <v>0.8785798889673484</v>
      </c>
      <c r="AD251" s="510">
        <v>41.649000000000001</v>
      </c>
      <c r="AE251" s="510">
        <v>668.69600000000003</v>
      </c>
      <c r="AF251" s="510">
        <v>110.26708728633555</v>
      </c>
      <c r="AG251" s="510">
        <v>104.90482359310191</v>
      </c>
      <c r="AH251" s="510">
        <v>1.4694230353669957</v>
      </c>
      <c r="AI251" s="510">
        <v>1.5273008960723558</v>
      </c>
      <c r="AJ251" s="510">
        <v>873.84715119210114</v>
      </c>
      <c r="AK251" s="569">
        <v>872.57815210499245</v>
      </c>
      <c r="AL251" s="576">
        <v>0</v>
      </c>
      <c r="AM251" s="577">
        <v>34.102192924737103</v>
      </c>
      <c r="AN251" s="512">
        <v>0.82386966122870842</v>
      </c>
      <c r="AO251" s="513">
        <v>0.81169935957597072</v>
      </c>
      <c r="AP251" s="513">
        <v>0.82386966122870842</v>
      </c>
      <c r="AQ251" s="513">
        <v>0.81169935957597072</v>
      </c>
      <c r="AR251" s="510">
        <v>42.445</v>
      </c>
      <c r="AS251" s="510">
        <v>717.69299999999998</v>
      </c>
      <c r="AT251" s="514">
        <v>115.04033273090214</v>
      </c>
      <c r="AU251" s="514">
        <v>109.47851892956112</v>
      </c>
      <c r="AV251" s="510">
        <v>1.4889857462598657</v>
      </c>
      <c r="AW251" s="510">
        <v>1.5151325148775314</v>
      </c>
      <c r="AX251" s="510">
        <v>0.28036282247614558</v>
      </c>
      <c r="AY251" s="510">
        <v>0.18796337709856445</v>
      </c>
      <c r="AZ251" s="510">
        <v>908.58428554600096</v>
      </c>
      <c r="BA251" s="510">
        <v>878.89880492076679</v>
      </c>
      <c r="BB251" s="510">
        <v>553.89327364824965</v>
      </c>
      <c r="BC251" s="510">
        <v>567.29033165991609</v>
      </c>
      <c r="BD251" s="510">
        <v>0</v>
      </c>
      <c r="BE251" s="511">
        <v>0</v>
      </c>
      <c r="BF251" s="512">
        <v>0.97711476923355844</v>
      </c>
      <c r="BG251" s="513">
        <v>0.86682023360686944</v>
      </c>
      <c r="BH251" s="513">
        <v>0.97711476923355844</v>
      </c>
      <c r="BI251" s="513">
        <v>0.86682023360686944</v>
      </c>
      <c r="BJ251" s="510">
        <v>49.323999999999998</v>
      </c>
      <c r="BK251" s="510">
        <v>756.23299999999983</v>
      </c>
      <c r="BL251" s="510">
        <v>2.6944286756954021</v>
      </c>
      <c r="BM251" s="510">
        <v>2.6732501755411371</v>
      </c>
      <c r="BN251" s="514">
        <v>0</v>
      </c>
      <c r="BO251" s="514">
        <v>0</v>
      </c>
      <c r="BP251" s="514">
        <v>1073.4486575616788</v>
      </c>
      <c r="BQ251" s="514">
        <v>953.0232127877324</v>
      </c>
      <c r="BR251" s="514">
        <v>0</v>
      </c>
      <c r="BS251" s="1031">
        <v>0</v>
      </c>
      <c r="BT251" s="512">
        <v>0.98636909013891627</v>
      </c>
      <c r="BU251" s="1026">
        <v>0.8741839851024763</v>
      </c>
      <c r="BV251" s="581">
        <v>0.98636909013891627</v>
      </c>
      <c r="BW251" s="581">
        <v>0.89218641058446857</v>
      </c>
      <c r="BX251" s="510">
        <v>52.276000000000003</v>
      </c>
      <c r="BY251" s="510">
        <v>769.04199999999992</v>
      </c>
      <c r="BZ251" s="514">
        <v>81.655045505552636</v>
      </c>
      <c r="CA251" s="514">
        <v>79.411264139635563</v>
      </c>
      <c r="CB251" s="510">
        <v>2.1176065498507919</v>
      </c>
      <c r="CC251" s="510">
        <v>2.0281076976289989</v>
      </c>
      <c r="CD251" s="514">
        <v>0</v>
      </c>
      <c r="CE251" s="514">
        <v>5.3963242579729072E-2</v>
      </c>
      <c r="CF251" s="514">
        <v>911.56148929577773</v>
      </c>
      <c r="CG251" s="514">
        <v>869.53757626227775</v>
      </c>
      <c r="CH251" s="514">
        <v>0</v>
      </c>
      <c r="CI251" s="514">
        <v>164.85406518759712</v>
      </c>
      <c r="CJ251" s="582">
        <v>0</v>
      </c>
      <c r="CK251" s="582">
        <v>37.118908980263768</v>
      </c>
    </row>
    <row r="252" spans="1:89" ht="12.75" customHeight="1">
      <c r="A252" s="560">
        <v>45795</v>
      </c>
      <c r="B252" s="512">
        <v>0.82348147217579193</v>
      </c>
      <c r="C252" s="513">
        <v>0.74268756082832788</v>
      </c>
      <c r="D252" s="513">
        <v>0.82348147217579193</v>
      </c>
      <c r="E252" s="513">
        <v>0.74268756082832788</v>
      </c>
      <c r="F252" s="510">
        <v>62.863999999999997</v>
      </c>
      <c r="G252" s="510">
        <v>921.37399999999991</v>
      </c>
      <c r="H252" s="510">
        <v>2.4455332145584121</v>
      </c>
      <c r="I252" s="510">
        <v>2.3843412121462082</v>
      </c>
      <c r="J252" s="510">
        <v>977.70075082717676</v>
      </c>
      <c r="K252" s="511">
        <v>909.41693601078293</v>
      </c>
      <c r="L252" s="512">
        <v>0.93652280244780095</v>
      </c>
      <c r="M252" s="513">
        <v>0.93473963436547947</v>
      </c>
      <c r="N252" s="513">
        <v>1.0977345727591792</v>
      </c>
      <c r="O252" s="513">
        <v>0.94319862435667245</v>
      </c>
      <c r="P252" s="510">
        <v>69.742000000000004</v>
      </c>
      <c r="Q252" s="510">
        <v>1139.8579999999999</v>
      </c>
      <c r="R252" s="510">
        <v>2.0971724355481629</v>
      </c>
      <c r="S252" s="510">
        <v>2.1816849116293433</v>
      </c>
      <c r="T252" s="510">
        <v>0.17779817039947232</v>
      </c>
      <c r="U252" s="510">
        <v>0.22494029958117584</v>
      </c>
      <c r="V252" s="510">
        <v>526.59616873621701</v>
      </c>
      <c r="W252" s="510">
        <v>603.04656369477618</v>
      </c>
      <c r="X252" s="510">
        <v>333.95945054629919</v>
      </c>
      <c r="Y252" s="569">
        <v>445.03876798688958</v>
      </c>
      <c r="Z252" s="513">
        <v>0.8728853760271047</v>
      </c>
      <c r="AA252" s="1026">
        <v>0.87825726597324094</v>
      </c>
      <c r="AB252" s="513">
        <v>0.8728853760271047</v>
      </c>
      <c r="AC252" s="513">
        <v>0.87825726597324094</v>
      </c>
      <c r="AD252" s="510">
        <v>39.9</v>
      </c>
      <c r="AE252" s="510">
        <v>708.596</v>
      </c>
      <c r="AF252" s="510">
        <v>103.09036522221245</v>
      </c>
      <c r="AG252" s="510">
        <v>104.80265410724752</v>
      </c>
      <c r="AH252" s="510">
        <v>1.4837092731829575</v>
      </c>
      <c r="AI252" s="510">
        <v>1.5248463158132419</v>
      </c>
      <c r="AJ252" s="510">
        <v>958.7012531328412</v>
      </c>
      <c r="AK252" s="569">
        <v>877.42761742939626</v>
      </c>
      <c r="AL252" s="576">
        <v>0</v>
      </c>
      <c r="AM252" s="577">
        <v>32.181948529204234</v>
      </c>
      <c r="AN252" s="512">
        <v>0.17106286545903188</v>
      </c>
      <c r="AO252" s="513">
        <v>0.77642648622449195</v>
      </c>
      <c r="AP252" s="513">
        <v>0.17106286545903188</v>
      </c>
      <c r="AQ252" s="513">
        <v>0.77642648622449195</v>
      </c>
      <c r="AR252" s="510">
        <v>8.8130000000000006</v>
      </c>
      <c r="AS252" s="510">
        <v>726.50599999999997</v>
      </c>
      <c r="AT252" s="514">
        <v>153.40609612426528</v>
      </c>
      <c r="AU252" s="514">
        <v>110.01138959796155</v>
      </c>
      <c r="AV252" s="510">
        <v>2.5303528877794168</v>
      </c>
      <c r="AW252" s="510">
        <v>1.5274478118556489</v>
      </c>
      <c r="AX252" s="510">
        <v>0.19289685691591965</v>
      </c>
      <c r="AY252" s="510">
        <v>0.18802322348335732</v>
      </c>
      <c r="AZ252" s="510">
        <v>2140.2677862248993</v>
      </c>
      <c r="BA252" s="510">
        <v>894.20004790049904</v>
      </c>
      <c r="BB252" s="510">
        <v>397.14058776809054</v>
      </c>
      <c r="BC252" s="510">
        <v>565.22630232923109</v>
      </c>
      <c r="BD252" s="510">
        <v>0</v>
      </c>
      <c r="BE252" s="511">
        <v>0</v>
      </c>
      <c r="BF252" s="512">
        <v>0.98466777385894333</v>
      </c>
      <c r="BG252" s="513">
        <v>0.87326528289350458</v>
      </c>
      <c r="BH252" s="513">
        <v>0.98466777385894333</v>
      </c>
      <c r="BI252" s="513">
        <v>0.87326528289350458</v>
      </c>
      <c r="BJ252" s="510">
        <v>49.698999999999998</v>
      </c>
      <c r="BK252" s="510">
        <v>805.93199999999979</v>
      </c>
      <c r="BL252" s="510">
        <v>2.6559890541057167</v>
      </c>
      <c r="BM252" s="510">
        <v>2.6721857427177489</v>
      </c>
      <c r="BN252" s="514">
        <v>0</v>
      </c>
      <c r="BO252" s="514">
        <v>0</v>
      </c>
      <c r="BP252" s="514">
        <v>989.93505595257693</v>
      </c>
      <c r="BQ252" s="514">
        <v>955.29943670420391</v>
      </c>
      <c r="BR252" s="514">
        <v>0</v>
      </c>
      <c r="BS252" s="1031">
        <v>0</v>
      </c>
      <c r="BT252" s="512">
        <v>0.98221802273072578</v>
      </c>
      <c r="BU252" s="1026">
        <v>0.88032259958188352</v>
      </c>
      <c r="BV252" s="581">
        <v>0.98221802273072578</v>
      </c>
      <c r="BW252" s="581">
        <v>0.89740135457415826</v>
      </c>
      <c r="BX252" s="510">
        <v>52.055999999999997</v>
      </c>
      <c r="BY252" s="510">
        <v>821.09799999999996</v>
      </c>
      <c r="BZ252" s="514">
        <v>73.377257232414578</v>
      </c>
      <c r="CA252" s="514">
        <v>79.028719956648516</v>
      </c>
      <c r="CB252" s="510">
        <v>2.0228215767634854</v>
      </c>
      <c r="CC252" s="510">
        <v>2.0277725679516942</v>
      </c>
      <c r="CD252" s="514">
        <v>0</v>
      </c>
      <c r="CE252" s="514">
        <v>5.0542079021018198E-2</v>
      </c>
      <c r="CF252" s="514">
        <v>828.19977820449253</v>
      </c>
      <c r="CG252" s="514">
        <v>866.9168410812199</v>
      </c>
      <c r="CH252" s="514">
        <v>0</v>
      </c>
      <c r="CI252" s="514">
        <v>154.40264134122853</v>
      </c>
      <c r="CJ252" s="582">
        <v>0</v>
      </c>
      <c r="CK252" s="582">
        <v>34.765643077927358</v>
      </c>
    </row>
    <row r="253" spans="1:89" ht="12.75" customHeight="1">
      <c r="A253" s="560">
        <v>45796</v>
      </c>
      <c r="B253" s="512">
        <v>0.93372541201951542</v>
      </c>
      <c r="C253" s="513">
        <v>0.75307974961940582</v>
      </c>
      <c r="D253" s="513">
        <v>0.93372541201951542</v>
      </c>
      <c r="E253" s="513">
        <v>0.75307974961940582</v>
      </c>
      <c r="F253" s="510">
        <v>66.638999999999996</v>
      </c>
      <c r="G253" s="510">
        <v>988.01299999999992</v>
      </c>
      <c r="H253" s="510">
        <v>2.1909392397845107</v>
      </c>
      <c r="I253" s="510">
        <v>2.3712967339498574</v>
      </c>
      <c r="J253" s="510">
        <v>904.24616215729338</v>
      </c>
      <c r="K253" s="511">
        <v>909.06818027697898</v>
      </c>
      <c r="L253" s="512">
        <v>0</v>
      </c>
      <c r="M253" s="513">
        <v>0.8804106682388354</v>
      </c>
      <c r="N253" s="513" t="e">
        <v>#DIV/0!</v>
      </c>
      <c r="O253" s="513">
        <v>0.94319862435667245</v>
      </c>
      <c r="P253" s="510">
        <v>0</v>
      </c>
      <c r="Q253" s="510">
        <v>1139.8579999999999</v>
      </c>
      <c r="R253" s="510">
        <v>0</v>
      </c>
      <c r="S253" s="510">
        <v>2.1849993595693493</v>
      </c>
      <c r="T253" s="510">
        <v>0</v>
      </c>
      <c r="U253" s="510">
        <v>0.22494029958117584</v>
      </c>
      <c r="V253" s="510">
        <v>0</v>
      </c>
      <c r="W253" s="510">
        <v>606.26593838881672</v>
      </c>
      <c r="X253" s="510">
        <v>0</v>
      </c>
      <c r="Y253" s="569">
        <v>445.77833379245487</v>
      </c>
      <c r="Z253" s="513">
        <v>0.89348224491054518</v>
      </c>
      <c r="AA253" s="1026">
        <v>0.87904144593835021</v>
      </c>
      <c r="AB253" s="513">
        <v>0.89348224491054518</v>
      </c>
      <c r="AC253" s="513">
        <v>0.87904144593835021</v>
      </c>
      <c r="AD253" s="510">
        <v>39.146000000000001</v>
      </c>
      <c r="AE253" s="510">
        <v>747.74199999999996</v>
      </c>
      <c r="AF253" s="510">
        <v>108.21887219702558</v>
      </c>
      <c r="AG253" s="510">
        <v>104.98150091984124</v>
      </c>
      <c r="AH253" s="510">
        <v>1.4892964798446839</v>
      </c>
      <c r="AI253" s="510">
        <v>1.5229852007778084</v>
      </c>
      <c r="AJ253" s="510">
        <v>925.2046186072605</v>
      </c>
      <c r="AK253" s="569">
        <v>879.92885246515539</v>
      </c>
      <c r="AL253" s="576">
        <v>0</v>
      </c>
      <c r="AM253" s="577">
        <v>30.497150086527171</v>
      </c>
      <c r="AN253" s="512">
        <v>0.9533275740466407</v>
      </c>
      <c r="AO253" s="513">
        <v>0.78608991352825719</v>
      </c>
      <c r="AP253" s="513">
        <v>0.9533275740466407</v>
      </c>
      <c r="AQ253" s="513">
        <v>0.78608991352825719</v>
      </c>
      <c r="AR253" s="510">
        <v>51.543999999999997</v>
      </c>
      <c r="AS253" s="510">
        <v>778.05</v>
      </c>
      <c r="AT253" s="514">
        <v>109.61708852940527</v>
      </c>
      <c r="AU253" s="514">
        <v>109.98526807071052</v>
      </c>
      <c r="AV253" s="510">
        <v>1.3658233742045633</v>
      </c>
      <c r="AW253" s="510">
        <v>1.5167405693721485</v>
      </c>
      <c r="AX253" s="510">
        <v>0.23087071240105542</v>
      </c>
      <c r="AY253" s="510">
        <v>0.19086176980913824</v>
      </c>
      <c r="AZ253" s="510">
        <v>782.78868539500093</v>
      </c>
      <c r="BA253" s="510">
        <v>886.81930467193615</v>
      </c>
      <c r="BB253" s="510">
        <v>680.97159708210779</v>
      </c>
      <c r="BC253" s="510">
        <v>572.89415847310659</v>
      </c>
      <c r="BD253" s="510">
        <v>0</v>
      </c>
      <c r="BE253" s="511">
        <v>0</v>
      </c>
      <c r="BF253" s="512">
        <v>0.91451562928565922</v>
      </c>
      <c r="BG253" s="513">
        <v>0.87531588070237432</v>
      </c>
      <c r="BH253" s="513">
        <v>0.91451562928565922</v>
      </c>
      <c r="BI253" s="513">
        <v>0.87531588070237432</v>
      </c>
      <c r="BJ253" s="510">
        <v>44.151000000000003</v>
      </c>
      <c r="BK253" s="510">
        <v>850.08299999999974</v>
      </c>
      <c r="BL253" s="510">
        <v>2.9240560802699824</v>
      </c>
      <c r="BM253" s="510">
        <v>2.6852672033201475</v>
      </c>
      <c r="BN253" s="514">
        <v>0</v>
      </c>
      <c r="BO253" s="514">
        <v>0</v>
      </c>
      <c r="BP253" s="514">
        <v>1097.1556918916062</v>
      </c>
      <c r="BQ253" s="514">
        <v>962.66706495083292</v>
      </c>
      <c r="BR253" s="514">
        <v>0</v>
      </c>
      <c r="BS253" s="1031">
        <v>0</v>
      </c>
      <c r="BT253" s="512">
        <v>0.93959410784389796</v>
      </c>
      <c r="BU253" s="1026">
        <v>0.8835093954749178</v>
      </c>
      <c r="BV253" s="581">
        <v>0.93959410784389796</v>
      </c>
      <c r="BW253" s="581">
        <v>0.89971149421593632</v>
      </c>
      <c r="BX253" s="510">
        <v>49.796999999999997</v>
      </c>
      <c r="BY253" s="510">
        <v>870.89499999999998</v>
      </c>
      <c r="BZ253" s="514">
        <v>82.907822114094657</v>
      </c>
      <c r="CA253" s="514">
        <v>79.250523561140838</v>
      </c>
      <c r="CB253" s="510">
        <v>2.1005281442657187</v>
      </c>
      <c r="CC253" s="510">
        <v>2.0319326669690376</v>
      </c>
      <c r="CD253" s="514">
        <v>0</v>
      </c>
      <c r="CE253" s="514">
        <v>4.765212798328157E-2</v>
      </c>
      <c r="CF253" s="514">
        <v>858.25790805260215</v>
      </c>
      <c r="CG253" s="514">
        <v>866.42173100707089</v>
      </c>
      <c r="CH253" s="514">
        <v>0</v>
      </c>
      <c r="CI253" s="514">
        <v>145.57403590559142</v>
      </c>
      <c r="CJ253" s="582">
        <v>0</v>
      </c>
      <c r="CK253" s="582">
        <v>32.777774588210974</v>
      </c>
    </row>
    <row r="254" spans="1:89" ht="12.75" customHeight="1">
      <c r="A254" s="560">
        <v>45797</v>
      </c>
      <c r="B254" s="512">
        <v>0.94861966989367685</v>
      </c>
      <c r="C254" s="513">
        <v>0.76308336585569725</v>
      </c>
      <c r="D254" s="513">
        <v>0.94861966989367685</v>
      </c>
      <c r="E254" s="513">
        <v>0.76308336585569725</v>
      </c>
      <c r="F254" s="510">
        <v>67.102999999999994</v>
      </c>
      <c r="G254" s="510">
        <v>1055.116</v>
      </c>
      <c r="H254" s="510">
        <v>2.159456358136</v>
      </c>
      <c r="I254" s="510">
        <v>2.3578241634095209</v>
      </c>
      <c r="J254" s="510">
        <v>913.67032770517972</v>
      </c>
      <c r="K254" s="511">
        <v>909.36086648292644</v>
      </c>
      <c r="L254" s="512">
        <v>0.71784472636379471</v>
      </c>
      <c r="M254" s="513">
        <v>0.87357126239350902</v>
      </c>
      <c r="N254" s="513">
        <v>0.78018016232701626</v>
      </c>
      <c r="O254" s="513">
        <v>0.93643405624416753</v>
      </c>
      <c r="P254" s="510">
        <v>40.817999999999998</v>
      </c>
      <c r="Q254" s="510">
        <v>1180.6759999999999</v>
      </c>
      <c r="R254" s="510">
        <v>3.4624430398353674</v>
      </c>
      <c r="S254" s="510">
        <v>2.2291627847097759</v>
      </c>
      <c r="T254" s="510">
        <v>0.16169337057180655</v>
      </c>
      <c r="U254" s="510">
        <v>0.22275374446503524</v>
      </c>
      <c r="V254" s="510">
        <v>861.97094419127029</v>
      </c>
      <c r="W254" s="510">
        <v>615.10610023410243</v>
      </c>
      <c r="X254" s="510">
        <v>566.62256847469268</v>
      </c>
      <c r="Y254" s="569">
        <v>449.95612682903698</v>
      </c>
      <c r="Z254" s="513">
        <v>0.85625572006894979</v>
      </c>
      <c r="AA254" s="1026">
        <v>0.87792532798198686</v>
      </c>
      <c r="AB254" s="513">
        <v>0.85625572006894979</v>
      </c>
      <c r="AC254" s="513">
        <v>0.87792532798198686</v>
      </c>
      <c r="AD254" s="510">
        <v>37.515000000000001</v>
      </c>
      <c r="AE254" s="510">
        <v>785.25699999999995</v>
      </c>
      <c r="AF254" s="510">
        <v>112.09864618186052</v>
      </c>
      <c r="AG254" s="510">
        <v>105.32151661470884</v>
      </c>
      <c r="AH254" s="510">
        <v>1.5407170465147273</v>
      </c>
      <c r="AI254" s="510">
        <v>1.5238323249585803</v>
      </c>
      <c r="AJ254" s="510">
        <v>980.40836998533428</v>
      </c>
      <c r="AK254" s="569">
        <v>884.72917783604612</v>
      </c>
      <c r="AL254" s="576">
        <v>0</v>
      </c>
      <c r="AM254" s="577">
        <v>29.040174108603935</v>
      </c>
      <c r="AN254" s="512">
        <v>0.94076374695520415</v>
      </c>
      <c r="AO254" s="513">
        <v>0.79388886960816307</v>
      </c>
      <c r="AP254" s="513">
        <v>0.94076374695520415</v>
      </c>
      <c r="AQ254" s="513">
        <v>0.79388886960816307</v>
      </c>
      <c r="AR254" s="510">
        <v>49.442999999999998</v>
      </c>
      <c r="AS254" s="510">
        <v>827.49299999999994</v>
      </c>
      <c r="AT254" s="514">
        <v>119.19873497077334</v>
      </c>
      <c r="AU254" s="514">
        <v>110.53577598309141</v>
      </c>
      <c r="AV254" s="510">
        <v>1.4016139797342395</v>
      </c>
      <c r="AW254" s="510">
        <v>1.509861714842301</v>
      </c>
      <c r="AX254" s="510">
        <v>0.13955463867483769</v>
      </c>
      <c r="AY254" s="510">
        <v>0.18779615054145476</v>
      </c>
      <c r="AZ254" s="510">
        <v>887.48700523835657</v>
      </c>
      <c r="BA254" s="510">
        <v>886.85920001740192</v>
      </c>
      <c r="BB254" s="510">
        <v>460.66379467265364</v>
      </c>
      <c r="BC254" s="510">
        <v>566.18835446342223</v>
      </c>
      <c r="BD254" s="510">
        <v>0</v>
      </c>
      <c r="BE254" s="511">
        <v>0</v>
      </c>
      <c r="BF254" s="512">
        <v>0.93649274971587382</v>
      </c>
      <c r="BG254" s="513">
        <v>0.87837373905597982</v>
      </c>
      <c r="BH254" s="513">
        <v>0.93649274971587382</v>
      </c>
      <c r="BI254" s="513">
        <v>0.87837373905597982</v>
      </c>
      <c r="BJ254" s="510">
        <v>47.851999999999997</v>
      </c>
      <c r="BK254" s="510">
        <v>897.93499999999972</v>
      </c>
      <c r="BL254" s="510">
        <v>2.7856724901780496</v>
      </c>
      <c r="BM254" s="510">
        <v>2.6906179177780141</v>
      </c>
      <c r="BN254" s="514">
        <v>0</v>
      </c>
      <c r="BO254" s="514">
        <v>0</v>
      </c>
      <c r="BP254" s="514">
        <v>1113.1823172325696</v>
      </c>
      <c r="BQ254" s="514">
        <v>970.68819771900178</v>
      </c>
      <c r="BR254" s="514">
        <v>0</v>
      </c>
      <c r="BS254" s="1031">
        <v>0</v>
      </c>
      <c r="BT254" s="512">
        <v>0.99774678853500176</v>
      </c>
      <c r="BU254" s="1026">
        <v>0.88933810408236058</v>
      </c>
      <c r="BV254" s="581">
        <v>0.99774678853500176</v>
      </c>
      <c r="BW254" s="581">
        <v>0.90480049416365071</v>
      </c>
      <c r="BX254" s="510">
        <v>52.878999999999998</v>
      </c>
      <c r="BY254" s="510">
        <v>923.774</v>
      </c>
      <c r="BZ254" s="514">
        <v>78.860724206727781</v>
      </c>
      <c r="CA254" s="514">
        <v>79.228210527799348</v>
      </c>
      <c r="CB254" s="510">
        <v>2.1218252992681408</v>
      </c>
      <c r="CC254" s="510">
        <v>2.0370783330121873</v>
      </c>
      <c r="CD254" s="514">
        <v>0</v>
      </c>
      <c r="CE254" s="514">
        <v>4.4924407917953955E-2</v>
      </c>
      <c r="CF254" s="514">
        <v>850.84910372333673</v>
      </c>
      <c r="CG254" s="514">
        <v>865.5303171351319</v>
      </c>
      <c r="CH254" s="514">
        <v>0</v>
      </c>
      <c r="CI254" s="514">
        <v>137.24103514495974</v>
      </c>
      <c r="CJ254" s="582">
        <v>0</v>
      </c>
      <c r="CK254" s="582">
        <v>30.901497552431657</v>
      </c>
    </row>
    <row r="255" spans="1:89" ht="12.75" customHeight="1">
      <c r="A255" s="560">
        <v>45798</v>
      </c>
      <c r="B255" s="512">
        <v>0.89676791579358428</v>
      </c>
      <c r="C255" s="513">
        <v>0.7696374511213222</v>
      </c>
      <c r="D255" s="513">
        <v>0.89676791579358428</v>
      </c>
      <c r="E255" s="513">
        <v>0.7696374511213222</v>
      </c>
      <c r="F255" s="510">
        <v>63.924999999999997</v>
      </c>
      <c r="G255" s="510">
        <v>1119.0409999999999</v>
      </c>
      <c r="H255" s="510">
        <v>2.2622604614782951</v>
      </c>
      <c r="I255" s="510">
        <v>2.3523651054787091</v>
      </c>
      <c r="J255" s="510">
        <v>969.28118889326481</v>
      </c>
      <c r="K255" s="511">
        <v>912.78380327441209</v>
      </c>
      <c r="L255" s="512">
        <v>0.96774730825301936</v>
      </c>
      <c r="M255" s="513">
        <v>0.87752548656570784</v>
      </c>
      <c r="N255" s="513">
        <v>0.96774730825301936</v>
      </c>
      <c r="O255" s="513">
        <v>0.93783918993173299</v>
      </c>
      <c r="P255" s="510">
        <v>57.325000000000003</v>
      </c>
      <c r="Q255" s="510">
        <v>1238.001</v>
      </c>
      <c r="R255" s="510">
        <v>2.2526297426951594</v>
      </c>
      <c r="S255" s="510">
        <v>2.2302494101377945</v>
      </c>
      <c r="T255" s="510">
        <v>0.17269952027911034</v>
      </c>
      <c r="U255" s="510">
        <v>0.22043600934086477</v>
      </c>
      <c r="V255" s="510">
        <v>664.94984736155538</v>
      </c>
      <c r="W255" s="510">
        <v>617.41408932626086</v>
      </c>
      <c r="X255" s="510">
        <v>499.78194505015102</v>
      </c>
      <c r="Y255" s="569">
        <v>452.26328573240238</v>
      </c>
      <c r="Z255" s="513">
        <v>0.89167670969213164</v>
      </c>
      <c r="AA255" s="1026">
        <v>0.87856630306939276</v>
      </c>
      <c r="AB255" s="513">
        <v>0.89167670969213164</v>
      </c>
      <c r="AC255" s="513">
        <v>0.87856630306939276</v>
      </c>
      <c r="AD255" s="510">
        <v>38.993000000000002</v>
      </c>
      <c r="AE255" s="510">
        <v>824.25</v>
      </c>
      <c r="AF255" s="510">
        <v>106.69849292210343</v>
      </c>
      <c r="AG255" s="510">
        <v>105.38665757576948</v>
      </c>
      <c r="AH255" s="510">
        <v>1.5130920934526708</v>
      </c>
      <c r="AI255" s="510">
        <v>1.5233242341522595</v>
      </c>
      <c r="AJ255" s="510">
        <v>962.77024081247225</v>
      </c>
      <c r="AK255" s="569">
        <v>888.42108583560912</v>
      </c>
      <c r="AL255" s="576">
        <v>0</v>
      </c>
      <c r="AM255" s="577">
        <v>27.666363360630875</v>
      </c>
      <c r="AN255" s="512">
        <v>0.94873608400538789</v>
      </c>
      <c r="AO255" s="513">
        <v>0.80128587330906886</v>
      </c>
      <c r="AP255" s="513">
        <v>0.94873608400538789</v>
      </c>
      <c r="AQ255" s="513">
        <v>0.80128587330906886</v>
      </c>
      <c r="AR255" s="510">
        <v>49.609000000000002</v>
      </c>
      <c r="AS255" s="510">
        <v>877.10199999999998</v>
      </c>
      <c r="AT255" s="514">
        <v>117.86648549804227</v>
      </c>
      <c r="AU255" s="514">
        <v>110.95040183997828</v>
      </c>
      <c r="AV255" s="510">
        <v>1.3888608921768228</v>
      </c>
      <c r="AW255" s="510">
        <v>1.5030178930158637</v>
      </c>
      <c r="AX255" s="510">
        <v>0.17738716765103107</v>
      </c>
      <c r="AY255" s="510">
        <v>0.18720741715330716</v>
      </c>
      <c r="AZ255" s="510">
        <v>859.14451006873708</v>
      </c>
      <c r="BA255" s="510">
        <v>885.29165365031645</v>
      </c>
      <c r="BB255" s="510">
        <v>489.81031667640781</v>
      </c>
      <c r="BC255" s="510">
        <v>561.8684029907588</v>
      </c>
      <c r="BD255" s="510">
        <v>0</v>
      </c>
      <c r="BE255" s="511">
        <v>0</v>
      </c>
      <c r="BF255" s="512">
        <v>0.85298594546043527</v>
      </c>
      <c r="BG255" s="513">
        <v>0.87714129206986857</v>
      </c>
      <c r="BH255" s="513">
        <v>0.85298594546043527</v>
      </c>
      <c r="BI255" s="513">
        <v>0.87714129206986857</v>
      </c>
      <c r="BJ255" s="510">
        <v>44.49</v>
      </c>
      <c r="BK255" s="510">
        <v>942.42499999999973</v>
      </c>
      <c r="BL255" s="510">
        <v>2.8523263654753879</v>
      </c>
      <c r="BM255" s="510">
        <v>2.6982518502798647</v>
      </c>
      <c r="BN255" s="514">
        <v>0</v>
      </c>
      <c r="BO255" s="514">
        <v>0</v>
      </c>
      <c r="BP255" s="514">
        <v>1093.1900589934269</v>
      </c>
      <c r="BQ255" s="514">
        <v>976.4712656640362</v>
      </c>
      <c r="BR255" s="514">
        <v>0</v>
      </c>
      <c r="BS255" s="1031">
        <v>0</v>
      </c>
      <c r="BT255" s="512">
        <v>0.8696863448514951</v>
      </c>
      <c r="BU255" s="1026">
        <v>0.88840623471912317</v>
      </c>
      <c r="BV255" s="581">
        <v>0.8696863448514951</v>
      </c>
      <c r="BW255" s="581">
        <v>0.90310785738281663</v>
      </c>
      <c r="BX255" s="510">
        <v>44.969000000000001</v>
      </c>
      <c r="BY255" s="510">
        <v>968.74300000000005</v>
      </c>
      <c r="BZ255" s="514">
        <v>87.443954422291839</v>
      </c>
      <c r="CA255" s="514">
        <v>79.609584934831375</v>
      </c>
      <c r="CB255" s="510">
        <v>2.1926215837576994</v>
      </c>
      <c r="CC255" s="510">
        <v>2.0442986426740632</v>
      </c>
      <c r="CD255" s="514">
        <v>0</v>
      </c>
      <c r="CE255" s="514">
        <v>4.2839019223880843E-2</v>
      </c>
      <c r="CF255" s="514">
        <v>969.39812482778825</v>
      </c>
      <c r="CG255" s="514">
        <v>870.35185540083398</v>
      </c>
      <c r="CH255" s="514">
        <v>0</v>
      </c>
      <c r="CI255" s="514">
        <v>130.87031338549033</v>
      </c>
      <c r="CJ255" s="582">
        <v>0</v>
      </c>
      <c r="CK255" s="582">
        <v>29.467051632889216</v>
      </c>
    </row>
    <row r="256" spans="1:89" ht="12.75" customHeight="1">
      <c r="A256" s="560">
        <v>45799</v>
      </c>
      <c r="B256" s="512">
        <v>0.83693325792205708</v>
      </c>
      <c r="C256" s="513">
        <v>0.77289271504331436</v>
      </c>
      <c r="D256" s="513">
        <v>0.83693325792205708</v>
      </c>
      <c r="E256" s="513">
        <v>0.77289271504331436</v>
      </c>
      <c r="F256" s="510">
        <v>61.856000000000002</v>
      </c>
      <c r="G256" s="510">
        <v>1180.8969999999999</v>
      </c>
      <c r="H256" s="510">
        <v>2.5851493792033104</v>
      </c>
      <c r="I256" s="510">
        <v>2.3645584669958519</v>
      </c>
      <c r="J256" s="510">
        <v>940.93119503360674</v>
      </c>
      <c r="K256" s="511">
        <v>914.25817831699146</v>
      </c>
      <c r="L256" s="512">
        <v>0.96477351953182755</v>
      </c>
      <c r="M256" s="513">
        <v>0.88111807094004535</v>
      </c>
      <c r="N256" s="513">
        <v>0.96477351953182755</v>
      </c>
      <c r="O256" s="513">
        <v>0.93902113900189954</v>
      </c>
      <c r="P256" s="510">
        <v>58.451999999999998</v>
      </c>
      <c r="Q256" s="510">
        <v>1296.453</v>
      </c>
      <c r="R256" s="510">
        <v>2.1736125367823171</v>
      </c>
      <c r="S256" s="510">
        <v>2.2276958748215319</v>
      </c>
      <c r="T256" s="510">
        <v>0.16765893382604533</v>
      </c>
      <c r="U256" s="510">
        <v>0.21805649722743511</v>
      </c>
      <c r="V256" s="510">
        <v>642.19462122767004</v>
      </c>
      <c r="W256" s="510">
        <v>618.53134668206258</v>
      </c>
      <c r="X256" s="510">
        <v>572.33285430781109</v>
      </c>
      <c r="Y256" s="569">
        <v>457.67675341875116</v>
      </c>
      <c r="Z256" s="513">
        <v>0.90902200851871795</v>
      </c>
      <c r="AA256" s="1026">
        <v>0.87989984919603936</v>
      </c>
      <c r="AB256" s="513">
        <v>0.90902200851871795</v>
      </c>
      <c r="AC256" s="513">
        <v>0.87989984919603936</v>
      </c>
      <c r="AD256" s="510">
        <v>39.052</v>
      </c>
      <c r="AE256" s="510">
        <v>863.30200000000002</v>
      </c>
      <c r="AF256" s="510">
        <v>105.73975213526717</v>
      </c>
      <c r="AG256" s="510">
        <v>105.40263002658912</v>
      </c>
      <c r="AH256" s="510">
        <v>1.4928812864898084</v>
      </c>
      <c r="AI256" s="510">
        <v>1.5219471285830448</v>
      </c>
      <c r="AJ256" s="510">
        <v>929.33114821263484</v>
      </c>
      <c r="AK256" s="569">
        <v>890.27167781379001</v>
      </c>
      <c r="AL256" s="576">
        <v>0</v>
      </c>
      <c r="AM256" s="577">
        <v>26.414858299876521</v>
      </c>
      <c r="AN256" s="512">
        <v>0.90285940258349606</v>
      </c>
      <c r="AO256" s="513">
        <v>0.8059094770706885</v>
      </c>
      <c r="AP256" s="513">
        <v>0.90285940258349606</v>
      </c>
      <c r="AQ256" s="513">
        <v>0.8059094770706885</v>
      </c>
      <c r="AR256" s="510">
        <v>47.131999999999998</v>
      </c>
      <c r="AS256" s="510">
        <v>924.23399999999992</v>
      </c>
      <c r="AT256" s="514">
        <v>121.73477231760552</v>
      </c>
      <c r="AU256" s="514">
        <v>111.50035883068793</v>
      </c>
      <c r="AV256" s="510">
        <v>1.502164134770432</v>
      </c>
      <c r="AW256" s="510">
        <v>1.502974354979367</v>
      </c>
      <c r="AX256" s="510">
        <v>0.18883136722396673</v>
      </c>
      <c r="AY256" s="510">
        <v>0.1872902316945709</v>
      </c>
      <c r="AZ256" s="510">
        <v>941.02181108376465</v>
      </c>
      <c r="BA256" s="510">
        <v>888.13365446412922</v>
      </c>
      <c r="BB256" s="510">
        <v>493.61368072647349</v>
      </c>
      <c r="BC256" s="510">
        <v>558.38770268135636</v>
      </c>
      <c r="BD256" s="510">
        <v>0</v>
      </c>
      <c r="BE256" s="511">
        <v>0</v>
      </c>
      <c r="BF256" s="512">
        <v>0.92014732480293704</v>
      </c>
      <c r="BG256" s="513">
        <v>0.8791323580508047</v>
      </c>
      <c r="BH256" s="513">
        <v>0.92014732480293704</v>
      </c>
      <c r="BI256" s="513">
        <v>0.8791323580508047</v>
      </c>
      <c r="BJ256" s="510">
        <v>47.993000000000002</v>
      </c>
      <c r="BK256" s="510">
        <v>990.41799999999978</v>
      </c>
      <c r="BL256" s="510">
        <v>2.6212155939407831</v>
      </c>
      <c r="BM256" s="510">
        <v>2.6945188799072728</v>
      </c>
      <c r="BN256" s="514">
        <v>0</v>
      </c>
      <c r="BO256" s="514">
        <v>0</v>
      </c>
      <c r="BP256" s="514">
        <v>1000.0996283448108</v>
      </c>
      <c r="BQ256" s="514">
        <v>977.61623274878059</v>
      </c>
      <c r="BR256" s="514">
        <v>0</v>
      </c>
      <c r="BS256" s="1031">
        <v>0</v>
      </c>
      <c r="BT256" s="512">
        <v>1.0045514193322214</v>
      </c>
      <c r="BU256" s="1026">
        <v>0.89368271370154873</v>
      </c>
      <c r="BV256" s="581">
        <v>1.0045514193322214</v>
      </c>
      <c r="BW256" s="581">
        <v>0.90778918613846682</v>
      </c>
      <c r="BX256" s="510">
        <v>52.131999999999998</v>
      </c>
      <c r="BY256" s="510">
        <v>1020.875</v>
      </c>
      <c r="BZ256" s="514">
        <v>70.936237066296414</v>
      </c>
      <c r="CA256" s="514">
        <v>79.166671775940756</v>
      </c>
      <c r="CB256" s="510">
        <v>1.8913527200184148</v>
      </c>
      <c r="CC256" s="510">
        <v>2.0364883065997308</v>
      </c>
      <c r="CD256" s="514">
        <v>0</v>
      </c>
      <c r="CE256" s="514">
        <v>4.065140198359251E-2</v>
      </c>
      <c r="CF256" s="514">
        <v>808.31214104289302</v>
      </c>
      <c r="CG256" s="514">
        <v>867.18373551455193</v>
      </c>
      <c r="CH256" s="514">
        <v>0</v>
      </c>
      <c r="CI256" s="514">
        <v>124.18729031468109</v>
      </c>
      <c r="CJ256" s="582">
        <v>0</v>
      </c>
      <c r="CK256" s="582">
        <v>27.962287253581486</v>
      </c>
    </row>
    <row r="257" spans="1:89" ht="12.75" customHeight="1">
      <c r="A257" s="560">
        <v>45800</v>
      </c>
      <c r="B257" s="512">
        <v>0.94589968755495801</v>
      </c>
      <c r="C257" s="513">
        <v>0.78141192113926716</v>
      </c>
      <c r="D257" s="513">
        <v>0.94589968755495801</v>
      </c>
      <c r="E257" s="513">
        <v>0.78141192113926716</v>
      </c>
      <c r="F257" s="510">
        <v>74.852000000000004</v>
      </c>
      <c r="G257" s="510">
        <v>1255.749</v>
      </c>
      <c r="H257" s="510">
        <v>2.1922994709560197</v>
      </c>
      <c r="I257" s="510">
        <v>2.3542905469166211</v>
      </c>
      <c r="J257" s="510">
        <v>748.44145781010991</v>
      </c>
      <c r="K257" s="511">
        <v>904.37426587638345</v>
      </c>
      <c r="L257" s="512">
        <v>0.80482586420255331</v>
      </c>
      <c r="M257" s="513">
        <v>0.87781217342946172</v>
      </c>
      <c r="N257" s="513">
        <v>0.80482586420255331</v>
      </c>
      <c r="O257" s="513">
        <v>0.93284164720128937</v>
      </c>
      <c r="P257" s="510">
        <v>53.637999999999998</v>
      </c>
      <c r="Q257" s="510">
        <v>1350.0909999999999</v>
      </c>
      <c r="R257" s="510">
        <v>2.7468399269174837</v>
      </c>
      <c r="S257" s="510">
        <v>2.2483210391003272</v>
      </c>
      <c r="T257" s="510">
        <v>0.26660203587009212</v>
      </c>
      <c r="U257" s="510">
        <v>0.21998517136992984</v>
      </c>
      <c r="V257" s="510">
        <v>769.41739065586557</v>
      </c>
      <c r="W257" s="510">
        <v>624.52592454878913</v>
      </c>
      <c r="X257" s="510">
        <v>423.87859353443451</v>
      </c>
      <c r="Y257" s="569">
        <v>456.33398045020681</v>
      </c>
      <c r="Z257" s="513">
        <v>0.22873773908048853</v>
      </c>
      <c r="AA257" s="1026">
        <v>0.8502032635848088</v>
      </c>
      <c r="AB257" s="513">
        <v>0.42155747808604516</v>
      </c>
      <c r="AC257" s="513">
        <v>0.86831624817610276</v>
      </c>
      <c r="AD257" s="510">
        <v>10.724</v>
      </c>
      <c r="AE257" s="510">
        <v>874.02600000000007</v>
      </c>
      <c r="AF257" s="510">
        <v>196.28134363616425</v>
      </c>
      <c r="AG257" s="510">
        <v>106.51768075133768</v>
      </c>
      <c r="AH257" s="510">
        <v>3.2823573293547188</v>
      </c>
      <c r="AI257" s="510">
        <v>1.5435467594785508</v>
      </c>
      <c r="AJ257" s="510">
        <v>2296.0033569563252</v>
      </c>
      <c r="AK257" s="569">
        <v>907.51952459080167</v>
      </c>
      <c r="AL257" s="576">
        <v>0</v>
      </c>
      <c r="AM257" s="577">
        <v>26.090757025534707</v>
      </c>
      <c r="AN257" s="512">
        <v>0.98662594179873531</v>
      </c>
      <c r="AO257" s="513">
        <v>0.81370618601133404</v>
      </c>
      <c r="AP257" s="513">
        <v>0.98662594179873531</v>
      </c>
      <c r="AQ257" s="513">
        <v>0.81370618601133404</v>
      </c>
      <c r="AR257" s="510">
        <v>51.017000000000003</v>
      </c>
      <c r="AS257" s="510">
        <v>975.25099999999998</v>
      </c>
      <c r="AT257" s="514">
        <v>114.69788181491911</v>
      </c>
      <c r="AU257" s="514">
        <v>111.66762657005606</v>
      </c>
      <c r="AV257" s="510">
        <v>1.3681713938491089</v>
      </c>
      <c r="AW257" s="510">
        <v>1.4959225881337217</v>
      </c>
      <c r="AX257" s="510">
        <v>0.17249152243369859</v>
      </c>
      <c r="AY257" s="510">
        <v>0.1865160866279553</v>
      </c>
      <c r="AZ257" s="510">
        <v>853.68289001705386</v>
      </c>
      <c r="BA257" s="510">
        <v>886.33147774265285</v>
      </c>
      <c r="BB257" s="510">
        <v>501.79351980712096</v>
      </c>
      <c r="BC257" s="510">
        <v>555.42716695496915</v>
      </c>
      <c r="BD257" s="510">
        <v>0</v>
      </c>
      <c r="BE257" s="511">
        <v>0</v>
      </c>
      <c r="BF257" s="512">
        <v>0.98183318975463896</v>
      </c>
      <c r="BG257" s="513">
        <v>0.88368934373088059</v>
      </c>
      <c r="BH257" s="513">
        <v>0.98183318975463896</v>
      </c>
      <c r="BI257" s="513">
        <v>0.88368934373088059</v>
      </c>
      <c r="BJ257" s="510">
        <v>51.359000000000002</v>
      </c>
      <c r="BK257" s="510">
        <v>1041.7769999999998</v>
      </c>
      <c r="BL257" s="510">
        <v>2.4747366576452032</v>
      </c>
      <c r="BM257" s="510">
        <v>2.6836837442178134</v>
      </c>
      <c r="BN257" s="514">
        <v>0</v>
      </c>
      <c r="BO257" s="514">
        <v>0</v>
      </c>
      <c r="BP257" s="514">
        <v>957.53949005444372</v>
      </c>
      <c r="BQ257" s="514">
        <v>976.62646101448581</v>
      </c>
      <c r="BR257" s="514">
        <v>0</v>
      </c>
      <c r="BS257" s="1031">
        <v>0</v>
      </c>
      <c r="BT257" s="512">
        <v>0.93543999490152308</v>
      </c>
      <c r="BU257" s="1026">
        <v>0.89548470664007629</v>
      </c>
      <c r="BV257" s="581">
        <v>0.93543999490152308</v>
      </c>
      <c r="BW257" s="581">
        <v>0.90900043847732959</v>
      </c>
      <c r="BX257" s="510">
        <v>48.192999999999998</v>
      </c>
      <c r="BY257" s="510">
        <v>1069.068</v>
      </c>
      <c r="BZ257" s="514">
        <v>78.134522322620384</v>
      </c>
      <c r="CA257" s="514">
        <v>79.120143043807843</v>
      </c>
      <c r="CB257" s="510">
        <v>2.0749901437968172</v>
      </c>
      <c r="CC257" s="510">
        <v>2.038223948336308</v>
      </c>
      <c r="CD257" s="514">
        <v>0.18052414251032306</v>
      </c>
      <c r="CE257" s="514">
        <v>4.6956788529822241E-2</v>
      </c>
      <c r="CF257" s="514">
        <v>870.43220655064692</v>
      </c>
      <c r="CG257" s="514">
        <v>867.33017480994056</v>
      </c>
      <c r="CH257" s="514">
        <v>531.19747681198282</v>
      </c>
      <c r="CI257" s="514">
        <v>142.5350866362102</v>
      </c>
      <c r="CJ257" s="582">
        <v>0</v>
      </c>
      <c r="CK257" s="582">
        <v>26.701762656818836</v>
      </c>
    </row>
    <row r="258" spans="1:89" ht="12.75" customHeight="1">
      <c r="A258" s="560">
        <v>45801</v>
      </c>
      <c r="B258" s="512">
        <v>0.91824747263322037</v>
      </c>
      <c r="C258" s="513">
        <v>0.78770544487628602</v>
      </c>
      <c r="D258" s="513">
        <v>0.91824747263322037</v>
      </c>
      <c r="E258" s="513">
        <v>0.78770544487628602</v>
      </c>
      <c r="F258" s="510">
        <v>71.141999999999996</v>
      </c>
      <c r="G258" s="510">
        <v>1326.8910000000001</v>
      </c>
      <c r="H258" s="510">
        <v>2.2304967529729276</v>
      </c>
      <c r="I258" s="510">
        <v>2.3476532737052249</v>
      </c>
      <c r="J258" s="510">
        <v>840.71434595592211</v>
      </c>
      <c r="K258" s="511">
        <v>900.96110381334927</v>
      </c>
      <c r="L258" s="512">
        <v>0.92375270761772743</v>
      </c>
      <c r="M258" s="513">
        <v>0.87972176869359109</v>
      </c>
      <c r="N258" s="513">
        <v>0.92375270761772743</v>
      </c>
      <c r="O258" s="513">
        <v>0.93244120980838252</v>
      </c>
      <c r="P258" s="510">
        <v>61.616999999999997</v>
      </c>
      <c r="Q258" s="510">
        <v>1411.7079999999999</v>
      </c>
      <c r="R258" s="510">
        <v>2.2540532645211551</v>
      </c>
      <c r="S258" s="510">
        <v>2.2485712342779101</v>
      </c>
      <c r="T258" s="510">
        <v>0.18339094730350392</v>
      </c>
      <c r="U258" s="510">
        <v>0.21838793858219971</v>
      </c>
      <c r="V258" s="510">
        <v>685.83913530358097</v>
      </c>
      <c r="W258" s="510">
        <v>627.20207011648324</v>
      </c>
      <c r="X258" s="510">
        <v>377.33093139880231</v>
      </c>
      <c r="Y258" s="569">
        <v>452.8857242432573</v>
      </c>
      <c r="Z258" s="513">
        <v>0</v>
      </c>
      <c r="AA258" s="1026">
        <v>0.81292269476074408</v>
      </c>
      <c r="AB258" s="513" t="e">
        <v>#DIV/0!</v>
      </c>
      <c r="AC258" s="513">
        <v>0.86831624817610276</v>
      </c>
      <c r="AD258" s="510">
        <v>0</v>
      </c>
      <c r="AE258" s="510">
        <v>874.02600000000007</v>
      </c>
      <c r="AF258" s="510">
        <v>0</v>
      </c>
      <c r="AG258" s="510">
        <v>106.51768075133768</v>
      </c>
      <c r="AH258" s="510">
        <v>0</v>
      </c>
      <c r="AI258" s="510">
        <v>1.5699761791983302</v>
      </c>
      <c r="AJ258" s="510">
        <v>0</v>
      </c>
      <c r="AK258" s="569">
        <v>915.65440845009221</v>
      </c>
      <c r="AL258" s="576">
        <v>0</v>
      </c>
      <c r="AM258" s="577">
        <v>26.090757025534707</v>
      </c>
      <c r="AN258" s="512">
        <v>0.98247045585734438</v>
      </c>
      <c r="AO258" s="513">
        <v>0.82076349366234036</v>
      </c>
      <c r="AP258" s="513">
        <v>0.98247045585734438</v>
      </c>
      <c r="AQ258" s="513">
        <v>0.82076349366234036</v>
      </c>
      <c r="AR258" s="510">
        <v>51.39</v>
      </c>
      <c r="AS258" s="510">
        <v>1026.6410000000001</v>
      </c>
      <c r="AT258" s="514">
        <v>118.81792982721457</v>
      </c>
      <c r="AU258" s="514">
        <v>112.0255453404786</v>
      </c>
      <c r="AV258" s="510">
        <v>1.4010507880910683</v>
      </c>
      <c r="AW258" s="510">
        <v>1.491173642977438</v>
      </c>
      <c r="AX258" s="510">
        <v>0.17318544463903485</v>
      </c>
      <c r="AY258" s="510">
        <v>0.18584880206420748</v>
      </c>
      <c r="AZ258" s="510">
        <v>856.39424012453662</v>
      </c>
      <c r="BA258" s="510">
        <v>884.83292601795551</v>
      </c>
      <c r="BB258" s="510">
        <v>500.98268145553573</v>
      </c>
      <c r="BC258" s="510">
        <v>552.70186949478989</v>
      </c>
      <c r="BD258" s="510">
        <v>0</v>
      </c>
      <c r="BE258" s="511">
        <v>0</v>
      </c>
      <c r="BF258" s="512">
        <v>0.89003482407635326</v>
      </c>
      <c r="BG258" s="513">
        <v>0.88396303933047216</v>
      </c>
      <c r="BH258" s="513">
        <v>0.89003482407635326</v>
      </c>
      <c r="BI258" s="513">
        <v>0.88396303933047216</v>
      </c>
      <c r="BJ258" s="510">
        <v>47.296999999999997</v>
      </c>
      <c r="BK258" s="510">
        <v>1089.0739999999998</v>
      </c>
      <c r="BL258" s="510">
        <v>2.7041884263272515</v>
      </c>
      <c r="BM258" s="510">
        <v>2.6845742346250128</v>
      </c>
      <c r="BN258" s="514">
        <v>0</v>
      </c>
      <c r="BO258" s="514">
        <v>0</v>
      </c>
      <c r="BP258" s="514">
        <v>959.58132490779087</v>
      </c>
      <c r="BQ258" s="514">
        <v>975.88621397669181</v>
      </c>
      <c r="BR258" s="514">
        <v>0</v>
      </c>
      <c r="BS258" s="1031">
        <v>0</v>
      </c>
      <c r="BT258" s="512">
        <v>0.80131105031907224</v>
      </c>
      <c r="BU258" s="1026">
        <v>0.89159083204263689</v>
      </c>
      <c r="BV258" s="581">
        <v>0.80131105031907224</v>
      </c>
      <c r="BW258" s="581">
        <v>0.90448333112991242</v>
      </c>
      <c r="BX258" s="510">
        <v>41.261000000000003</v>
      </c>
      <c r="BY258" s="510">
        <v>1110.329</v>
      </c>
      <c r="BZ258" s="514">
        <v>83.629737189583309</v>
      </c>
      <c r="CA258" s="514">
        <v>79.287724331920501</v>
      </c>
      <c r="CB258" s="510">
        <v>2.1133758270521801</v>
      </c>
      <c r="CC258" s="510">
        <v>2.0410166716351639</v>
      </c>
      <c r="CD258" s="514">
        <v>0.17692251763166184</v>
      </c>
      <c r="CE258" s="514">
        <v>5.1786452483903421E-2</v>
      </c>
      <c r="CF258" s="514">
        <v>847.65207037723894</v>
      </c>
      <c r="CG258" s="514">
        <v>866.59891563631027</v>
      </c>
      <c r="CH258" s="514">
        <v>510.51840721262164</v>
      </c>
      <c r="CI258" s="514">
        <v>156.20973603319368</v>
      </c>
      <c r="CJ258" s="582">
        <v>0</v>
      </c>
      <c r="CK258" s="582">
        <v>25.709496914878383</v>
      </c>
    </row>
    <row r="259" spans="1:89" ht="12.75" customHeight="1">
      <c r="A259" s="560">
        <v>45802</v>
      </c>
      <c r="B259" s="512">
        <v>0.96616528601411233</v>
      </c>
      <c r="C259" s="513">
        <v>0.79559753678108658</v>
      </c>
      <c r="D259" s="513">
        <v>0.96616528601411233</v>
      </c>
      <c r="E259" s="513">
        <v>0.79559753678108658</v>
      </c>
      <c r="F259" s="510">
        <v>75.304000000000002</v>
      </c>
      <c r="G259" s="510">
        <v>1402.1950000000002</v>
      </c>
      <c r="H259" s="510">
        <v>2.1557818973759693</v>
      </c>
      <c r="I259" s="510">
        <v>2.3373489421942022</v>
      </c>
      <c r="J259" s="510">
        <v>812.69972378627403</v>
      </c>
      <c r="K259" s="511">
        <v>896.22108194651969</v>
      </c>
      <c r="L259" s="512">
        <v>0.89586787005392243</v>
      </c>
      <c r="M259" s="513">
        <v>0.88036612470776909</v>
      </c>
      <c r="N259" s="513">
        <v>0.89586787005392243</v>
      </c>
      <c r="O259" s="513">
        <v>0.93089787004461411</v>
      </c>
      <c r="P259" s="510">
        <v>59.756999999999998</v>
      </c>
      <c r="Q259" s="510">
        <v>1471.4649999999999</v>
      </c>
      <c r="R259" s="510">
        <v>2.3677895476680559</v>
      </c>
      <c r="S259" s="510">
        <v>2.253412755315281</v>
      </c>
      <c r="T259" s="510">
        <v>0.28615894372207445</v>
      </c>
      <c r="U259" s="510">
        <v>0.22114015623885039</v>
      </c>
      <c r="V259" s="510">
        <v>735.04041367537741</v>
      </c>
      <c r="W259" s="510">
        <v>631.58144434288261</v>
      </c>
      <c r="X259" s="510">
        <v>364.6267382900748</v>
      </c>
      <c r="Y259" s="569">
        <v>449.3014784585431</v>
      </c>
      <c r="Z259" s="513">
        <v>0.23430671906503878</v>
      </c>
      <c r="AA259" s="1026">
        <v>0.78697611223190156</v>
      </c>
      <c r="AB259" s="513">
        <v>0.49545033106263708</v>
      </c>
      <c r="AC259" s="513">
        <v>0.85967847976229828</v>
      </c>
      <c r="AD259" s="510">
        <v>11.827</v>
      </c>
      <c r="AE259" s="510">
        <v>885.85300000000007</v>
      </c>
      <c r="AF259" s="510">
        <v>163.12255744516531</v>
      </c>
      <c r="AG259" s="510">
        <v>107.27341096465511</v>
      </c>
      <c r="AH259" s="510">
        <v>3.6864800879343878</v>
      </c>
      <c r="AI259" s="510">
        <v>1.5982335669687855</v>
      </c>
      <c r="AJ259" s="510">
        <v>1640.2756404836084</v>
      </c>
      <c r="AK259" s="569">
        <v>925.32880737548999</v>
      </c>
      <c r="AL259" s="576">
        <v>0</v>
      </c>
      <c r="AM259" s="577">
        <v>25.742420017768183</v>
      </c>
      <c r="AN259" s="512">
        <v>1.0143400462429095</v>
      </c>
      <c r="AO259" s="513">
        <v>0.82853346879867118</v>
      </c>
      <c r="AP259" s="513">
        <v>1.0143400462429095</v>
      </c>
      <c r="AQ259" s="513">
        <v>0.82853346879867118</v>
      </c>
      <c r="AR259" s="510">
        <v>53.057000000000002</v>
      </c>
      <c r="AS259" s="510">
        <v>1079.6980000000001</v>
      </c>
      <c r="AT259" s="514">
        <v>111.85401569981993</v>
      </c>
      <c r="AU259" s="514">
        <v>112.01711627221653</v>
      </c>
      <c r="AV259" s="510">
        <v>1.3589158829183707</v>
      </c>
      <c r="AW259" s="510">
        <v>1.4846744182169458</v>
      </c>
      <c r="AX259" s="510">
        <v>0.13381834630680212</v>
      </c>
      <c r="AY259" s="510">
        <v>0.18329199461330856</v>
      </c>
      <c r="AZ259" s="510">
        <v>804.2207437284444</v>
      </c>
      <c r="BA259" s="510">
        <v>880.87159557579992</v>
      </c>
      <c r="BB259" s="510">
        <v>522.38158961117699</v>
      </c>
      <c r="BC259" s="510">
        <v>551.21191296084726</v>
      </c>
      <c r="BD259" s="510">
        <v>0</v>
      </c>
      <c r="BE259" s="511">
        <v>0</v>
      </c>
      <c r="BF259" s="512">
        <v>0.92974790958811526</v>
      </c>
      <c r="BG259" s="513">
        <v>0.88578962863744848</v>
      </c>
      <c r="BH259" s="513">
        <v>0.92974790958811526</v>
      </c>
      <c r="BI259" s="513">
        <v>0.88578962863744848</v>
      </c>
      <c r="BJ259" s="510">
        <v>47.597999999999999</v>
      </c>
      <c r="BK259" s="510">
        <v>1136.6719999999998</v>
      </c>
      <c r="BL259" s="510">
        <v>2.6807849069288623</v>
      </c>
      <c r="BM259" s="510">
        <v>2.684415556994455</v>
      </c>
      <c r="BN259" s="514">
        <v>0</v>
      </c>
      <c r="BO259" s="514">
        <v>0</v>
      </c>
      <c r="BP259" s="514">
        <v>1046.5000460361448</v>
      </c>
      <c r="BQ259" s="514">
        <v>978.84315949691734</v>
      </c>
      <c r="BR259" s="514">
        <v>0</v>
      </c>
      <c r="BS259" s="1031">
        <v>0</v>
      </c>
      <c r="BT259" s="512">
        <v>0.92021721753332797</v>
      </c>
      <c r="BU259" s="1026">
        <v>0.89272745669658204</v>
      </c>
      <c r="BV259" s="581">
        <v>0.92021721753332797</v>
      </c>
      <c r="BW259" s="581">
        <v>0.90511672267757237</v>
      </c>
      <c r="BX259" s="510">
        <v>47.383000000000003</v>
      </c>
      <c r="BY259" s="510">
        <v>1157.712</v>
      </c>
      <c r="BZ259" s="514">
        <v>75.014477810833654</v>
      </c>
      <c r="CA259" s="514">
        <v>79.112828295679492</v>
      </c>
      <c r="CB259" s="510">
        <v>2.0387058649726693</v>
      </c>
      <c r="CC259" s="510">
        <v>2.0409220946142042</v>
      </c>
      <c r="CD259" s="514">
        <v>0.13718000126627694</v>
      </c>
      <c r="CE259" s="514">
        <v>5.5281451690921406E-2</v>
      </c>
      <c r="CF259" s="514">
        <v>840.3290380256858</v>
      </c>
      <c r="CG259" s="514">
        <v>865.52373838080621</v>
      </c>
      <c r="CH259" s="514">
        <v>539.94048498407017</v>
      </c>
      <c r="CI259" s="514">
        <v>171.91512224111017</v>
      </c>
      <c r="CJ259" s="582">
        <v>0</v>
      </c>
      <c r="CK259" s="582">
        <v>24.657254999516287</v>
      </c>
    </row>
    <row r="260" spans="1:89" ht="12.75" customHeight="1">
      <c r="A260" s="560">
        <v>45803</v>
      </c>
      <c r="B260" s="512">
        <v>0.96837201359364211</v>
      </c>
      <c r="C260" s="513">
        <v>0.80284821020911112</v>
      </c>
      <c r="D260" s="513">
        <v>0.96837201359364211</v>
      </c>
      <c r="E260" s="513">
        <v>0.80284821020911112</v>
      </c>
      <c r="F260" s="510">
        <v>74.760999999999996</v>
      </c>
      <c r="G260" s="510">
        <v>1476.9560000000001</v>
      </c>
      <c r="H260" s="510">
        <v>2.1049878947579619</v>
      </c>
      <c r="I260" s="510">
        <v>2.3255872212848585</v>
      </c>
      <c r="J260" s="510">
        <v>758.71457043109149</v>
      </c>
      <c r="K260" s="511">
        <v>889.26073627108667</v>
      </c>
      <c r="L260" s="512">
        <v>0.883079823579769</v>
      </c>
      <c r="M260" s="513">
        <v>0.88047026649198856</v>
      </c>
      <c r="N260" s="513">
        <v>0.883079823579769</v>
      </c>
      <c r="O260" s="513">
        <v>0.92896172310139391</v>
      </c>
      <c r="P260" s="510">
        <v>58.904000000000003</v>
      </c>
      <c r="Q260" s="510">
        <v>1530.3689999999999</v>
      </c>
      <c r="R260" s="510">
        <v>2.5509473040880075</v>
      </c>
      <c r="S260" s="510">
        <v>2.2648648789932362</v>
      </c>
      <c r="T260" s="510">
        <v>0.19183756620942552</v>
      </c>
      <c r="U260" s="510">
        <v>0.22001229768768185</v>
      </c>
      <c r="V260" s="510">
        <v>722.50594187154036</v>
      </c>
      <c r="W260" s="510">
        <v>635.08113402715344</v>
      </c>
      <c r="X260" s="510">
        <v>333.1352709493413</v>
      </c>
      <c r="Y260" s="569">
        <v>444.83023375408163</v>
      </c>
      <c r="Z260" s="513">
        <v>0.87772710438234236</v>
      </c>
      <c r="AA260" s="1026">
        <v>0.79063543820997262</v>
      </c>
      <c r="AB260" s="513">
        <v>0.87772710438234236</v>
      </c>
      <c r="AC260" s="513">
        <v>0.86047053150635433</v>
      </c>
      <c r="AD260" s="510">
        <v>41.512999999999998</v>
      </c>
      <c r="AE260" s="510">
        <v>927.3660000000001</v>
      </c>
      <c r="AF260" s="510">
        <v>98.419387115344037</v>
      </c>
      <c r="AG260" s="510">
        <v>106.87706573304597</v>
      </c>
      <c r="AH260" s="510">
        <v>1.5874545323151785</v>
      </c>
      <c r="AI260" s="510">
        <v>1.5977510497473486</v>
      </c>
      <c r="AJ260" s="510">
        <v>896.88194059693899</v>
      </c>
      <c r="AK260" s="569">
        <v>924.05539991761691</v>
      </c>
      <c r="AL260" s="576">
        <v>0</v>
      </c>
      <c r="AM260" s="577">
        <v>24.590075547302789</v>
      </c>
      <c r="AN260" s="512">
        <v>0.95473474895328414</v>
      </c>
      <c r="AO260" s="513">
        <v>0.83351952337572344</v>
      </c>
      <c r="AP260" s="513">
        <v>0.95473474895328414</v>
      </c>
      <c r="AQ260" s="513">
        <v>0.83351952337572344</v>
      </c>
      <c r="AR260" s="510">
        <v>51.177</v>
      </c>
      <c r="AS260" s="510">
        <v>1130.875</v>
      </c>
      <c r="AT260" s="514">
        <v>116.06991672063717</v>
      </c>
      <c r="AU260" s="514">
        <v>112.20052307539886</v>
      </c>
      <c r="AV260" s="510">
        <v>1.4127440060964886</v>
      </c>
      <c r="AW260" s="510">
        <v>1.4814192550016581</v>
      </c>
      <c r="AX260" s="510">
        <v>0.16999824139750278</v>
      </c>
      <c r="AY260" s="510">
        <v>0.18269039460594674</v>
      </c>
      <c r="AZ260" s="510">
        <v>864.69038826034966</v>
      </c>
      <c r="BA260" s="510">
        <v>880.13932574334024</v>
      </c>
      <c r="BB260" s="510">
        <v>511.2257459405588</v>
      </c>
      <c r="BC260" s="510">
        <v>549.4023654250035</v>
      </c>
      <c r="BD260" s="510">
        <v>0</v>
      </c>
      <c r="BE260" s="511">
        <v>0</v>
      </c>
      <c r="BF260" s="512">
        <v>0.80511644670118809</v>
      </c>
      <c r="BG260" s="513">
        <v>0.88251422197571106</v>
      </c>
      <c r="BH260" s="513">
        <v>0.80511644670118809</v>
      </c>
      <c r="BI260" s="513">
        <v>0.88251422197571106</v>
      </c>
      <c r="BJ260" s="510">
        <v>43.722000000000001</v>
      </c>
      <c r="BK260" s="510">
        <v>1180.3939999999998</v>
      </c>
      <c r="BL260" s="510">
        <v>3.0076391747861488</v>
      </c>
      <c r="BM260" s="510">
        <v>2.6963878162715171</v>
      </c>
      <c r="BN260" s="514">
        <v>0</v>
      </c>
      <c r="BO260" s="514">
        <v>0</v>
      </c>
      <c r="BP260" s="514">
        <v>1052.800019721986</v>
      </c>
      <c r="BQ260" s="514">
        <v>981.58253452149438</v>
      </c>
      <c r="BR260" s="514">
        <v>0</v>
      </c>
      <c r="BS260" s="1031">
        <v>0</v>
      </c>
      <c r="BT260" s="512">
        <v>0.93677897904992058</v>
      </c>
      <c r="BU260" s="1026">
        <v>0.8944241407430561</v>
      </c>
      <c r="BV260" s="581">
        <v>0.93677897904992058</v>
      </c>
      <c r="BW260" s="581">
        <v>0.90635248666256585</v>
      </c>
      <c r="BX260" s="510">
        <v>48.664999999999999</v>
      </c>
      <c r="BY260" s="510">
        <v>1206.377</v>
      </c>
      <c r="BZ260" s="514">
        <v>76.198620254159565</v>
      </c>
      <c r="CA260" s="514">
        <v>78.995269742805419</v>
      </c>
      <c r="CB260" s="510">
        <v>1.8884208363300115</v>
      </c>
      <c r="CC260" s="510">
        <v>2.0347702252281001</v>
      </c>
      <c r="CD260" s="514">
        <v>0.17260865098119799</v>
      </c>
      <c r="CE260" s="514">
        <v>6.0014406773338691E-2</v>
      </c>
      <c r="CF260" s="514">
        <v>730.94148849718238</v>
      </c>
      <c r="CG260" s="514">
        <v>860.0947181072213</v>
      </c>
      <c r="CH260" s="514">
        <v>516.53138806123457</v>
      </c>
      <c r="CI260" s="514">
        <v>185.81687150865784</v>
      </c>
      <c r="CJ260" s="582">
        <v>0</v>
      </c>
      <c r="CK260" s="582">
        <v>23.662586405410579</v>
      </c>
    </row>
    <row r="261" spans="1:89" ht="12.75" customHeight="1">
      <c r="A261" s="560">
        <v>45804</v>
      </c>
      <c r="B261" s="512">
        <v>1.0151208679593164</v>
      </c>
      <c r="C261" s="513">
        <v>0.81083999206235868</v>
      </c>
      <c r="D261" s="513">
        <v>1.0151208679593164</v>
      </c>
      <c r="E261" s="513">
        <v>0.81083999206235868</v>
      </c>
      <c r="F261" s="510">
        <v>73.058000000000007</v>
      </c>
      <c r="G261" s="510">
        <v>1550.0140000000001</v>
      </c>
      <c r="H261" s="510">
        <v>2.0646198910454703</v>
      </c>
      <c r="I261" s="510">
        <v>2.3132868477316979</v>
      </c>
      <c r="J261" s="510">
        <v>839.94880779653727</v>
      </c>
      <c r="K261" s="511">
        <v>886.93647928341204</v>
      </c>
      <c r="L261" s="512">
        <v>0.82885207284775775</v>
      </c>
      <c r="M261" s="513">
        <v>0.87852334173669722</v>
      </c>
      <c r="N261" s="513">
        <v>0.82885207284775775</v>
      </c>
      <c r="O261" s="513">
        <v>0.92498610906982148</v>
      </c>
      <c r="P261" s="510">
        <v>56.468000000000004</v>
      </c>
      <c r="Q261" s="510">
        <v>1586.837</v>
      </c>
      <c r="R261" s="510">
        <v>2.7234717007862854</v>
      </c>
      <c r="S261" s="510">
        <v>2.2811845198971286</v>
      </c>
      <c r="T261" s="510">
        <v>0.21250974002975134</v>
      </c>
      <c r="U261" s="510">
        <v>0.21974531725690791</v>
      </c>
      <c r="V261" s="510">
        <v>773.30647446339469</v>
      </c>
      <c r="W261" s="510">
        <v>639.99991807602169</v>
      </c>
      <c r="X261" s="510">
        <v>394.878515265283</v>
      </c>
      <c r="Y261" s="569">
        <v>443.0526890915703</v>
      </c>
      <c r="Z261" s="513">
        <v>0.87244299706653117</v>
      </c>
      <c r="AA261" s="1026">
        <v>0.79346621085450508</v>
      </c>
      <c r="AB261" s="513">
        <v>0.87244299706653117</v>
      </c>
      <c r="AC261" s="513">
        <v>0.86092003133290629</v>
      </c>
      <c r="AD261" s="510">
        <v>36.679000000000002</v>
      </c>
      <c r="AE261" s="510">
        <v>964.04500000000007</v>
      </c>
      <c r="AF261" s="510">
        <v>109.21936375302629</v>
      </c>
      <c r="AG261" s="510">
        <v>106.96618309693963</v>
      </c>
      <c r="AH261" s="510">
        <v>1.7748575479157009</v>
      </c>
      <c r="AI261" s="510">
        <v>1.6044894169877959</v>
      </c>
      <c r="AJ261" s="510">
        <v>1047.6016249079707</v>
      </c>
      <c r="AK261" s="569">
        <v>928.7559605620072</v>
      </c>
      <c r="AL261" s="576">
        <v>0</v>
      </c>
      <c r="AM261" s="577">
        <v>23.654497456031617</v>
      </c>
      <c r="AN261" s="512">
        <v>0.95392476795541248</v>
      </c>
      <c r="AO261" s="513">
        <v>0.83805301274665089</v>
      </c>
      <c r="AP261" s="513">
        <v>0.95392476795541248</v>
      </c>
      <c r="AQ261" s="513">
        <v>0.83805301274665089</v>
      </c>
      <c r="AR261" s="510">
        <v>50.637</v>
      </c>
      <c r="AS261" s="510">
        <v>1181.5119999999999</v>
      </c>
      <c r="AT261" s="514">
        <v>116.10861129703925</v>
      </c>
      <c r="AU261" s="514">
        <v>112.36801512226695</v>
      </c>
      <c r="AV261" s="510">
        <v>1.3922625747970852</v>
      </c>
      <c r="AW261" s="510">
        <v>1.4775981962096025</v>
      </c>
      <c r="AX261" s="510">
        <v>0.17181112625155517</v>
      </c>
      <c r="AY261" s="510">
        <v>0.18222413314464858</v>
      </c>
      <c r="AZ261" s="510">
        <v>858.75901020992717</v>
      </c>
      <c r="BA261" s="510">
        <v>879.223012546635</v>
      </c>
      <c r="BB261" s="510">
        <v>482.96502557418177</v>
      </c>
      <c r="BC261" s="510">
        <v>546.55500748193901</v>
      </c>
      <c r="BD261" s="510">
        <v>0</v>
      </c>
      <c r="BE261" s="511">
        <v>0</v>
      </c>
      <c r="BF261" s="512">
        <v>1.1146082500605712</v>
      </c>
      <c r="BG261" s="513">
        <v>0.89107210116085267</v>
      </c>
      <c r="BH261" s="513">
        <v>1.1146082500605712</v>
      </c>
      <c r="BI261" s="513">
        <v>0.89107210116085267</v>
      </c>
      <c r="BJ261" s="510">
        <v>57.075000000000003</v>
      </c>
      <c r="BK261" s="510">
        <v>1237.4689999999998</v>
      </c>
      <c r="BL261" s="510">
        <v>2.240911081909768</v>
      </c>
      <c r="BM261" s="510">
        <v>2.6753801509371153</v>
      </c>
      <c r="BN261" s="514">
        <v>0</v>
      </c>
      <c r="BO261" s="514">
        <v>0</v>
      </c>
      <c r="BP261" s="514">
        <v>844.35128990186786</v>
      </c>
      <c r="BQ261" s="514">
        <v>975.2531046233189</v>
      </c>
      <c r="BR261" s="514">
        <v>0</v>
      </c>
      <c r="BS261" s="1031">
        <v>0</v>
      </c>
      <c r="BT261" s="512">
        <v>0.90463165557459568</v>
      </c>
      <c r="BU261" s="1026">
        <v>0.8948035647888859</v>
      </c>
      <c r="BV261" s="581">
        <v>0.90463165557459568</v>
      </c>
      <c r="BW261" s="581">
        <v>0.90628770061957986</v>
      </c>
      <c r="BX261" s="510">
        <v>47.104999999999997</v>
      </c>
      <c r="BY261" s="510">
        <v>1253.482</v>
      </c>
      <c r="BZ261" s="514">
        <v>74.65345943433968</v>
      </c>
      <c r="CA261" s="514">
        <v>78.832107467973955</v>
      </c>
      <c r="CB261" s="510">
        <v>1.9679439549941622</v>
      </c>
      <c r="CC261" s="510">
        <v>2.0322589394981336</v>
      </c>
      <c r="CD261" s="514">
        <v>0.19318543679014968</v>
      </c>
      <c r="CE261" s="514">
        <v>6.5018883398405405E-2</v>
      </c>
      <c r="CF261" s="514">
        <v>817.50515080885702</v>
      </c>
      <c r="CG261" s="514">
        <v>858.49423116956325</v>
      </c>
      <c r="CH261" s="514">
        <v>540.36938753847437</v>
      </c>
      <c r="CI261" s="514">
        <v>199.14071362811748</v>
      </c>
      <c r="CJ261" s="582">
        <v>0</v>
      </c>
      <c r="CK261" s="582">
        <v>22.773362521360497</v>
      </c>
    </row>
    <row r="262" spans="1:89" ht="12.75" customHeight="1">
      <c r="A262" s="560">
        <v>45805</v>
      </c>
      <c r="B262" s="512">
        <v>0.93912887739559681</v>
      </c>
      <c r="C262" s="513">
        <v>0.8148756794129518</v>
      </c>
      <c r="D262" s="513">
        <v>0.93912887739559681</v>
      </c>
      <c r="E262" s="513">
        <v>0.8148756794129518</v>
      </c>
      <c r="F262" s="510">
        <v>58.308999999999997</v>
      </c>
      <c r="G262" s="510">
        <v>1608.3230000000001</v>
      </c>
      <c r="H262" s="510">
        <v>2.1903994237596254</v>
      </c>
      <c r="I262" s="510">
        <v>2.3088316215088631</v>
      </c>
      <c r="J262" s="510">
        <v>1058.9238368005299</v>
      </c>
      <c r="K262" s="511">
        <v>893.17180068929008</v>
      </c>
      <c r="L262" s="512">
        <v>0.84743326110858086</v>
      </c>
      <c r="M262" s="513">
        <v>0.87737043198669518</v>
      </c>
      <c r="N262" s="513">
        <v>0.84743326110858086</v>
      </c>
      <c r="O262" s="513">
        <v>0.92196405514334079</v>
      </c>
      <c r="P262" s="510">
        <v>58.948</v>
      </c>
      <c r="Q262" s="510">
        <v>1645.7850000000001</v>
      </c>
      <c r="R262" s="510">
        <v>2.7380063785030875</v>
      </c>
      <c r="S262" s="510">
        <v>2.2975467633986209</v>
      </c>
      <c r="T262" s="510">
        <v>0.25446155934043563</v>
      </c>
      <c r="U262" s="510">
        <v>0.22098876827775193</v>
      </c>
      <c r="V262" s="510">
        <v>756.2292189726536</v>
      </c>
      <c r="W262" s="510">
        <v>644.16296782386519</v>
      </c>
      <c r="X262" s="510">
        <v>423.54278347017708</v>
      </c>
      <c r="Y262" s="569">
        <v>442.35389191176256</v>
      </c>
      <c r="Z262" s="513">
        <v>0.83994501396572552</v>
      </c>
      <c r="AA262" s="1026">
        <v>0.79521868449672395</v>
      </c>
      <c r="AB262" s="513">
        <v>0.83994501396572552</v>
      </c>
      <c r="AC262" s="513">
        <v>0.86006468218642063</v>
      </c>
      <c r="AD262" s="510">
        <v>39.985999999999997</v>
      </c>
      <c r="AE262" s="510">
        <v>1004.0310000000001</v>
      </c>
      <c r="AF262" s="510">
        <v>116.65580123428725</v>
      </c>
      <c r="AG262" s="510">
        <v>107.35207663094404</v>
      </c>
      <c r="AH262" s="510">
        <v>1.5230330615715502</v>
      </c>
      <c r="AI262" s="510">
        <v>1.6012453798737287</v>
      </c>
      <c r="AJ262" s="510">
        <v>849.5223328164949</v>
      </c>
      <c r="AK262" s="569">
        <v>925.60044460778659</v>
      </c>
      <c r="AL262" s="576">
        <v>0</v>
      </c>
      <c r="AM262" s="577">
        <v>22.712446129651372</v>
      </c>
      <c r="AN262" s="512">
        <v>0.92440939228167029</v>
      </c>
      <c r="AO262" s="513">
        <v>0.84110937959685095</v>
      </c>
      <c r="AP262" s="513">
        <v>0.92440939228167029</v>
      </c>
      <c r="AQ262" s="513">
        <v>0.84110937959685095</v>
      </c>
      <c r="AR262" s="510">
        <v>47.817999999999998</v>
      </c>
      <c r="AS262" s="510">
        <v>1229.33</v>
      </c>
      <c r="AT262" s="514">
        <v>125.60427218513884</v>
      </c>
      <c r="AU262" s="514">
        <v>112.88287389918806</v>
      </c>
      <c r="AV262" s="510">
        <v>1.4178761135973901</v>
      </c>
      <c r="AW262" s="510">
        <v>1.4752751498783891</v>
      </c>
      <c r="AX262" s="510">
        <v>0.21749132125977666</v>
      </c>
      <c r="AY262" s="510">
        <v>0.18359594250526712</v>
      </c>
      <c r="AZ262" s="510">
        <v>942.30206198502526</v>
      </c>
      <c r="BA262" s="510">
        <v>881.67663686723654</v>
      </c>
      <c r="BB262" s="510">
        <v>586.59918859007405</v>
      </c>
      <c r="BC262" s="510">
        <v>548.11263045724161</v>
      </c>
      <c r="BD262" s="510">
        <v>0</v>
      </c>
      <c r="BE262" s="511">
        <v>0</v>
      </c>
      <c r="BF262" s="512">
        <v>0.85363360724118864</v>
      </c>
      <c r="BG262" s="513">
        <v>0.88965190989062137</v>
      </c>
      <c r="BH262" s="513">
        <v>0.85363360724118864</v>
      </c>
      <c r="BI262" s="513">
        <v>0.88965190989062137</v>
      </c>
      <c r="BJ262" s="510">
        <v>46.743000000000002</v>
      </c>
      <c r="BK262" s="510">
        <v>1284.2119999999998</v>
      </c>
      <c r="BL262" s="510">
        <v>2.7811650942387094</v>
      </c>
      <c r="BM262" s="510">
        <v>2.6792305320305383</v>
      </c>
      <c r="BN262" s="514">
        <v>0</v>
      </c>
      <c r="BO262" s="514">
        <v>0</v>
      </c>
      <c r="BP262" s="514">
        <v>998.34388315123556</v>
      </c>
      <c r="BQ262" s="514">
        <v>976.09356730450418</v>
      </c>
      <c r="BR262" s="514">
        <v>0</v>
      </c>
      <c r="BS262" s="1031">
        <v>0</v>
      </c>
      <c r="BT262" s="512">
        <v>1.0133528897106181</v>
      </c>
      <c r="BU262" s="1026">
        <v>0.89900880990480281</v>
      </c>
      <c r="BV262" s="581">
        <v>1.0133528897106181</v>
      </c>
      <c r="BW262" s="581">
        <v>0.9101325667683634</v>
      </c>
      <c r="BX262" s="510">
        <v>52.207000000000001</v>
      </c>
      <c r="BY262" s="510">
        <v>1305.6890000000001</v>
      </c>
      <c r="BZ262" s="514">
        <v>70.570154280016496</v>
      </c>
      <c r="CA262" s="514">
        <v>78.501759437100063</v>
      </c>
      <c r="CB262" s="510">
        <v>1.8081866416380945</v>
      </c>
      <c r="CC262" s="510">
        <v>2.0232995759327066</v>
      </c>
      <c r="CD262" s="514">
        <v>0.19154519508878121</v>
      </c>
      <c r="CE262" s="514">
        <v>7.0077943522538669E-2</v>
      </c>
      <c r="CF262" s="514">
        <v>739.6786229789376</v>
      </c>
      <c r="CG262" s="514">
        <v>853.74347776901539</v>
      </c>
      <c r="CH262" s="514">
        <v>516.21430076426827</v>
      </c>
      <c r="CI262" s="514">
        <v>211.81866432205535</v>
      </c>
      <c r="CJ262" s="582">
        <v>0</v>
      </c>
      <c r="CK262" s="582">
        <v>21.862786620703705</v>
      </c>
    </row>
    <row r="263" spans="1:89" ht="12.75" customHeight="1">
      <c r="A263" s="560">
        <v>45806</v>
      </c>
      <c r="B263" s="512">
        <v>1.0865298543808528</v>
      </c>
      <c r="C263" s="513">
        <v>0.82238916674889695</v>
      </c>
      <c r="D263" s="513">
        <v>1.0865298543808528</v>
      </c>
      <c r="E263" s="513">
        <v>0.82238916674889695</v>
      </c>
      <c r="F263" s="510">
        <v>61</v>
      </c>
      <c r="G263" s="510">
        <v>1669.3230000000001</v>
      </c>
      <c r="H263" s="510">
        <v>1.9500983606557378</v>
      </c>
      <c r="I263" s="510">
        <v>2.2957228768788305</v>
      </c>
      <c r="J263" s="510">
        <v>957.67672131146765</v>
      </c>
      <c r="K263" s="511">
        <v>895.52892400092765</v>
      </c>
      <c r="L263" s="512">
        <v>0.93951138207759488</v>
      </c>
      <c r="M263" s="513">
        <v>0.87963024133979151</v>
      </c>
      <c r="N263" s="513">
        <v>0.93951138207759488</v>
      </c>
      <c r="O263" s="513">
        <v>0.92263337527746048</v>
      </c>
      <c r="P263" s="510">
        <v>66.507999999999996</v>
      </c>
      <c r="Q263" s="510">
        <v>1712.2930000000001</v>
      </c>
      <c r="R263" s="510">
        <v>2.4154237084260539</v>
      </c>
      <c r="S263" s="510">
        <v>2.3021252787928228</v>
      </c>
      <c r="T263" s="510">
        <v>0.22553677753052265</v>
      </c>
      <c r="U263" s="510">
        <v>0.22116541970328674</v>
      </c>
      <c r="V263" s="510">
        <v>624.1874661694834</v>
      </c>
      <c r="W263" s="510">
        <v>643.38708970952973</v>
      </c>
      <c r="X263" s="510">
        <v>369.88031515005713</v>
      </c>
      <c r="Y263" s="569">
        <v>439.53891068876652</v>
      </c>
      <c r="Z263" s="513">
        <v>0.85629328515507375</v>
      </c>
      <c r="AA263" s="1026">
        <v>0.79747141146626954</v>
      </c>
      <c r="AB263" s="513">
        <v>0.85629328515507375</v>
      </c>
      <c r="AC263" s="513">
        <v>0.85991468247669045</v>
      </c>
      <c r="AD263" s="510">
        <v>41.405000000000001</v>
      </c>
      <c r="AE263" s="510">
        <v>1045.4360000000001</v>
      </c>
      <c r="AF263" s="510">
        <v>118.64334604305735</v>
      </c>
      <c r="AG263" s="510">
        <v>107.79927283425877</v>
      </c>
      <c r="AH263" s="510">
        <v>1.5674435454655236</v>
      </c>
      <c r="AI263" s="510">
        <v>1.5999066418221677</v>
      </c>
      <c r="AJ263" s="510">
        <v>829.26313247192365</v>
      </c>
      <c r="AK263" s="569">
        <v>921.78495862013597</v>
      </c>
      <c r="AL263" s="576">
        <v>0</v>
      </c>
      <c r="AM263" s="577">
        <v>21.812908681162693</v>
      </c>
      <c r="AN263" s="512">
        <v>0.95907136142218297</v>
      </c>
      <c r="AO263" s="513">
        <v>0.84514163568348932</v>
      </c>
      <c r="AP263" s="513">
        <v>0.95907136142218297</v>
      </c>
      <c r="AQ263" s="513">
        <v>0.84514163568348932</v>
      </c>
      <c r="AR263" s="510">
        <v>49.610999999999997</v>
      </c>
      <c r="AS263" s="510">
        <v>1278.941</v>
      </c>
      <c r="AT263" s="514">
        <v>125.4542811930188</v>
      </c>
      <c r="AU263" s="514">
        <v>113.37052742445171</v>
      </c>
      <c r="AV263" s="510">
        <v>1.356553990042531</v>
      </c>
      <c r="AW263" s="510">
        <v>1.4706698745290048</v>
      </c>
      <c r="AX263" s="510">
        <v>0.20559956461268669</v>
      </c>
      <c r="AY263" s="510">
        <v>0.18444947812291576</v>
      </c>
      <c r="AZ263" s="510">
        <v>816.46489689786449</v>
      </c>
      <c r="BA263" s="510">
        <v>879.14702867450467</v>
      </c>
      <c r="BB263" s="510">
        <v>547.25766463082414</v>
      </c>
      <c r="BC263" s="510">
        <v>548.07946574548828</v>
      </c>
      <c r="BD263" s="510">
        <v>0</v>
      </c>
      <c r="BE263" s="511">
        <v>0</v>
      </c>
      <c r="BF263" s="512">
        <v>0.9284277221364875</v>
      </c>
      <c r="BG263" s="513">
        <v>0.8910903966126642</v>
      </c>
      <c r="BH263" s="513">
        <v>0.9284277221364875</v>
      </c>
      <c r="BI263" s="513">
        <v>0.8910903966126642</v>
      </c>
      <c r="BJ263" s="510">
        <v>51.633000000000003</v>
      </c>
      <c r="BK263" s="510">
        <v>1335.8449999999998</v>
      </c>
      <c r="BL263" s="510">
        <v>2.5468208316386804</v>
      </c>
      <c r="BM263" s="510">
        <v>2.67411264031381</v>
      </c>
      <c r="BN263" s="514">
        <v>0</v>
      </c>
      <c r="BO263" s="514">
        <v>0</v>
      </c>
      <c r="BP263" s="514">
        <v>878.67818666315407</v>
      </c>
      <c r="BQ263" s="514">
        <v>972.32827391443664</v>
      </c>
      <c r="BR263" s="514">
        <v>0</v>
      </c>
      <c r="BS263" s="1031">
        <v>0</v>
      </c>
      <c r="BT263" s="512">
        <v>0.98037481091623535</v>
      </c>
      <c r="BU263" s="1026">
        <v>0.90179619271466538</v>
      </c>
      <c r="BV263" s="581">
        <v>0.98037481091623535</v>
      </c>
      <c r="BW263" s="581">
        <v>0.91256762124701063</v>
      </c>
      <c r="BX263" s="510">
        <v>50.508000000000003</v>
      </c>
      <c r="BY263" s="510">
        <v>1356.1970000000001</v>
      </c>
      <c r="BZ263" s="514">
        <v>73.149994314175061</v>
      </c>
      <c r="CA263" s="514">
        <v>78.302446982619855</v>
      </c>
      <c r="CB263" s="510">
        <v>1.8591114278926111</v>
      </c>
      <c r="CC263" s="510">
        <v>2.0171848190196555</v>
      </c>
      <c r="CD263" s="514">
        <v>0.20194820622475645</v>
      </c>
      <c r="CE263" s="514">
        <v>7.4989105565046968E-2</v>
      </c>
      <c r="CF263" s="514">
        <v>732.71816718186676</v>
      </c>
      <c r="CG263" s="514">
        <v>849.23620752204113</v>
      </c>
      <c r="CH263" s="514">
        <v>537.53860774530403</v>
      </c>
      <c r="CI263" s="514">
        <v>223.94924926098489</v>
      </c>
      <c r="CJ263" s="582">
        <v>0</v>
      </c>
      <c r="CK263" s="582">
        <v>21.048564478464414</v>
      </c>
    </row>
    <row r="264" spans="1:89" ht="12.75" customHeight="1">
      <c r="A264" s="560">
        <v>45807</v>
      </c>
      <c r="B264" s="512">
        <v>0.74246019408515751</v>
      </c>
      <c r="C264" s="513">
        <v>0.82020183764829802</v>
      </c>
      <c r="D264" s="513">
        <v>0.74246019408515751</v>
      </c>
      <c r="E264" s="513">
        <v>0.82020183764829802</v>
      </c>
      <c r="F264" s="510">
        <v>42.402999999999999</v>
      </c>
      <c r="G264" s="510">
        <v>1711.7260000000001</v>
      </c>
      <c r="H264" s="510">
        <v>2.8972950027120725</v>
      </c>
      <c r="I264" s="510">
        <v>2.3106250649928781</v>
      </c>
      <c r="J264" s="510">
        <v>1381.9543428531115</v>
      </c>
      <c r="K264" s="511">
        <v>907.57868957999176</v>
      </c>
      <c r="L264" s="512">
        <v>0.95210654825876273</v>
      </c>
      <c r="M264" s="513">
        <v>0.88216331101751144</v>
      </c>
      <c r="N264" s="513">
        <v>0.95210654825876273</v>
      </c>
      <c r="O264" s="513">
        <v>0.92371198805848542</v>
      </c>
      <c r="P264" s="510">
        <v>67.122</v>
      </c>
      <c r="Q264" s="510">
        <v>1779.4150000000002</v>
      </c>
      <c r="R264" s="510">
        <v>2.4075712881022615</v>
      </c>
      <c r="S264" s="510">
        <v>2.3061028484080435</v>
      </c>
      <c r="T264" s="510">
        <v>0.22645332379845654</v>
      </c>
      <c r="U264" s="510">
        <v>0.22136488677458599</v>
      </c>
      <c r="V264" s="510">
        <v>622.7430648669573</v>
      </c>
      <c r="W264" s="510">
        <v>642.6083684806523</v>
      </c>
      <c r="X264" s="510">
        <v>376.92559816453621</v>
      </c>
      <c r="Y264" s="569">
        <v>437.177049760736</v>
      </c>
      <c r="Z264" s="513">
        <v>0.89550429997584469</v>
      </c>
      <c r="AA264" s="1026">
        <v>0.80095871055372825</v>
      </c>
      <c r="AB264" s="513">
        <v>0.89550429997584469</v>
      </c>
      <c r="AC264" s="513">
        <v>0.86127604238153399</v>
      </c>
      <c r="AD264" s="510">
        <v>43.301000000000002</v>
      </c>
      <c r="AE264" s="510">
        <v>1088.7370000000001</v>
      </c>
      <c r="AF264" s="510">
        <v>108.47977311255234</v>
      </c>
      <c r="AG264" s="510">
        <v>107.82633753634053</v>
      </c>
      <c r="AH264" s="510">
        <v>1.5103577284589271</v>
      </c>
      <c r="AI264" s="510">
        <v>1.5963451228349912</v>
      </c>
      <c r="AJ264" s="510">
        <v>829.68615043531213</v>
      </c>
      <c r="AK264" s="569">
        <v>918.1220257968638</v>
      </c>
      <c r="AL264" s="576">
        <v>0</v>
      </c>
      <c r="AM264" s="577">
        <v>20.945370645068554</v>
      </c>
      <c r="AN264" s="512">
        <v>0.9387108567555662</v>
      </c>
      <c r="AO264" s="513">
        <v>0.84823296073705279</v>
      </c>
      <c r="AP264" s="513">
        <v>0.9387108567555662</v>
      </c>
      <c r="AQ264" s="513">
        <v>0.84823296073705279</v>
      </c>
      <c r="AR264" s="510">
        <v>48.534999999999997</v>
      </c>
      <c r="AS264" s="510">
        <v>1327.4760000000001</v>
      </c>
      <c r="AT264" s="514">
        <v>122.49832049674067</v>
      </c>
      <c r="AU264" s="514">
        <v>113.70425657417913</v>
      </c>
      <c r="AV264" s="510">
        <v>1.3639641495827755</v>
      </c>
      <c r="AW264" s="510">
        <v>1.4667685140823636</v>
      </c>
      <c r="AX264" s="510">
        <v>0.21015761821366025</v>
      </c>
      <c r="AY264" s="510">
        <v>0.18538941570318407</v>
      </c>
      <c r="AZ264" s="510">
        <v>848.58844133099853</v>
      </c>
      <c r="BA264" s="510">
        <v>878.02974969038962</v>
      </c>
      <c r="BB264" s="510">
        <v>580.03502626970271</v>
      </c>
      <c r="BC264" s="510">
        <v>549.24782067623096</v>
      </c>
      <c r="BD264" s="510">
        <v>0</v>
      </c>
      <c r="BE264" s="511">
        <v>0</v>
      </c>
      <c r="BF264" s="512">
        <v>0.96693235780495912</v>
      </c>
      <c r="BG264" s="513">
        <v>0.89355866008660934</v>
      </c>
      <c r="BH264" s="513">
        <v>0.96693235780495912</v>
      </c>
      <c r="BI264" s="513">
        <v>0.89355866008660934</v>
      </c>
      <c r="BJ264" s="510">
        <v>48.762</v>
      </c>
      <c r="BK264" s="510">
        <v>1384.6069999999997</v>
      </c>
      <c r="BL264" s="510">
        <v>2.7418891759977027</v>
      </c>
      <c r="BM264" s="510">
        <v>2.6764995410249992</v>
      </c>
      <c r="BN264" s="514">
        <v>0</v>
      </c>
      <c r="BO264" s="514">
        <v>0</v>
      </c>
      <c r="BP264" s="514">
        <v>956.65131303011049</v>
      </c>
      <c r="BQ264" s="514">
        <v>971.77617503970794</v>
      </c>
      <c r="BR264" s="514">
        <v>0</v>
      </c>
      <c r="BS264" s="1031">
        <v>0</v>
      </c>
      <c r="BT264" s="512">
        <v>1.0104413465563171</v>
      </c>
      <c r="BU264" s="1026">
        <v>0.90539480777257186</v>
      </c>
      <c r="BV264" s="581">
        <v>1.0104413465563171</v>
      </c>
      <c r="BW264" s="581">
        <v>0.91584688255226432</v>
      </c>
      <c r="BX264" s="510">
        <v>52.057000000000002</v>
      </c>
      <c r="BY264" s="510">
        <v>1408.2540000000001</v>
      </c>
      <c r="BZ264" s="514">
        <v>67.892144363756344</v>
      </c>
      <c r="CA264" s="514">
        <v>77.917623560545294</v>
      </c>
      <c r="CB264" s="510">
        <v>1.8172387959352247</v>
      </c>
      <c r="CC264" s="510">
        <v>2.009793687786436</v>
      </c>
      <c r="CD264" s="514">
        <v>0.19209712430604914</v>
      </c>
      <c r="CE264" s="514">
        <v>7.9318077562712405E-2</v>
      </c>
      <c r="CF264" s="514">
        <v>731.70752586638037</v>
      </c>
      <c r="CG264" s="514">
        <v>844.89168545361531</v>
      </c>
      <c r="CH264" s="514">
        <v>519.58430182300208</v>
      </c>
      <c r="CI264" s="514">
        <v>234.87758600366118</v>
      </c>
      <c r="CJ264" s="582">
        <v>0</v>
      </c>
      <c r="CK264" s="582">
        <v>20.270490976769814</v>
      </c>
    </row>
    <row r="265" spans="1:89" ht="12.75" customHeight="1">
      <c r="A265" s="560">
        <v>45808</v>
      </c>
      <c r="B265" s="512">
        <v>0.71392265514364917</v>
      </c>
      <c r="C265" s="513">
        <v>0.81728992699563985</v>
      </c>
      <c r="D265" s="513">
        <v>0.71392265514364917</v>
      </c>
      <c r="E265" s="513">
        <v>0.81728992699563985</v>
      </c>
      <c r="F265" s="510">
        <v>41.972000000000001</v>
      </c>
      <c r="G265" s="510">
        <v>1753.6980000000001</v>
      </c>
      <c r="H265" s="510">
        <v>3.0517487849042215</v>
      </c>
      <c r="I265" s="510">
        <v>2.3283626941468825</v>
      </c>
      <c r="J265" s="510">
        <v>1392.0415991613195</v>
      </c>
      <c r="K265" s="511">
        <v>919.17354641449094</v>
      </c>
      <c r="L265" s="512">
        <v>0.97845100540475571</v>
      </c>
      <c r="M265" s="513">
        <v>0.88541366395827092</v>
      </c>
      <c r="N265" s="513">
        <v>0.97845100540475571</v>
      </c>
      <c r="O265" s="513">
        <v>0.92564375346980865</v>
      </c>
      <c r="P265" s="510">
        <v>68.950999999999993</v>
      </c>
      <c r="Q265" s="510">
        <v>1848.3660000000002</v>
      </c>
      <c r="R265" s="510">
        <v>2.3603718582761672</v>
      </c>
      <c r="S265" s="510">
        <v>2.3081272864789759</v>
      </c>
      <c r="T265" s="510">
        <v>0.22914823570361564</v>
      </c>
      <c r="U265" s="510">
        <v>0.22165523494805681</v>
      </c>
      <c r="V265" s="510">
        <v>583.68072979362023</v>
      </c>
      <c r="W265" s="510">
        <v>640.41014604250449</v>
      </c>
      <c r="X265" s="510">
        <v>377.07937520848139</v>
      </c>
      <c r="Y265" s="569">
        <v>434.93518058652887</v>
      </c>
      <c r="Z265" s="513">
        <v>0.8706251592430454</v>
      </c>
      <c r="AA265" s="1026">
        <v>0.80335180840639453</v>
      </c>
      <c r="AB265" s="513">
        <v>0.8706251592430454</v>
      </c>
      <c r="AC265" s="513">
        <v>0.86162048557993176</v>
      </c>
      <c r="AD265" s="510">
        <v>42.097999999999999</v>
      </c>
      <c r="AE265" s="510">
        <v>1130.835</v>
      </c>
      <c r="AF265" s="510">
        <v>109.63088354242018</v>
      </c>
      <c r="AG265" s="510">
        <v>107.89351601751943</v>
      </c>
      <c r="AH265" s="510">
        <v>1.5535179818518696</v>
      </c>
      <c r="AI265" s="510">
        <v>1.5947507815021644</v>
      </c>
      <c r="AJ265" s="510">
        <v>817.70107843603023</v>
      </c>
      <c r="AK265" s="569">
        <v>914.38361918405428</v>
      </c>
      <c r="AL265" s="576">
        <v>0</v>
      </c>
      <c r="AM265" s="577">
        <v>20.165629822211024</v>
      </c>
      <c r="AN265" s="512">
        <v>0.92565912419013252</v>
      </c>
      <c r="AO265" s="513">
        <v>0.85071018918198382</v>
      </c>
      <c r="AP265" s="513">
        <v>0.92565912419013252</v>
      </c>
      <c r="AQ265" s="513">
        <v>0.85071018918198382</v>
      </c>
      <c r="AR265" s="510">
        <v>47.881</v>
      </c>
      <c r="AS265" s="510">
        <v>1375.3570000000002</v>
      </c>
      <c r="AT265" s="514">
        <v>116.386926980737</v>
      </c>
      <c r="AU265" s="514">
        <v>113.79764973808959</v>
      </c>
      <c r="AV265" s="510">
        <v>1.4348071259998747</v>
      </c>
      <c r="AW265" s="510">
        <v>1.4656558260873356</v>
      </c>
      <c r="AX265" s="510">
        <v>0.20676259894321339</v>
      </c>
      <c r="AY265" s="510">
        <v>0.1861334911590227</v>
      </c>
      <c r="AZ265" s="510">
        <v>890.40705081347585</v>
      </c>
      <c r="BA265" s="510">
        <v>878.4606469447566</v>
      </c>
      <c r="BB265" s="510">
        <v>578.30663519976656</v>
      </c>
      <c r="BC265" s="510">
        <v>550.25945990750074</v>
      </c>
      <c r="BD265" s="510">
        <v>0</v>
      </c>
      <c r="BE265" s="511">
        <v>0</v>
      </c>
      <c r="BF265" s="512">
        <v>0.89592200602492378</v>
      </c>
      <c r="BG265" s="513">
        <v>0.89363459307778192</v>
      </c>
      <c r="BH265" s="513">
        <v>0.89592200602492378</v>
      </c>
      <c r="BI265" s="513">
        <v>0.89363459307778192</v>
      </c>
      <c r="BJ265" s="510">
        <v>46.085000000000001</v>
      </c>
      <c r="BK265" s="510">
        <v>1430.6919999999998</v>
      </c>
      <c r="BL265" s="510">
        <v>2.8512531192361941</v>
      </c>
      <c r="BM265" s="510">
        <v>2.6821286482345617</v>
      </c>
      <c r="BN265" s="514">
        <v>0</v>
      </c>
      <c r="BO265" s="514">
        <v>0</v>
      </c>
      <c r="BP265" s="514">
        <v>1051.2352650591363</v>
      </c>
      <c r="BQ265" s="514">
        <v>974.33568621579991</v>
      </c>
      <c r="BR265" s="514">
        <v>0</v>
      </c>
      <c r="BS265" s="1031">
        <v>0</v>
      </c>
      <c r="BT265" s="512">
        <v>1.006442827291077</v>
      </c>
      <c r="BU265" s="1026">
        <v>0.90863447914298279</v>
      </c>
      <c r="BV265" s="581">
        <v>1.006442827291077</v>
      </c>
      <c r="BW265" s="581">
        <v>0.91878389692957507</v>
      </c>
      <c r="BX265" s="510">
        <v>51.850999999999999</v>
      </c>
      <c r="BY265" s="510">
        <v>1460.105</v>
      </c>
      <c r="BZ265" s="514">
        <v>70.934728623681863</v>
      </c>
      <c r="CA265" s="514">
        <v>77.669648185232361</v>
      </c>
      <c r="CB265" s="510">
        <v>1.8263871477888567</v>
      </c>
      <c r="CC265" s="510">
        <v>2.0032805859852543</v>
      </c>
      <c r="CD265" s="514">
        <v>0.20250332684036954</v>
      </c>
      <c r="CE265" s="514">
        <v>8.3692611147828416E-2</v>
      </c>
      <c r="CF265" s="514">
        <v>728.71444735393936</v>
      </c>
      <c r="CG265" s="514">
        <v>840.7660191674878</v>
      </c>
      <c r="CH265" s="514">
        <v>555.82534570210839</v>
      </c>
      <c r="CI265" s="514">
        <v>246.27502816578257</v>
      </c>
      <c r="CJ265" s="582">
        <v>0</v>
      </c>
      <c r="CK265" s="582">
        <v>19.550648754712846</v>
      </c>
    </row>
    <row r="266" spans="1:89" ht="12.75" customHeight="1">
      <c r="A266" s="560"/>
      <c r="B266" s="512"/>
      <c r="C266" s="513"/>
      <c r="D266" s="513"/>
      <c r="E266" s="513"/>
      <c r="F266" s="510"/>
      <c r="G266" s="510"/>
      <c r="H266" s="510"/>
      <c r="I266" s="510"/>
      <c r="J266" s="510"/>
      <c r="K266" s="511"/>
      <c r="L266" s="512"/>
      <c r="M266" s="513"/>
      <c r="N266" s="513"/>
      <c r="O266" s="513"/>
      <c r="P266" s="510"/>
      <c r="Q266" s="510"/>
      <c r="R266" s="510"/>
      <c r="S266" s="510"/>
      <c r="T266" s="510"/>
      <c r="U266" s="510"/>
      <c r="V266" s="510"/>
      <c r="W266" s="510"/>
      <c r="X266" s="510"/>
      <c r="Y266" s="569"/>
      <c r="Z266" s="512"/>
      <c r="AA266" s="513"/>
      <c r="AB266" s="513"/>
      <c r="AC266" s="513"/>
      <c r="AD266" s="510"/>
      <c r="AE266" s="510"/>
      <c r="AF266" s="510"/>
      <c r="AG266" s="510"/>
      <c r="AH266" s="510"/>
      <c r="AI266" s="510"/>
      <c r="AJ266" s="510"/>
      <c r="AK266" s="569"/>
      <c r="AL266" s="510"/>
      <c r="AM266" s="569"/>
      <c r="AN266" s="512"/>
      <c r="AO266" s="513"/>
      <c r="AP266" s="513"/>
      <c r="AQ266" s="513"/>
      <c r="AR266" s="510"/>
      <c r="AS266" s="510"/>
      <c r="AT266" s="514"/>
      <c r="AU266" s="514"/>
      <c r="AV266" s="510"/>
      <c r="AW266" s="510"/>
      <c r="AX266" s="510"/>
      <c r="AY266" s="510"/>
      <c r="AZ266" s="510"/>
      <c r="BA266" s="510"/>
      <c r="BB266" s="510"/>
      <c r="BC266" s="569"/>
      <c r="BD266" s="510"/>
      <c r="BE266" s="511"/>
      <c r="BF266" s="512"/>
      <c r="BG266" s="513"/>
      <c r="BH266" s="513"/>
      <c r="BI266" s="513"/>
      <c r="BJ266" s="510"/>
      <c r="BK266" s="510"/>
      <c r="BL266" s="510"/>
      <c r="BM266" s="510"/>
      <c r="BN266" s="514"/>
      <c r="BO266" s="514"/>
      <c r="BP266" s="514"/>
      <c r="BQ266" s="514"/>
      <c r="BR266" s="514"/>
      <c r="BS266" s="1031"/>
      <c r="BT266" s="512"/>
      <c r="BU266" s="1026"/>
      <c r="BV266" s="513"/>
      <c r="BW266" s="513"/>
      <c r="BX266" s="510"/>
      <c r="BY266" s="510"/>
      <c r="BZ266" s="510"/>
      <c r="CA266" s="510"/>
      <c r="CB266" s="510"/>
      <c r="CC266" s="510"/>
      <c r="CD266" s="510"/>
      <c r="CE266" s="510"/>
      <c r="CF266" s="1023"/>
      <c r="CG266" s="514"/>
      <c r="CH266" s="514"/>
      <c r="CI266" s="514"/>
      <c r="CJ266" s="514"/>
      <c r="CK266" s="515"/>
    </row>
    <row r="267" spans="1:89" ht="12.75" customHeight="1" thickBot="1">
      <c r="A267" s="590" t="s">
        <v>228</v>
      </c>
      <c r="B267" s="742">
        <f>+'[13]eff all'!$B$43:$C$43</f>
        <v>0.81728992699563985</v>
      </c>
      <c r="C267" s="740"/>
      <c r="D267" s="739">
        <f>+'[13]eff all'!$D$43:$E$43</f>
        <v>0.81728992699563985</v>
      </c>
      <c r="E267" s="740"/>
      <c r="F267" s="737">
        <f>+'[13]eff all'!$F$43:$G$43</f>
        <v>1753.6980000000001</v>
      </c>
      <c r="G267" s="741"/>
      <c r="H267" s="743">
        <f>+'[13]eff all'!$H$43:$I$43</f>
        <v>2.3283626941468825</v>
      </c>
      <c r="I267" s="744"/>
      <c r="J267" s="737">
        <f>+'[13]eff all'!$J$43:$K$43</f>
        <v>919.17354641449094</v>
      </c>
      <c r="K267" s="738"/>
      <c r="L267" s="742">
        <f>+'[13]eff all'!$L$43:$M$43</f>
        <v>0.88541366395827092</v>
      </c>
      <c r="M267" s="740"/>
      <c r="N267" s="739">
        <f>+'[13]eff all'!$N$43:$O$43</f>
        <v>0.92564375346980865</v>
      </c>
      <c r="O267" s="740"/>
      <c r="P267" s="737">
        <f>+'[13]eff all'!$P$43:$Q$43</f>
        <v>1848.3660000000002</v>
      </c>
      <c r="Q267" s="741"/>
      <c r="R267" s="743">
        <f>+'[13]eff all'!$R$43:$S$43</f>
        <v>2.3081272864789759</v>
      </c>
      <c r="S267" s="744"/>
      <c r="T267" s="743">
        <f>+'[13]eff all'!$T$43:$U$43</f>
        <v>0.22165523494805681</v>
      </c>
      <c r="U267" s="744"/>
      <c r="V267" s="737">
        <f>+'[13]eff all'!$V$43:$W$43</f>
        <v>618.58478751390965</v>
      </c>
      <c r="W267" s="741"/>
      <c r="X267" s="737">
        <f>+'[13]eff all'!$X$43:$Y$43</f>
        <v>420.83341222523308</v>
      </c>
      <c r="Y267" s="738"/>
      <c r="Z267" s="742">
        <f>+'[13]eff all'!$Z$43:$AA$43</f>
        <v>0.80335180840639453</v>
      </c>
      <c r="AA267" s="740"/>
      <c r="AB267" s="739">
        <f>+'[13]eff all'!$AB$43:$AC$43</f>
        <v>0.86162048557993176</v>
      </c>
      <c r="AC267" s="740"/>
      <c r="AD267" s="737">
        <f>+'[13]eff all'!$AD$43:$AE$43</f>
        <v>1130.835</v>
      </c>
      <c r="AE267" s="741"/>
      <c r="AF267" s="737">
        <f>+'[13]eff all'!$AF$43:$AG$43</f>
        <v>107.89351601751943</v>
      </c>
      <c r="AG267" s="741"/>
      <c r="AH267" s="743">
        <f>+'[13]eff all'!$AH$43:$AI$43</f>
        <v>1.5947507815021644</v>
      </c>
      <c r="AI267" s="744"/>
      <c r="AJ267" s="743">
        <f>+'[13]eff all'!$AJ$43:$AK$43</f>
        <v>914.38361918405428</v>
      </c>
      <c r="AK267" s="744"/>
      <c r="AL267" s="737">
        <f>+'[13]eff all'!$AL$43:$AM$43</f>
        <v>20.165629822211024</v>
      </c>
      <c r="AM267" s="738"/>
      <c r="AN267" s="742">
        <f>+'[13]eff all'!$AN$43:$AO$43</f>
        <v>0.85071018918198382</v>
      </c>
      <c r="AO267" s="740"/>
      <c r="AP267" s="739">
        <f>+'[13]eff all'!$AP$43:$AQ$43</f>
        <v>0.85071018918198382</v>
      </c>
      <c r="AQ267" s="740"/>
      <c r="AR267" s="754">
        <f>+'[13]eff all'!$AR$43:$AS$43</f>
        <v>1375.3570000000002</v>
      </c>
      <c r="AS267" s="755"/>
      <c r="AT267" s="737">
        <f>+'[13]eff all'!$AT$43:$AU$43</f>
        <v>113.79764973808959</v>
      </c>
      <c r="AU267" s="741"/>
      <c r="AV267" s="743">
        <f>+'[13]eff all'!$AV$43:$AW$43</f>
        <v>1.4656558260873356</v>
      </c>
      <c r="AW267" s="744"/>
      <c r="AX267" s="743">
        <f>+'[13]eff all'!$AX$43:$AY$43</f>
        <v>0.1861334911590227</v>
      </c>
      <c r="AY267" s="744"/>
      <c r="AZ267" s="737">
        <f>+'[13]eff all'!$AZ$43:$BA$43</f>
        <v>878.4606469447566</v>
      </c>
      <c r="BA267" s="741"/>
      <c r="BB267" s="737">
        <f>+'[13]eff all'!$BB$43:$BC$43</f>
        <v>550.25945990750074</v>
      </c>
      <c r="BC267" s="738"/>
      <c r="BD267" s="789">
        <f>+'[13]eff all'!$BD$43:$BE$43</f>
        <v>0</v>
      </c>
      <c r="BE267" s="738"/>
      <c r="BF267" s="742">
        <f>+'[13]eff all'!$BF$43:$BG$43</f>
        <v>0.89363459307778192</v>
      </c>
      <c r="BG267" s="740"/>
      <c r="BH267" s="739">
        <f>+'[13]eff all'!$BH$43:$BI$43</f>
        <v>0.89363459307778192</v>
      </c>
      <c r="BI267" s="740"/>
      <c r="BJ267" s="737">
        <f>+'[13]eff all'!$BJ$43:$BK$43</f>
        <v>1430.6919999999998</v>
      </c>
      <c r="BK267" s="741"/>
      <c r="BL267" s="743">
        <f>+'[13]eff all'!$BL$43:$BM$43</f>
        <v>2.6821286482345617</v>
      </c>
      <c r="BM267" s="744"/>
      <c r="BN267" s="743">
        <f>+'[13]eff all'!$BN$43:$BO$43</f>
        <v>0</v>
      </c>
      <c r="BO267" s="744"/>
      <c r="BP267" s="737">
        <f>+'[13]eff all'!$BP$43:$BQ$43</f>
        <v>974.33568621579991</v>
      </c>
      <c r="BQ267" s="741"/>
      <c r="BR267" s="737">
        <f>+'[13]eff all'!$BR$43:$BS$43</f>
        <v>0</v>
      </c>
      <c r="BS267" s="738"/>
      <c r="BT267" s="742">
        <f>+'[13]eff all'!$BT$43:$BU$43</f>
        <v>0.90863447914298279</v>
      </c>
      <c r="BU267" s="740"/>
      <c r="BV267" s="739">
        <f>+'[13]eff all'!$BV$43:$BW$43</f>
        <v>0.91878389692957507</v>
      </c>
      <c r="BW267" s="740"/>
      <c r="BX267" s="737">
        <f>+'[13]eff all'!$BX$43:$BY$43</f>
        <v>1460.105</v>
      </c>
      <c r="BY267" s="741"/>
      <c r="BZ267" s="737">
        <f>+'[13]eff all'!$BZ$43:$CA$43</f>
        <v>77.669648185232361</v>
      </c>
      <c r="CA267" s="741"/>
      <c r="CB267" s="743">
        <f>+'[13]eff all'!$CB$43:$CC$43</f>
        <v>2.0032805859852543</v>
      </c>
      <c r="CC267" s="744"/>
      <c r="CD267" s="743">
        <f>+'[13]eff all'!$CD$43:$CE$43</f>
        <v>8.3692611147828416E-2</v>
      </c>
      <c r="CE267" s="744"/>
      <c r="CF267" s="737">
        <f>+'[13]eff all'!$CF$43:$CG$43</f>
        <v>840.7660191674878</v>
      </c>
      <c r="CG267" s="741"/>
      <c r="CH267" s="737">
        <f>+'[13]eff all'!$CH$43:$CI$43</f>
        <v>246.27502816578257</v>
      </c>
      <c r="CI267" s="738"/>
      <c r="CJ267" s="789">
        <f>+'[13]eff all'!$CJ$43:$CK$43</f>
        <v>20.270490976769814</v>
      </c>
      <c r="CK267" s="738"/>
    </row>
    <row r="268" spans="1:89" ht="14.25" customHeight="1" thickTop="1">
      <c r="A268" s="559">
        <v>45748</v>
      </c>
      <c r="B268" s="518">
        <v>0.74898961559227872</v>
      </c>
      <c r="C268" s="519">
        <v>0.74898961559227872</v>
      </c>
      <c r="D268" s="519">
        <v>0.77427521666885568</v>
      </c>
      <c r="E268" s="519">
        <v>0.77427521666885568</v>
      </c>
      <c r="F268" s="520">
        <v>44.353000000000002</v>
      </c>
      <c r="G268" s="520">
        <v>44.353000000000002</v>
      </c>
      <c r="H268" s="520">
        <v>2.7456992762609067</v>
      </c>
      <c r="I268" s="520">
        <v>2.7456992762609067</v>
      </c>
      <c r="J268" s="520">
        <v>1069.9384483574636</v>
      </c>
      <c r="K268" s="548">
        <v>1069.9384483574636</v>
      </c>
      <c r="L268" s="518">
        <v>0.98076753822543983</v>
      </c>
      <c r="M268" s="519">
        <v>0.98076753822543983</v>
      </c>
      <c r="N268" s="519">
        <v>0.98076753822543983</v>
      </c>
      <c r="O268" s="519">
        <v>0.98076753822543983</v>
      </c>
      <c r="P268" s="520">
        <v>66.147999999999996</v>
      </c>
      <c r="Q268" s="520">
        <v>66.147999999999996</v>
      </c>
      <c r="R268" s="520">
        <v>2.0288444095059566</v>
      </c>
      <c r="S268" s="520">
        <v>2.0288444095059566</v>
      </c>
      <c r="T268" s="520">
        <v>0.1496643889459999</v>
      </c>
      <c r="U268" s="520">
        <v>0.1496643889459999</v>
      </c>
      <c r="V268" s="520">
        <v>713.69111688939677</v>
      </c>
      <c r="W268" s="520">
        <v>713.69111688939677</v>
      </c>
      <c r="X268" s="520">
        <v>467.13430489208224</v>
      </c>
      <c r="Y268" s="556">
        <v>467.13430489208224</v>
      </c>
      <c r="Z268" s="518">
        <v>0.94018087754445356</v>
      </c>
      <c r="AA268" s="519">
        <v>0.94018087754445356</v>
      </c>
      <c r="AB268" s="519">
        <v>0.94018087754445356</v>
      </c>
      <c r="AC268" s="519">
        <v>0.94018087754445356</v>
      </c>
      <c r="AD268" s="520">
        <v>41.192</v>
      </c>
      <c r="AE268" s="520">
        <v>41.192</v>
      </c>
      <c r="AF268" s="520">
        <v>111.48062986837982</v>
      </c>
      <c r="AG268" s="520">
        <v>111.48062986837982</v>
      </c>
      <c r="AH268" s="520">
        <v>1.5609827150903086</v>
      </c>
      <c r="AI268" s="520">
        <v>1.5609827150903086</v>
      </c>
      <c r="AJ268" s="520">
        <v>985.29228976499417</v>
      </c>
      <c r="AK268" s="520">
        <v>985.29228976499417</v>
      </c>
      <c r="AL268" s="520">
        <v>0</v>
      </c>
      <c r="AM268" s="520">
        <v>0</v>
      </c>
      <c r="AN268" s="518">
        <v>0.91483771024056937</v>
      </c>
      <c r="AO268" s="519">
        <v>0.91483771024056937</v>
      </c>
      <c r="AP268" s="519">
        <v>0.91483771024056937</v>
      </c>
      <c r="AQ268" s="519">
        <v>0.91483771024056937</v>
      </c>
      <c r="AR268" s="520">
        <v>44.279000000000003</v>
      </c>
      <c r="AS268" s="520">
        <v>44.279000000000003</v>
      </c>
      <c r="AT268" s="521">
        <v>124.01817469813341</v>
      </c>
      <c r="AU268" s="521">
        <v>124.01817469813341</v>
      </c>
      <c r="AV268" s="520">
        <v>1.52668307775695</v>
      </c>
      <c r="AW268" s="520">
        <v>1.52668307775695</v>
      </c>
      <c r="AX268" s="520">
        <v>0</v>
      </c>
      <c r="AY268" s="520">
        <v>0</v>
      </c>
      <c r="AZ268" s="520">
        <v>1092.9822263375424</v>
      </c>
      <c r="BA268" s="520">
        <v>1092.9822263375424</v>
      </c>
      <c r="BB268" s="520">
        <v>0</v>
      </c>
      <c r="BC268" s="520">
        <v>0</v>
      </c>
      <c r="BD268" s="520">
        <v>0</v>
      </c>
      <c r="BE268" s="548">
        <v>0</v>
      </c>
      <c r="BF268" s="1024">
        <v>0.88209620998796623</v>
      </c>
      <c r="BG268" s="519">
        <v>0.88209620998796623</v>
      </c>
      <c r="BH268" s="519">
        <v>0.88209620998796623</v>
      </c>
      <c r="BI268" s="519">
        <v>0.88209620998796623</v>
      </c>
      <c r="BJ268" s="520">
        <v>47.457000000000001</v>
      </c>
      <c r="BK268" s="520">
        <v>47.457000000000001</v>
      </c>
      <c r="BL268" s="520">
        <v>2.5897127926333314</v>
      </c>
      <c r="BM268" s="520">
        <v>2.5897127926333314</v>
      </c>
      <c r="BN268" s="521">
        <v>0</v>
      </c>
      <c r="BO268" s="521">
        <v>0</v>
      </c>
      <c r="BP268" s="521">
        <v>1058.6010252411199</v>
      </c>
      <c r="BQ268" s="521">
        <v>1058.6010252411199</v>
      </c>
      <c r="BR268" s="521">
        <v>0</v>
      </c>
      <c r="BS268" s="522">
        <v>0</v>
      </c>
      <c r="BT268" s="580">
        <v>0.93511871512269562</v>
      </c>
      <c r="BU268" s="581">
        <v>0.93511871512269562</v>
      </c>
      <c r="BV268" s="581">
        <v>0.93511871512269562</v>
      </c>
      <c r="BW268" s="581">
        <v>0.93511871512269562</v>
      </c>
      <c r="BX268" s="576">
        <v>49.552999999999997</v>
      </c>
      <c r="BY268" s="576">
        <v>49.552999999999997</v>
      </c>
      <c r="BZ268" s="582">
        <v>74.859022400319844</v>
      </c>
      <c r="CA268" s="582">
        <v>74.859022400319859</v>
      </c>
      <c r="CB268" s="576">
        <v>1.9796985046314048</v>
      </c>
      <c r="CC268" s="576">
        <v>1.9796985046314048</v>
      </c>
      <c r="CD268" s="582">
        <v>0</v>
      </c>
      <c r="CE268" s="582">
        <v>0</v>
      </c>
      <c r="CF268" s="582">
        <v>969.17363520133608</v>
      </c>
      <c r="CG268" s="582">
        <v>969.17363520133608</v>
      </c>
      <c r="CH268" s="582">
        <v>0</v>
      </c>
      <c r="CI268" s="582">
        <v>0</v>
      </c>
      <c r="CJ268" s="582">
        <v>0</v>
      </c>
      <c r="CK268" s="583">
        <v>0</v>
      </c>
    </row>
    <row r="269" spans="1:89" ht="14.25" customHeight="1">
      <c r="A269" s="560">
        <v>45749</v>
      </c>
      <c r="B269" s="512">
        <v>0.98069840016926535</v>
      </c>
      <c r="C269" s="513">
        <v>0.86297281234071899</v>
      </c>
      <c r="D269" s="513">
        <v>0.98069840016926535</v>
      </c>
      <c r="E269" s="513">
        <v>0.87753309466862095</v>
      </c>
      <c r="F269" s="510">
        <v>56.228000000000002</v>
      </c>
      <c r="G269" s="510">
        <v>100.581</v>
      </c>
      <c r="H269" s="510">
        <v>2.0876431671053566</v>
      </c>
      <c r="I269" s="510">
        <v>2.3778248376930033</v>
      </c>
      <c r="J269" s="510">
        <v>898.80984562850688</v>
      </c>
      <c r="K269" s="511">
        <v>974.27207921971603</v>
      </c>
      <c r="L269" s="512">
        <v>0.92003817740096194</v>
      </c>
      <c r="M269" s="513">
        <v>0.94962427626416912</v>
      </c>
      <c r="N269" s="513">
        <v>0.92003817740096194</v>
      </c>
      <c r="O269" s="513">
        <v>0.94962427626416912</v>
      </c>
      <c r="P269" s="510">
        <v>65.317999999999998</v>
      </c>
      <c r="Q269" s="510">
        <v>131.46600000000001</v>
      </c>
      <c r="R269" s="510">
        <v>2.0576410790287518</v>
      </c>
      <c r="S269" s="510">
        <v>2.0431518415407788</v>
      </c>
      <c r="T269" s="510">
        <v>0.16534492789123981</v>
      </c>
      <c r="U269" s="510">
        <v>0.15745515950892247</v>
      </c>
      <c r="V269" s="510">
        <v>709.07651795829906</v>
      </c>
      <c r="W269" s="510">
        <v>711.39838437314586</v>
      </c>
      <c r="X269" s="510">
        <v>491.71744388989043</v>
      </c>
      <c r="Y269" s="569">
        <v>479.34827255717312</v>
      </c>
      <c r="Z269" s="512">
        <v>0.94036347239346196</v>
      </c>
      <c r="AA269" s="513">
        <v>0.94027217496895765</v>
      </c>
      <c r="AB269" s="513">
        <v>0.94036347239346196</v>
      </c>
      <c r="AC269" s="513">
        <v>0.94027217496895765</v>
      </c>
      <c r="AD269" s="510">
        <v>41.2</v>
      </c>
      <c r="AE269" s="510">
        <v>82.391999999999996</v>
      </c>
      <c r="AF269" s="510">
        <v>106.94345045972068</v>
      </c>
      <c r="AG269" s="510">
        <v>109.21181989123693</v>
      </c>
      <c r="AH269" s="510">
        <v>1.5242718446601939</v>
      </c>
      <c r="AI269" s="510">
        <v>1.5426254976211282</v>
      </c>
      <c r="AJ269" s="510">
        <v>896.78252427184464</v>
      </c>
      <c r="AK269" s="510">
        <v>941.03311001067641</v>
      </c>
      <c r="AL269" s="510">
        <v>0</v>
      </c>
      <c r="AM269" s="510">
        <v>0</v>
      </c>
      <c r="AN269" s="512">
        <v>0.96047732499974214</v>
      </c>
      <c r="AO269" s="513">
        <v>0.93780286671174551</v>
      </c>
      <c r="AP269" s="513">
        <v>0.96047732499974214</v>
      </c>
      <c r="AQ269" s="513">
        <v>0.93780286671174551</v>
      </c>
      <c r="AR269" s="510">
        <v>47.084000000000003</v>
      </c>
      <c r="AS269" s="510">
        <v>91.363</v>
      </c>
      <c r="AT269" s="514">
        <v>111.33195700874812</v>
      </c>
      <c r="AU269" s="514">
        <v>117.48032158815435</v>
      </c>
      <c r="AV269" s="510">
        <v>1.4548466570384844</v>
      </c>
      <c r="AW269" s="510">
        <v>1.4896621170495714</v>
      </c>
      <c r="AX269" s="510">
        <v>0</v>
      </c>
      <c r="AY269" s="510">
        <v>0</v>
      </c>
      <c r="AZ269" s="510">
        <v>958.65771812080413</v>
      </c>
      <c r="BA269" s="510">
        <v>1023.7579764237162</v>
      </c>
      <c r="BB269" s="510">
        <v>0</v>
      </c>
      <c r="BC269" s="510">
        <v>0</v>
      </c>
      <c r="BD269" s="510">
        <v>0</v>
      </c>
      <c r="BE269" s="511">
        <v>0</v>
      </c>
      <c r="BF269" s="1026">
        <v>0.78308059177558409</v>
      </c>
      <c r="BG269" s="513">
        <v>0.83465284557192609</v>
      </c>
      <c r="BH269" s="513">
        <v>0.78308059177558409</v>
      </c>
      <c r="BI269" s="513">
        <v>0.83465284557192609</v>
      </c>
      <c r="BJ269" s="510">
        <v>38.756999999999998</v>
      </c>
      <c r="BK269" s="510">
        <v>86.213999999999999</v>
      </c>
      <c r="BL269" s="510">
        <v>3.0007482519286839</v>
      </c>
      <c r="BM269" s="510">
        <v>2.7744913819101304</v>
      </c>
      <c r="BN269" s="514">
        <v>0</v>
      </c>
      <c r="BO269" s="514">
        <v>0</v>
      </c>
      <c r="BP269" s="514">
        <v>1213.3876430632058</v>
      </c>
      <c r="BQ269" s="514">
        <v>1128.1844449517305</v>
      </c>
      <c r="BR269" s="514">
        <v>0</v>
      </c>
      <c r="BS269" s="515">
        <v>0</v>
      </c>
      <c r="BT269" s="580">
        <v>1.0204463805292809</v>
      </c>
      <c r="BU269" s="581">
        <v>0.97582151115759241</v>
      </c>
      <c r="BV269" s="581">
        <v>1.0204463805292809</v>
      </c>
      <c r="BW269" s="581">
        <v>0.97582151115759241</v>
      </c>
      <c r="BX269" s="576">
        <v>49.322000000000003</v>
      </c>
      <c r="BY269" s="576">
        <v>98.875</v>
      </c>
      <c r="BZ269" s="582">
        <v>72.036332209959298</v>
      </c>
      <c r="CA269" s="582">
        <v>73.450974606954873</v>
      </c>
      <c r="CB269" s="576">
        <v>1.8389359717773002</v>
      </c>
      <c r="CC269" s="576">
        <v>1.9094816687737042</v>
      </c>
      <c r="CD269" s="582">
        <v>0</v>
      </c>
      <c r="CE269" s="582">
        <v>0</v>
      </c>
      <c r="CF269" s="582">
        <v>961.33703251691873</v>
      </c>
      <c r="CG269" s="582">
        <v>965.26448812067019</v>
      </c>
      <c r="CH269" s="582">
        <v>0</v>
      </c>
      <c r="CI269" s="582">
        <v>0</v>
      </c>
      <c r="CJ269" s="582">
        <v>0</v>
      </c>
      <c r="CK269" s="583">
        <v>0</v>
      </c>
    </row>
    <row r="270" spans="1:89" ht="12.75" customHeight="1">
      <c r="A270" s="560">
        <v>45750</v>
      </c>
      <c r="B270" s="512">
        <v>0.65146426837412241</v>
      </c>
      <c r="C270" s="513">
        <v>0.7855058506585898</v>
      </c>
      <c r="D270" s="513">
        <v>0.65146426837412241</v>
      </c>
      <c r="E270" s="513">
        <v>0.79385338517139814</v>
      </c>
      <c r="F270" s="510">
        <v>43.881999999999998</v>
      </c>
      <c r="G270" s="510">
        <v>144.46299999999999</v>
      </c>
      <c r="H270" s="510">
        <v>3.2094708536529786</v>
      </c>
      <c r="I270" s="510">
        <v>2.6304451658902277</v>
      </c>
      <c r="J270" s="510">
        <v>1281.7378423955465</v>
      </c>
      <c r="K270" s="511">
        <v>1067.6677073022131</v>
      </c>
      <c r="L270" s="512">
        <v>0.98736697632279968</v>
      </c>
      <c r="M270" s="513">
        <v>0.96241841187726429</v>
      </c>
      <c r="N270" s="513">
        <v>0.98736697632279968</v>
      </c>
      <c r="O270" s="513">
        <v>0.96241841187726429</v>
      </c>
      <c r="P270" s="510">
        <v>70.097999999999999</v>
      </c>
      <c r="Q270" s="510">
        <v>201.56400000000002</v>
      </c>
      <c r="R270" s="510">
        <v>1.9523809523809526</v>
      </c>
      <c r="S270" s="510">
        <v>2.0115844099144686</v>
      </c>
      <c r="T270" s="510">
        <v>0.1600616280065052</v>
      </c>
      <c r="U270" s="510">
        <v>0.15836161219265343</v>
      </c>
      <c r="V270" s="510">
        <v>691.81189192274167</v>
      </c>
      <c r="W270" s="510">
        <v>704.58678136969058</v>
      </c>
      <c r="X270" s="510">
        <v>488.94404975890046</v>
      </c>
      <c r="Y270" s="569">
        <v>482.68540017066891</v>
      </c>
      <c r="Z270" s="512">
        <v>0.95449174883549004</v>
      </c>
      <c r="AA270" s="513">
        <v>0.94501203292446845</v>
      </c>
      <c r="AB270" s="513">
        <v>0.95449174883549004</v>
      </c>
      <c r="AC270" s="513">
        <v>0.94501203292446845</v>
      </c>
      <c r="AD270" s="510">
        <v>41.819000000000003</v>
      </c>
      <c r="AE270" s="510">
        <v>124.211</v>
      </c>
      <c r="AF270" s="510">
        <v>106.29447012954289</v>
      </c>
      <c r="AG270" s="510">
        <v>108.22961501659391</v>
      </c>
      <c r="AH270" s="510">
        <v>1.4825796886582654</v>
      </c>
      <c r="AI270" s="510">
        <v>1.522409448438544</v>
      </c>
      <c r="AJ270" s="510">
        <v>965.47550156627801</v>
      </c>
      <c r="AK270" s="510">
        <v>949.26230366070513</v>
      </c>
      <c r="AL270" s="510">
        <v>0</v>
      </c>
      <c r="AM270" s="510">
        <v>0</v>
      </c>
      <c r="AN270" s="512">
        <v>0.94670613244366697</v>
      </c>
      <c r="AO270" s="513">
        <v>0.9407775561170062</v>
      </c>
      <c r="AP270" s="513">
        <v>0.94670613244366697</v>
      </c>
      <c r="AQ270" s="513">
        <v>0.9407775561170062</v>
      </c>
      <c r="AR270" s="510">
        <v>46.277000000000001</v>
      </c>
      <c r="AS270" s="510">
        <v>137.63999999999999</v>
      </c>
      <c r="AT270" s="514">
        <v>107.59967534954205</v>
      </c>
      <c r="AU270" s="514">
        <v>114.15827373880636</v>
      </c>
      <c r="AV270" s="510">
        <v>1.5083086630507594</v>
      </c>
      <c r="AW270" s="510">
        <v>1.495931415286254</v>
      </c>
      <c r="AX270" s="510">
        <v>0</v>
      </c>
      <c r="AY270" s="510">
        <v>0</v>
      </c>
      <c r="AZ270" s="510">
        <v>1068.2459969315214</v>
      </c>
      <c r="BA270" s="510">
        <v>1038.7156349898285</v>
      </c>
      <c r="BB270" s="510">
        <v>0</v>
      </c>
      <c r="BC270" s="510">
        <v>0</v>
      </c>
      <c r="BD270" s="510">
        <v>0</v>
      </c>
      <c r="BE270" s="511">
        <v>0</v>
      </c>
      <c r="BF270" s="1026">
        <v>0.96938881918893338</v>
      </c>
      <c r="BG270" s="513">
        <v>0.8788829208103992</v>
      </c>
      <c r="BH270" s="513">
        <v>0.96938881918893338</v>
      </c>
      <c r="BI270" s="513">
        <v>0.8788829208103992</v>
      </c>
      <c r="BJ270" s="510">
        <v>48.933999999999997</v>
      </c>
      <c r="BK270" s="510">
        <v>135.148</v>
      </c>
      <c r="BL270" s="510">
        <v>2.4359341153390281</v>
      </c>
      <c r="BM270" s="510">
        <v>2.6519075384023441</v>
      </c>
      <c r="BN270" s="514">
        <v>0</v>
      </c>
      <c r="BO270" s="514">
        <v>0</v>
      </c>
      <c r="BP270" s="514">
        <v>988.7380824060649</v>
      </c>
      <c r="BQ270" s="514">
        <v>1077.694106176391</v>
      </c>
      <c r="BR270" s="514">
        <v>0</v>
      </c>
      <c r="BS270" s="515">
        <v>0</v>
      </c>
      <c r="BT270" s="580">
        <v>0.88986642625519952</v>
      </c>
      <c r="BU270" s="581">
        <v>0.94580163350658653</v>
      </c>
      <c r="BV270" s="581">
        <v>0.88986642625519952</v>
      </c>
      <c r="BW270" s="581">
        <v>0.94580163350658653</v>
      </c>
      <c r="BX270" s="576">
        <v>48.390999999999998</v>
      </c>
      <c r="BY270" s="576">
        <v>147.26599999999999</v>
      </c>
      <c r="BZ270" s="582">
        <v>79.776846469423845</v>
      </c>
      <c r="CA270" s="582">
        <v>75.529630001253196</v>
      </c>
      <c r="CB270" s="576">
        <v>2.0334359694984605</v>
      </c>
      <c r="CC270" s="576">
        <v>1.9502125405728414</v>
      </c>
      <c r="CD270" s="582">
        <v>0.17317269740240956</v>
      </c>
      <c r="CE270" s="582">
        <v>5.6903833878831508E-2</v>
      </c>
      <c r="CF270" s="582">
        <v>932.77160371848072</v>
      </c>
      <c r="CG270" s="582">
        <v>954.58746036744571</v>
      </c>
      <c r="CH270" s="582">
        <v>365.97714451033619</v>
      </c>
      <c r="CI270" s="582">
        <v>120.25857971289828</v>
      </c>
      <c r="CJ270" s="582">
        <v>0</v>
      </c>
      <c r="CK270" s="583">
        <v>0</v>
      </c>
    </row>
    <row r="271" spans="1:89" ht="12.75" customHeight="1">
      <c r="A271" s="560">
        <v>45751</v>
      </c>
      <c r="B271" s="512">
        <v>0.8263777019293348</v>
      </c>
      <c r="C271" s="513">
        <v>0.7978223575329999</v>
      </c>
      <c r="D271" s="513">
        <v>0.8263777019293348</v>
      </c>
      <c r="E271" s="513">
        <v>0.80372694477152262</v>
      </c>
      <c r="F271" s="510">
        <v>65.552000000000007</v>
      </c>
      <c r="G271" s="510">
        <v>210.01499999999999</v>
      </c>
      <c r="H271" s="510">
        <v>2.4933793019282402</v>
      </c>
      <c r="I271" s="510">
        <v>2.5876627859914767</v>
      </c>
      <c r="J271" s="510">
        <v>780.54765682204891</v>
      </c>
      <c r="K271" s="511">
        <v>978.0489012689502</v>
      </c>
      <c r="L271" s="512">
        <v>0.96167808558690859</v>
      </c>
      <c r="M271" s="513">
        <v>0.96223279183789856</v>
      </c>
      <c r="N271" s="513">
        <v>0.96167808558690859</v>
      </c>
      <c r="O271" s="513">
        <v>0.96223279183789856</v>
      </c>
      <c r="P271" s="510">
        <v>67.397000000000006</v>
      </c>
      <c r="Q271" s="510">
        <v>268.96100000000001</v>
      </c>
      <c r="R271" s="510">
        <v>2.0310102823567813</v>
      </c>
      <c r="S271" s="510">
        <v>2.0164521993895024</v>
      </c>
      <c r="T271" s="510">
        <v>0.17359823137528374</v>
      </c>
      <c r="U271" s="510">
        <v>0.16217964686329989</v>
      </c>
      <c r="V271" s="510">
        <v>647.88180482808411</v>
      </c>
      <c r="W271" s="510">
        <v>690.3774896732192</v>
      </c>
      <c r="X271" s="510">
        <v>513.65342671038536</v>
      </c>
      <c r="Y271" s="569">
        <v>490.44545491725779</v>
      </c>
      <c r="Z271" s="512">
        <v>0.73120107285429503</v>
      </c>
      <c r="AA271" s="513">
        <v>0.89155929290692526</v>
      </c>
      <c r="AB271" s="513">
        <v>0.73120107285429503</v>
      </c>
      <c r="AC271" s="513">
        <v>0.89155929290692526</v>
      </c>
      <c r="AD271" s="510">
        <v>32.036000000000001</v>
      </c>
      <c r="AE271" s="510">
        <v>156.24700000000001</v>
      </c>
      <c r="AF271" s="510">
        <v>132.99199891849241</v>
      </c>
      <c r="AG271" s="510">
        <v>113.3067539740217</v>
      </c>
      <c r="AH271" s="510">
        <v>1.9103508552878012</v>
      </c>
      <c r="AI271" s="510">
        <v>1.6019507574545431</v>
      </c>
      <c r="AJ271" s="510">
        <v>1081.4852041453535</v>
      </c>
      <c r="AK271" s="510">
        <v>976.37253835273873</v>
      </c>
      <c r="AL271" s="510">
        <v>0</v>
      </c>
      <c r="AM271" s="510">
        <v>0</v>
      </c>
      <c r="AN271" s="512">
        <v>0.94120583481110243</v>
      </c>
      <c r="AO271" s="513">
        <v>0.94088872621161346</v>
      </c>
      <c r="AP271" s="513">
        <v>0.94120583481110243</v>
      </c>
      <c r="AQ271" s="513">
        <v>0.94088872621161346</v>
      </c>
      <c r="AR271" s="510">
        <v>48.274999999999999</v>
      </c>
      <c r="AS271" s="510">
        <v>185.91499999999999</v>
      </c>
      <c r="AT271" s="514">
        <v>103.28624084286349</v>
      </c>
      <c r="AU271" s="514">
        <v>111.33522348438018</v>
      </c>
      <c r="AV271" s="510">
        <v>1.4624546866908337</v>
      </c>
      <c r="AW271" s="510">
        <v>1.4872387919210392</v>
      </c>
      <c r="AX271" s="510">
        <v>0</v>
      </c>
      <c r="AY271" s="510">
        <v>0</v>
      </c>
      <c r="AZ271" s="510">
        <v>849.22755049197303</v>
      </c>
      <c r="BA271" s="510">
        <v>989.51284189011096</v>
      </c>
      <c r="BB271" s="510">
        <v>0</v>
      </c>
      <c r="BC271" s="510">
        <v>0</v>
      </c>
      <c r="BD271" s="510">
        <v>0</v>
      </c>
      <c r="BE271" s="511">
        <v>0</v>
      </c>
      <c r="BF271" s="1026">
        <v>0.8505435289095773</v>
      </c>
      <c r="BG271" s="513">
        <v>0.87192901076530749</v>
      </c>
      <c r="BH271" s="513">
        <v>0.8505435289095773</v>
      </c>
      <c r="BI271" s="513">
        <v>0.87192901076530749</v>
      </c>
      <c r="BJ271" s="510">
        <v>42.529000000000003</v>
      </c>
      <c r="BK271" s="510">
        <v>177.67699999999999</v>
      </c>
      <c r="BL271" s="510">
        <v>2.816901408450704</v>
      </c>
      <c r="BM271" s="510">
        <v>2.6914006877648768</v>
      </c>
      <c r="BN271" s="514">
        <v>0</v>
      </c>
      <c r="BO271" s="514">
        <v>0</v>
      </c>
      <c r="BP271" s="514">
        <v>1110.8392443548069</v>
      </c>
      <c r="BQ271" s="514">
        <v>1085.6277699684961</v>
      </c>
      <c r="BR271" s="514">
        <v>0</v>
      </c>
      <c r="BS271" s="515">
        <v>0</v>
      </c>
      <c r="BT271" s="580">
        <v>0.85961370413291904</v>
      </c>
      <c r="BU271" s="581">
        <v>0.92363523767899913</v>
      </c>
      <c r="BV271" s="581">
        <v>0.85961370413291904</v>
      </c>
      <c r="BW271" s="581">
        <v>0.92363523767899913</v>
      </c>
      <c r="BX271" s="576">
        <v>46.341999999999999</v>
      </c>
      <c r="BY271" s="576">
        <v>193.608</v>
      </c>
      <c r="BZ271" s="582">
        <v>77.73348249876878</v>
      </c>
      <c r="CA271" s="582">
        <v>76.057144011210781</v>
      </c>
      <c r="CB271" s="576">
        <v>2.1060808769582668</v>
      </c>
      <c r="CC271" s="576">
        <v>1.9875211768108758</v>
      </c>
      <c r="CD271" s="582">
        <v>0.18795045531051749</v>
      </c>
      <c r="CE271" s="582">
        <v>8.8271145820420657E-2</v>
      </c>
      <c r="CF271" s="582">
        <v>885.29838541352524</v>
      </c>
      <c r="CG271" s="582">
        <v>938.00243128024601</v>
      </c>
      <c r="CH271" s="582">
        <v>541.04915627292473</v>
      </c>
      <c r="CI271" s="582">
        <v>220.97898847154849</v>
      </c>
      <c r="CJ271" s="582">
        <v>0</v>
      </c>
      <c r="CK271" s="583">
        <v>0</v>
      </c>
    </row>
    <row r="272" spans="1:89" ht="12.75" customHeight="1">
      <c r="A272" s="560">
        <v>45752</v>
      </c>
      <c r="B272" s="512">
        <v>0.98428746923875987</v>
      </c>
      <c r="C272" s="513">
        <v>0.83934809290188506</v>
      </c>
      <c r="D272" s="513">
        <v>0.98428746923875987</v>
      </c>
      <c r="E272" s="513">
        <v>0.84416867016434416</v>
      </c>
      <c r="F272" s="510">
        <v>74.233000000000004</v>
      </c>
      <c r="G272" s="510">
        <v>284.24799999999999</v>
      </c>
      <c r="H272" s="510">
        <v>2.2043834952110246</v>
      </c>
      <c r="I272" s="510">
        <v>2.4875671948439391</v>
      </c>
      <c r="J272" s="510">
        <v>701.69708889576634</v>
      </c>
      <c r="K272" s="511">
        <v>905.87803608116144</v>
      </c>
      <c r="L272" s="512">
        <v>0.63632221125394861</v>
      </c>
      <c r="M272" s="513">
        <v>0.90085069535747087</v>
      </c>
      <c r="N272" s="513">
        <v>0.76897555269203943</v>
      </c>
      <c r="O272" s="513">
        <v>0.93110214896227639</v>
      </c>
      <c r="P272" s="510">
        <v>41.271999999999998</v>
      </c>
      <c r="Q272" s="510">
        <v>310.233</v>
      </c>
      <c r="R272" s="510">
        <v>3.047247528590812</v>
      </c>
      <c r="S272" s="510">
        <v>2.1535845638600661</v>
      </c>
      <c r="T272" s="510">
        <v>0.21806551657297926</v>
      </c>
      <c r="U272" s="510">
        <v>0.1696144510738703</v>
      </c>
      <c r="V272" s="510">
        <v>944.47858112039762</v>
      </c>
      <c r="W272" s="510">
        <v>724.18195356393346</v>
      </c>
      <c r="X272" s="510">
        <v>605.73754603605244</v>
      </c>
      <c r="Y272" s="569">
        <v>505.78339506113321</v>
      </c>
      <c r="Z272" s="512">
        <v>0.97238004788772969</v>
      </c>
      <c r="AA272" s="513">
        <v>0.90834965776830601</v>
      </c>
      <c r="AB272" s="513">
        <v>0.97238004788772969</v>
      </c>
      <c r="AC272" s="513">
        <v>0.90834965776830601</v>
      </c>
      <c r="AD272" s="510">
        <v>44.686</v>
      </c>
      <c r="AE272" s="510">
        <v>200.93300000000002</v>
      </c>
      <c r="AF272" s="510">
        <v>103.43150351941847</v>
      </c>
      <c r="AG272" s="510">
        <v>111.11057195407277</v>
      </c>
      <c r="AH272" s="510">
        <v>1.3986483462381953</v>
      </c>
      <c r="AI272" s="510">
        <v>1.5567378180786628</v>
      </c>
      <c r="AJ272" s="510">
        <v>928.68191379848884</v>
      </c>
      <c r="AK272" s="510">
        <v>965.76649928085294</v>
      </c>
      <c r="AL272" s="510">
        <v>0</v>
      </c>
      <c r="AM272" s="510">
        <v>0</v>
      </c>
      <c r="AN272" s="512">
        <v>0.94499363032653305</v>
      </c>
      <c r="AO272" s="513">
        <v>0.94174751418806979</v>
      </c>
      <c r="AP272" s="513">
        <v>0.94499363032653305</v>
      </c>
      <c r="AQ272" s="513">
        <v>0.94174751418806979</v>
      </c>
      <c r="AR272" s="510">
        <v>49.4</v>
      </c>
      <c r="AS272" s="510">
        <v>235.315</v>
      </c>
      <c r="AT272" s="514">
        <v>108.96710705376753</v>
      </c>
      <c r="AU272" s="514">
        <v>110.83808156111874</v>
      </c>
      <c r="AV272" s="510">
        <v>1.4331983805668016</v>
      </c>
      <c r="AW272" s="510">
        <v>1.4758940144062216</v>
      </c>
      <c r="AX272" s="510">
        <v>0</v>
      </c>
      <c r="AY272" s="510">
        <v>0</v>
      </c>
      <c r="AZ272" s="510">
        <v>969.81943319838138</v>
      </c>
      <c r="BA272" s="510">
        <v>985.37857765123363</v>
      </c>
      <c r="BB272" s="510">
        <v>0</v>
      </c>
      <c r="BC272" s="510">
        <v>0</v>
      </c>
      <c r="BD272" s="510">
        <v>0</v>
      </c>
      <c r="BE272" s="511">
        <v>0</v>
      </c>
      <c r="BF272" s="1026">
        <v>0.98583122569416115</v>
      </c>
      <c r="BG272" s="513">
        <v>0.89454300881844273</v>
      </c>
      <c r="BH272" s="513">
        <v>0.98583122569416115</v>
      </c>
      <c r="BI272" s="513">
        <v>0.89454300881844273</v>
      </c>
      <c r="BJ272" s="510">
        <v>49.764000000000003</v>
      </c>
      <c r="BK272" s="510">
        <v>227.441</v>
      </c>
      <c r="BL272" s="510">
        <v>2.3973153283498108</v>
      </c>
      <c r="BM272" s="510">
        <v>2.6270549285309155</v>
      </c>
      <c r="BN272" s="514">
        <v>0</v>
      </c>
      <c r="BO272" s="514">
        <v>0</v>
      </c>
      <c r="BP272" s="514">
        <v>904.13902667749619</v>
      </c>
      <c r="BQ272" s="514">
        <v>1045.9181053911625</v>
      </c>
      <c r="BR272" s="514">
        <v>0</v>
      </c>
      <c r="BS272" s="515">
        <v>0</v>
      </c>
      <c r="BT272" s="580">
        <v>0.95100292686978094</v>
      </c>
      <c r="BU272" s="581">
        <v>0.92914875357040194</v>
      </c>
      <c r="BV272" s="581">
        <v>0.95100292686978094</v>
      </c>
      <c r="BW272" s="581">
        <v>0.92914875357040194</v>
      </c>
      <c r="BX272" s="576">
        <v>50.292000000000002</v>
      </c>
      <c r="BY272" s="576">
        <v>243.9</v>
      </c>
      <c r="BZ272" s="582">
        <v>70.450265355824953</v>
      </c>
      <c r="CA272" s="582">
        <v>74.901009770388043</v>
      </c>
      <c r="CB272" s="576">
        <v>1.900898751292452</v>
      </c>
      <c r="CC272" s="576">
        <v>1.9696596965969664</v>
      </c>
      <c r="CD272" s="582">
        <v>0.18889684244014951</v>
      </c>
      <c r="CE272" s="582">
        <v>0.10902009020090202</v>
      </c>
      <c r="CF272" s="582">
        <v>780.0180043828442</v>
      </c>
      <c r="CG272" s="582">
        <v>905.42615904767467</v>
      </c>
      <c r="CH272" s="582">
        <v>489.79957050823106</v>
      </c>
      <c r="CI272" s="582">
        <v>276.40959409593904</v>
      </c>
      <c r="CJ272" s="582">
        <v>0</v>
      </c>
      <c r="CK272" s="583">
        <v>0</v>
      </c>
    </row>
    <row r="273" spans="1:89" ht="12.75" customHeight="1">
      <c r="A273" s="560">
        <v>45753</v>
      </c>
      <c r="B273" s="512">
        <v>1.0323402378995523</v>
      </c>
      <c r="C273" s="513">
        <v>0.87222748704304098</v>
      </c>
      <c r="D273" s="513">
        <v>1.0300609910832146</v>
      </c>
      <c r="E273" s="513">
        <v>0.87604758014472628</v>
      </c>
      <c r="F273" s="510">
        <v>71.792000000000002</v>
      </c>
      <c r="G273" s="510">
        <v>356.03999999999996</v>
      </c>
      <c r="H273" s="510">
        <v>2.0754958769779361</v>
      </c>
      <c r="I273" s="510">
        <v>2.4044770250533651</v>
      </c>
      <c r="J273" s="510">
        <v>716.19818364167486</v>
      </c>
      <c r="K273" s="511">
        <v>867.6309403437848</v>
      </c>
      <c r="L273" s="512">
        <v>1.0176425887163509</v>
      </c>
      <c r="M273" s="513">
        <v>0.91995043969540968</v>
      </c>
      <c r="N273" s="513">
        <v>1.0176425887163509</v>
      </c>
      <c r="O273" s="513">
        <v>0.94565003751904153</v>
      </c>
      <c r="P273" s="510">
        <v>68.516999999999996</v>
      </c>
      <c r="Q273" s="510">
        <v>378.75</v>
      </c>
      <c r="R273" s="510">
        <v>2.1773282543018526</v>
      </c>
      <c r="S273" s="510">
        <v>2.1578798679867988</v>
      </c>
      <c r="T273" s="510">
        <v>0.15674941985200755</v>
      </c>
      <c r="U273" s="510">
        <v>0.1672871287128713</v>
      </c>
      <c r="V273" s="510">
        <v>640.76433585825248</v>
      </c>
      <c r="W273" s="510">
        <v>709.09145874587364</v>
      </c>
      <c r="X273" s="510">
        <v>447.71370608754688</v>
      </c>
      <c r="Y273" s="569">
        <v>495.27841584158682</v>
      </c>
      <c r="Z273" s="512">
        <v>0.71067671254548326</v>
      </c>
      <c r="AA273" s="513">
        <v>0.87568606851995434</v>
      </c>
      <c r="AB273" s="513">
        <v>0.71067671254548326</v>
      </c>
      <c r="AC273" s="513">
        <v>0.87568606851995434</v>
      </c>
      <c r="AD273" s="510">
        <v>31.119</v>
      </c>
      <c r="AE273" s="510">
        <v>232.05200000000002</v>
      </c>
      <c r="AF273" s="510">
        <v>114.77115153402458</v>
      </c>
      <c r="AG273" s="510">
        <v>111.60146871836922</v>
      </c>
      <c r="AH273" s="510">
        <v>1.8573861627944341</v>
      </c>
      <c r="AI273" s="510">
        <v>1.5970558323134469</v>
      </c>
      <c r="AJ273" s="510">
        <v>1062.929400045012</v>
      </c>
      <c r="AK273" s="510">
        <v>978.79639046420789</v>
      </c>
      <c r="AL273" s="510">
        <v>0</v>
      </c>
      <c r="AM273" s="510">
        <v>0</v>
      </c>
      <c r="AN273" s="512">
        <v>0.91528518425116145</v>
      </c>
      <c r="AO273" s="513">
        <v>0.93718904030654171</v>
      </c>
      <c r="AP273" s="513">
        <v>0.91528518425116145</v>
      </c>
      <c r="AQ273" s="513">
        <v>0.93718904030654171</v>
      </c>
      <c r="AR273" s="510">
        <v>47.595999999999997</v>
      </c>
      <c r="AS273" s="510">
        <v>282.911</v>
      </c>
      <c r="AT273" s="514">
        <v>99.154695073729314</v>
      </c>
      <c r="AU273" s="514">
        <v>108.87250771190897</v>
      </c>
      <c r="AV273" s="510">
        <v>1.4370955542482564</v>
      </c>
      <c r="AW273" s="510">
        <v>1.4693666912916077</v>
      </c>
      <c r="AX273" s="510">
        <v>0</v>
      </c>
      <c r="AY273" s="510">
        <v>0</v>
      </c>
      <c r="AZ273" s="510">
        <v>893.71585847550159</v>
      </c>
      <c r="BA273" s="510">
        <v>969.95754848698016</v>
      </c>
      <c r="BB273" s="510">
        <v>0</v>
      </c>
      <c r="BC273" s="510">
        <v>0</v>
      </c>
      <c r="BD273" s="510">
        <v>0</v>
      </c>
      <c r="BE273" s="511">
        <v>0</v>
      </c>
      <c r="BF273" s="1026">
        <v>0.92978837267814995</v>
      </c>
      <c r="BG273" s="513">
        <v>0.90038142589942793</v>
      </c>
      <c r="BH273" s="513">
        <v>0.92978837267814995</v>
      </c>
      <c r="BI273" s="513">
        <v>0.90038142589942793</v>
      </c>
      <c r="BJ273" s="510">
        <v>46.935000000000002</v>
      </c>
      <c r="BK273" s="510">
        <v>274.37599999999998</v>
      </c>
      <c r="BL273" s="510">
        <v>2.5439437519974435</v>
      </c>
      <c r="BM273" s="510">
        <v>2.6128378575385605</v>
      </c>
      <c r="BN273" s="514">
        <v>0</v>
      </c>
      <c r="BO273" s="514">
        <v>0</v>
      </c>
      <c r="BP273" s="514">
        <v>1023.0539639651183</v>
      </c>
      <c r="BQ273" s="514">
        <v>1042.0069452392854</v>
      </c>
      <c r="BR273" s="514">
        <v>0</v>
      </c>
      <c r="BS273" s="515">
        <v>0</v>
      </c>
      <c r="BT273" s="580">
        <v>0.986950126503509</v>
      </c>
      <c r="BU273" s="581">
        <v>0.93884087973837671</v>
      </c>
      <c r="BV273" s="581">
        <v>0.986950126503509</v>
      </c>
      <c r="BW273" s="581">
        <v>0.93884087973837671</v>
      </c>
      <c r="BX273" s="576">
        <v>52.192999999999998</v>
      </c>
      <c r="BY273" s="576">
        <v>296.09300000000002</v>
      </c>
      <c r="BZ273" s="582">
        <v>61.27391927429867</v>
      </c>
      <c r="CA273" s="582">
        <v>72.498930915898427</v>
      </c>
      <c r="CB273" s="576">
        <v>1.8316632498610925</v>
      </c>
      <c r="CC273" s="576">
        <v>1.9453347428004042</v>
      </c>
      <c r="CD273" s="582">
        <v>0.16592263330331655</v>
      </c>
      <c r="CE273" s="582">
        <v>0.11905043347867054</v>
      </c>
      <c r="CF273" s="582">
        <v>744.92464892413091</v>
      </c>
      <c r="CG273" s="582">
        <v>877.13418551949894</v>
      </c>
      <c r="CH273" s="582">
        <v>460.40656793057252</v>
      </c>
      <c r="CI273" s="582">
        <v>308.84316751831312</v>
      </c>
      <c r="CJ273" s="582">
        <v>0</v>
      </c>
      <c r="CK273" s="583">
        <v>0</v>
      </c>
    </row>
    <row r="274" spans="1:89" ht="12.75" customHeight="1">
      <c r="A274" s="560">
        <v>45754</v>
      </c>
      <c r="B274" s="512">
        <v>1.0029947512024731</v>
      </c>
      <c r="C274" s="513">
        <v>0.89127586080148957</v>
      </c>
      <c r="D274" s="513">
        <v>1.0029947512024731</v>
      </c>
      <c r="E274" s="513">
        <v>0.8946086428903246</v>
      </c>
      <c r="F274" s="510">
        <v>69.807000000000002</v>
      </c>
      <c r="G274" s="510">
        <v>425.84699999999998</v>
      </c>
      <c r="H274" s="510">
        <v>2.1813428452733965</v>
      </c>
      <c r="I274" s="510">
        <v>2.3678997386385254</v>
      </c>
      <c r="J274" s="510">
        <v>790.9971779334071</v>
      </c>
      <c r="K274" s="511">
        <v>855.06874534750375</v>
      </c>
      <c r="L274" s="512">
        <v>0.991042533057228</v>
      </c>
      <c r="M274" s="513">
        <v>0.93100555485700565</v>
      </c>
      <c r="N274" s="513">
        <v>0.991042533057228</v>
      </c>
      <c r="O274" s="513">
        <v>0.95287456571931084</v>
      </c>
      <c r="P274" s="510">
        <v>75.132000000000005</v>
      </c>
      <c r="Q274" s="510">
        <v>453.88200000000001</v>
      </c>
      <c r="R274" s="510">
        <v>2.1233029867433313</v>
      </c>
      <c r="S274" s="510">
        <v>2.1521562873169677</v>
      </c>
      <c r="T274" s="510">
        <v>0.12431453974338497</v>
      </c>
      <c r="U274" s="510">
        <v>0.16017378966339268</v>
      </c>
      <c r="V274" s="510">
        <v>621.39048607784071</v>
      </c>
      <c r="W274" s="510">
        <v>694.57414041535026</v>
      </c>
      <c r="X274" s="510">
        <v>351.08209551190339</v>
      </c>
      <c r="Y274" s="569">
        <v>471.40930902745936</v>
      </c>
      <c r="Z274" s="512">
        <v>0.94080073056409175</v>
      </c>
      <c r="AA274" s="513">
        <v>0.88499849033271771</v>
      </c>
      <c r="AB274" s="513">
        <v>0.94080073056409175</v>
      </c>
      <c r="AC274" s="513">
        <v>0.88499849033271771</v>
      </c>
      <c r="AD274" s="510">
        <v>41.604999999999997</v>
      </c>
      <c r="AE274" s="510">
        <v>273.65700000000004</v>
      </c>
      <c r="AF274" s="510">
        <v>99.128545951380943</v>
      </c>
      <c r="AG274" s="510">
        <v>109.70516805103549</v>
      </c>
      <c r="AH274" s="510">
        <v>1.4757841605576254</v>
      </c>
      <c r="AI274" s="510">
        <v>1.5786184895690589</v>
      </c>
      <c r="AJ274" s="510">
        <v>948.85566638623857</v>
      </c>
      <c r="AK274" s="510">
        <v>974.24440083754394</v>
      </c>
      <c r="AL274" s="510">
        <v>0</v>
      </c>
      <c r="AM274" s="510">
        <v>0</v>
      </c>
      <c r="AN274" s="512">
        <v>0.96334134244416914</v>
      </c>
      <c r="AO274" s="513">
        <v>0.94083116041713</v>
      </c>
      <c r="AP274" s="513">
        <v>0.96334134244416914</v>
      </c>
      <c r="AQ274" s="513">
        <v>0.94083116041713</v>
      </c>
      <c r="AR274" s="510">
        <v>47.052</v>
      </c>
      <c r="AS274" s="510">
        <v>329.96300000000002</v>
      </c>
      <c r="AT274" s="514">
        <v>97.193810324178244</v>
      </c>
      <c r="AU274" s="514">
        <v>107.20715108256715</v>
      </c>
      <c r="AV274" s="510">
        <v>1.4919663351185923</v>
      </c>
      <c r="AW274" s="510">
        <v>1.4725893509272252</v>
      </c>
      <c r="AX274" s="510">
        <v>0</v>
      </c>
      <c r="AY274" s="510">
        <v>0</v>
      </c>
      <c r="AZ274" s="510">
        <v>958.24066989713583</v>
      </c>
      <c r="BA274" s="510">
        <v>968.28674730197042</v>
      </c>
      <c r="BB274" s="510">
        <v>0</v>
      </c>
      <c r="BC274" s="510">
        <v>0</v>
      </c>
      <c r="BD274" s="510">
        <v>0</v>
      </c>
      <c r="BE274" s="511">
        <v>0</v>
      </c>
      <c r="BF274" s="1026">
        <v>0.93626628463864325</v>
      </c>
      <c r="BG274" s="513">
        <v>0.9054810240234229</v>
      </c>
      <c r="BH274" s="513">
        <v>0.93626628463864325</v>
      </c>
      <c r="BI274" s="513">
        <v>0.9054810240234229</v>
      </c>
      <c r="BJ274" s="510">
        <v>47.262</v>
      </c>
      <c r="BK274" s="510">
        <v>321.63799999999998</v>
      </c>
      <c r="BL274" s="510">
        <v>2.5496170284795396</v>
      </c>
      <c r="BM274" s="510">
        <v>2.6035480882234068</v>
      </c>
      <c r="BN274" s="514">
        <v>0</v>
      </c>
      <c r="BO274" s="514">
        <v>0</v>
      </c>
      <c r="BP274" s="514">
        <v>1045.1755626618924</v>
      </c>
      <c r="BQ274" s="514">
        <v>1042.4725469300909</v>
      </c>
      <c r="BR274" s="514">
        <v>0</v>
      </c>
      <c r="BS274" s="515">
        <v>0</v>
      </c>
      <c r="BT274" s="580">
        <v>0.74949745925753386</v>
      </c>
      <c r="BU274" s="581">
        <v>0.91166319569397991</v>
      </c>
      <c r="BV274" s="581">
        <v>0.74949745925753386</v>
      </c>
      <c r="BW274" s="581">
        <v>0.91166319569397991</v>
      </c>
      <c r="BX274" s="576">
        <v>39.615000000000002</v>
      </c>
      <c r="BY274" s="576">
        <v>335.70800000000003</v>
      </c>
      <c r="BZ274" s="582">
        <v>68.347688560382707</v>
      </c>
      <c r="CA274" s="582">
        <v>72.009066313584043</v>
      </c>
      <c r="CB274" s="576">
        <v>1.9815726366275399</v>
      </c>
      <c r="CC274" s="576">
        <v>1.9496109714394654</v>
      </c>
      <c r="CD274" s="582">
        <v>0.12772939543102357</v>
      </c>
      <c r="CE274" s="582">
        <v>0.12007458863059563</v>
      </c>
      <c r="CF274" s="582">
        <v>829.95715152022672</v>
      </c>
      <c r="CG274" s="582">
        <v>871.56709089595358</v>
      </c>
      <c r="CH274" s="582">
        <v>339.35378013379216</v>
      </c>
      <c r="CI274" s="582">
        <v>312.4435521345934</v>
      </c>
      <c r="CJ274" s="582">
        <v>0</v>
      </c>
      <c r="CK274" s="583">
        <v>0</v>
      </c>
    </row>
    <row r="275" spans="1:89" ht="12.75" customHeight="1">
      <c r="A275" s="560">
        <v>45755</v>
      </c>
      <c r="B275" s="512">
        <v>0.85955723596352396</v>
      </c>
      <c r="C275" s="513">
        <v>0.88684753058743382</v>
      </c>
      <c r="D275" s="513">
        <v>0.85955723596352396</v>
      </c>
      <c r="E275" s="513">
        <v>0.88969927724279518</v>
      </c>
      <c r="F275" s="510">
        <v>66.641999999999996</v>
      </c>
      <c r="G275" s="510">
        <v>492.48899999999998</v>
      </c>
      <c r="H275" s="510">
        <v>2.8707871912607668</v>
      </c>
      <c r="I275" s="510">
        <v>2.4359488232224478</v>
      </c>
      <c r="J275" s="510">
        <v>758.91449836439722</v>
      </c>
      <c r="K275" s="511">
        <v>842.05746727337782</v>
      </c>
      <c r="L275" s="512">
        <v>0.92914150228198389</v>
      </c>
      <c r="M275" s="513">
        <v>0.93075367146298982</v>
      </c>
      <c r="N275" s="513">
        <v>0.92914150228198389</v>
      </c>
      <c r="O275" s="513">
        <v>0.94960264826561525</v>
      </c>
      <c r="P275" s="510">
        <v>70.772000000000006</v>
      </c>
      <c r="Q275" s="510">
        <v>524.654</v>
      </c>
      <c r="R275" s="510">
        <v>2.2513423387780476</v>
      </c>
      <c r="S275" s="510">
        <v>2.1655357626168867</v>
      </c>
      <c r="T275" s="510">
        <v>0.1624936415531566</v>
      </c>
      <c r="U275" s="510">
        <v>0.16048672077216605</v>
      </c>
      <c r="V275" s="510">
        <v>574.09667665178506</v>
      </c>
      <c r="W275" s="510">
        <v>678.32260880504134</v>
      </c>
      <c r="X275" s="510">
        <v>440.52167523878569</v>
      </c>
      <c r="Y275" s="569">
        <v>467.24279239270197</v>
      </c>
      <c r="Z275" s="512">
        <v>0.9312628859044203</v>
      </c>
      <c r="AA275" s="513">
        <v>0.89084545880865684</v>
      </c>
      <c r="AB275" s="513">
        <v>0.9312628859044203</v>
      </c>
      <c r="AC275" s="513">
        <v>0.89084545880865684</v>
      </c>
      <c r="AD275" s="510">
        <v>41.658000000000001</v>
      </c>
      <c r="AE275" s="510">
        <v>315.31500000000005</v>
      </c>
      <c r="AF275" s="510">
        <v>98.658852987122671</v>
      </c>
      <c r="AG275" s="510">
        <v>108.24577857406013</v>
      </c>
      <c r="AH275" s="510">
        <v>1.4739065725670939</v>
      </c>
      <c r="AI275" s="510">
        <v>1.5647844219272786</v>
      </c>
      <c r="AJ275" s="510">
        <v>885.67814105334787</v>
      </c>
      <c r="AK275" s="510">
        <v>962.54342482913944</v>
      </c>
      <c r="AL275" s="510">
        <v>0</v>
      </c>
      <c r="AM275" s="510">
        <v>0</v>
      </c>
      <c r="AN275" s="512">
        <v>0.96536661234270227</v>
      </c>
      <c r="AO275" s="513">
        <v>0.94380526508843954</v>
      </c>
      <c r="AP275" s="513">
        <v>0.96536661234270227</v>
      </c>
      <c r="AQ275" s="513">
        <v>0.94380526508843954</v>
      </c>
      <c r="AR275" s="510">
        <v>46.701000000000001</v>
      </c>
      <c r="AS275" s="510">
        <v>376.66400000000004</v>
      </c>
      <c r="AT275" s="514">
        <v>96.722933931962075</v>
      </c>
      <c r="AU275" s="514">
        <v>105.90725668026057</v>
      </c>
      <c r="AV275" s="510">
        <v>1.516027494057943</v>
      </c>
      <c r="AW275" s="510">
        <v>1.4779750653101968</v>
      </c>
      <c r="AX275" s="510">
        <v>0</v>
      </c>
      <c r="AY275" s="510">
        <v>0</v>
      </c>
      <c r="AZ275" s="510">
        <v>973.54617674139649</v>
      </c>
      <c r="BA275" s="510">
        <v>968.93884204489927</v>
      </c>
      <c r="BB275" s="510">
        <v>0</v>
      </c>
      <c r="BC275" s="510">
        <v>0</v>
      </c>
      <c r="BD275" s="510">
        <v>0</v>
      </c>
      <c r="BE275" s="511">
        <v>0</v>
      </c>
      <c r="BF275" s="1026">
        <v>0.9721820472819902</v>
      </c>
      <c r="BG275" s="513">
        <v>0.91378047311001731</v>
      </c>
      <c r="BH275" s="513">
        <v>0.9721820472819902</v>
      </c>
      <c r="BI275" s="513">
        <v>0.91378047311001731</v>
      </c>
      <c r="BJ275" s="510">
        <v>49.075000000000003</v>
      </c>
      <c r="BK275" s="510">
        <v>370.71299999999997</v>
      </c>
      <c r="BL275" s="510">
        <v>2.4819154355578195</v>
      </c>
      <c r="BM275" s="510">
        <v>2.5874463533784895</v>
      </c>
      <c r="BN275" s="514">
        <v>0</v>
      </c>
      <c r="BO275" s="514">
        <v>0</v>
      </c>
      <c r="BP275" s="514">
        <v>951.83766090903521</v>
      </c>
      <c r="BQ275" s="514">
        <v>1030.4742975256102</v>
      </c>
      <c r="BR275" s="514">
        <v>0</v>
      </c>
      <c r="BS275" s="515">
        <v>0</v>
      </c>
      <c r="BT275" s="580">
        <v>1.0284945755278649</v>
      </c>
      <c r="BU275" s="581">
        <v>0.92633456691571059</v>
      </c>
      <c r="BV275" s="581">
        <v>1.0284945755278649</v>
      </c>
      <c r="BW275" s="581">
        <v>0.92633456691571059</v>
      </c>
      <c r="BX275" s="576">
        <v>54.39</v>
      </c>
      <c r="BY275" s="576">
        <v>390.09800000000001</v>
      </c>
      <c r="BZ275" s="582">
        <v>59.000032445410596</v>
      </c>
      <c r="CA275" s="582">
        <v>70.195262212845378</v>
      </c>
      <c r="CB275" s="576">
        <v>1.7356131641845929</v>
      </c>
      <c r="CC275" s="576">
        <v>1.9197740055063088</v>
      </c>
      <c r="CD275" s="582">
        <v>0.15260158117300976</v>
      </c>
      <c r="CE275" s="582">
        <v>0.12460971345661859</v>
      </c>
      <c r="CF275" s="582">
        <v>709.60280917241744</v>
      </c>
      <c r="CG275" s="582">
        <v>848.98497747075498</v>
      </c>
      <c r="CH275" s="582">
        <v>419.82717411287962</v>
      </c>
      <c r="CI275" s="582">
        <v>327.41567503550289</v>
      </c>
      <c r="CJ275" s="582">
        <v>0</v>
      </c>
      <c r="CK275" s="583">
        <v>0</v>
      </c>
    </row>
    <row r="276" spans="1:89" ht="12.75" customHeight="1">
      <c r="A276" s="560">
        <v>45756</v>
      </c>
      <c r="B276" s="512">
        <v>0.86908546241884999</v>
      </c>
      <c r="C276" s="513">
        <v>0.88467576013257077</v>
      </c>
      <c r="D276" s="513">
        <v>0.86908546241884999</v>
      </c>
      <c r="E276" s="513">
        <v>0.88717171233873038</v>
      </c>
      <c r="F276" s="510">
        <v>67.230999999999995</v>
      </c>
      <c r="G276" s="510">
        <v>559.72</v>
      </c>
      <c r="H276" s="510">
        <v>2.604051702339695</v>
      </c>
      <c r="I276" s="510">
        <v>2.4561405702851427</v>
      </c>
      <c r="J276" s="510">
        <v>797.9863455846538</v>
      </c>
      <c r="K276" s="511">
        <v>836.76384620881947</v>
      </c>
      <c r="L276" s="512">
        <v>0.98227793847500466</v>
      </c>
      <c r="M276" s="513">
        <v>0.93686063211160397</v>
      </c>
      <c r="N276" s="513">
        <v>0.98227793847500466</v>
      </c>
      <c r="O276" s="513">
        <v>0.95354448581389062</v>
      </c>
      <c r="P276" s="510">
        <v>74.451999999999998</v>
      </c>
      <c r="Q276" s="510">
        <v>599.10599999999999</v>
      </c>
      <c r="R276" s="510">
        <v>2.0473459410089725</v>
      </c>
      <c r="S276" s="510">
        <v>2.1508480969978607</v>
      </c>
      <c r="T276" s="510">
        <v>0.17205716434749907</v>
      </c>
      <c r="U276" s="510">
        <v>0.16192460098880668</v>
      </c>
      <c r="V276" s="510">
        <v>631.72030301402208</v>
      </c>
      <c r="W276" s="510">
        <v>672.53125490313926</v>
      </c>
      <c r="X276" s="510">
        <v>453.33369150594353</v>
      </c>
      <c r="Y276" s="569">
        <v>465.51428294826161</v>
      </c>
      <c r="Z276" s="512">
        <v>0.91152680163486732</v>
      </c>
      <c r="AA276" s="513">
        <v>0.89313576538645767</v>
      </c>
      <c r="AB276" s="513">
        <v>0.91152680163486732</v>
      </c>
      <c r="AC276" s="513">
        <v>0.89313576538645767</v>
      </c>
      <c r="AD276" s="510">
        <v>40.179000000000002</v>
      </c>
      <c r="AE276" s="510">
        <v>355.49400000000003</v>
      </c>
      <c r="AF276" s="510">
        <v>107.46864008831965</v>
      </c>
      <c r="AG276" s="510">
        <v>108.15794404740549</v>
      </c>
      <c r="AH276" s="510">
        <v>1.5754498618681398</v>
      </c>
      <c r="AI276" s="510">
        <v>1.5659898619948576</v>
      </c>
      <c r="AJ276" s="510">
        <v>969.01266830931127</v>
      </c>
      <c r="AK276" s="510">
        <v>963.27459816480723</v>
      </c>
      <c r="AL276" s="510">
        <v>0</v>
      </c>
      <c r="AM276" s="510">
        <v>0</v>
      </c>
      <c r="AN276" s="512">
        <v>0.95257112759847562</v>
      </c>
      <c r="AO276" s="513">
        <v>0.94475295730395525</v>
      </c>
      <c r="AP276" s="513">
        <v>0.95257112759847562</v>
      </c>
      <c r="AQ276" s="513">
        <v>0.94475295730395525</v>
      </c>
      <c r="AR276" s="510">
        <v>46.082000000000001</v>
      </c>
      <c r="AS276" s="510">
        <v>422.74600000000004</v>
      </c>
      <c r="AT276" s="514">
        <v>90.307129154202954</v>
      </c>
      <c r="AU276" s="514">
        <v>104.20674366143653</v>
      </c>
      <c r="AV276" s="510">
        <v>1.5407317390738249</v>
      </c>
      <c r="AW276" s="510">
        <v>1.4848159414873234</v>
      </c>
      <c r="AX276" s="510">
        <v>0</v>
      </c>
      <c r="AY276" s="510">
        <v>0</v>
      </c>
      <c r="AZ276" s="510">
        <v>1029.555140835902</v>
      </c>
      <c r="BA276" s="510">
        <v>975.5464037507154</v>
      </c>
      <c r="BB276" s="510">
        <v>0</v>
      </c>
      <c r="BC276" s="510">
        <v>0</v>
      </c>
      <c r="BD276" s="510">
        <v>0</v>
      </c>
      <c r="BE276" s="511">
        <v>0</v>
      </c>
      <c r="BF276" s="1026">
        <v>0.93836615824051572</v>
      </c>
      <c r="BG276" s="513">
        <v>0.91650109120240153</v>
      </c>
      <c r="BH276" s="513">
        <v>0.93836615824051572</v>
      </c>
      <c r="BI276" s="513">
        <v>0.91650109120240153</v>
      </c>
      <c r="BJ276" s="510">
        <v>47.368000000000002</v>
      </c>
      <c r="BK276" s="510">
        <v>418.08099999999996</v>
      </c>
      <c r="BL276" s="510">
        <v>2.5776895794629282</v>
      </c>
      <c r="BM276" s="510">
        <v>2.5863409243663309</v>
      </c>
      <c r="BN276" s="514">
        <v>0</v>
      </c>
      <c r="BO276" s="514">
        <v>0</v>
      </c>
      <c r="BP276" s="514">
        <v>1041.9835266199605</v>
      </c>
      <c r="BQ276" s="514">
        <v>1031.778277289678</v>
      </c>
      <c r="BR276" s="514">
        <v>0</v>
      </c>
      <c r="BS276" s="515">
        <v>0</v>
      </c>
      <c r="BT276" s="580">
        <v>0.94247468539960144</v>
      </c>
      <c r="BU276" s="581">
        <v>0.92813527198035006</v>
      </c>
      <c r="BV276" s="581">
        <v>0.94247468539960144</v>
      </c>
      <c r="BW276" s="581">
        <v>0.92813527198035006</v>
      </c>
      <c r="BX276" s="576">
        <v>49.841000000000001</v>
      </c>
      <c r="BY276" s="576">
        <v>439.93900000000002</v>
      </c>
      <c r="BZ276" s="582">
        <v>67.825372368279645</v>
      </c>
      <c r="CA276" s="582">
        <v>69.926775718710957</v>
      </c>
      <c r="CB276" s="576">
        <v>1.8900102325394756</v>
      </c>
      <c r="CC276" s="576">
        <v>1.9164020466473763</v>
      </c>
      <c r="CD276" s="582">
        <v>0.1763608274312313</v>
      </c>
      <c r="CE276" s="582">
        <v>0.13047263370603651</v>
      </c>
      <c r="CF276" s="582">
        <v>674.54935316439628</v>
      </c>
      <c r="CG276" s="582">
        <v>829.2230424046362</v>
      </c>
      <c r="CH276" s="582">
        <v>475.58034549869291</v>
      </c>
      <c r="CI276" s="582">
        <v>344.20135518787822</v>
      </c>
      <c r="CJ276" s="582">
        <v>0</v>
      </c>
      <c r="CK276" s="583">
        <v>0</v>
      </c>
    </row>
    <row r="277" spans="1:89" ht="12.75" customHeight="1">
      <c r="A277" s="560">
        <v>45757</v>
      </c>
      <c r="B277" s="512">
        <v>1.0126509730343383</v>
      </c>
      <c r="C277" s="513">
        <v>0.89784348139971615</v>
      </c>
      <c r="D277" s="513">
        <v>1.0126509730343383</v>
      </c>
      <c r="E277" s="513">
        <v>0.90011528657318984</v>
      </c>
      <c r="F277" s="510">
        <v>73.483000000000004</v>
      </c>
      <c r="G277" s="510">
        <v>633.20299999999997</v>
      </c>
      <c r="H277" s="510">
        <v>2.1007171726793952</v>
      </c>
      <c r="I277" s="510">
        <v>2.4148938018297454</v>
      </c>
      <c r="J277" s="510">
        <v>660.65620619732306</v>
      </c>
      <c r="K277" s="511">
        <v>816.32661247656495</v>
      </c>
      <c r="L277" s="512">
        <v>0.98200737366529678</v>
      </c>
      <c r="M277" s="513">
        <v>0.94141747123483055</v>
      </c>
      <c r="N277" s="513">
        <v>0.98200737366529678</v>
      </c>
      <c r="O277" s="513">
        <v>0.95646327206047077</v>
      </c>
      <c r="P277" s="510">
        <v>70.5</v>
      </c>
      <c r="Q277" s="510">
        <v>669.60599999999999</v>
      </c>
      <c r="R277" s="510">
        <v>2.0592907801418439</v>
      </c>
      <c r="S277" s="510">
        <v>2.1412084121110029</v>
      </c>
      <c r="T277" s="510">
        <v>0.16113475177304964</v>
      </c>
      <c r="U277" s="510">
        <v>0.16184144108625073</v>
      </c>
      <c r="V277" s="510">
        <v>501.11617021275833</v>
      </c>
      <c r="W277" s="510">
        <v>654.48368144849303</v>
      </c>
      <c r="X277" s="510">
        <v>529.52765957446104</v>
      </c>
      <c r="Y277" s="569">
        <v>472.25398219251423</v>
      </c>
      <c r="Z277" s="512">
        <v>0.96998754985608959</v>
      </c>
      <c r="AA277" s="513">
        <v>0.90075491364558713</v>
      </c>
      <c r="AB277" s="513">
        <v>0.96998754985608959</v>
      </c>
      <c r="AC277" s="513">
        <v>0.90075491364558713</v>
      </c>
      <c r="AD277" s="510">
        <v>42.488999999999997</v>
      </c>
      <c r="AE277" s="510">
        <v>397.983</v>
      </c>
      <c r="AF277" s="510">
        <v>97.735542411720388</v>
      </c>
      <c r="AG277" s="510">
        <v>107.04523967787559</v>
      </c>
      <c r="AH277" s="510">
        <v>1.489797359316529</v>
      </c>
      <c r="AI277" s="510">
        <v>1.557855486289615</v>
      </c>
      <c r="AJ277" s="510">
        <v>838.6278801572214</v>
      </c>
      <c r="AK277" s="510">
        <v>949.96720965468421</v>
      </c>
      <c r="AL277" s="510">
        <v>0</v>
      </c>
      <c r="AM277" s="510">
        <v>0</v>
      </c>
      <c r="AN277" s="512">
        <v>0.92673210347847002</v>
      </c>
      <c r="AO277" s="513">
        <v>0.94299477264654707</v>
      </c>
      <c r="AP277" s="513">
        <v>0.92673210347847002</v>
      </c>
      <c r="AQ277" s="513">
        <v>0.94299477264654707</v>
      </c>
      <c r="AR277" s="510">
        <v>44.832000000000001</v>
      </c>
      <c r="AS277" s="510">
        <v>467.57800000000003</v>
      </c>
      <c r="AT277" s="514">
        <v>98.990236909681499</v>
      </c>
      <c r="AU277" s="514">
        <v>103.70657806191156</v>
      </c>
      <c r="AV277" s="510">
        <v>1.5926124197002143</v>
      </c>
      <c r="AW277" s="510">
        <v>1.4951516110680998</v>
      </c>
      <c r="AX277" s="510">
        <v>0</v>
      </c>
      <c r="AY277" s="510">
        <v>0</v>
      </c>
      <c r="AZ277" s="510">
        <v>982.38891862955086</v>
      </c>
      <c r="BA277" s="510">
        <v>976.20247317025178</v>
      </c>
      <c r="BB277" s="510">
        <v>0</v>
      </c>
      <c r="BC277" s="510">
        <v>0</v>
      </c>
      <c r="BD277" s="510">
        <v>0</v>
      </c>
      <c r="BE277" s="511">
        <v>0</v>
      </c>
      <c r="BF277" s="1026">
        <v>0.95825552707334538</v>
      </c>
      <c r="BG277" s="513">
        <v>0.92066122495395952</v>
      </c>
      <c r="BH277" s="513">
        <v>0.95825552707334538</v>
      </c>
      <c r="BI277" s="513">
        <v>0.92066122495395952</v>
      </c>
      <c r="BJ277" s="510">
        <v>48.372</v>
      </c>
      <c r="BK277" s="510">
        <v>466.45299999999997</v>
      </c>
      <c r="BL277" s="510">
        <v>2.5448606631935831</v>
      </c>
      <c r="BM277" s="510">
        <v>2.58203934801577</v>
      </c>
      <c r="BN277" s="514">
        <v>0</v>
      </c>
      <c r="BO277" s="514">
        <v>0</v>
      </c>
      <c r="BP277" s="514">
        <v>986.86129244146548</v>
      </c>
      <c r="BQ277" s="514">
        <v>1027.1203066236562</v>
      </c>
      <c r="BR277" s="514">
        <v>0</v>
      </c>
      <c r="BS277" s="515">
        <v>0</v>
      </c>
      <c r="BT277" s="580">
        <v>0.91367532451471556</v>
      </c>
      <c r="BU277" s="581">
        <v>0.92668393946122929</v>
      </c>
      <c r="BV277" s="581">
        <v>0.91367532451471556</v>
      </c>
      <c r="BW277" s="581">
        <v>0.92668393946122929</v>
      </c>
      <c r="BX277" s="576">
        <v>48.317999999999998</v>
      </c>
      <c r="BY277" s="576">
        <v>488.25700000000001</v>
      </c>
      <c r="BZ277" s="582">
        <v>66.484213695384156</v>
      </c>
      <c r="CA277" s="582">
        <v>69.586099165495938</v>
      </c>
      <c r="CB277" s="576">
        <v>1.966140982656567</v>
      </c>
      <c r="CC277" s="576">
        <v>1.9213242206460945</v>
      </c>
      <c r="CD277" s="582">
        <v>0.17467610414338341</v>
      </c>
      <c r="CE277" s="582">
        <v>0.13484701704225438</v>
      </c>
      <c r="CF277" s="582">
        <v>905.68578091023903</v>
      </c>
      <c r="CG277" s="582">
        <v>836.78980867550115</v>
      </c>
      <c r="CH277" s="582">
        <v>487.77474233204248</v>
      </c>
      <c r="CI277" s="582">
        <v>358.40940324460189</v>
      </c>
      <c r="CJ277" s="582">
        <v>0</v>
      </c>
      <c r="CK277" s="583">
        <v>0</v>
      </c>
    </row>
    <row r="278" spans="1:89" ht="12.75" customHeight="1">
      <c r="A278" s="560">
        <v>45758</v>
      </c>
      <c r="B278" s="512">
        <v>1.0915503706174663</v>
      </c>
      <c r="C278" s="513">
        <v>0.91288707383306111</v>
      </c>
      <c r="D278" s="513">
        <v>1.0915503706174663</v>
      </c>
      <c r="E278" s="513">
        <v>0.91501713684719377</v>
      </c>
      <c r="F278" s="510">
        <v>64.819000000000003</v>
      </c>
      <c r="G278" s="510">
        <v>698.02199999999993</v>
      </c>
      <c r="H278" s="510">
        <v>2.0197781514679338</v>
      </c>
      <c r="I278" s="510">
        <v>2.3782029792757253</v>
      </c>
      <c r="J278" s="510">
        <v>793.83760934297243</v>
      </c>
      <c r="K278" s="511">
        <v>814.23826183128983</v>
      </c>
      <c r="L278" s="512">
        <v>0.91313403587935837</v>
      </c>
      <c r="M278" s="513">
        <v>0.93926131943961977</v>
      </c>
      <c r="N278" s="513">
        <v>0.91313403587935837</v>
      </c>
      <c r="O278" s="513">
        <v>0.95311141538083666</v>
      </c>
      <c r="P278" s="510">
        <v>53.598999999999997</v>
      </c>
      <c r="Q278" s="510">
        <v>723.20500000000004</v>
      </c>
      <c r="R278" s="510">
        <v>2.4519300733222633</v>
      </c>
      <c r="S278" s="510">
        <v>2.1642369729191588</v>
      </c>
      <c r="T278" s="510">
        <v>0.29440847777010765</v>
      </c>
      <c r="U278" s="510">
        <v>0.17166640164268776</v>
      </c>
      <c r="V278" s="510">
        <v>800.88266572137013</v>
      </c>
      <c r="W278" s="510">
        <v>665.33377119903673</v>
      </c>
      <c r="X278" s="510">
        <v>627.39416780163799</v>
      </c>
      <c r="Y278" s="569">
        <v>483.75190990106637</v>
      </c>
      <c r="Z278" s="512">
        <v>0.9063899439260622</v>
      </c>
      <c r="AA278" s="513">
        <v>0.90126201749955948</v>
      </c>
      <c r="AB278" s="513">
        <v>0.9063899439260622</v>
      </c>
      <c r="AC278" s="513">
        <v>0.90126201749955948</v>
      </c>
      <c r="AD278" s="510">
        <v>39.603000000000002</v>
      </c>
      <c r="AE278" s="510">
        <v>437.58600000000001</v>
      </c>
      <c r="AF278" s="510">
        <v>105.12564269681899</v>
      </c>
      <c r="AG278" s="510">
        <v>106.87150971567208</v>
      </c>
      <c r="AH278" s="510">
        <v>1.5503875968992247</v>
      </c>
      <c r="AI278" s="510">
        <v>1.5571796172638062</v>
      </c>
      <c r="AJ278" s="510">
        <v>990.94361538266844</v>
      </c>
      <c r="AK278" s="510">
        <v>953.6757117458053</v>
      </c>
      <c r="AL278" s="510">
        <v>0</v>
      </c>
      <c r="AM278" s="510">
        <v>0</v>
      </c>
      <c r="AN278" s="512">
        <v>0.91860831429514034</v>
      </c>
      <c r="AO278" s="513">
        <v>0.94082702839755095</v>
      </c>
      <c r="AP278" s="513">
        <v>0.91860831429514034</v>
      </c>
      <c r="AQ278" s="513">
        <v>0.94082702839755095</v>
      </c>
      <c r="AR278" s="510">
        <v>44.439</v>
      </c>
      <c r="AS278" s="510">
        <v>512.01700000000005</v>
      </c>
      <c r="AT278" s="514">
        <v>100.17427163567889</v>
      </c>
      <c r="AU278" s="514">
        <v>103.40000198089207</v>
      </c>
      <c r="AV278" s="510">
        <v>1.5504399288912893</v>
      </c>
      <c r="AW278" s="510">
        <v>1.4999501969661162</v>
      </c>
      <c r="AX278" s="510">
        <v>0</v>
      </c>
      <c r="AY278" s="510">
        <v>0</v>
      </c>
      <c r="AZ278" s="510">
        <v>983.46812484529278</v>
      </c>
      <c r="BA278" s="510">
        <v>976.83307390184302</v>
      </c>
      <c r="BB278" s="510">
        <v>0</v>
      </c>
      <c r="BC278" s="510">
        <v>0</v>
      </c>
      <c r="BD278" s="510">
        <v>0</v>
      </c>
      <c r="BE278" s="511">
        <v>0</v>
      </c>
      <c r="BF278" s="1026">
        <v>0.93648409943587696</v>
      </c>
      <c r="BG278" s="513">
        <v>0.92209492701100149</v>
      </c>
      <c r="BH278" s="513">
        <v>0.93648409943587696</v>
      </c>
      <c r="BI278" s="513">
        <v>0.92209492701100149</v>
      </c>
      <c r="BJ278" s="510">
        <v>47.274999999999999</v>
      </c>
      <c r="BK278" s="510">
        <v>513.72799999999995</v>
      </c>
      <c r="BL278" s="510">
        <v>2.6652564780539398</v>
      </c>
      <c r="BM278" s="510">
        <v>2.5896972717079856</v>
      </c>
      <c r="BN278" s="514">
        <v>0</v>
      </c>
      <c r="BO278" s="514">
        <v>0</v>
      </c>
      <c r="BP278" s="514">
        <v>963.01081364004767</v>
      </c>
      <c r="BQ278" s="514">
        <v>1021.2207327620019</v>
      </c>
      <c r="BR278" s="514">
        <v>0</v>
      </c>
      <c r="BS278" s="515">
        <v>0</v>
      </c>
      <c r="BT278" s="580">
        <v>0.90853705854052458</v>
      </c>
      <c r="BU278" s="581">
        <v>0.92506147993744203</v>
      </c>
      <c r="BV278" s="581">
        <v>0.97999502943697037</v>
      </c>
      <c r="BW278" s="581">
        <v>0.93113177548244286</v>
      </c>
      <c r="BX278" s="576">
        <v>47.000999999999998</v>
      </c>
      <c r="BY278" s="576">
        <v>535.25800000000004</v>
      </c>
      <c r="BZ278" s="582">
        <v>64.510642647176539</v>
      </c>
      <c r="CA278" s="582">
        <v>69.14042337584398</v>
      </c>
      <c r="CB278" s="576">
        <v>1.8871938894917131</v>
      </c>
      <c r="CC278" s="576">
        <v>1.9183272365849742</v>
      </c>
      <c r="CD278" s="582">
        <v>0.1834003531839748</v>
      </c>
      <c r="CE278" s="582">
        <v>0.13911048503712228</v>
      </c>
      <c r="CF278" s="582">
        <v>765.44507106589276</v>
      </c>
      <c r="CG278" s="582">
        <v>830.5250279297876</v>
      </c>
      <c r="CH278" s="582">
        <v>505.99561711452947</v>
      </c>
      <c r="CI278" s="582">
        <v>371.36894731138926</v>
      </c>
      <c r="CJ278" s="582">
        <v>0</v>
      </c>
      <c r="CK278" s="583">
        <v>0</v>
      </c>
    </row>
    <row r="279" spans="1:89" ht="12.75" customHeight="1">
      <c r="A279" s="560">
        <v>45759</v>
      </c>
      <c r="B279" s="512">
        <v>0.72078137154055</v>
      </c>
      <c r="C279" s="513">
        <v>0.89904352873721716</v>
      </c>
      <c r="D279" s="513">
        <v>0.72078137154055</v>
      </c>
      <c r="E279" s="513">
        <v>0.90098979384407141</v>
      </c>
      <c r="F279" s="510">
        <v>42.8</v>
      </c>
      <c r="G279" s="510">
        <v>740.82199999999989</v>
      </c>
      <c r="H279" s="510">
        <v>3.0588785046728977</v>
      </c>
      <c r="I279" s="510">
        <v>2.4175280971677413</v>
      </c>
      <c r="J279" s="510">
        <v>1204.2616822429541</v>
      </c>
      <c r="K279" s="511">
        <v>836.77134318365131</v>
      </c>
      <c r="L279" s="512">
        <v>0.84408006269237534</v>
      </c>
      <c r="M279" s="513">
        <v>0.93304989489964929</v>
      </c>
      <c r="N279" s="513">
        <v>0.84408006269237534</v>
      </c>
      <c r="O279" s="513">
        <v>0.94589817017260869</v>
      </c>
      <c r="P279" s="510">
        <v>45.374000000000002</v>
      </c>
      <c r="Q279" s="510">
        <v>768.57900000000006</v>
      </c>
      <c r="R279" s="510">
        <v>2.6523559747873229</v>
      </c>
      <c r="S279" s="510">
        <v>2.1930536743783011</v>
      </c>
      <c r="T279" s="510">
        <v>0.27769207034865778</v>
      </c>
      <c r="U279" s="510">
        <v>0.17792575649347692</v>
      </c>
      <c r="V279" s="510">
        <v>979.66963459250587</v>
      </c>
      <c r="W279" s="510">
        <v>683.89097282127091</v>
      </c>
      <c r="X279" s="510">
        <v>491.4708864107198</v>
      </c>
      <c r="Y279" s="569">
        <v>484.20760910719736</v>
      </c>
      <c r="Z279" s="512">
        <v>0.87455429179253441</v>
      </c>
      <c r="AA279" s="513">
        <v>0.89906095867843372</v>
      </c>
      <c r="AB279" s="513">
        <v>0.87455429179253441</v>
      </c>
      <c r="AC279" s="513">
        <v>0.89906095867843372</v>
      </c>
      <c r="AD279" s="510">
        <v>38.137</v>
      </c>
      <c r="AE279" s="510">
        <v>475.72300000000001</v>
      </c>
      <c r="AF279" s="510">
        <v>114.35422277904028</v>
      </c>
      <c r="AG279" s="510">
        <v>107.47137187936328</v>
      </c>
      <c r="AH279" s="510">
        <v>1.6493169363085716</v>
      </c>
      <c r="AI279" s="510">
        <v>1.5645659343777782</v>
      </c>
      <c r="AJ279" s="510">
        <v>1003.2519600388122</v>
      </c>
      <c r="AK279" s="510">
        <v>957.65006106494775</v>
      </c>
      <c r="AL279" s="510">
        <v>0</v>
      </c>
      <c r="AM279" s="510">
        <v>0</v>
      </c>
      <c r="AN279" s="512">
        <v>0.90439160842495125</v>
      </c>
      <c r="AO279" s="513">
        <v>0.93782245836966871</v>
      </c>
      <c r="AP279" s="513">
        <v>0.90439160842495125</v>
      </c>
      <c r="AQ279" s="513">
        <v>0.93782245836966871</v>
      </c>
      <c r="AR279" s="510">
        <v>44.234999999999999</v>
      </c>
      <c r="AS279" s="510">
        <v>556.25200000000007</v>
      </c>
      <c r="AT279" s="514">
        <v>98.776304663788949</v>
      </c>
      <c r="AU279" s="514">
        <v>103.03231026774397</v>
      </c>
      <c r="AV279" s="510">
        <v>1.5937605968124788</v>
      </c>
      <c r="AW279" s="510">
        <v>1.5074103104348386</v>
      </c>
      <c r="AX279" s="510">
        <v>0</v>
      </c>
      <c r="AY279" s="510">
        <v>0</v>
      </c>
      <c r="AZ279" s="510">
        <v>1055.7481632191705</v>
      </c>
      <c r="BA279" s="510">
        <v>983.10866298008807</v>
      </c>
      <c r="BB279" s="510">
        <v>0</v>
      </c>
      <c r="BC279" s="510">
        <v>0</v>
      </c>
      <c r="BD279" s="510">
        <v>0</v>
      </c>
      <c r="BE279" s="511">
        <v>0</v>
      </c>
      <c r="BF279" s="1026">
        <v>0.97433836219629499</v>
      </c>
      <c r="BG279" s="513">
        <v>0.92643555643073894</v>
      </c>
      <c r="BH279" s="513">
        <v>0.97433836219629499</v>
      </c>
      <c r="BI279" s="513">
        <v>0.92643555643073894</v>
      </c>
      <c r="BJ279" s="510">
        <v>49.188000000000002</v>
      </c>
      <c r="BK279" s="510">
        <v>562.91599999999994</v>
      </c>
      <c r="BL279" s="510">
        <v>2.5880296007156214</v>
      </c>
      <c r="BM279" s="510">
        <v>2.5895515494318868</v>
      </c>
      <c r="BN279" s="514">
        <v>0</v>
      </c>
      <c r="BO279" s="514">
        <v>0</v>
      </c>
      <c r="BP279" s="514">
        <v>967.14058129594389</v>
      </c>
      <c r="BQ279" s="514">
        <v>1016.495170706007</v>
      </c>
      <c r="BR279" s="514">
        <v>0</v>
      </c>
      <c r="BS279" s="515">
        <v>0</v>
      </c>
      <c r="BT279" s="580">
        <v>1.0073112778036006</v>
      </c>
      <c r="BU279" s="581">
        <v>0.93190919065158173</v>
      </c>
      <c r="BV279" s="581">
        <v>1.0073112778036006</v>
      </c>
      <c r="BW279" s="581">
        <v>0.93751223631092384</v>
      </c>
      <c r="BX279" s="576">
        <v>52.932000000000002</v>
      </c>
      <c r="BY279" s="576">
        <v>588.19000000000005</v>
      </c>
      <c r="BZ279" s="582">
        <v>59.576497564290719</v>
      </c>
      <c r="CA279" s="582">
        <v>68.279752978426245</v>
      </c>
      <c r="CB279" s="576">
        <v>1.7796418045794604</v>
      </c>
      <c r="CC279" s="576">
        <v>1.9058467501997656</v>
      </c>
      <c r="CD279" s="582">
        <v>0.25693342401571828</v>
      </c>
      <c r="CE279" s="582">
        <v>0.14971352794165149</v>
      </c>
      <c r="CF279" s="582">
        <v>709.33195585307692</v>
      </c>
      <c r="CG279" s="582">
        <v>819.61870226773192</v>
      </c>
      <c r="CH279" s="582">
        <v>566.76490591703509</v>
      </c>
      <c r="CI279" s="582">
        <v>388.95288937248176</v>
      </c>
      <c r="CJ279" s="582">
        <v>0</v>
      </c>
      <c r="CK279" s="583">
        <v>0</v>
      </c>
    </row>
    <row r="280" spans="1:89" ht="12.75" customHeight="1">
      <c r="A280" s="560">
        <v>45760</v>
      </c>
      <c r="B280" s="512">
        <v>0.72578771388180563</v>
      </c>
      <c r="C280" s="513">
        <v>0.88716080650256757</v>
      </c>
      <c r="D280" s="513">
        <v>0.72578771388180563</v>
      </c>
      <c r="E280" s="513">
        <v>0.88894936212320519</v>
      </c>
      <c r="F280" s="510">
        <v>44.037999999999997</v>
      </c>
      <c r="G280" s="510">
        <v>784.8599999999999</v>
      </c>
      <c r="H280" s="510">
        <v>3.3232889777010768</v>
      </c>
      <c r="I280" s="510">
        <v>2.4683497693856236</v>
      </c>
      <c r="J280" s="510">
        <v>1208.9704346246469</v>
      </c>
      <c r="K280" s="511">
        <v>857.65519965344026</v>
      </c>
      <c r="L280" s="512">
        <v>0.91456930487611776</v>
      </c>
      <c r="M280" s="513">
        <v>0.93196764308762969</v>
      </c>
      <c r="N280" s="513">
        <v>0.91456930487611776</v>
      </c>
      <c r="O280" s="513">
        <v>0.94403973851063838</v>
      </c>
      <c r="P280" s="510">
        <v>46.862000000000002</v>
      </c>
      <c r="Q280" s="510">
        <v>815.44100000000003</v>
      </c>
      <c r="R280" s="510">
        <v>2.5605821347787119</v>
      </c>
      <c r="S280" s="510">
        <v>2.2141749065842902</v>
      </c>
      <c r="T280" s="510">
        <v>0.2838120438735009</v>
      </c>
      <c r="U280" s="510">
        <v>0.18401086038106987</v>
      </c>
      <c r="V280" s="510">
        <v>939.14386923306654</v>
      </c>
      <c r="W280" s="510">
        <v>698.55992033758366</v>
      </c>
      <c r="X280" s="510">
        <v>514.27595919935129</v>
      </c>
      <c r="Y280" s="569">
        <v>485.93558577505996</v>
      </c>
      <c r="Z280" s="512">
        <v>0.94677711646488361</v>
      </c>
      <c r="AA280" s="513">
        <v>0.90270978511814404</v>
      </c>
      <c r="AB280" s="513">
        <v>0.94677711646488361</v>
      </c>
      <c r="AC280" s="513">
        <v>0.90270978511814404</v>
      </c>
      <c r="AD280" s="510">
        <v>41.481000000000002</v>
      </c>
      <c r="AE280" s="510">
        <v>517.20400000000006</v>
      </c>
      <c r="AF280" s="510">
        <v>109.82098597397103</v>
      </c>
      <c r="AG280" s="510">
        <v>107.65981655933176</v>
      </c>
      <c r="AH280" s="510">
        <v>1.5308213398905521</v>
      </c>
      <c r="AI280" s="510">
        <v>1.5618595370492103</v>
      </c>
      <c r="AJ280" s="510">
        <v>990.17477881440141</v>
      </c>
      <c r="AK280" s="510">
        <v>960.25862135637055</v>
      </c>
      <c r="AL280" s="510">
        <v>0</v>
      </c>
      <c r="AM280" s="510">
        <v>0</v>
      </c>
      <c r="AN280" s="512">
        <v>0.95103348010995159</v>
      </c>
      <c r="AO280" s="513">
        <v>0.93886071544750505</v>
      </c>
      <c r="AP280" s="513">
        <v>0.95103348010995159</v>
      </c>
      <c r="AQ280" s="513">
        <v>0.93886071544750505</v>
      </c>
      <c r="AR280" s="510">
        <v>48.113</v>
      </c>
      <c r="AS280" s="510">
        <v>604.36500000000001</v>
      </c>
      <c r="AT280" s="514">
        <v>102.58306632405048</v>
      </c>
      <c r="AU280" s="514">
        <v>102.99654632730579</v>
      </c>
      <c r="AV280" s="510">
        <v>1.4653004385509114</v>
      </c>
      <c r="AW280" s="510">
        <v>1.5040579782085328</v>
      </c>
      <c r="AX280" s="510">
        <v>0</v>
      </c>
      <c r="AY280" s="510">
        <v>0</v>
      </c>
      <c r="AZ280" s="510">
        <v>976.31492528006845</v>
      </c>
      <c r="BA280" s="510">
        <v>982.56781911593157</v>
      </c>
      <c r="BB280" s="510">
        <v>0</v>
      </c>
      <c r="BC280" s="510">
        <v>0</v>
      </c>
      <c r="BD280" s="510">
        <v>0</v>
      </c>
      <c r="BE280" s="511">
        <v>0</v>
      </c>
      <c r="BF280" s="1026">
        <v>0.94393280429830972</v>
      </c>
      <c r="BG280" s="513">
        <v>0.92777768608868405</v>
      </c>
      <c r="BH280" s="513">
        <v>0.94393280429830972</v>
      </c>
      <c r="BI280" s="513">
        <v>0.92777768608868405</v>
      </c>
      <c r="BJ280" s="510">
        <v>47.649000000000001</v>
      </c>
      <c r="BK280" s="510">
        <v>610.56499999999994</v>
      </c>
      <c r="BL280" s="510">
        <v>2.7156918298390313</v>
      </c>
      <c r="BM280" s="510">
        <v>2.5993956417416655</v>
      </c>
      <c r="BN280" s="514">
        <v>0</v>
      </c>
      <c r="BO280" s="514">
        <v>0</v>
      </c>
      <c r="BP280" s="514">
        <v>980.8560420760233</v>
      </c>
      <c r="BQ280" s="514">
        <v>1013.7138634904114</v>
      </c>
      <c r="BR280" s="514">
        <v>0</v>
      </c>
      <c r="BS280" s="515">
        <v>0</v>
      </c>
      <c r="BT280" s="580">
        <v>0.95864231757842888</v>
      </c>
      <c r="BU280" s="581">
        <v>0.93399604402917735</v>
      </c>
      <c r="BV280" s="581">
        <v>0.97727106591943935</v>
      </c>
      <c r="BW280" s="581">
        <v>0.9405782013318027</v>
      </c>
      <c r="BX280" s="576">
        <v>51.231999999999999</v>
      </c>
      <c r="BY280" s="576">
        <v>639.42200000000003</v>
      </c>
      <c r="BZ280" s="582">
        <v>66.109787062083612</v>
      </c>
      <c r="CA280" s="582">
        <v>68.105890186989498</v>
      </c>
      <c r="CB280" s="576">
        <v>1.8289350405996254</v>
      </c>
      <c r="CC280" s="576">
        <v>1.8996844024759865</v>
      </c>
      <c r="CD280" s="582">
        <v>0.2108057464084947</v>
      </c>
      <c r="CE280" s="582">
        <v>0.15460838069381411</v>
      </c>
      <c r="CF280" s="582">
        <v>735.74153753745986</v>
      </c>
      <c r="CG280" s="582">
        <v>812.89826583692206</v>
      </c>
      <c r="CH280" s="582">
        <v>558.24484697064599</v>
      </c>
      <c r="CI280" s="582">
        <v>402.51696063006938</v>
      </c>
      <c r="CJ280" s="582">
        <v>0</v>
      </c>
      <c r="CK280" s="583">
        <v>0</v>
      </c>
    </row>
    <row r="281" spans="1:89" ht="12.75" customHeight="1">
      <c r="A281" s="560">
        <v>45761</v>
      </c>
      <c r="B281" s="512">
        <v>0.79933165374596571</v>
      </c>
      <c r="C281" s="513">
        <v>0.8812519374165757</v>
      </c>
      <c r="D281" s="513">
        <v>0.79933165374596571</v>
      </c>
      <c r="E281" s="513">
        <v>0.88290882880817834</v>
      </c>
      <c r="F281" s="510">
        <v>51.006999999999998</v>
      </c>
      <c r="G281" s="510">
        <v>835.86699999999985</v>
      </c>
      <c r="H281" s="510">
        <v>2.8660183896327953</v>
      </c>
      <c r="I281" s="510">
        <v>2.4926166483423806</v>
      </c>
      <c r="J281" s="510">
        <v>1038.4064932264312</v>
      </c>
      <c r="K281" s="511">
        <v>868.68516163456604</v>
      </c>
      <c r="L281" s="512">
        <v>0.86082561679576519</v>
      </c>
      <c r="M281" s="513">
        <v>0.92805058844018207</v>
      </c>
      <c r="N281" s="513">
        <v>0.86082561679576519</v>
      </c>
      <c r="O281" s="513">
        <v>0.93940195743761212</v>
      </c>
      <c r="P281" s="510">
        <v>43.887</v>
      </c>
      <c r="Q281" s="510">
        <v>859.32799999999997</v>
      </c>
      <c r="R281" s="510">
        <v>2.6480506755986966</v>
      </c>
      <c r="S281" s="510">
        <v>2.2363335071125348</v>
      </c>
      <c r="T281" s="510">
        <v>0.27115091029234167</v>
      </c>
      <c r="U281" s="510">
        <v>0.1884612162061518</v>
      </c>
      <c r="V281" s="510">
        <v>1066.4661517077948</v>
      </c>
      <c r="W281" s="510">
        <v>717.34937067103544</v>
      </c>
      <c r="X281" s="510">
        <v>489.89450178868458</v>
      </c>
      <c r="Y281" s="569">
        <v>486.13777277128258</v>
      </c>
      <c r="Z281" s="512">
        <v>0.92617672140828944</v>
      </c>
      <c r="AA281" s="513">
        <v>0.90437519168398806</v>
      </c>
      <c r="AB281" s="513">
        <v>0.92617672140828944</v>
      </c>
      <c r="AC281" s="513">
        <v>0.90437519168398806</v>
      </c>
      <c r="AD281" s="510">
        <v>40.536000000000001</v>
      </c>
      <c r="AE281" s="510">
        <v>557.74</v>
      </c>
      <c r="AF281" s="510">
        <v>112.26302243810488</v>
      </c>
      <c r="AG281" s="510">
        <v>107.99437307939837</v>
      </c>
      <c r="AH281" s="510">
        <v>1.5492401815670021</v>
      </c>
      <c r="AI281" s="510">
        <v>1.5609423745831388</v>
      </c>
      <c r="AJ281" s="510">
        <v>921.05782514307373</v>
      </c>
      <c r="AK281" s="510">
        <v>957.4095456664395</v>
      </c>
      <c r="AL281" s="510">
        <v>0</v>
      </c>
      <c r="AM281" s="510">
        <v>0</v>
      </c>
      <c r="AN281" s="512">
        <v>0.96834210661687226</v>
      </c>
      <c r="AO281" s="513">
        <v>0.94095423044643256</v>
      </c>
      <c r="AP281" s="513">
        <v>0.96834210661687226</v>
      </c>
      <c r="AQ281" s="513">
        <v>0.94095423044643256</v>
      </c>
      <c r="AR281" s="510">
        <v>47.648000000000003</v>
      </c>
      <c r="AS281" s="510">
        <v>652.01300000000003</v>
      </c>
      <c r="AT281" s="514">
        <v>96.624072354310002</v>
      </c>
      <c r="AU281" s="514">
        <v>102.53085677837763</v>
      </c>
      <c r="AV281" s="510">
        <v>1.4775016789791806</v>
      </c>
      <c r="AW281" s="510">
        <v>1.502117289072457</v>
      </c>
      <c r="AX281" s="510">
        <v>0</v>
      </c>
      <c r="AY281" s="510">
        <v>0</v>
      </c>
      <c r="AZ281" s="510">
        <v>852.20785762256696</v>
      </c>
      <c r="BA281" s="510">
        <v>973.04133506540529</v>
      </c>
      <c r="BB281" s="510">
        <v>0</v>
      </c>
      <c r="BC281" s="510">
        <v>0</v>
      </c>
      <c r="BD281" s="510">
        <v>0</v>
      </c>
      <c r="BE281" s="511">
        <v>0</v>
      </c>
      <c r="BF281" s="1026">
        <v>0.79019551154707279</v>
      </c>
      <c r="BG281" s="513">
        <v>0.91677612616753457</v>
      </c>
      <c r="BH281" s="513">
        <v>0.79019551154707279</v>
      </c>
      <c r="BI281" s="513">
        <v>0.91677612616753457</v>
      </c>
      <c r="BJ281" s="510">
        <v>45.197000000000003</v>
      </c>
      <c r="BK281" s="510">
        <v>655.76199999999994</v>
      </c>
      <c r="BL281" s="510">
        <v>2.834258910989667</v>
      </c>
      <c r="BM281" s="510">
        <v>2.6155830926464172</v>
      </c>
      <c r="BN281" s="514">
        <v>0</v>
      </c>
      <c r="BO281" s="514">
        <v>0</v>
      </c>
      <c r="BP281" s="514">
        <v>919.63559465733817</v>
      </c>
      <c r="BQ281" s="514">
        <v>1007.2297190653785</v>
      </c>
      <c r="BR281" s="514">
        <v>0</v>
      </c>
      <c r="BS281" s="515">
        <v>0</v>
      </c>
      <c r="BT281" s="580">
        <v>0.76784634578483024</v>
      </c>
      <c r="BU281" s="581">
        <v>0.92196064749996987</v>
      </c>
      <c r="BV281" s="581">
        <v>0.77052176859244292</v>
      </c>
      <c r="BW281" s="581">
        <v>0.92821925323336874</v>
      </c>
      <c r="BX281" s="576">
        <v>41.052</v>
      </c>
      <c r="BY281" s="576">
        <v>680.47400000000005</v>
      </c>
      <c r="BZ281" s="582">
        <v>78.762601649391385</v>
      </c>
      <c r="CA281" s="582">
        <v>68.748793984863511</v>
      </c>
      <c r="CB281" s="576">
        <v>2.0047744324271655</v>
      </c>
      <c r="CC281" s="576">
        <v>1.9060243300993134</v>
      </c>
      <c r="CD281" s="582">
        <v>0.2289778817110007</v>
      </c>
      <c r="CE281" s="582">
        <v>0.15909498379071058</v>
      </c>
      <c r="CF281" s="582">
        <v>833.89920170202129</v>
      </c>
      <c r="CG281" s="582">
        <v>814.16522154593372</v>
      </c>
      <c r="CH281" s="582">
        <v>653.07414985873345</v>
      </c>
      <c r="CI281" s="582">
        <v>417.63270896463484</v>
      </c>
      <c r="CJ281" s="582">
        <v>0</v>
      </c>
      <c r="CK281" s="583">
        <v>0</v>
      </c>
    </row>
    <row r="282" spans="1:89" ht="12.75" customHeight="1">
      <c r="A282" s="560">
        <v>45762</v>
      </c>
      <c r="B282" s="512">
        <v>0.80201446789009301</v>
      </c>
      <c r="C282" s="513">
        <v>0.87656751728110061</v>
      </c>
      <c r="D282" s="513">
        <v>0.88975410921551146</v>
      </c>
      <c r="E282" s="513">
        <v>0.88327639870625252</v>
      </c>
      <c r="F282" s="510">
        <v>47.798000000000002</v>
      </c>
      <c r="G282" s="510">
        <v>883.66499999999985</v>
      </c>
      <c r="H282" s="510">
        <v>2.081007573538642</v>
      </c>
      <c r="I282" s="510">
        <v>2.470352452569696</v>
      </c>
      <c r="J282" s="510">
        <v>926.36917862673022</v>
      </c>
      <c r="K282" s="511">
        <v>871.80532667922819</v>
      </c>
      <c r="L282" s="512">
        <v>0.68768760965341746</v>
      </c>
      <c r="M282" s="513">
        <v>0.91550693734095934</v>
      </c>
      <c r="N282" s="513">
        <v>0.80118944813990378</v>
      </c>
      <c r="O282" s="513">
        <v>0.93309205606425361</v>
      </c>
      <c r="P282" s="510">
        <v>35.06</v>
      </c>
      <c r="Q282" s="510">
        <v>894.38799999999992</v>
      </c>
      <c r="R282" s="510">
        <v>1.0027381631488874</v>
      </c>
      <c r="S282" s="510">
        <v>2.1879765828700748</v>
      </c>
      <c r="T282" s="510">
        <v>0.27952082144894469</v>
      </c>
      <c r="U282" s="510">
        <v>0.19203075175427226</v>
      </c>
      <c r="V282" s="510">
        <v>1097.628351397608</v>
      </c>
      <c r="W282" s="510">
        <v>732.25630263375592</v>
      </c>
      <c r="X282" s="510">
        <v>473.47404449515119</v>
      </c>
      <c r="Y282" s="569">
        <v>485.64135475878561</v>
      </c>
      <c r="Z282" s="512">
        <v>0.68192127741803965</v>
      </c>
      <c r="AA282" s="513">
        <v>0.88834295962496646</v>
      </c>
      <c r="AB282" s="513">
        <v>0.85293349167455657</v>
      </c>
      <c r="AC282" s="513">
        <v>0.90136766399947121</v>
      </c>
      <c r="AD282" s="510">
        <v>32.662999999999997</v>
      </c>
      <c r="AE282" s="510">
        <v>590.40300000000002</v>
      </c>
      <c r="AF282" s="510">
        <v>104.04805467428481</v>
      </c>
      <c r="AG282" s="510">
        <v>107.77605000504708</v>
      </c>
      <c r="AH282" s="510">
        <v>1.4603680004898512</v>
      </c>
      <c r="AI282" s="510">
        <v>1.5553782755168923</v>
      </c>
      <c r="AJ282" s="510">
        <v>1099.8959066834145</v>
      </c>
      <c r="AK282" s="510">
        <v>965.29235115675283</v>
      </c>
      <c r="AL282" s="510">
        <v>0</v>
      </c>
      <c r="AM282" s="510">
        <v>0</v>
      </c>
      <c r="AN282" s="512">
        <v>0.64394088923746218</v>
      </c>
      <c r="AO282" s="513">
        <v>0.92159690219731549</v>
      </c>
      <c r="AP282" s="513">
        <v>0.83221405573606122</v>
      </c>
      <c r="AQ282" s="513">
        <v>0.93538850903409987</v>
      </c>
      <c r="AR282" s="510">
        <v>31.108000000000001</v>
      </c>
      <c r="AS282" s="510">
        <v>683.12099999999998</v>
      </c>
      <c r="AT282" s="514">
        <v>122.06843856054097</v>
      </c>
      <c r="AU282" s="514">
        <v>103.42056020438785</v>
      </c>
      <c r="AV282" s="510">
        <v>1.6587373023016587</v>
      </c>
      <c r="AW282" s="510">
        <v>1.5092494594661854</v>
      </c>
      <c r="AX282" s="510">
        <v>0</v>
      </c>
      <c r="AY282" s="510">
        <v>0</v>
      </c>
      <c r="AZ282" s="510">
        <v>1461.5500835797859</v>
      </c>
      <c r="BA282" s="510">
        <v>995.28707212924223</v>
      </c>
      <c r="BB282" s="510">
        <v>0</v>
      </c>
      <c r="BC282" s="510">
        <v>0</v>
      </c>
      <c r="BD282" s="510">
        <v>0</v>
      </c>
      <c r="BE282" s="511">
        <v>0</v>
      </c>
      <c r="BF282" s="1026">
        <v>0.65466848817418544</v>
      </c>
      <c r="BG282" s="513">
        <v>0.89703548860438764</v>
      </c>
      <c r="BH282" s="513">
        <v>0.66855271415364292</v>
      </c>
      <c r="BI282" s="513">
        <v>0.89844074948630492</v>
      </c>
      <c r="BJ282" s="510">
        <v>38.140999999999998</v>
      </c>
      <c r="BK282" s="510">
        <v>693.90299999999991</v>
      </c>
      <c r="BL282" s="510">
        <v>2.9574473663511709</v>
      </c>
      <c r="BM282" s="510">
        <v>2.6343739686959129</v>
      </c>
      <c r="BN282" s="514">
        <v>0</v>
      </c>
      <c r="BO282" s="514">
        <v>0</v>
      </c>
      <c r="BP282" s="514">
        <v>1091.1145616405538</v>
      </c>
      <c r="BQ282" s="514">
        <v>1011.8405245823743</v>
      </c>
      <c r="BR282" s="514">
        <v>0</v>
      </c>
      <c r="BS282" s="515">
        <v>0</v>
      </c>
      <c r="BT282" s="580">
        <v>0.92460550046814971</v>
      </c>
      <c r="BU282" s="581">
        <v>0.92213923864912861</v>
      </c>
      <c r="BV282" s="581">
        <v>1.1587745175579944</v>
      </c>
      <c r="BW282" s="581">
        <v>0.94089387820718373</v>
      </c>
      <c r="BX282" s="576">
        <v>49.417000000000002</v>
      </c>
      <c r="BY282" s="576">
        <v>729.89100000000008</v>
      </c>
      <c r="BZ282" s="582">
        <v>62.714721723951847</v>
      </c>
      <c r="CA282" s="582">
        <v>68.340259355833311</v>
      </c>
      <c r="CB282" s="576">
        <v>1.6512536171762753</v>
      </c>
      <c r="CC282" s="576">
        <v>1.8887751732792979</v>
      </c>
      <c r="CD282" s="582">
        <v>0.19021794119432583</v>
      </c>
      <c r="CE282" s="582">
        <v>0.16120215210216321</v>
      </c>
      <c r="CF282" s="582">
        <v>786.50038457350615</v>
      </c>
      <c r="CG282" s="582">
        <v>812.29218399831836</v>
      </c>
      <c r="CH282" s="582">
        <v>520.06394560575677</v>
      </c>
      <c r="CI282" s="582">
        <v>424.56777792848607</v>
      </c>
      <c r="CJ282" s="582">
        <v>0</v>
      </c>
      <c r="CK282" s="583">
        <v>0</v>
      </c>
    </row>
    <row r="283" spans="1:89" ht="12.75" customHeight="1">
      <c r="A283" s="560">
        <v>45763</v>
      </c>
      <c r="B283" s="512">
        <v>0.31042846388832318</v>
      </c>
      <c r="C283" s="513">
        <v>0.8452999356194465</v>
      </c>
      <c r="D283" s="513">
        <v>2.5113313932538506</v>
      </c>
      <c r="E283" s="513">
        <v>0.89504519069840471</v>
      </c>
      <c r="F283" s="510">
        <v>18.294</v>
      </c>
      <c r="G283" s="510">
        <v>901.95899999999983</v>
      </c>
      <c r="H283" s="510">
        <v>1.4468131627856127</v>
      </c>
      <c r="I283" s="510">
        <v>2.4495924981068988</v>
      </c>
      <c r="J283" s="510">
        <v>714.79315622601018</v>
      </c>
      <c r="K283" s="511">
        <v>868.62072444534476</v>
      </c>
      <c r="L283" s="512">
        <v>8.6971102715437898E-2</v>
      </c>
      <c r="M283" s="513">
        <v>0.87441325609807952</v>
      </c>
      <c r="N283" s="513">
        <v>0.2981866378815014</v>
      </c>
      <c r="O283" s="513">
        <v>0.9233930009249397</v>
      </c>
      <c r="P283" s="510">
        <v>4.4340000000000002</v>
      </c>
      <c r="Q283" s="510">
        <v>898.82199999999989</v>
      </c>
      <c r="R283" s="510">
        <v>8.3624267027514652</v>
      </c>
      <c r="S283" s="510">
        <v>2.218435908333352</v>
      </c>
      <c r="T283" s="510">
        <v>0.4736129905277402</v>
      </c>
      <c r="U283" s="510">
        <v>0.19341983173531582</v>
      </c>
      <c r="V283" s="510">
        <v>3327.2395128552953</v>
      </c>
      <c r="W283" s="510">
        <v>745.05767549080917</v>
      </c>
      <c r="X283" s="510">
        <v>1285.5209742895806</v>
      </c>
      <c r="Y283" s="569">
        <v>489.58725976889832</v>
      </c>
      <c r="Z283" s="512">
        <v>5.5983236877545819E-2</v>
      </c>
      <c r="AA283" s="513">
        <v>0.83189179551949932</v>
      </c>
      <c r="AB283" s="513">
        <v>4.4786589502036653</v>
      </c>
      <c r="AC283" s="513">
        <v>0.90466563944067779</v>
      </c>
      <c r="AD283" s="510">
        <v>2.7069999999999999</v>
      </c>
      <c r="AE283" s="510">
        <v>593.11</v>
      </c>
      <c r="AF283" s="510">
        <v>212.53067541379613</v>
      </c>
      <c r="AG283" s="510">
        <v>108.25415823283195</v>
      </c>
      <c r="AH283" s="510">
        <v>4.6545991872922059</v>
      </c>
      <c r="AI283" s="510">
        <v>1.5695233599163727</v>
      </c>
      <c r="AJ283" s="510">
        <v>3132.2940524563928</v>
      </c>
      <c r="AK283" s="510">
        <v>975.18271484210311</v>
      </c>
      <c r="AL283" s="510">
        <v>0</v>
      </c>
      <c r="AM283" s="510">
        <v>0</v>
      </c>
      <c r="AN283" s="512">
        <v>0.19300809514740966</v>
      </c>
      <c r="AO283" s="513">
        <v>0.87288637000407721</v>
      </c>
      <c r="AP283" s="513">
        <v>0.97519879653428054</v>
      </c>
      <c r="AQ283" s="513">
        <v>0.93595333485899901</v>
      </c>
      <c r="AR283" s="510">
        <v>10.25</v>
      </c>
      <c r="AS283" s="510">
        <v>693.37099999999998</v>
      </c>
      <c r="AT283" s="514">
        <v>94.99282297115397</v>
      </c>
      <c r="AU283" s="514">
        <v>103.29597422279842</v>
      </c>
      <c r="AV283" s="510">
        <v>1.7170731707317075</v>
      </c>
      <c r="AW283" s="510">
        <v>1.5123216863699231</v>
      </c>
      <c r="AX283" s="510">
        <v>0</v>
      </c>
      <c r="AY283" s="510">
        <v>0</v>
      </c>
      <c r="AZ283" s="510">
        <v>1421.3775609756044</v>
      </c>
      <c r="BA283" s="510">
        <v>1001.5859042273186</v>
      </c>
      <c r="BB283" s="510">
        <v>0</v>
      </c>
      <c r="BC283" s="510">
        <v>0</v>
      </c>
      <c r="BD283" s="510">
        <v>0</v>
      </c>
      <c r="BE283" s="511">
        <v>0</v>
      </c>
      <c r="BF283" s="1026">
        <v>0.2584872971956807</v>
      </c>
      <c r="BG283" s="513">
        <v>0.85392744230335493</v>
      </c>
      <c r="BH283" s="513">
        <v>2.4014303739469689</v>
      </c>
      <c r="BI283" s="513">
        <v>0.91008063620116952</v>
      </c>
      <c r="BJ283" s="510">
        <v>14.476000000000001</v>
      </c>
      <c r="BK283" s="510">
        <v>708.37899999999991</v>
      </c>
      <c r="BL283" s="510">
        <v>1.2296214423873999</v>
      </c>
      <c r="BM283" s="510">
        <v>2.6056673052137342</v>
      </c>
      <c r="BN283" s="514">
        <v>0</v>
      </c>
      <c r="BO283" s="514">
        <v>0</v>
      </c>
      <c r="BP283" s="514">
        <v>691.3561968815718</v>
      </c>
      <c r="BQ283" s="514">
        <v>1005.2913028694257</v>
      </c>
      <c r="BR283" s="514">
        <v>0</v>
      </c>
      <c r="BS283" s="515">
        <v>0</v>
      </c>
      <c r="BT283" s="580">
        <v>0.16358573465815046</v>
      </c>
      <c r="BU283" s="581">
        <v>0.87560648669366004</v>
      </c>
      <c r="BV283" s="581">
        <v>1.1420858691364701</v>
      </c>
      <c r="BW283" s="581">
        <v>0.94279731844561931</v>
      </c>
      <c r="BX283" s="576">
        <v>8.4619999999999997</v>
      </c>
      <c r="BY283" s="576">
        <v>738.35300000000007</v>
      </c>
      <c r="BZ283" s="582">
        <v>61.569726565885794</v>
      </c>
      <c r="CA283" s="582">
        <v>68.262664697900675</v>
      </c>
      <c r="CB283" s="576">
        <v>2.0444339399669111</v>
      </c>
      <c r="CC283" s="576">
        <v>1.8905591228044039</v>
      </c>
      <c r="CD283" s="582">
        <v>0.2836208934058142</v>
      </c>
      <c r="CE283" s="582">
        <v>0.16260514956937944</v>
      </c>
      <c r="CF283" s="582">
        <v>1145.0351800924832</v>
      </c>
      <c r="CG283" s="582">
        <v>816.10563262377093</v>
      </c>
      <c r="CH283" s="582">
        <v>768.13991964068771</v>
      </c>
      <c r="CI283" s="582">
        <v>428.50533552379426</v>
      </c>
      <c r="CJ283" s="582">
        <v>0</v>
      </c>
      <c r="CK283" s="583">
        <v>0</v>
      </c>
    </row>
    <row r="284" spans="1:89" ht="12.75" customHeight="1">
      <c r="A284" s="560">
        <v>45764</v>
      </c>
      <c r="B284" s="512">
        <v>0.58367546290251593</v>
      </c>
      <c r="C284" s="513">
        <v>0.8315513054016308</v>
      </c>
      <c r="D284" s="513">
        <v>0.64159745540429236</v>
      </c>
      <c r="E284" s="513">
        <v>0.88219079233624875</v>
      </c>
      <c r="F284" s="510">
        <v>34.543999999999997</v>
      </c>
      <c r="G284" s="510">
        <v>936.50299999999982</v>
      </c>
      <c r="H284" s="510">
        <v>3.2097904122278837</v>
      </c>
      <c r="I284" s="510">
        <v>2.4776332804059358</v>
      </c>
      <c r="J284" s="510">
        <v>1326.3849004168956</v>
      </c>
      <c r="K284" s="511">
        <v>885.50588732764345</v>
      </c>
      <c r="L284" s="512">
        <v>0.94875199897877427</v>
      </c>
      <c r="M284" s="513">
        <v>0.87797118225492077</v>
      </c>
      <c r="N284" s="513">
        <v>0.94875199897877427</v>
      </c>
      <c r="O284" s="513">
        <v>0.92467126595802418</v>
      </c>
      <c r="P284" s="510">
        <v>49.021999999999998</v>
      </c>
      <c r="Q284" s="510">
        <v>947.84399999999994</v>
      </c>
      <c r="R284" s="510">
        <v>2.4556933621639265</v>
      </c>
      <c r="S284" s="510">
        <v>2.2307067407716885</v>
      </c>
      <c r="T284" s="510">
        <v>0.25702745706009544</v>
      </c>
      <c r="U284" s="510">
        <v>0.19670958512160233</v>
      </c>
      <c r="V284" s="510">
        <v>927.89278283216709</v>
      </c>
      <c r="W284" s="510">
        <v>754.51381239950729</v>
      </c>
      <c r="X284" s="510">
        <v>466.11725347803031</v>
      </c>
      <c r="Y284" s="569">
        <v>488.37340321825189</v>
      </c>
      <c r="Z284" s="512">
        <v>0.6279549742483721</v>
      </c>
      <c r="AA284" s="513">
        <v>0.81869973126734419</v>
      </c>
      <c r="AB284" s="513">
        <v>0.81386353804133282</v>
      </c>
      <c r="AC284" s="513">
        <v>0.89968533469748746</v>
      </c>
      <c r="AD284" s="510">
        <v>30.963999999999999</v>
      </c>
      <c r="AE284" s="510">
        <v>624.07400000000007</v>
      </c>
      <c r="AF284" s="510">
        <v>115.87476577279548</v>
      </c>
      <c r="AG284" s="510">
        <v>108.63226161779501</v>
      </c>
      <c r="AH284" s="510">
        <v>1.7278129440640744</v>
      </c>
      <c r="AI284" s="510">
        <v>1.5773770418251678</v>
      </c>
      <c r="AJ284" s="510">
        <v>1012.4221676786062</v>
      </c>
      <c r="AK284" s="510">
        <v>977.03038421725626</v>
      </c>
      <c r="AL284" s="510">
        <v>0</v>
      </c>
      <c r="AM284" s="510">
        <v>0</v>
      </c>
      <c r="AN284" s="512">
        <v>0.8556646342668266</v>
      </c>
      <c r="AO284" s="513">
        <v>0.87179098776925057</v>
      </c>
      <c r="AP284" s="513">
        <v>0.8556646342668266</v>
      </c>
      <c r="AQ284" s="513">
        <v>0.93050268284683213</v>
      </c>
      <c r="AR284" s="510">
        <v>46.167999999999999</v>
      </c>
      <c r="AS284" s="510">
        <v>739.53899999999999</v>
      </c>
      <c r="AT284" s="514">
        <v>101.2702407626428</v>
      </c>
      <c r="AU284" s="514">
        <v>103.16951157189229</v>
      </c>
      <c r="AV284" s="510">
        <v>1.4880436666089067</v>
      </c>
      <c r="AW284" s="510">
        <v>1.5108060562052845</v>
      </c>
      <c r="AX284" s="510">
        <v>0</v>
      </c>
      <c r="AY284" s="510">
        <v>0</v>
      </c>
      <c r="AZ284" s="510">
        <v>918.13897071564941</v>
      </c>
      <c r="BA284" s="510">
        <v>996.37647236994974</v>
      </c>
      <c r="BB284" s="510">
        <v>0</v>
      </c>
      <c r="BC284" s="510">
        <v>0</v>
      </c>
      <c r="BD284" s="510">
        <v>0</v>
      </c>
      <c r="BE284" s="511">
        <v>0</v>
      </c>
      <c r="BF284" s="1026">
        <v>0.500780239148641</v>
      </c>
      <c r="BG284" s="513">
        <v>0.83250475373800314</v>
      </c>
      <c r="BH284" s="513">
        <v>0.67809620833945161</v>
      </c>
      <c r="BI284" s="513">
        <v>0.89885947037680092</v>
      </c>
      <c r="BJ284" s="510">
        <v>26.827999999999999</v>
      </c>
      <c r="BK284" s="510">
        <v>735.20699999999988</v>
      </c>
      <c r="BL284" s="510">
        <v>3.7982704636946476</v>
      </c>
      <c r="BM284" s="510">
        <v>2.6491858755425346</v>
      </c>
      <c r="BN284" s="514">
        <v>0</v>
      </c>
      <c r="BO284" s="514">
        <v>0</v>
      </c>
      <c r="BP284" s="514">
        <v>1419.6793377996548</v>
      </c>
      <c r="BQ284" s="514">
        <v>1020.4124894211155</v>
      </c>
      <c r="BR284" s="514">
        <v>0</v>
      </c>
      <c r="BS284" s="515">
        <v>0</v>
      </c>
      <c r="BT284" s="580">
        <v>0.33062178170560241</v>
      </c>
      <c r="BU284" s="581">
        <v>0.84409935966703631</v>
      </c>
      <c r="BV284" s="581">
        <v>0.48880427685427869</v>
      </c>
      <c r="BW284" s="581">
        <v>0.92337703126918491</v>
      </c>
      <c r="BX284" s="576">
        <v>17.106999999999999</v>
      </c>
      <c r="BY284" s="576">
        <v>755.46</v>
      </c>
      <c r="BZ284" s="582">
        <v>105.37261221029219</v>
      </c>
      <c r="CA284" s="582">
        <v>69.103000218106217</v>
      </c>
      <c r="CB284" s="576">
        <v>3.3845794119366341</v>
      </c>
      <c r="CC284" s="576">
        <v>1.9243904376141689</v>
      </c>
      <c r="CD284" s="582">
        <v>0.39749810019290349</v>
      </c>
      <c r="CE284" s="582">
        <v>0.16792417864612291</v>
      </c>
      <c r="CF284" s="582">
        <v>1397.3094479166393</v>
      </c>
      <c r="CG284" s="582">
        <v>829.26669167152352</v>
      </c>
      <c r="CH284" s="582">
        <v>1046.9398491845975</v>
      </c>
      <c r="CI284" s="582">
        <v>442.50946443226786</v>
      </c>
      <c r="CJ284" s="582">
        <v>0</v>
      </c>
      <c r="CK284" s="583">
        <v>0</v>
      </c>
    </row>
    <row r="285" spans="1:89" ht="12.75" customHeight="1">
      <c r="A285" s="560">
        <v>45765</v>
      </c>
      <c r="B285" s="512">
        <v>0.61218450866560647</v>
      </c>
      <c r="C285" s="513">
        <v>0.82132814929318032</v>
      </c>
      <c r="D285" s="513">
        <v>0.61218450866560647</v>
      </c>
      <c r="E285" s="513">
        <v>0.86887918024186428</v>
      </c>
      <c r="F285" s="510">
        <v>33.701000000000001</v>
      </c>
      <c r="G285" s="510">
        <v>970.20399999999984</v>
      </c>
      <c r="H285" s="510">
        <v>4.004005815851162</v>
      </c>
      <c r="I285" s="510">
        <v>2.5306533471311186</v>
      </c>
      <c r="J285" s="510">
        <v>1644.6378445743155</v>
      </c>
      <c r="K285" s="511">
        <v>911.87509018721732</v>
      </c>
      <c r="L285" s="512">
        <v>0.88309649182197469</v>
      </c>
      <c r="M285" s="513">
        <v>0.8782136649143536</v>
      </c>
      <c r="N285" s="513">
        <v>0.88309649182197469</v>
      </c>
      <c r="O285" s="513">
        <v>0.92260490564377817</v>
      </c>
      <c r="P285" s="510">
        <v>47.344999999999999</v>
      </c>
      <c r="Q285" s="510">
        <v>995.18899999999996</v>
      </c>
      <c r="R285" s="510">
        <v>2.5672827120076041</v>
      </c>
      <c r="S285" s="510">
        <v>2.2467189649403276</v>
      </c>
      <c r="T285" s="510">
        <v>0.28091667546731441</v>
      </c>
      <c r="U285" s="510">
        <v>0.20071564295827229</v>
      </c>
      <c r="V285" s="510">
        <v>973.28778118071079</v>
      </c>
      <c r="W285" s="510">
        <v>764.92173848384505</v>
      </c>
      <c r="X285" s="510">
        <v>532.601119442391</v>
      </c>
      <c r="Y285" s="569">
        <v>490.47748719087599</v>
      </c>
      <c r="Z285" s="512">
        <v>0.92545026488115922</v>
      </c>
      <c r="AA285" s="513">
        <v>0.82506737150306086</v>
      </c>
      <c r="AB285" s="513">
        <v>0.92545026488115922</v>
      </c>
      <c r="AC285" s="513">
        <v>0.90136432576858505</v>
      </c>
      <c r="AD285" s="510">
        <v>44.749000000000002</v>
      </c>
      <c r="AE285" s="510">
        <v>668.82300000000009</v>
      </c>
      <c r="AF285" s="510">
        <v>103.41891619035623</v>
      </c>
      <c r="AG285" s="510">
        <v>108.28345185118641</v>
      </c>
      <c r="AH285" s="510">
        <v>1.3542202060381237</v>
      </c>
      <c r="AI285" s="510">
        <v>1.5624462675476167</v>
      </c>
      <c r="AJ285" s="510">
        <v>869.20244027799095</v>
      </c>
      <c r="AK285" s="510">
        <v>969.81593037320761</v>
      </c>
      <c r="AL285" s="510">
        <v>0</v>
      </c>
      <c r="AM285" s="510">
        <v>0</v>
      </c>
      <c r="AN285" s="512">
        <v>0.95490554039908848</v>
      </c>
      <c r="AO285" s="513">
        <v>0.87688496691518347</v>
      </c>
      <c r="AP285" s="513">
        <v>0.95490554039908848</v>
      </c>
      <c r="AQ285" s="513">
        <v>0.93209246328041084</v>
      </c>
      <c r="AR285" s="510">
        <v>52.887999999999998</v>
      </c>
      <c r="AS285" s="510">
        <v>792.42700000000002</v>
      </c>
      <c r="AT285" s="514">
        <v>99.321645472841922</v>
      </c>
      <c r="AU285" s="514">
        <v>102.91269808339861</v>
      </c>
      <c r="AV285" s="510">
        <v>1.3651489941007413</v>
      </c>
      <c r="AW285" s="510">
        <v>1.5010846424970374</v>
      </c>
      <c r="AX285" s="510">
        <v>0</v>
      </c>
      <c r="AY285" s="510">
        <v>0</v>
      </c>
      <c r="AZ285" s="510">
        <v>829.22288609892553</v>
      </c>
      <c r="BA285" s="510">
        <v>985.22034206305466</v>
      </c>
      <c r="BB285" s="510">
        <v>0</v>
      </c>
      <c r="BC285" s="510">
        <v>0</v>
      </c>
      <c r="BD285" s="510">
        <v>0</v>
      </c>
      <c r="BE285" s="511">
        <v>0</v>
      </c>
      <c r="BF285" s="1026">
        <v>0.86369720253424476</v>
      </c>
      <c r="BG285" s="513">
        <v>0.83418241561424133</v>
      </c>
      <c r="BH285" s="513">
        <v>0.86369720253424476</v>
      </c>
      <c r="BI285" s="513">
        <v>0.89682627489788147</v>
      </c>
      <c r="BJ285" s="510">
        <v>43.356000000000002</v>
      </c>
      <c r="BK285" s="510">
        <v>778.56299999999987</v>
      </c>
      <c r="BL285" s="510">
        <v>2.8946397269120765</v>
      </c>
      <c r="BM285" s="510">
        <v>2.6628545153057623</v>
      </c>
      <c r="BN285" s="514">
        <v>0</v>
      </c>
      <c r="BO285" s="514">
        <v>0</v>
      </c>
      <c r="BP285" s="514">
        <v>1010.9879538059628</v>
      </c>
      <c r="BQ285" s="514">
        <v>1019.887663342647</v>
      </c>
      <c r="BR285" s="514">
        <v>0</v>
      </c>
      <c r="BS285" s="515">
        <v>0</v>
      </c>
      <c r="BT285" s="580">
        <v>0.7723394400077197</v>
      </c>
      <c r="BU285" s="581">
        <v>0.84009871036791384</v>
      </c>
      <c r="BV285" s="581">
        <v>0.7723394400077197</v>
      </c>
      <c r="BW285" s="581">
        <v>0.91421374994179783</v>
      </c>
      <c r="BX285" s="576">
        <v>40.811999999999998</v>
      </c>
      <c r="BY285" s="576">
        <v>796.27200000000005</v>
      </c>
      <c r="BZ285" s="582">
        <v>89.169453436001334</v>
      </c>
      <c r="CA285" s="582">
        <v>70.131483059055967</v>
      </c>
      <c r="CB285" s="576">
        <v>2.1978829755954132</v>
      </c>
      <c r="CC285" s="576">
        <v>1.9384079811923565</v>
      </c>
      <c r="CD285" s="582">
        <v>0.18621973929236499</v>
      </c>
      <c r="CE285" s="582">
        <v>0.16886189643739827</v>
      </c>
      <c r="CF285" s="582">
        <v>968.4753571201951</v>
      </c>
      <c r="CG285" s="582">
        <v>836.40167074185524</v>
      </c>
      <c r="CH285" s="582">
        <v>548.85817896696835</v>
      </c>
      <c r="CI285" s="582">
        <v>447.96024474049187</v>
      </c>
      <c r="CJ285" s="582">
        <v>0</v>
      </c>
      <c r="CK285" s="583">
        <v>0</v>
      </c>
    </row>
    <row r="286" spans="1:89" ht="12.75" customHeight="1">
      <c r="A286" s="560">
        <v>45766</v>
      </c>
      <c r="B286" s="512">
        <v>0.78372961982360356</v>
      </c>
      <c r="C286" s="513">
        <v>0.81978923136273985</v>
      </c>
      <c r="D286" s="513">
        <v>0.78372961982360356</v>
      </c>
      <c r="E286" s="513">
        <v>0.86520092572532448</v>
      </c>
      <c r="F286" s="510">
        <v>39.51</v>
      </c>
      <c r="G286" s="510">
        <v>1009.7139999999998</v>
      </c>
      <c r="H286" s="510">
        <v>3.3124525436598331</v>
      </c>
      <c r="I286" s="510">
        <v>2.5612450654343704</v>
      </c>
      <c r="J286" s="510">
        <v>1396.5269552012276</v>
      </c>
      <c r="K286" s="511">
        <v>930.83946543278546</v>
      </c>
      <c r="L286" s="512">
        <v>1.0072037856596372</v>
      </c>
      <c r="M286" s="513">
        <v>0.88552941307613153</v>
      </c>
      <c r="N286" s="513">
        <v>1.0072037856596372</v>
      </c>
      <c r="O286" s="513">
        <v>0.92763109933054599</v>
      </c>
      <c r="P286" s="510">
        <v>68.625</v>
      </c>
      <c r="Q286" s="510">
        <v>1063.8139999999999</v>
      </c>
      <c r="R286" s="510">
        <v>1.7838688524590165</v>
      </c>
      <c r="S286" s="510">
        <v>2.2168612182204788</v>
      </c>
      <c r="T286" s="510">
        <v>0.23460837887067398</v>
      </c>
      <c r="U286" s="510">
        <v>0.20290201106584427</v>
      </c>
      <c r="V286" s="510">
        <v>593.67970856103113</v>
      </c>
      <c r="W286" s="510">
        <v>753.87517930766103</v>
      </c>
      <c r="X286" s="510">
        <v>424.1165755919854</v>
      </c>
      <c r="Y286" s="569">
        <v>486.19664715824456</v>
      </c>
      <c r="Z286" s="512">
        <v>0.90723037877509427</v>
      </c>
      <c r="AA286" s="513">
        <v>0.82969248569283571</v>
      </c>
      <c r="AB286" s="513">
        <v>0.90723037877509427</v>
      </c>
      <c r="AC286" s="513">
        <v>0.90172320489992652</v>
      </c>
      <c r="AD286" s="510">
        <v>43.868000000000002</v>
      </c>
      <c r="AE286" s="510">
        <v>712.69100000000014</v>
      </c>
      <c r="AF286" s="510">
        <v>99.083989497698326</v>
      </c>
      <c r="AG286" s="510">
        <v>107.71720081879957</v>
      </c>
      <c r="AH286" s="510">
        <v>1.3677395823835141</v>
      </c>
      <c r="AI286" s="510">
        <v>1.5504615604799268</v>
      </c>
      <c r="AJ286" s="510">
        <v>852.25631439774691</v>
      </c>
      <c r="AK286" s="510">
        <v>962.5798277233755</v>
      </c>
      <c r="AL286" s="510">
        <v>0</v>
      </c>
      <c r="AM286" s="510">
        <v>0</v>
      </c>
      <c r="AN286" s="512">
        <v>0.96705893418625322</v>
      </c>
      <c r="AO286" s="513">
        <v>0.88204431460742472</v>
      </c>
      <c r="AP286" s="513">
        <v>0.96705893418625322</v>
      </c>
      <c r="AQ286" s="513">
        <v>0.93421141071785641</v>
      </c>
      <c r="AR286" s="510">
        <v>53.036000000000001</v>
      </c>
      <c r="AS286" s="510">
        <v>845.46299999999997</v>
      </c>
      <c r="AT286" s="514">
        <v>96.722181868505288</v>
      </c>
      <c r="AU286" s="514">
        <v>102.52436622502861</v>
      </c>
      <c r="AV286" s="510">
        <v>1.3801945848103176</v>
      </c>
      <c r="AW286" s="510">
        <v>1.493501194020318</v>
      </c>
      <c r="AX286" s="510">
        <v>0</v>
      </c>
      <c r="AY286" s="510">
        <v>0</v>
      </c>
      <c r="AZ286" s="510">
        <v>856.71581567237308</v>
      </c>
      <c r="BA286" s="510">
        <v>977.15923700978067</v>
      </c>
      <c r="BB286" s="510">
        <v>0</v>
      </c>
      <c r="BC286" s="510">
        <v>0</v>
      </c>
      <c r="BD286" s="510">
        <v>0</v>
      </c>
      <c r="BE286" s="511">
        <v>0</v>
      </c>
      <c r="BF286" s="1026">
        <v>0.73997809157918149</v>
      </c>
      <c r="BG286" s="513">
        <v>0.82941861578467557</v>
      </c>
      <c r="BH286" s="513">
        <v>0.73997809157918149</v>
      </c>
      <c r="BI286" s="513">
        <v>0.88833127586108629</v>
      </c>
      <c r="BJ286" s="510">
        <v>36.784999999999997</v>
      </c>
      <c r="BK286" s="510">
        <v>815.34799999999984</v>
      </c>
      <c r="BL286" s="510">
        <v>3.5150197091205659</v>
      </c>
      <c r="BM286" s="510">
        <v>2.7013005489680486</v>
      </c>
      <c r="BN286" s="514">
        <v>0</v>
      </c>
      <c r="BO286" s="514">
        <v>0</v>
      </c>
      <c r="BP286" s="514">
        <v>1174.3998582539712</v>
      </c>
      <c r="BQ286" s="514">
        <v>1026.8585899774253</v>
      </c>
      <c r="BR286" s="514">
        <v>0</v>
      </c>
      <c r="BS286" s="515">
        <v>0</v>
      </c>
      <c r="BT286" s="580">
        <v>0.90318171532491109</v>
      </c>
      <c r="BU286" s="581">
        <v>0.84348103107205319</v>
      </c>
      <c r="BV286" s="581">
        <v>0.90318171532491109</v>
      </c>
      <c r="BW286" s="581">
        <v>0.91357309230607697</v>
      </c>
      <c r="BX286" s="576">
        <v>48.5</v>
      </c>
      <c r="BY286" s="576">
        <v>844.77200000000005</v>
      </c>
      <c r="BZ286" s="582">
        <v>70.940740435812884</v>
      </c>
      <c r="CA286" s="582">
        <v>70.177944095611053</v>
      </c>
      <c r="CB286" s="576">
        <v>1.9876288659793815</v>
      </c>
      <c r="CC286" s="576">
        <v>1.941233847712756</v>
      </c>
      <c r="CD286" s="582">
        <v>0.22886597938144329</v>
      </c>
      <c r="CE286" s="582">
        <v>0.17230684729134013</v>
      </c>
      <c r="CF286" s="582">
        <v>813.09363328094548</v>
      </c>
      <c r="CG286" s="582">
        <v>835.06351107646128</v>
      </c>
      <c r="CH286" s="582">
        <v>599.99999999998693</v>
      </c>
      <c r="CI286" s="582">
        <v>456.68914215906813</v>
      </c>
      <c r="CJ286" s="582">
        <v>0</v>
      </c>
      <c r="CK286" s="583">
        <v>0</v>
      </c>
    </row>
    <row r="287" spans="1:89" ht="12.75" customHeight="1">
      <c r="A287" s="560">
        <v>45767</v>
      </c>
      <c r="B287" s="512">
        <v>0.92169422097680009</v>
      </c>
      <c r="C287" s="513">
        <v>0.82381293972331004</v>
      </c>
      <c r="D287" s="513">
        <v>0.92169422097680009</v>
      </c>
      <c r="E287" s="513">
        <v>0.86754998432751051</v>
      </c>
      <c r="F287" s="510">
        <v>46.667000000000002</v>
      </c>
      <c r="G287" s="510">
        <v>1056.3809999999999</v>
      </c>
      <c r="H287" s="510">
        <v>2.7215162748837507</v>
      </c>
      <c r="I287" s="510">
        <v>2.5683252538620063</v>
      </c>
      <c r="J287" s="510">
        <v>1156.8230226927012</v>
      </c>
      <c r="K287" s="511">
        <v>940.82258200403066</v>
      </c>
      <c r="L287" s="512">
        <v>0.98250877030576178</v>
      </c>
      <c r="M287" s="513">
        <v>0.89074037448659016</v>
      </c>
      <c r="N287" s="513">
        <v>0.98250877030576178</v>
      </c>
      <c r="O287" s="513">
        <v>0.93071214738141506</v>
      </c>
      <c r="P287" s="510">
        <v>67.022999999999996</v>
      </c>
      <c r="Q287" s="510">
        <v>1130.8369999999998</v>
      </c>
      <c r="R287" s="510">
        <v>1.9200423735135703</v>
      </c>
      <c r="S287" s="510">
        <v>2.1992692138654824</v>
      </c>
      <c r="T287" s="510">
        <v>0.22977186935828001</v>
      </c>
      <c r="U287" s="510">
        <v>0.20449454695946462</v>
      </c>
      <c r="V287" s="510">
        <v>608.1985288632261</v>
      </c>
      <c r="W287" s="510">
        <v>745.24114439127857</v>
      </c>
      <c r="X287" s="510">
        <v>429.28546916730073</v>
      </c>
      <c r="Y287" s="569">
        <v>482.82360764637247</v>
      </c>
      <c r="Z287" s="512">
        <v>0.94993646822915112</v>
      </c>
      <c r="AA287" s="513">
        <v>0.836100530255806</v>
      </c>
      <c r="AB287" s="513">
        <v>0.94993646822915112</v>
      </c>
      <c r="AC287" s="513">
        <v>0.9045027908744494</v>
      </c>
      <c r="AD287" s="510">
        <v>45.933</v>
      </c>
      <c r="AE287" s="510">
        <v>758.62400000000014</v>
      </c>
      <c r="AF287" s="510">
        <v>97.99648406415298</v>
      </c>
      <c r="AG287" s="510">
        <v>107.12863298718446</v>
      </c>
      <c r="AH287" s="510">
        <v>1.3367295843946618</v>
      </c>
      <c r="AI287" s="510">
        <v>1.5375205635466314</v>
      </c>
      <c r="AJ287" s="510">
        <v>805.63995384581892</v>
      </c>
      <c r="AK287" s="510">
        <v>953.0774665710552</v>
      </c>
      <c r="AL287" s="510">
        <v>0</v>
      </c>
      <c r="AM287" s="510">
        <v>0</v>
      </c>
      <c r="AN287" s="512">
        <v>0.98310486265152019</v>
      </c>
      <c r="AO287" s="513">
        <v>0.88751361466825451</v>
      </c>
      <c r="AP287" s="513">
        <v>0.98310486265152019</v>
      </c>
      <c r="AQ287" s="513">
        <v>0.93700503309859073</v>
      </c>
      <c r="AR287" s="510">
        <v>53.915999999999997</v>
      </c>
      <c r="AS287" s="510">
        <v>899.37899999999991</v>
      </c>
      <c r="AT287" s="514">
        <v>99.83866731552817</v>
      </c>
      <c r="AU287" s="514">
        <v>102.36336386406109</v>
      </c>
      <c r="AV287" s="510">
        <v>1.342829586764597</v>
      </c>
      <c r="AW287" s="510">
        <v>1.4844687278666728</v>
      </c>
      <c r="AX287" s="510">
        <v>0</v>
      </c>
      <c r="AY287" s="510">
        <v>0</v>
      </c>
      <c r="AZ287" s="510">
        <v>801.53312560279016</v>
      </c>
      <c r="BA287" s="510">
        <v>966.63079747247866</v>
      </c>
      <c r="BB287" s="510">
        <v>0</v>
      </c>
      <c r="BC287" s="510">
        <v>0</v>
      </c>
      <c r="BD287" s="510">
        <v>0</v>
      </c>
      <c r="BE287" s="511">
        <v>0</v>
      </c>
      <c r="BF287" s="1026">
        <v>0.96457657988913292</v>
      </c>
      <c r="BG287" s="513">
        <v>0.83592440230686904</v>
      </c>
      <c r="BH287" s="513">
        <v>0.96457657988913292</v>
      </c>
      <c r="BI287" s="513">
        <v>0.89224860571437181</v>
      </c>
      <c r="BJ287" s="510">
        <v>47.95</v>
      </c>
      <c r="BK287" s="510">
        <v>863.29799999999989</v>
      </c>
      <c r="BL287" s="510">
        <v>2.7966631908237747</v>
      </c>
      <c r="BM287" s="510">
        <v>2.706597258420615</v>
      </c>
      <c r="BN287" s="514">
        <v>0</v>
      </c>
      <c r="BO287" s="514">
        <v>0</v>
      </c>
      <c r="BP287" s="514">
        <v>927.76770175543061</v>
      </c>
      <c r="BQ287" s="514">
        <v>1021.3548032314293</v>
      </c>
      <c r="BR287" s="514">
        <v>0</v>
      </c>
      <c r="BS287" s="515">
        <v>0</v>
      </c>
      <c r="BT287" s="580">
        <v>0.97416421374265938</v>
      </c>
      <c r="BU287" s="581">
        <v>0.85030688971462598</v>
      </c>
      <c r="BV287" s="581">
        <v>0.97416421374265938</v>
      </c>
      <c r="BW287" s="581">
        <v>0.91698607132862564</v>
      </c>
      <c r="BX287" s="576">
        <v>53.768999999999998</v>
      </c>
      <c r="BY287" s="576">
        <v>898.54100000000005</v>
      </c>
      <c r="BZ287" s="582">
        <v>70.520670097960647</v>
      </c>
      <c r="CA287" s="582">
        <v>70.198452936521292</v>
      </c>
      <c r="CB287" s="576">
        <v>1.8040134650077182</v>
      </c>
      <c r="CC287" s="576">
        <v>1.9330225331954805</v>
      </c>
      <c r="CD287" s="582">
        <v>0.21387788502668825</v>
      </c>
      <c r="CE287" s="582">
        <v>0.17479447237243487</v>
      </c>
      <c r="CF287" s="582">
        <v>740.20195095365216</v>
      </c>
      <c r="CG287" s="582">
        <v>829.38696295429065</v>
      </c>
      <c r="CH287" s="582">
        <v>570.96096263647871</v>
      </c>
      <c r="CI287" s="582">
        <v>463.52720688315964</v>
      </c>
      <c r="CJ287" s="582">
        <v>0</v>
      </c>
      <c r="CK287" s="583">
        <v>0</v>
      </c>
    </row>
    <row r="288" spans="1:89" ht="12.75" customHeight="1">
      <c r="A288" s="560">
        <v>45768</v>
      </c>
      <c r="B288" s="512">
        <v>0.94155998734691015</v>
      </c>
      <c r="C288" s="513">
        <v>0.82846427768253783</v>
      </c>
      <c r="D288" s="513">
        <v>0.94155998734691015</v>
      </c>
      <c r="E288" s="513">
        <v>0.87062236002522164</v>
      </c>
      <c r="F288" s="510">
        <v>49.655999999999999</v>
      </c>
      <c r="G288" s="510">
        <v>1106.0369999999998</v>
      </c>
      <c r="H288" s="510">
        <v>2.6380900596101178</v>
      </c>
      <c r="I288" s="510">
        <v>2.5714573743916342</v>
      </c>
      <c r="J288" s="510">
        <v>1120.1309005961064</v>
      </c>
      <c r="K288" s="511">
        <v>948.8727049818408</v>
      </c>
      <c r="L288" s="512">
        <v>0.97960675200464398</v>
      </c>
      <c r="M288" s="513">
        <v>0.89542774420372495</v>
      </c>
      <c r="N288" s="513">
        <v>0.97960675200464398</v>
      </c>
      <c r="O288" s="513">
        <v>0.93340052434449894</v>
      </c>
      <c r="P288" s="510">
        <v>69.251000000000005</v>
      </c>
      <c r="Q288" s="510">
        <v>1200.0879999999997</v>
      </c>
      <c r="R288" s="510">
        <v>1.9301815136243519</v>
      </c>
      <c r="S288" s="510">
        <v>2.1837415256214547</v>
      </c>
      <c r="T288" s="510">
        <v>0.21515934787945298</v>
      </c>
      <c r="U288" s="510">
        <v>0.20510995860303585</v>
      </c>
      <c r="V288" s="510">
        <v>672.98132878946308</v>
      </c>
      <c r="W288" s="510">
        <v>741.07139643092773</v>
      </c>
      <c r="X288" s="510">
        <v>401.01947986310665</v>
      </c>
      <c r="Y288" s="569">
        <v>478.10310577224408</v>
      </c>
      <c r="Z288" s="512">
        <v>0.84930917809008999</v>
      </c>
      <c r="AA288" s="513">
        <v>0.83673760150852472</v>
      </c>
      <c r="AB288" s="513">
        <v>0.84930917809008999</v>
      </c>
      <c r="AC288" s="513">
        <v>0.90163425960125188</v>
      </c>
      <c r="AD288" s="510">
        <v>39.051000000000002</v>
      </c>
      <c r="AE288" s="510">
        <v>797.67500000000018</v>
      </c>
      <c r="AF288" s="510">
        <v>109.49842055762213</v>
      </c>
      <c r="AG288" s="510">
        <v>107.24464837492151</v>
      </c>
      <c r="AH288" s="510">
        <v>1.5287700699085811</v>
      </c>
      <c r="AI288" s="510">
        <v>1.5370921741310679</v>
      </c>
      <c r="AJ288" s="510">
        <v>941.87652044761512</v>
      </c>
      <c r="AK288" s="510">
        <v>952.5291127338827</v>
      </c>
      <c r="AL288" s="510">
        <v>0</v>
      </c>
      <c r="AM288" s="510">
        <v>0</v>
      </c>
      <c r="AN288" s="512">
        <v>0.96638964574387398</v>
      </c>
      <c r="AO288" s="513">
        <v>0.89177728875163531</v>
      </c>
      <c r="AP288" s="513">
        <v>0.96638964574387398</v>
      </c>
      <c r="AQ288" s="513">
        <v>0.93867696534166767</v>
      </c>
      <c r="AR288" s="510">
        <v>55.962000000000003</v>
      </c>
      <c r="AS288" s="510">
        <v>955.34099999999989</v>
      </c>
      <c r="AT288" s="514">
        <v>80.319563631841305</v>
      </c>
      <c r="AU288" s="514">
        <v>101.0720813287198</v>
      </c>
      <c r="AV288" s="510">
        <v>1.1918802044244308</v>
      </c>
      <c r="AW288" s="510">
        <v>1.4673294666511751</v>
      </c>
      <c r="AX288" s="510">
        <v>0.15724956220292341</v>
      </c>
      <c r="AY288" s="510">
        <v>9.2173436735461193E-3</v>
      </c>
      <c r="AZ288" s="510">
        <v>674.22929845252099</v>
      </c>
      <c r="BA288" s="510">
        <v>949.50249178042225</v>
      </c>
      <c r="BB288" s="510">
        <v>496.28676601979288</v>
      </c>
      <c r="BC288" s="510">
        <v>29.071504311025752</v>
      </c>
      <c r="BD288" s="510">
        <v>0</v>
      </c>
      <c r="BE288" s="511">
        <v>0</v>
      </c>
      <c r="BF288" s="1026">
        <v>0.96631416722783758</v>
      </c>
      <c r="BG288" s="513">
        <v>0.84183754279759893</v>
      </c>
      <c r="BH288" s="513">
        <v>0.96631416722783758</v>
      </c>
      <c r="BI288" s="513">
        <v>0.89582285520214289</v>
      </c>
      <c r="BJ288" s="510">
        <v>47.406999999999996</v>
      </c>
      <c r="BK288" s="510">
        <v>910.70499999999993</v>
      </c>
      <c r="BL288" s="510">
        <v>2.8624464741493871</v>
      </c>
      <c r="BM288" s="510">
        <v>2.7147100323375843</v>
      </c>
      <c r="BN288" s="514">
        <v>0</v>
      </c>
      <c r="BO288" s="514">
        <v>0</v>
      </c>
      <c r="BP288" s="514">
        <v>962.3917856383091</v>
      </c>
      <c r="BQ288" s="514">
        <v>1018.2854670852162</v>
      </c>
      <c r="BR288" s="514">
        <v>0</v>
      </c>
      <c r="BS288" s="515">
        <v>0</v>
      </c>
      <c r="BT288" s="580">
        <v>0.96582807390441683</v>
      </c>
      <c r="BU288" s="581">
        <v>0.85581254291729236</v>
      </c>
      <c r="BV288" s="581">
        <v>0.96582807390441683</v>
      </c>
      <c r="BW288" s="581">
        <v>0.91948703650975561</v>
      </c>
      <c r="BX288" s="576">
        <v>51.076000000000001</v>
      </c>
      <c r="BY288" s="576">
        <v>949.61700000000008</v>
      </c>
      <c r="BZ288" s="582">
        <v>64.984214872722916</v>
      </c>
      <c r="CA288" s="582">
        <v>69.918000476901724</v>
      </c>
      <c r="CB288" s="576">
        <v>1.9108779074320619</v>
      </c>
      <c r="CC288" s="576">
        <v>1.9318314646852364</v>
      </c>
      <c r="CD288" s="582">
        <v>0.15662933667475917</v>
      </c>
      <c r="CE288" s="582">
        <v>0.17381744429596352</v>
      </c>
      <c r="CF288" s="582">
        <v>781.66971999073041</v>
      </c>
      <c r="CG288" s="582">
        <v>826.82044834723661</v>
      </c>
      <c r="CH288" s="582">
        <v>501.93437230792682</v>
      </c>
      <c r="CI288" s="582">
        <v>465.59297063974293</v>
      </c>
      <c r="CJ288" s="582">
        <v>0</v>
      </c>
      <c r="CK288" s="583">
        <v>0</v>
      </c>
    </row>
    <row r="289" spans="1:89" ht="12.75" customHeight="1">
      <c r="A289" s="560">
        <v>45769</v>
      </c>
      <c r="B289" s="512">
        <v>0.92250385953917402</v>
      </c>
      <c r="C289" s="513">
        <v>0.83215148856874666</v>
      </c>
      <c r="D289" s="513">
        <v>0.92250385953917402</v>
      </c>
      <c r="E289" s="513">
        <v>0.87275584790951</v>
      </c>
      <c r="F289" s="510">
        <v>50.26</v>
      </c>
      <c r="G289" s="510">
        <v>1156.2969999999998</v>
      </c>
      <c r="H289" s="510">
        <v>2.6840827695980898</v>
      </c>
      <c r="I289" s="510">
        <v>2.576352788254229</v>
      </c>
      <c r="J289" s="510">
        <v>1150.5630720254696</v>
      </c>
      <c r="K289" s="511">
        <v>957.63944730462879</v>
      </c>
      <c r="L289" s="512">
        <v>0.98576014960355263</v>
      </c>
      <c r="M289" s="513">
        <v>0.89995371343596353</v>
      </c>
      <c r="N289" s="513">
        <v>0.98576014960355263</v>
      </c>
      <c r="O289" s="513">
        <v>0.93612937804805252</v>
      </c>
      <c r="P289" s="510">
        <v>69.686000000000007</v>
      </c>
      <c r="Q289" s="510">
        <v>1269.7739999999997</v>
      </c>
      <c r="R289" s="510">
        <v>1.9421548087133713</v>
      </c>
      <c r="S289" s="510">
        <v>2.1704830938418964</v>
      </c>
      <c r="T289" s="510">
        <v>0.23103636311454237</v>
      </c>
      <c r="U289" s="510">
        <v>0.20653281607593171</v>
      </c>
      <c r="V289" s="510">
        <v>697.05895014781242</v>
      </c>
      <c r="W289" s="510">
        <v>738.65596554977481</v>
      </c>
      <c r="X289" s="510">
        <v>426.47016617398043</v>
      </c>
      <c r="Y289" s="569">
        <v>475.26945739950645</v>
      </c>
      <c r="Z289" s="512">
        <v>0.79843412913568501</v>
      </c>
      <c r="AA289" s="513">
        <v>0.83495447739164941</v>
      </c>
      <c r="AB289" s="513">
        <v>0.81051690939659116</v>
      </c>
      <c r="AC289" s="513">
        <v>0.89714452021198177</v>
      </c>
      <c r="AD289" s="510">
        <v>37.164000000000001</v>
      </c>
      <c r="AE289" s="510">
        <v>834.83900000000017</v>
      </c>
      <c r="AF289" s="510">
        <v>110.64513464233903</v>
      </c>
      <c r="AG289" s="510">
        <v>107.39602567239122</v>
      </c>
      <c r="AH289" s="510">
        <v>1.6655903562587449</v>
      </c>
      <c r="AI289" s="510">
        <v>1.5428124464717146</v>
      </c>
      <c r="AJ289" s="510">
        <v>1045.2938327413628</v>
      </c>
      <c r="AK289" s="510">
        <v>956.65866113106847</v>
      </c>
      <c r="AL289" s="510">
        <v>0</v>
      </c>
      <c r="AM289" s="510">
        <v>0</v>
      </c>
      <c r="AN289" s="512">
        <v>0.92183079757205844</v>
      </c>
      <c r="AO289" s="513">
        <v>0.89339391246607913</v>
      </c>
      <c r="AP289" s="513">
        <v>0.92183079757205844</v>
      </c>
      <c r="AQ289" s="513">
        <v>0.93772581806881683</v>
      </c>
      <c r="AR289" s="510">
        <v>56.140999999999998</v>
      </c>
      <c r="AS289" s="510">
        <v>1011.4819999999999</v>
      </c>
      <c r="AT289" s="514">
        <v>73.845519170161026</v>
      </c>
      <c r="AU289" s="514">
        <v>99.560906215229252</v>
      </c>
      <c r="AV289" s="510">
        <v>1.2237046009155521</v>
      </c>
      <c r="AW289" s="510">
        <v>1.4538073836212611</v>
      </c>
      <c r="AX289" s="510">
        <v>0.17099802283536097</v>
      </c>
      <c r="AY289" s="510">
        <v>1.8196770997832117E-2</v>
      </c>
      <c r="AZ289" s="510">
        <v>659.00678648403095</v>
      </c>
      <c r="BA289" s="510">
        <v>933.37890343080778</v>
      </c>
      <c r="BB289" s="510">
        <v>410.71587609767482</v>
      </c>
      <c r="BC289" s="510">
        <v>50.254181488152248</v>
      </c>
      <c r="BD289" s="510">
        <v>0</v>
      </c>
      <c r="BE289" s="511">
        <v>0</v>
      </c>
      <c r="BF289" s="1026">
        <v>0.87098055423392362</v>
      </c>
      <c r="BG289" s="513">
        <v>0.84309368196745083</v>
      </c>
      <c r="BH289" s="513">
        <v>0.87098055423392362</v>
      </c>
      <c r="BI289" s="513">
        <v>0.89468656246593037</v>
      </c>
      <c r="BJ289" s="510">
        <v>42.442</v>
      </c>
      <c r="BK289" s="510">
        <v>953.14699999999993</v>
      </c>
      <c r="BL289" s="510">
        <v>3.2208661231798685</v>
      </c>
      <c r="BM289" s="510">
        <v>2.7372482943344516</v>
      </c>
      <c r="BN289" s="514">
        <v>0</v>
      </c>
      <c r="BO289" s="514">
        <v>0</v>
      </c>
      <c r="BP289" s="514">
        <v>1070.6416688154573</v>
      </c>
      <c r="BQ289" s="514">
        <v>1020.6167988880072</v>
      </c>
      <c r="BR289" s="514">
        <v>0</v>
      </c>
      <c r="BS289" s="515">
        <v>0</v>
      </c>
      <c r="BT289" s="580">
        <v>0.90422051135487125</v>
      </c>
      <c r="BU289" s="581">
        <v>0.85801467834613676</v>
      </c>
      <c r="BV289" s="581">
        <v>0.90422051135487125</v>
      </c>
      <c r="BW289" s="581">
        <v>0.91874338943368528</v>
      </c>
      <c r="BX289" s="576">
        <v>47.817999999999998</v>
      </c>
      <c r="BY289" s="576">
        <v>997.43500000000006</v>
      </c>
      <c r="BZ289" s="582">
        <v>67.866136693715788</v>
      </c>
      <c r="CA289" s="582">
        <v>69.819632139732491</v>
      </c>
      <c r="CB289" s="576">
        <v>2.0452549249236691</v>
      </c>
      <c r="CC289" s="576">
        <v>1.937269095229263</v>
      </c>
      <c r="CD289" s="582">
        <v>0.17357480446693715</v>
      </c>
      <c r="CE289" s="582">
        <v>0.17380581190754285</v>
      </c>
      <c r="CF289" s="582">
        <v>851.91217307572094</v>
      </c>
      <c r="CG289" s="582">
        <v>828.02336993417384</v>
      </c>
      <c r="CH289" s="582">
        <v>410.76582040235104</v>
      </c>
      <c r="CI289" s="582">
        <v>462.96450395263895</v>
      </c>
      <c r="CJ289" s="582">
        <v>0</v>
      </c>
      <c r="CK289" s="583">
        <v>0</v>
      </c>
    </row>
    <row r="290" spans="1:89" ht="12.75" customHeight="1">
      <c r="A290" s="560">
        <v>45770</v>
      </c>
      <c r="B290" s="512">
        <v>1.1364475775641729</v>
      </c>
      <c r="C290" s="513">
        <v>0.84464196354275234</v>
      </c>
      <c r="D290" s="513">
        <v>1.1364475775641729</v>
      </c>
      <c r="E290" s="513">
        <v>0.8840850806661269</v>
      </c>
      <c r="F290" s="510">
        <v>67.593000000000004</v>
      </c>
      <c r="G290" s="510">
        <v>1223.8899999999999</v>
      </c>
      <c r="H290" s="510">
        <v>2.0625212669951032</v>
      </c>
      <c r="I290" s="510">
        <v>2.5479748997050384</v>
      </c>
      <c r="J290" s="510">
        <v>890.06820232863004</v>
      </c>
      <c r="K290" s="511">
        <v>953.90762241704681</v>
      </c>
      <c r="L290" s="512">
        <v>0.99849131704957028</v>
      </c>
      <c r="M290" s="513">
        <v>0.90465522939492404</v>
      </c>
      <c r="N290" s="513">
        <v>0.99849131704957028</v>
      </c>
      <c r="O290" s="513">
        <v>0.93921852865467181</v>
      </c>
      <c r="P290" s="510">
        <v>70.585999999999999</v>
      </c>
      <c r="Q290" s="510">
        <v>1340.3599999999997</v>
      </c>
      <c r="R290" s="510">
        <v>1.893732468194826</v>
      </c>
      <c r="S290" s="510">
        <v>2.1559088603061864</v>
      </c>
      <c r="T290" s="510">
        <v>0.21817357549655739</v>
      </c>
      <c r="U290" s="510">
        <v>0.20714584141573913</v>
      </c>
      <c r="V290" s="510">
        <v>673.38664891055373</v>
      </c>
      <c r="W290" s="510">
        <v>735.21875466292636</v>
      </c>
      <c r="X290" s="510">
        <v>407.54540560451079</v>
      </c>
      <c r="Y290" s="569">
        <v>471.7029753200639</v>
      </c>
      <c r="Z290" s="512">
        <v>0.88780976218343133</v>
      </c>
      <c r="AA290" s="513">
        <v>0.8372290747650396</v>
      </c>
      <c r="AB290" s="513">
        <v>0.88780976218343133</v>
      </c>
      <c r="AC290" s="513">
        <v>0.89671426220977257</v>
      </c>
      <c r="AD290" s="510">
        <v>39.918999999999997</v>
      </c>
      <c r="AE290" s="510">
        <v>874.75800000000015</v>
      </c>
      <c r="AF290" s="510">
        <v>110.97239568118005</v>
      </c>
      <c r="AG290" s="510">
        <v>107.55923094102647</v>
      </c>
      <c r="AH290" s="510">
        <v>1.533104536686791</v>
      </c>
      <c r="AI290" s="510">
        <v>1.5423694324601773</v>
      </c>
      <c r="AJ290" s="510">
        <v>960.75502893358589</v>
      </c>
      <c r="AK290" s="510">
        <v>956.84559615345029</v>
      </c>
      <c r="AL290" s="510">
        <v>0</v>
      </c>
      <c r="AM290" s="510">
        <v>0</v>
      </c>
      <c r="AN290" s="512">
        <v>1.044555995398692</v>
      </c>
      <c r="AO290" s="513">
        <v>0.90119139775475221</v>
      </c>
      <c r="AP290" s="513">
        <v>1.044555995398692</v>
      </c>
      <c r="AQ290" s="513">
        <v>0.94349518680956868</v>
      </c>
      <c r="AR290" s="510">
        <v>64.322000000000003</v>
      </c>
      <c r="AS290" s="510">
        <v>1075.8039999999999</v>
      </c>
      <c r="AT290" s="514">
        <v>69.500959578305881</v>
      </c>
      <c r="AU290" s="514">
        <v>97.763630979609957</v>
      </c>
      <c r="AV290" s="510">
        <v>1.1069307546407139</v>
      </c>
      <c r="AW290" s="510">
        <v>1.4330677335276691</v>
      </c>
      <c r="AX290" s="510">
        <v>0.15857715867043934</v>
      </c>
      <c r="AY290" s="510">
        <v>2.6590072468989912E-2</v>
      </c>
      <c r="AZ290" s="510">
        <v>580.86471191816224</v>
      </c>
      <c r="BA290" s="510">
        <v>912.30218515640433</v>
      </c>
      <c r="BB290" s="510">
        <v>460.11473523833143</v>
      </c>
      <c r="BC290" s="510">
        <v>74.759621641116013</v>
      </c>
      <c r="BD290" s="510">
        <v>0</v>
      </c>
      <c r="BE290" s="511">
        <v>0</v>
      </c>
      <c r="BF290" s="1026">
        <v>0.8383437141912401</v>
      </c>
      <c r="BG290" s="513">
        <v>0.84289846866059359</v>
      </c>
      <c r="BH290" s="513">
        <v>0.8383437141912401</v>
      </c>
      <c r="BI290" s="513">
        <v>0.89223545830866591</v>
      </c>
      <c r="BJ290" s="510">
        <v>40.621000000000002</v>
      </c>
      <c r="BK290" s="510">
        <v>993.76799999999992</v>
      </c>
      <c r="BL290" s="510">
        <v>3.3357130548238594</v>
      </c>
      <c r="BM290" s="510">
        <v>2.7617109828450905</v>
      </c>
      <c r="BN290" s="514">
        <v>0</v>
      </c>
      <c r="BO290" s="514">
        <v>0</v>
      </c>
      <c r="BP290" s="514">
        <v>1072.1059454543083</v>
      </c>
      <c r="BQ290" s="514">
        <v>1022.7214557321296</v>
      </c>
      <c r="BR290" s="514">
        <v>0</v>
      </c>
      <c r="BS290" s="515">
        <v>0</v>
      </c>
      <c r="BT290" s="580">
        <v>0.97448868275883427</v>
      </c>
      <c r="BU290" s="581">
        <v>0.86308266896582708</v>
      </c>
      <c r="BV290" s="581">
        <v>0.97448868275883427</v>
      </c>
      <c r="BW290" s="581">
        <v>0.92133266978544692</v>
      </c>
      <c r="BX290" s="576">
        <v>51.533999999999999</v>
      </c>
      <c r="BY290" s="576">
        <v>1048.9690000000001</v>
      </c>
      <c r="BZ290" s="582">
        <v>65.678041968548612</v>
      </c>
      <c r="CA290" s="582">
        <v>69.616163106918563</v>
      </c>
      <c r="CB290" s="576">
        <v>1.9385260216556062</v>
      </c>
      <c r="CC290" s="576">
        <v>1.9373308458114589</v>
      </c>
      <c r="CD290" s="582">
        <v>0.16493965149221873</v>
      </c>
      <c r="CE290" s="582">
        <v>0.17337023305741162</v>
      </c>
      <c r="CF290" s="582">
        <v>782.34009371871309</v>
      </c>
      <c r="CG290" s="582">
        <v>825.77903101044251</v>
      </c>
      <c r="CH290" s="582">
        <v>469.8742577715675</v>
      </c>
      <c r="CI290" s="582">
        <v>463.30396799142812</v>
      </c>
      <c r="CJ290" s="582">
        <v>0</v>
      </c>
      <c r="CK290" s="583">
        <v>0</v>
      </c>
    </row>
    <row r="291" spans="1:89" ht="12.75" customHeight="1">
      <c r="A291" s="560">
        <v>45771</v>
      </c>
      <c r="B291" s="512">
        <v>1.1798314987756451</v>
      </c>
      <c r="C291" s="513">
        <v>0.8574021659280987</v>
      </c>
      <c r="D291" s="513">
        <v>1.1798314987756451</v>
      </c>
      <c r="E291" s="513">
        <v>0.89584858290687674</v>
      </c>
      <c r="F291" s="510">
        <v>67.656999999999996</v>
      </c>
      <c r="G291" s="510">
        <v>1291.5469999999998</v>
      </c>
      <c r="H291" s="510">
        <v>2.0431145336033225</v>
      </c>
      <c r="I291" s="510">
        <v>2.5215280589866262</v>
      </c>
      <c r="J291" s="510">
        <v>836.7837769928019</v>
      </c>
      <c r="K291" s="511">
        <v>947.77215231036996</v>
      </c>
      <c r="L291" s="512">
        <v>0.96805855478516645</v>
      </c>
      <c r="M291" s="513">
        <v>0.90757334661918665</v>
      </c>
      <c r="N291" s="513">
        <v>0.96805855478516645</v>
      </c>
      <c r="O291" s="513">
        <v>0.94059417531768286</v>
      </c>
      <c r="P291" s="510">
        <v>69.197999999999993</v>
      </c>
      <c r="Q291" s="510">
        <v>1409.5579999999998</v>
      </c>
      <c r="R291" s="510">
        <v>1.9228012370299721</v>
      </c>
      <c r="S291" s="510">
        <v>2.1444651443927811</v>
      </c>
      <c r="T291" s="510">
        <v>0.22544004161970002</v>
      </c>
      <c r="U291" s="510">
        <v>0.2080439400152389</v>
      </c>
      <c r="V291" s="510">
        <v>607.95572126362572</v>
      </c>
      <c r="W291" s="510">
        <v>728.97115975362522</v>
      </c>
      <c r="X291" s="510">
        <v>435.77849070782395</v>
      </c>
      <c r="Y291" s="569">
        <v>469.93937106525652</v>
      </c>
      <c r="Z291" s="512">
        <v>1.0780326688166657</v>
      </c>
      <c r="AA291" s="513">
        <v>0.8473261591700828</v>
      </c>
      <c r="AB291" s="513">
        <v>1.0780326688166657</v>
      </c>
      <c r="AC291" s="513">
        <v>0.9048330795582934</v>
      </c>
      <c r="AD291" s="510">
        <v>49.295999999999999</v>
      </c>
      <c r="AE291" s="510">
        <v>924.0540000000002</v>
      </c>
      <c r="AF291" s="510">
        <v>95.45488345767852</v>
      </c>
      <c r="AG291" s="510">
        <v>106.91349388070411</v>
      </c>
      <c r="AH291" s="510">
        <v>1.3043654657578707</v>
      </c>
      <c r="AI291" s="510">
        <v>1.5296725083166132</v>
      </c>
      <c r="AJ291" s="510">
        <v>745.17770204478325</v>
      </c>
      <c r="AK291" s="510">
        <v>945.55363647578974</v>
      </c>
      <c r="AL291" s="510">
        <v>0</v>
      </c>
      <c r="AM291" s="510">
        <v>0</v>
      </c>
      <c r="AN291" s="512">
        <v>0.96398066780057445</v>
      </c>
      <c r="AO291" s="513">
        <v>0.90427633485696535</v>
      </c>
      <c r="AP291" s="513">
        <v>0.96398066780057445</v>
      </c>
      <c r="AQ291" s="513">
        <v>0.94454649299471394</v>
      </c>
      <c r="AR291" s="510">
        <v>59.46</v>
      </c>
      <c r="AS291" s="510">
        <v>1135.2639999999999</v>
      </c>
      <c r="AT291" s="514">
        <v>80.810318704929003</v>
      </c>
      <c r="AU291" s="514">
        <v>96.875693065739227</v>
      </c>
      <c r="AV291" s="510">
        <v>1.1907164480322905</v>
      </c>
      <c r="AW291" s="510">
        <v>1.4203744679651609</v>
      </c>
      <c r="AX291" s="510">
        <v>0.16649848637739656</v>
      </c>
      <c r="AY291" s="510">
        <v>3.3917843182228298E-2</v>
      </c>
      <c r="AZ291" s="510">
        <v>588.19845274133843</v>
      </c>
      <c r="BA291" s="510">
        <v>895.3270957239904</v>
      </c>
      <c r="BB291" s="510">
        <v>480.07063572150435</v>
      </c>
      <c r="BC291" s="510">
        <v>95.987981650082986</v>
      </c>
      <c r="BD291" s="510">
        <v>0</v>
      </c>
      <c r="BE291" s="511">
        <v>0</v>
      </c>
      <c r="BF291" s="1026">
        <v>0.89519546155675289</v>
      </c>
      <c r="BG291" s="513">
        <v>0.84501430850620118</v>
      </c>
      <c r="BH291" s="513">
        <v>0.89519546155675289</v>
      </c>
      <c r="BI291" s="513">
        <v>0.89236192473030929</v>
      </c>
      <c r="BJ291" s="510">
        <v>44.500999999999998</v>
      </c>
      <c r="BK291" s="510">
        <v>1038.269</v>
      </c>
      <c r="BL291" s="510">
        <v>3.0426282555448196</v>
      </c>
      <c r="BM291" s="510">
        <v>2.773751311076416</v>
      </c>
      <c r="BN291" s="514">
        <v>0</v>
      </c>
      <c r="BO291" s="514">
        <v>0</v>
      </c>
      <c r="BP291" s="514">
        <v>908.9562976666449</v>
      </c>
      <c r="BQ291" s="514">
        <v>1017.8453944232855</v>
      </c>
      <c r="BR291" s="514">
        <v>0</v>
      </c>
      <c r="BS291" s="515">
        <v>0</v>
      </c>
      <c r="BT291" s="580">
        <v>0.84815330536069689</v>
      </c>
      <c r="BU291" s="581">
        <v>0.86245842370463266</v>
      </c>
      <c r="BV291" s="581">
        <v>0.84815330536069689</v>
      </c>
      <c r="BW291" s="581">
        <v>0.91807548188406796</v>
      </c>
      <c r="BX291" s="576">
        <v>44.982999999999997</v>
      </c>
      <c r="BY291" s="576">
        <v>1093.952</v>
      </c>
      <c r="BZ291" s="582">
        <v>83.530989815601458</v>
      </c>
      <c r="CA291" s="582">
        <v>70.188336885874762</v>
      </c>
      <c r="CB291" s="576">
        <v>2.2208389836160332</v>
      </c>
      <c r="CC291" s="576">
        <v>1.9489886210729541</v>
      </c>
      <c r="CD291" s="582">
        <v>0.17784496365293556</v>
      </c>
      <c r="CE291" s="582">
        <v>0.17355423272684725</v>
      </c>
      <c r="CF291" s="582">
        <v>872.51552358748324</v>
      </c>
      <c r="CG291" s="582">
        <v>827.70082250183611</v>
      </c>
      <c r="CH291" s="582">
        <v>519.19614076430059</v>
      </c>
      <c r="CI291" s="582">
        <v>465.60223848944099</v>
      </c>
      <c r="CJ291" s="582">
        <v>0</v>
      </c>
      <c r="CK291" s="583">
        <v>0</v>
      </c>
    </row>
    <row r="292" spans="1:89" ht="12.75" customHeight="1">
      <c r="A292" s="560">
        <v>45772</v>
      </c>
      <c r="B292" s="512">
        <v>1.0411066178810369</v>
      </c>
      <c r="C292" s="513">
        <v>0.86413419766003829</v>
      </c>
      <c r="D292" s="513">
        <v>1.0411066178810369</v>
      </c>
      <c r="E292" s="513">
        <v>0.90140127528021496</v>
      </c>
      <c r="F292" s="510">
        <v>59.656999999999996</v>
      </c>
      <c r="G292" s="510">
        <v>1351.2039999999997</v>
      </c>
      <c r="H292" s="510">
        <v>2.3219571885948</v>
      </c>
      <c r="I292" s="510">
        <v>2.5127168066405963</v>
      </c>
      <c r="J292" s="510">
        <v>967.74041604503191</v>
      </c>
      <c r="K292" s="511">
        <v>948.65377100719047</v>
      </c>
      <c r="L292" s="512">
        <v>0.95370547046396448</v>
      </c>
      <c r="M292" s="513">
        <v>0.90962939824738076</v>
      </c>
      <c r="N292" s="513">
        <v>0.95370547046396448</v>
      </c>
      <c r="O292" s="513">
        <v>0.94119880998171479</v>
      </c>
      <c r="P292" s="510">
        <v>69.094999999999999</v>
      </c>
      <c r="Q292" s="510">
        <v>1478.6529999999998</v>
      </c>
      <c r="R292" s="510">
        <v>1.9228598306679208</v>
      </c>
      <c r="S292" s="510">
        <v>2.1341098959661262</v>
      </c>
      <c r="T292" s="510">
        <v>0.19827773355525002</v>
      </c>
      <c r="U292" s="510">
        <v>0.20758758140009867</v>
      </c>
      <c r="V292" s="510">
        <v>671.10876329690086</v>
      </c>
      <c r="W292" s="510">
        <v>726.26734602371198</v>
      </c>
      <c r="X292" s="510">
        <v>410.23228887763224</v>
      </c>
      <c r="Y292" s="569">
        <v>467.14935823347389</v>
      </c>
      <c r="Z292" s="512">
        <v>0.91637263758321597</v>
      </c>
      <c r="AA292" s="513">
        <v>0.85040621185627041</v>
      </c>
      <c r="AB292" s="513">
        <v>0.91637263758321597</v>
      </c>
      <c r="AC292" s="513">
        <v>0.90538111771449015</v>
      </c>
      <c r="AD292" s="510">
        <v>46.661000000000001</v>
      </c>
      <c r="AE292" s="510">
        <v>970.71500000000015</v>
      </c>
      <c r="AF292" s="510">
        <v>98.452656378233868</v>
      </c>
      <c r="AG292" s="510">
        <v>106.50679249182812</v>
      </c>
      <c r="AH292" s="510">
        <v>1.4123143524570843</v>
      </c>
      <c r="AI292" s="510">
        <v>1.5240312553118061</v>
      </c>
      <c r="AJ292" s="510">
        <v>819.53322903496598</v>
      </c>
      <c r="AK292" s="510">
        <v>939.49600037086077</v>
      </c>
      <c r="AL292" s="510">
        <v>0</v>
      </c>
      <c r="AM292" s="510">
        <v>0</v>
      </c>
      <c r="AN292" s="512">
        <v>0.95990274502608397</v>
      </c>
      <c r="AO292" s="513">
        <v>0.9067529966796013</v>
      </c>
      <c r="AP292" s="513">
        <v>0.95990274502608397</v>
      </c>
      <c r="AQ292" s="513">
        <v>0.94525923579161331</v>
      </c>
      <c r="AR292" s="510">
        <v>56.155000000000001</v>
      </c>
      <c r="AS292" s="510">
        <v>1191.4189999999999</v>
      </c>
      <c r="AT292" s="514">
        <v>88.365501621089265</v>
      </c>
      <c r="AU292" s="514">
        <v>96.47458329614993</v>
      </c>
      <c r="AV292" s="510">
        <v>1.2732615083251713</v>
      </c>
      <c r="AW292" s="510">
        <v>1.4134406115732587</v>
      </c>
      <c r="AX292" s="510">
        <v>0.18698245926453566</v>
      </c>
      <c r="AY292" s="510">
        <v>4.1132218239283765E-2</v>
      </c>
      <c r="AZ292" s="510">
        <v>723.71543050485184</v>
      </c>
      <c r="BA292" s="510">
        <v>887.23854496193223</v>
      </c>
      <c r="BB292" s="510">
        <v>485.71632089751182</v>
      </c>
      <c r="BC292" s="510">
        <v>114.35699783199662</v>
      </c>
      <c r="BD292" s="510">
        <v>0</v>
      </c>
      <c r="BE292" s="511">
        <v>0</v>
      </c>
      <c r="BF292" s="1026">
        <v>0.79561933456404355</v>
      </c>
      <c r="BG292" s="513">
        <v>0.84309330673518523</v>
      </c>
      <c r="BH292" s="513">
        <v>0.79561933456404355</v>
      </c>
      <c r="BI292" s="513">
        <v>0.88839737072156377</v>
      </c>
      <c r="BJ292" s="510">
        <v>39.557000000000002</v>
      </c>
      <c r="BK292" s="510">
        <v>1077.826</v>
      </c>
      <c r="BL292" s="510">
        <v>3.4380766994463685</v>
      </c>
      <c r="BM292" s="510">
        <v>2.7981325371627697</v>
      </c>
      <c r="BN292" s="514">
        <v>0</v>
      </c>
      <c r="BO292" s="514">
        <v>0</v>
      </c>
      <c r="BP292" s="514">
        <v>1091.4719294896702</v>
      </c>
      <c r="BQ292" s="514">
        <v>1020.5475419383956</v>
      </c>
      <c r="BR292" s="514">
        <v>0</v>
      </c>
      <c r="BS292" s="515">
        <v>0</v>
      </c>
      <c r="BT292" s="580">
        <v>1.0366690827707119</v>
      </c>
      <c r="BU292" s="581">
        <v>0.86936792216328418</v>
      </c>
      <c r="BV292" s="581">
        <v>1.0366690827707119</v>
      </c>
      <c r="BW292" s="581">
        <v>0.92306965877498603</v>
      </c>
      <c r="BX292" s="576">
        <v>54.305999999999997</v>
      </c>
      <c r="BY292" s="576">
        <v>1148.258</v>
      </c>
      <c r="BZ292" s="582">
        <v>63.490882355595332</v>
      </c>
      <c r="CA292" s="582">
        <v>69.871585802301766</v>
      </c>
      <c r="CB292" s="576">
        <v>1.8303686517143596</v>
      </c>
      <c r="CC292" s="576">
        <v>1.9433785786817948</v>
      </c>
      <c r="CD292" s="582">
        <v>0.16756896107244135</v>
      </c>
      <c r="CE292" s="582">
        <v>0.17327116379768309</v>
      </c>
      <c r="CF292" s="582">
        <v>745.68877997231471</v>
      </c>
      <c r="CG292" s="582">
        <v>823.82212452489341</v>
      </c>
      <c r="CH292" s="582">
        <v>427.84591021249599</v>
      </c>
      <c r="CI292" s="582">
        <v>463.8165812909649</v>
      </c>
      <c r="CJ292" s="582">
        <v>0</v>
      </c>
      <c r="CK292" s="583">
        <v>0</v>
      </c>
    </row>
    <row r="293" spans="1:89" ht="12.75" customHeight="1">
      <c r="A293" s="560">
        <v>45773</v>
      </c>
      <c r="B293" s="512">
        <v>0.97040781481831828</v>
      </c>
      <c r="C293" s="513">
        <v>0.86789253567285163</v>
      </c>
      <c r="D293" s="513">
        <v>1.02749062745469</v>
      </c>
      <c r="E293" s="513">
        <v>0.90579658953514663</v>
      </c>
      <c r="F293" s="510">
        <v>55.628999999999998</v>
      </c>
      <c r="G293" s="510">
        <v>1406.8329999999996</v>
      </c>
      <c r="H293" s="510">
        <v>2.4098761437379785</v>
      </c>
      <c r="I293" s="510">
        <v>2.5086502804526201</v>
      </c>
      <c r="J293" s="510">
        <v>1047.6127559366751</v>
      </c>
      <c r="K293" s="511">
        <v>952.56680785850301</v>
      </c>
      <c r="L293" s="512">
        <v>0.93017167167764037</v>
      </c>
      <c r="M293" s="513">
        <v>0.91050587830329788</v>
      </c>
      <c r="N293" s="513">
        <v>0.99218311645614987</v>
      </c>
      <c r="O293" s="513">
        <v>0.9433116848882237</v>
      </c>
      <c r="P293" s="510">
        <v>67.39</v>
      </c>
      <c r="Q293" s="510">
        <v>1546.0429999999999</v>
      </c>
      <c r="R293" s="510">
        <v>1.9620566849680958</v>
      </c>
      <c r="S293" s="510">
        <v>2.1266103206702529</v>
      </c>
      <c r="T293" s="510">
        <v>0.2314883513874462</v>
      </c>
      <c r="U293" s="510">
        <v>0.20862938482306126</v>
      </c>
      <c r="V293" s="510">
        <v>656.01498738684995</v>
      </c>
      <c r="W293" s="510">
        <v>723.20513724391856</v>
      </c>
      <c r="X293" s="510">
        <v>458.52500370974923</v>
      </c>
      <c r="Y293" s="569">
        <v>466.77343385662675</v>
      </c>
      <c r="Z293" s="512">
        <v>0.91061639935850203</v>
      </c>
      <c r="AA293" s="513">
        <v>0.85299979354681854</v>
      </c>
      <c r="AB293" s="513">
        <v>0.95714424458119907</v>
      </c>
      <c r="AC293" s="513">
        <v>0.90763833013868955</v>
      </c>
      <c r="AD293" s="510">
        <v>46.79</v>
      </c>
      <c r="AE293" s="510">
        <v>1017.5050000000001</v>
      </c>
      <c r="AF293" s="510">
        <v>103.81734268364417</v>
      </c>
      <c r="AG293" s="510">
        <v>106.38311805629716</v>
      </c>
      <c r="AH293" s="510">
        <v>1.3784996794186792</v>
      </c>
      <c r="AI293" s="510">
        <v>1.5173389811352278</v>
      </c>
      <c r="AJ293" s="510">
        <v>804.87069886727932</v>
      </c>
      <c r="AK293" s="510">
        <v>933.30525157124544</v>
      </c>
      <c r="AL293" s="510">
        <v>0</v>
      </c>
      <c r="AM293" s="510">
        <v>0</v>
      </c>
      <c r="AN293" s="512">
        <v>0.89386178029520702</v>
      </c>
      <c r="AO293" s="513">
        <v>0.90622990437240247</v>
      </c>
      <c r="AP293" s="513">
        <v>0.89386178029520702</v>
      </c>
      <c r="AQ293" s="513">
        <v>0.94308883335926252</v>
      </c>
      <c r="AR293" s="510">
        <v>49.673000000000002</v>
      </c>
      <c r="AS293" s="510">
        <v>1241.0919999999999</v>
      </c>
      <c r="AT293" s="514">
        <v>102.72257154016962</v>
      </c>
      <c r="AU293" s="514">
        <v>96.724650430613124</v>
      </c>
      <c r="AV293" s="510">
        <v>1.429347935498158</v>
      </c>
      <c r="AW293" s="510">
        <v>1.4140772803305479</v>
      </c>
      <c r="AX293" s="510">
        <v>0.17111911903851187</v>
      </c>
      <c r="AY293" s="510">
        <v>4.6334765128152648E-2</v>
      </c>
      <c r="AZ293" s="510">
        <v>785.13276830471341</v>
      </c>
      <c r="BA293" s="510">
        <v>883.15190171236338</v>
      </c>
      <c r="BB293" s="510">
        <v>493.78938256196028</v>
      </c>
      <c r="BC293" s="510">
        <v>129.54325706716332</v>
      </c>
      <c r="BD293" s="510">
        <v>0</v>
      </c>
      <c r="BE293" s="511">
        <v>0</v>
      </c>
      <c r="BF293" s="1026">
        <v>0.84333198250206054</v>
      </c>
      <c r="BG293" s="513">
        <v>0.84310223921015459</v>
      </c>
      <c r="BH293" s="513">
        <v>0.90088876469062851</v>
      </c>
      <c r="BI293" s="513">
        <v>0.88885874597262804</v>
      </c>
      <c r="BJ293" s="510">
        <v>41.917999999999999</v>
      </c>
      <c r="BK293" s="510">
        <v>1119.7439999999999</v>
      </c>
      <c r="BL293" s="510">
        <v>3.2515864306503177</v>
      </c>
      <c r="BM293" s="510">
        <v>2.8151077389117511</v>
      </c>
      <c r="BN293" s="514">
        <v>0</v>
      </c>
      <c r="BO293" s="514">
        <v>0</v>
      </c>
      <c r="BP293" s="514">
        <v>1000.8491144197176</v>
      </c>
      <c r="BQ293" s="514">
        <v>1019.810124560202</v>
      </c>
      <c r="BR293" s="514">
        <v>0</v>
      </c>
      <c r="BS293" s="515">
        <v>0</v>
      </c>
      <c r="BT293" s="580">
        <v>0.79896626211558719</v>
      </c>
      <c r="BU293" s="581">
        <v>0.86672492330414386</v>
      </c>
      <c r="BV293" s="581">
        <v>0.93766211690826839</v>
      </c>
      <c r="BW293" s="581">
        <v>0.92356706561702129</v>
      </c>
      <c r="BX293" s="576">
        <v>41.161999999999999</v>
      </c>
      <c r="BY293" s="576">
        <v>1189.42</v>
      </c>
      <c r="BZ293" s="582">
        <v>77.203445889836345</v>
      </c>
      <c r="CA293" s="582">
        <v>70.125317894349223</v>
      </c>
      <c r="CB293" s="576">
        <v>2.1743355522083476</v>
      </c>
      <c r="CC293" s="576">
        <v>1.951371256578837</v>
      </c>
      <c r="CD293" s="582">
        <v>0.16277148826587631</v>
      </c>
      <c r="CE293" s="582">
        <v>0.17290780380353449</v>
      </c>
      <c r="CF293" s="582">
        <v>930.13208351769106</v>
      </c>
      <c r="CG293" s="582">
        <v>827.50117022116683</v>
      </c>
      <c r="CH293" s="582">
        <v>468.19882415820899</v>
      </c>
      <c r="CI293" s="582">
        <v>463.9682366195297</v>
      </c>
      <c r="CJ293" s="582">
        <v>0</v>
      </c>
      <c r="CK293" s="583">
        <v>0</v>
      </c>
    </row>
    <row r="294" spans="1:89" ht="12.75" customHeight="1">
      <c r="A294" s="560">
        <v>45774</v>
      </c>
      <c r="B294" s="512">
        <v>0.84143693937551023</v>
      </c>
      <c r="C294" s="513">
        <v>0.86690941818182299</v>
      </c>
      <c r="D294" s="513">
        <v>0.84143693937551023</v>
      </c>
      <c r="E294" s="513">
        <v>0.90330450941964091</v>
      </c>
      <c r="F294" s="510">
        <v>52.642000000000003</v>
      </c>
      <c r="G294" s="510">
        <v>1459.4749999999997</v>
      </c>
      <c r="H294" s="510">
        <v>2.4177082937578356</v>
      </c>
      <c r="I294" s="510">
        <v>2.505370081707464</v>
      </c>
      <c r="J294" s="510">
        <v>1055.8212074009198</v>
      </c>
      <c r="K294" s="511">
        <v>956.29110467805208</v>
      </c>
      <c r="L294" s="512">
        <v>0.95679730092034954</v>
      </c>
      <c r="M294" s="513">
        <v>0.91240017662042727</v>
      </c>
      <c r="N294" s="513">
        <v>0.95679730092034954</v>
      </c>
      <c r="O294" s="513">
        <v>0.94388257332051706</v>
      </c>
      <c r="P294" s="510">
        <v>69.319000000000003</v>
      </c>
      <c r="Q294" s="510">
        <v>1615.3619999999999</v>
      </c>
      <c r="R294" s="510">
        <v>1.974162927912982</v>
      </c>
      <c r="S294" s="510">
        <v>2.1200684428629621</v>
      </c>
      <c r="T294" s="510">
        <v>0.24235779512110678</v>
      </c>
      <c r="U294" s="510">
        <v>0.21007675059831796</v>
      </c>
      <c r="V294" s="510">
        <v>623.43383487932601</v>
      </c>
      <c r="W294" s="510">
        <v>718.92371493200892</v>
      </c>
      <c r="X294" s="510">
        <v>450.09304808205542</v>
      </c>
      <c r="Y294" s="569">
        <v>466.0576390926621</v>
      </c>
      <c r="Z294" s="512">
        <v>0.94023721918803049</v>
      </c>
      <c r="AA294" s="513">
        <v>0.85660240200140159</v>
      </c>
      <c r="AB294" s="513">
        <v>0.94023721918803049</v>
      </c>
      <c r="AC294" s="513">
        <v>0.90906700574721944</v>
      </c>
      <c r="AD294" s="510">
        <v>48.311999999999998</v>
      </c>
      <c r="AE294" s="510">
        <v>1065.817</v>
      </c>
      <c r="AF294" s="510">
        <v>103.81879223277896</v>
      </c>
      <c r="AG294" s="510">
        <v>106.26688073864715</v>
      </c>
      <c r="AH294" s="510">
        <v>1.3392117900314622</v>
      </c>
      <c r="AI294" s="510">
        <v>1.5092647236814576</v>
      </c>
      <c r="AJ294" s="510">
        <v>795.87969862560408</v>
      </c>
      <c r="AK294" s="510">
        <v>927.07594268059188</v>
      </c>
      <c r="AL294" s="510">
        <v>0</v>
      </c>
      <c r="AM294" s="510">
        <v>0</v>
      </c>
      <c r="AN294" s="512">
        <v>0.85803955543664301</v>
      </c>
      <c r="AO294" s="513">
        <v>0.90443507557217362</v>
      </c>
      <c r="AP294" s="513">
        <v>0.85803955543664301</v>
      </c>
      <c r="AQ294" s="513">
        <v>0.93979735947734644</v>
      </c>
      <c r="AR294" s="510">
        <v>45.459000000000003</v>
      </c>
      <c r="AS294" s="510">
        <v>1286.5509999999999</v>
      </c>
      <c r="AT294" s="514">
        <v>119.66717873359238</v>
      </c>
      <c r="AU294" s="514">
        <v>97.535301849892363</v>
      </c>
      <c r="AV294" s="510">
        <v>1.6630370223718074</v>
      </c>
      <c r="AW294" s="510">
        <v>1.4228740252038203</v>
      </c>
      <c r="AX294" s="510">
        <v>0.1715831848478849</v>
      </c>
      <c r="AY294" s="510">
        <v>5.076029346868427E-2</v>
      </c>
      <c r="AZ294" s="510">
        <v>1022.6916562176915</v>
      </c>
      <c r="BA294" s="510">
        <v>888.08240015358922</v>
      </c>
      <c r="BB294" s="510">
        <v>471.58978420114784</v>
      </c>
      <c r="BC294" s="510">
        <v>141.62913090891834</v>
      </c>
      <c r="BD294" s="510">
        <v>0</v>
      </c>
      <c r="BE294" s="511">
        <v>0</v>
      </c>
      <c r="BF294" s="1026">
        <v>0.91054619629420896</v>
      </c>
      <c r="BG294" s="513">
        <v>0.84553482099980704</v>
      </c>
      <c r="BH294" s="513">
        <v>0.91054619629420896</v>
      </c>
      <c r="BI294" s="513">
        <v>0.88968181473867225</v>
      </c>
      <c r="BJ294" s="510">
        <v>45.25</v>
      </c>
      <c r="BK294" s="510">
        <v>1164.9939999999999</v>
      </c>
      <c r="BL294" s="510">
        <v>3.1071823204419888</v>
      </c>
      <c r="BM294" s="510">
        <v>2.8264523250763522</v>
      </c>
      <c r="BN294" s="514">
        <v>0</v>
      </c>
      <c r="BO294" s="514">
        <v>0</v>
      </c>
      <c r="BP294" s="514">
        <v>954.57698827446495</v>
      </c>
      <c r="BQ294" s="514">
        <v>1017.2763781057744</v>
      </c>
      <c r="BR294" s="514">
        <v>0</v>
      </c>
      <c r="BS294" s="515">
        <v>0</v>
      </c>
      <c r="BT294" s="580">
        <v>0.72984622763248097</v>
      </c>
      <c r="BU294" s="581">
        <v>0.86177219654882786</v>
      </c>
      <c r="BV294" s="581">
        <v>0.72984622763248097</v>
      </c>
      <c r="BW294" s="581">
        <v>0.91611558387106617</v>
      </c>
      <c r="BX294" s="576">
        <v>37.600999999999999</v>
      </c>
      <c r="BY294" s="576">
        <v>1227.0210000000002</v>
      </c>
      <c r="BZ294" s="582">
        <v>88.304998047913827</v>
      </c>
      <c r="CA294" s="582">
        <v>70.68241850913428</v>
      </c>
      <c r="CB294" s="576">
        <v>2.3829153479960636</v>
      </c>
      <c r="CC294" s="576">
        <v>1.9645955529693462</v>
      </c>
      <c r="CD294" s="582">
        <v>0.17818675035238427</v>
      </c>
      <c r="CE294" s="582">
        <v>0.17306957256640265</v>
      </c>
      <c r="CF294" s="582">
        <v>992.71352571952298</v>
      </c>
      <c r="CG294" s="582">
        <v>832.5639603275248</v>
      </c>
      <c r="CH294" s="582">
        <v>485.6785723783936</v>
      </c>
      <c r="CI294" s="582">
        <v>464.63353112945981</v>
      </c>
      <c r="CJ294" s="582">
        <v>0</v>
      </c>
      <c r="CK294" s="583">
        <v>0</v>
      </c>
    </row>
    <row r="295" spans="1:89" ht="12.75" customHeight="1">
      <c r="A295" s="560">
        <v>45775</v>
      </c>
      <c r="B295" s="512">
        <v>0.80356731037212015</v>
      </c>
      <c r="C295" s="513">
        <v>0.86424548945095359</v>
      </c>
      <c r="D295" s="513">
        <v>0.80356731037212015</v>
      </c>
      <c r="E295" s="513">
        <v>0.89894154582566776</v>
      </c>
      <c r="F295" s="510">
        <v>59.393000000000001</v>
      </c>
      <c r="G295" s="510">
        <v>1518.8679999999997</v>
      </c>
      <c r="H295" s="510">
        <v>2.4417187210614042</v>
      </c>
      <c r="I295" s="510">
        <v>2.5028810930245426</v>
      </c>
      <c r="J295" s="510">
        <v>803.75246241138962</v>
      </c>
      <c r="K295" s="511">
        <v>950.32631538751207</v>
      </c>
      <c r="L295" s="512">
        <v>0.96552067970800737</v>
      </c>
      <c r="M295" s="513">
        <v>0.9144884732704105</v>
      </c>
      <c r="N295" s="513">
        <v>0.96552067970800737</v>
      </c>
      <c r="O295" s="513">
        <v>0.94476137961724749</v>
      </c>
      <c r="P295" s="510">
        <v>69.950999999999993</v>
      </c>
      <c r="Q295" s="510">
        <v>1685.3129999999999</v>
      </c>
      <c r="R295" s="510">
        <v>1.9870194850681193</v>
      </c>
      <c r="S295" s="510">
        <v>2.1145460813510608</v>
      </c>
      <c r="T295" s="510">
        <v>0.2401681176823777</v>
      </c>
      <c r="U295" s="510">
        <v>0.21132572999792923</v>
      </c>
      <c r="V295" s="510">
        <v>599.60558104959705</v>
      </c>
      <c r="W295" s="510">
        <v>713.97126824512725</v>
      </c>
      <c r="X295" s="510">
        <v>443.16736000914926</v>
      </c>
      <c r="Y295" s="569">
        <v>465.10754975485321</v>
      </c>
      <c r="Z295" s="512">
        <v>0.86060849434533748</v>
      </c>
      <c r="AA295" s="513">
        <v>0.85674886096560909</v>
      </c>
      <c r="AB295" s="513">
        <v>0.86060849434533748</v>
      </c>
      <c r="AC295" s="513">
        <v>0.90719110300616279</v>
      </c>
      <c r="AD295" s="510">
        <v>40.633000000000003</v>
      </c>
      <c r="AE295" s="510">
        <v>1106.45</v>
      </c>
      <c r="AF295" s="510">
        <v>112.76882278928919</v>
      </c>
      <c r="AG295" s="510">
        <v>106.50565647306237</v>
      </c>
      <c r="AH295" s="510">
        <v>1.5258533704132109</v>
      </c>
      <c r="AI295" s="510">
        <v>1.5098739210990104</v>
      </c>
      <c r="AJ295" s="510">
        <v>890.79172101493407</v>
      </c>
      <c r="AK295" s="510">
        <v>925.74344977179294</v>
      </c>
      <c r="AL295" s="510">
        <v>53.897078729111804</v>
      </c>
      <c r="AM295" s="510">
        <v>1.9793031768267884</v>
      </c>
      <c r="AN295" s="512">
        <v>1.0175712284288008</v>
      </c>
      <c r="AO295" s="513">
        <v>0.90849748036278377</v>
      </c>
      <c r="AP295" s="513">
        <v>1.0175712284288008</v>
      </c>
      <c r="AQ295" s="513">
        <v>0.94269512356832563</v>
      </c>
      <c r="AR295" s="510">
        <v>53.911000000000001</v>
      </c>
      <c r="AS295" s="510">
        <v>1340.462</v>
      </c>
      <c r="AT295" s="514">
        <v>100.53270734782492</v>
      </c>
      <c r="AU295" s="514">
        <v>97.655852173436813</v>
      </c>
      <c r="AV295" s="510">
        <v>1.3837621264676967</v>
      </c>
      <c r="AW295" s="510">
        <v>1.4213010141279649</v>
      </c>
      <c r="AX295" s="510">
        <v>0.1613770844540075</v>
      </c>
      <c r="AY295" s="510">
        <v>5.5209104265864471E-2</v>
      </c>
      <c r="AZ295" s="510">
        <v>823.12589267496412</v>
      </c>
      <c r="BA295" s="510">
        <v>885.46996483302053</v>
      </c>
      <c r="BB295" s="510">
        <v>463.25796219695428</v>
      </c>
      <c r="BC295" s="510">
        <v>154.5644710555016</v>
      </c>
      <c r="BD295" s="510">
        <v>0</v>
      </c>
      <c r="BE295" s="511">
        <v>0</v>
      </c>
      <c r="BF295" s="1026">
        <v>0.9088339269640151</v>
      </c>
      <c r="BG295" s="513">
        <v>0.84773941869737923</v>
      </c>
      <c r="BH295" s="513">
        <v>0.9088339269640151</v>
      </c>
      <c r="BI295" s="513">
        <v>0.89038240265391611</v>
      </c>
      <c r="BJ295" s="510">
        <v>45.186</v>
      </c>
      <c r="BK295" s="510">
        <v>1210.1799999999998</v>
      </c>
      <c r="BL295" s="510">
        <v>3.1447793564378346</v>
      </c>
      <c r="BM295" s="510">
        <v>2.8383380984646913</v>
      </c>
      <c r="BN295" s="514">
        <v>0</v>
      </c>
      <c r="BO295" s="514">
        <v>0</v>
      </c>
      <c r="BP295" s="514">
        <v>939.3725699355748</v>
      </c>
      <c r="BQ295" s="514">
        <v>1014.3675864582686</v>
      </c>
      <c r="BR295" s="514">
        <v>0</v>
      </c>
      <c r="BS295" s="515">
        <v>0</v>
      </c>
      <c r="BT295" s="580">
        <v>0.9063633839339037</v>
      </c>
      <c r="BU295" s="581">
        <v>0.86332931247585087</v>
      </c>
      <c r="BV295" s="581">
        <v>0.9063633839339037</v>
      </c>
      <c r="BW295" s="581">
        <v>0.91575435952413808</v>
      </c>
      <c r="BX295" s="576">
        <v>46.695</v>
      </c>
      <c r="BY295" s="576">
        <v>1273.7160000000001</v>
      </c>
      <c r="BZ295" s="582">
        <v>82.557996311686921</v>
      </c>
      <c r="CA295" s="582">
        <v>71.11778251923559</v>
      </c>
      <c r="CB295" s="576">
        <v>2.1693971517293069</v>
      </c>
      <c r="CC295" s="576">
        <v>1.9721036714620843</v>
      </c>
      <c r="CD295" s="582">
        <v>0.17774922368561946</v>
      </c>
      <c r="CE295" s="582">
        <v>0.17324113067591204</v>
      </c>
      <c r="CF295" s="582">
        <v>925.79785961863035</v>
      </c>
      <c r="CG295" s="582">
        <v>835.98195690399712</v>
      </c>
      <c r="CH295" s="582">
        <v>513.8730056751258</v>
      </c>
      <c r="CI295" s="582">
        <v>466.43867235710388</v>
      </c>
      <c r="CJ295" s="582">
        <v>0</v>
      </c>
      <c r="CK295" s="583">
        <v>0</v>
      </c>
    </row>
    <row r="296" spans="1:89" ht="12.75" customHeight="1">
      <c r="A296" s="560">
        <v>45776</v>
      </c>
      <c r="B296" s="512">
        <v>0.81392832682173433</v>
      </c>
      <c r="C296" s="513">
        <v>0.8621433192161736</v>
      </c>
      <c r="D296" s="513">
        <v>0.81392832682173433</v>
      </c>
      <c r="E296" s="513">
        <v>0.89525342852150636</v>
      </c>
      <c r="F296" s="510">
        <v>62.366999999999997</v>
      </c>
      <c r="G296" s="510">
        <v>1581.2349999999997</v>
      </c>
      <c r="H296" s="510">
        <v>2.2498597014446746</v>
      </c>
      <c r="I296" s="510">
        <v>2.492901434638116</v>
      </c>
      <c r="J296" s="510">
        <v>727.86072762838421</v>
      </c>
      <c r="K296" s="511">
        <v>941.55183764589026</v>
      </c>
      <c r="L296" s="512">
        <v>0.99392962226197612</v>
      </c>
      <c r="M296" s="513">
        <v>0.91684958466550659</v>
      </c>
      <c r="N296" s="513">
        <v>0.99392962226197612</v>
      </c>
      <c r="O296" s="513">
        <v>0.94626962656160218</v>
      </c>
      <c r="P296" s="510">
        <v>56.109000000000002</v>
      </c>
      <c r="Q296" s="510">
        <v>1741.4219999999998</v>
      </c>
      <c r="R296" s="510">
        <v>2.2632376267621948</v>
      </c>
      <c r="S296" s="510">
        <v>2.1193369556603741</v>
      </c>
      <c r="T296" s="510">
        <v>0.2209984138017074</v>
      </c>
      <c r="U296" s="510">
        <v>0.21163738599833934</v>
      </c>
      <c r="V296" s="510">
        <v>832.33759289953491</v>
      </c>
      <c r="W296" s="510">
        <v>717.78505726928915</v>
      </c>
      <c r="X296" s="510">
        <v>449.12580869379241</v>
      </c>
      <c r="Y296" s="569">
        <v>464.59261454144996</v>
      </c>
      <c r="Z296" s="512">
        <v>0.98580367830656579</v>
      </c>
      <c r="AA296" s="513">
        <v>0.86097812322284528</v>
      </c>
      <c r="AB296" s="513">
        <v>0.98580367830656579</v>
      </c>
      <c r="AC296" s="513">
        <v>0.90991374493775767</v>
      </c>
      <c r="AD296" s="510">
        <v>43.134999999999998</v>
      </c>
      <c r="AE296" s="510">
        <v>1149.585</v>
      </c>
      <c r="AF296" s="510">
        <v>97.917582828836657</v>
      </c>
      <c r="AG296" s="510">
        <v>106.18341274454846</v>
      </c>
      <c r="AH296" s="510">
        <v>1.4396661643676829</v>
      </c>
      <c r="AI296" s="510">
        <v>1.5072395690618789</v>
      </c>
      <c r="AJ296" s="510">
        <v>831.02399443606009</v>
      </c>
      <c r="AK296" s="510">
        <v>922.18936398787355</v>
      </c>
      <c r="AL296" s="510">
        <v>80.213283876202624</v>
      </c>
      <c r="AM296" s="510">
        <v>4.9148170861658773</v>
      </c>
      <c r="AN296" s="512">
        <v>0.91614222180390525</v>
      </c>
      <c r="AO296" s="513">
        <v>0.90876280790406205</v>
      </c>
      <c r="AP296" s="513">
        <v>0.91614222180390525</v>
      </c>
      <c r="AQ296" s="513">
        <v>0.94174010450517165</v>
      </c>
      <c r="AR296" s="510">
        <v>48.601999999999997</v>
      </c>
      <c r="AS296" s="510">
        <v>1389.0640000000001</v>
      </c>
      <c r="AT296" s="514">
        <v>111.15739277970668</v>
      </c>
      <c r="AU296" s="514">
        <v>98.128257963627846</v>
      </c>
      <c r="AV296" s="510">
        <v>1.5452039010740299</v>
      </c>
      <c r="AW296" s="510">
        <v>1.4256362557808711</v>
      </c>
      <c r="AX296" s="510">
        <v>0.17283239372865317</v>
      </c>
      <c r="AY296" s="510">
        <v>5.9324628902936959E-2</v>
      </c>
      <c r="AZ296" s="510">
        <v>907.70379819760512</v>
      </c>
      <c r="BA296" s="510">
        <v>886.24790506412978</v>
      </c>
      <c r="BB296" s="510">
        <v>464.38418172091593</v>
      </c>
      <c r="BC296" s="510">
        <v>165.40476176763616</v>
      </c>
      <c r="BD296" s="510">
        <v>0</v>
      </c>
      <c r="BE296" s="511">
        <v>0</v>
      </c>
      <c r="BF296" s="1026">
        <v>0.84276907242655785</v>
      </c>
      <c r="BG296" s="513">
        <v>0.84757222640268137</v>
      </c>
      <c r="BH296" s="513">
        <v>0.84276907242655785</v>
      </c>
      <c r="BI296" s="513">
        <v>0.88870306459062443</v>
      </c>
      <c r="BJ296" s="510">
        <v>41.878</v>
      </c>
      <c r="BK296" s="510">
        <v>1252.0579999999998</v>
      </c>
      <c r="BL296" s="510">
        <v>3.3955776302593246</v>
      </c>
      <c r="BM296" s="510">
        <v>2.8569762742620552</v>
      </c>
      <c r="BN296" s="514">
        <v>0</v>
      </c>
      <c r="BO296" s="514">
        <v>0</v>
      </c>
      <c r="BP296" s="514">
        <v>1007.9035205245098</v>
      </c>
      <c r="BQ296" s="514">
        <v>1014.1513806968949</v>
      </c>
      <c r="BR296" s="514">
        <v>0</v>
      </c>
      <c r="BS296" s="515">
        <v>0</v>
      </c>
      <c r="BT296" s="580">
        <v>0.9707084876439559</v>
      </c>
      <c r="BU296" s="581">
        <v>0.86695245378083174</v>
      </c>
      <c r="BV296" s="581">
        <v>0.9707084876439559</v>
      </c>
      <c r="BW296" s="581">
        <v>0.9177171733529137</v>
      </c>
      <c r="BX296" s="576">
        <v>50.01</v>
      </c>
      <c r="BY296" s="576">
        <v>1323.7260000000001</v>
      </c>
      <c r="BZ296" s="582">
        <v>74.582152785419453</v>
      </c>
      <c r="CA296" s="582">
        <v>71.248665464053374</v>
      </c>
      <c r="CB296" s="576">
        <v>2.0095980803839235</v>
      </c>
      <c r="CC296" s="576">
        <v>1.9735201997996568</v>
      </c>
      <c r="CD296" s="582">
        <v>0.17196560687862428</v>
      </c>
      <c r="CE296" s="582">
        <v>0.17319294174171995</v>
      </c>
      <c r="CF296" s="582">
        <v>898.10830568835775</v>
      </c>
      <c r="CG296" s="582">
        <v>838.32907307660844</v>
      </c>
      <c r="CH296" s="582">
        <v>451.30973805238864</v>
      </c>
      <c r="CI296" s="582">
        <v>465.86710542816343</v>
      </c>
      <c r="CJ296" s="582">
        <v>0</v>
      </c>
      <c r="CK296" s="583">
        <v>0</v>
      </c>
    </row>
    <row r="297" spans="1:89" ht="12.75" customHeight="1">
      <c r="A297" s="560">
        <v>45777</v>
      </c>
      <c r="B297" s="512">
        <v>0.59264790989861182</v>
      </c>
      <c r="C297" s="513">
        <v>0.85128629745489748</v>
      </c>
      <c r="D297" s="513">
        <v>0.59264790989861182</v>
      </c>
      <c r="E297" s="513">
        <v>0.88261388777069127</v>
      </c>
      <c r="F297" s="510">
        <v>45.628</v>
      </c>
      <c r="G297" s="510">
        <v>1626.8629999999996</v>
      </c>
      <c r="H297" s="1022">
        <v>2.7189664241255369</v>
      </c>
      <c r="I297" s="510">
        <v>2.4992417923328527</v>
      </c>
      <c r="J297" s="510">
        <v>1018.3330411150979</v>
      </c>
      <c r="K297" s="511">
        <v>943.70529048850415</v>
      </c>
      <c r="L297" s="512">
        <v>0.9168645072914815</v>
      </c>
      <c r="M297" s="513">
        <v>0.91684997474795549</v>
      </c>
      <c r="N297" s="513">
        <v>0.9168645072914815</v>
      </c>
      <c r="O297" s="513">
        <v>0.9454769668630435</v>
      </c>
      <c r="P297" s="510">
        <v>46.744</v>
      </c>
      <c r="Q297" s="510">
        <v>1788.1659999999997</v>
      </c>
      <c r="R297" s="510">
        <v>2.6489389012493585</v>
      </c>
      <c r="S297" s="510">
        <v>2.1331811476115754</v>
      </c>
      <c r="T297" s="510">
        <v>0.23746363169604653</v>
      </c>
      <c r="U297" s="510">
        <v>0.21231250342529728</v>
      </c>
      <c r="V297" s="510">
        <v>888.62485024815828</v>
      </c>
      <c r="W297" s="510">
        <v>722.2509375527776</v>
      </c>
      <c r="X297" s="510">
        <v>451.39483142221457</v>
      </c>
      <c r="Y297" s="569">
        <v>464.24761459506601</v>
      </c>
      <c r="Z297" s="512">
        <v>0.89534780560697413</v>
      </c>
      <c r="AA297" s="513">
        <v>0.86206949583301151</v>
      </c>
      <c r="AB297" s="513">
        <v>0.89534780560697413</v>
      </c>
      <c r="AC297" s="513">
        <v>0.90942581099977049</v>
      </c>
      <c r="AD297" s="510">
        <v>39.206000000000003</v>
      </c>
      <c r="AE297" s="510">
        <v>1188.7909999999999</v>
      </c>
      <c r="AF297" s="510">
        <v>108.49004545828915</v>
      </c>
      <c r="AG297" s="510">
        <v>106.25948485661435</v>
      </c>
      <c r="AH297" s="510">
        <v>1.5839412334846705</v>
      </c>
      <c r="AI297" s="510">
        <v>1.5097691688446497</v>
      </c>
      <c r="AJ297" s="510">
        <v>911.74616130184154</v>
      </c>
      <c r="AK297" s="510">
        <v>921.84495003747463</v>
      </c>
      <c r="AL297" s="510">
        <v>84.935979186859143</v>
      </c>
      <c r="AM297" s="510">
        <v>7.5538929887591681</v>
      </c>
      <c r="AN297" s="512">
        <v>0.98408317496396713</v>
      </c>
      <c r="AO297" s="513">
        <v>0.9113017975148916</v>
      </c>
      <c r="AP297" s="513">
        <v>0.98408317496396713</v>
      </c>
      <c r="AQ297" s="513">
        <v>0.94321744444989342</v>
      </c>
      <c r="AR297" s="510">
        <v>52.473999999999997</v>
      </c>
      <c r="AS297" s="510">
        <v>1441.538</v>
      </c>
      <c r="AT297" s="514">
        <v>105.08136318389415</v>
      </c>
      <c r="AU297" s="514">
        <v>98.381360721465839</v>
      </c>
      <c r="AV297" s="510">
        <v>1.3968822655029158</v>
      </c>
      <c r="AW297" s="510">
        <v>1.4245895703061591</v>
      </c>
      <c r="AX297" s="510">
        <v>0.18104203986736289</v>
      </c>
      <c r="AY297" s="510">
        <v>6.3755312952158888E-2</v>
      </c>
      <c r="AZ297" s="510">
        <v>838.0516065098908</v>
      </c>
      <c r="BA297" s="510">
        <v>884.49349236718024</v>
      </c>
      <c r="BB297" s="510">
        <v>538.2093989404168</v>
      </c>
      <c r="BC297" s="510">
        <v>178.9753721372584</v>
      </c>
      <c r="BD297" s="510">
        <v>0</v>
      </c>
      <c r="BE297" s="511">
        <v>0</v>
      </c>
      <c r="BF297" s="1026">
        <v>0.61371397282217477</v>
      </c>
      <c r="BG297" s="513">
        <v>0.83968007638049036</v>
      </c>
      <c r="BH297" s="513">
        <v>0.63977950369271785</v>
      </c>
      <c r="BI297" s="513">
        <v>0.88025535162218882</v>
      </c>
      <c r="BJ297" s="510">
        <v>31.664000000000001</v>
      </c>
      <c r="BK297" s="510">
        <v>1283.7219999999998</v>
      </c>
      <c r="BL297" s="510">
        <v>4.6424962102071747</v>
      </c>
      <c r="BM297" s="510">
        <v>2.9010175100216404</v>
      </c>
      <c r="BN297" s="514">
        <v>0</v>
      </c>
      <c r="BO297" s="514">
        <v>0</v>
      </c>
      <c r="BP297" s="514">
        <v>1177.8899164818288</v>
      </c>
      <c r="BQ297" s="514">
        <v>1018.1901188326394</v>
      </c>
      <c r="BR297" s="514">
        <v>0</v>
      </c>
      <c r="BS297" s="515">
        <v>0</v>
      </c>
      <c r="BT297" s="580">
        <v>0.80090729088512114</v>
      </c>
      <c r="BU297" s="581">
        <v>0.86479672437549404</v>
      </c>
      <c r="BV297" s="581">
        <v>0.80090729088512114</v>
      </c>
      <c r="BW297" s="581">
        <v>0.91368891665471463</v>
      </c>
      <c r="BX297" s="576">
        <v>41.262</v>
      </c>
      <c r="BY297" s="576">
        <v>1364.9880000000001</v>
      </c>
      <c r="BZ297" s="582">
        <v>88.640876013054481</v>
      </c>
      <c r="CA297" s="582">
        <v>71.774411764880114</v>
      </c>
      <c r="CB297" s="576">
        <v>2.4550433813193737</v>
      </c>
      <c r="CC297" s="576">
        <v>1.9880760856505704</v>
      </c>
      <c r="CD297" s="582">
        <v>0.20115360380010666</v>
      </c>
      <c r="CE297" s="582">
        <v>0.17403816004243261</v>
      </c>
      <c r="CF297" s="582">
        <v>1032.6945781716447</v>
      </c>
      <c r="CG297" s="582">
        <v>844.20451628287208</v>
      </c>
      <c r="CH297" s="582">
        <v>583.05462653287577</v>
      </c>
      <c r="CI297" s="582">
        <v>469.40954792276608</v>
      </c>
      <c r="CJ297" s="582">
        <v>0</v>
      </c>
      <c r="CK297" s="583">
        <v>0</v>
      </c>
    </row>
    <row r="298" spans="1:89" ht="12.75" customHeight="1">
      <c r="A298" s="560"/>
      <c r="B298" s="512"/>
      <c r="C298" s="513"/>
      <c r="D298" s="513"/>
      <c r="E298" s="513"/>
      <c r="F298" s="510"/>
      <c r="G298" s="510"/>
      <c r="H298" s="510"/>
      <c r="I298" s="510"/>
      <c r="J298" s="510"/>
      <c r="K298" s="511"/>
      <c r="L298" s="512"/>
      <c r="M298" s="513"/>
      <c r="N298" s="513"/>
      <c r="O298" s="513"/>
      <c r="P298" s="510"/>
      <c r="Q298" s="510"/>
      <c r="R298" s="510"/>
      <c r="S298" s="510"/>
      <c r="T298" s="510"/>
      <c r="U298" s="510"/>
      <c r="V298" s="510"/>
      <c r="W298" s="510"/>
      <c r="X298" s="510"/>
      <c r="Y298" s="569"/>
      <c r="Z298" s="512"/>
      <c r="AA298" s="513"/>
      <c r="AB298" s="513"/>
      <c r="AC298" s="513"/>
      <c r="AD298" s="510"/>
      <c r="AE298" s="510"/>
      <c r="AF298" s="510"/>
      <c r="AG298" s="510"/>
      <c r="AH298" s="510"/>
      <c r="AI298" s="510"/>
      <c r="AJ298" s="510"/>
      <c r="AK298" s="510"/>
      <c r="AL298" s="510"/>
      <c r="AM298" s="569"/>
      <c r="AN298" s="512"/>
      <c r="AO298" s="513"/>
      <c r="AP298" s="513"/>
      <c r="AQ298" s="513"/>
      <c r="AR298" s="510"/>
      <c r="AS298" s="510"/>
      <c r="AT298" s="514"/>
      <c r="AU298" s="514"/>
      <c r="AV298" s="510"/>
      <c r="AW298" s="510"/>
      <c r="AX298" s="510"/>
      <c r="AY298" s="510"/>
      <c r="AZ298" s="510"/>
      <c r="BA298" s="510"/>
      <c r="BB298" s="510"/>
      <c r="BC298" s="510"/>
      <c r="BD298" s="510"/>
      <c r="BE298" s="511"/>
      <c r="BF298" s="1026"/>
      <c r="BG298" s="513"/>
      <c r="BH298" s="513"/>
      <c r="BI298" s="513"/>
      <c r="BJ298" s="510"/>
      <c r="BK298" s="510"/>
      <c r="BL298" s="510"/>
      <c r="BM298" s="510"/>
      <c r="BN298" s="514"/>
      <c r="BO298" s="514"/>
      <c r="BP298" s="514"/>
      <c r="BQ298" s="514"/>
      <c r="BR298" s="514"/>
      <c r="BS298" s="515"/>
      <c r="BT298" s="580"/>
      <c r="BU298" s="581"/>
      <c r="BV298" s="581"/>
      <c r="BW298" s="581"/>
      <c r="BX298" s="576"/>
      <c r="BY298" s="576"/>
      <c r="BZ298" s="582"/>
      <c r="CA298" s="582"/>
      <c r="CB298" s="576"/>
      <c r="CC298" s="576"/>
      <c r="CD298" s="582"/>
      <c r="CE298" s="582"/>
      <c r="CF298" s="582"/>
      <c r="CG298" s="582"/>
      <c r="CH298" s="582"/>
      <c r="CI298" s="582"/>
      <c r="CJ298" s="582"/>
      <c r="CK298" s="583"/>
    </row>
    <row r="299" spans="1:89" ht="12.75" customHeight="1" thickBot="1">
      <c r="A299" s="591" t="s">
        <v>229</v>
      </c>
      <c r="B299" s="749">
        <f>+'[14]eff all'!$B$44:$C$44</f>
        <v>0.85128629745489748</v>
      </c>
      <c r="C299" s="750"/>
      <c r="D299" s="751">
        <f>+'[14]eff all'!$D$44:$E$44</f>
        <v>0.88261388777069127</v>
      </c>
      <c r="E299" s="750"/>
      <c r="F299" s="752">
        <f>+'[14]eff all'!$F$44:$G$44</f>
        <v>1626.8629999999996</v>
      </c>
      <c r="G299" s="753"/>
      <c r="H299" s="747">
        <f>+'[14]eff all'!$H$44:$I$44</f>
        <v>2.4992417923328527</v>
      </c>
      <c r="I299" s="748"/>
      <c r="J299" s="752">
        <f>+'[14]eff all'!$J$44:$K$44</f>
        <v>943.70529048850415</v>
      </c>
      <c r="K299" s="757"/>
      <c r="L299" s="749">
        <f>+'[14]eff all'!$L$44:$M$44</f>
        <v>0.91684997474795549</v>
      </c>
      <c r="M299" s="750"/>
      <c r="N299" s="751">
        <f>+'[14]eff all'!$N$44:$O$44</f>
        <v>0.9454769668630435</v>
      </c>
      <c r="O299" s="750"/>
      <c r="P299" s="752">
        <f>+'[14]eff all'!$P$44:$Q$44</f>
        <v>1788.1659999999997</v>
      </c>
      <c r="Q299" s="753"/>
      <c r="R299" s="747">
        <f>+'[14]eff all'!$R$44:$S$44</f>
        <v>2.1331811476115754</v>
      </c>
      <c r="S299" s="748"/>
      <c r="T299" s="747">
        <f>+'[14]eff all'!$T$44:$U$44</f>
        <v>0.21231250342529728</v>
      </c>
      <c r="U299" s="748"/>
      <c r="V299" s="747">
        <f>+'[14]eff all'!$V$44:$W$44</f>
        <v>722.2509375527776</v>
      </c>
      <c r="W299" s="748"/>
      <c r="X299" s="747">
        <f>+'[14]eff all'!$X$44:$Y$44</f>
        <v>464.24761459506601</v>
      </c>
      <c r="Y299" s="758"/>
      <c r="Z299" s="749">
        <f>+'[14]eff all'!$Z$44:$AA$44</f>
        <v>0.86206949583301151</v>
      </c>
      <c r="AA299" s="750"/>
      <c r="AB299" s="751">
        <f>+'[14]eff all'!$AB$44:$AC$44</f>
        <v>0.90942581099977049</v>
      </c>
      <c r="AC299" s="750"/>
      <c r="AD299" s="752">
        <f>+'[14]eff all'!$AD$44:$AE$44</f>
        <v>1188.7909999999999</v>
      </c>
      <c r="AE299" s="753"/>
      <c r="AF299" s="752">
        <f>+'[14]eff all'!$AF$44:$AG$44</f>
        <v>106.25948485661435</v>
      </c>
      <c r="AG299" s="753"/>
      <c r="AH299" s="747">
        <f>+'[14]eff all'!$AH$44:$AI$44</f>
        <v>1.5097691688446497</v>
      </c>
      <c r="AI299" s="748"/>
      <c r="AJ299" s="747">
        <f>+'[14]eff all'!$AJ$44:$AK$44</f>
        <v>921.84495003747463</v>
      </c>
      <c r="AK299" s="748"/>
      <c r="AL299" s="752">
        <f>+'[14]eff all'!$AL$44:$AM$44</f>
        <v>7.5538929887591681</v>
      </c>
      <c r="AM299" s="757"/>
      <c r="AN299" s="749">
        <f>+'[14]eff all'!$AN$44:$AO$44</f>
        <v>0.9113017975148916</v>
      </c>
      <c r="AO299" s="750"/>
      <c r="AP299" s="751">
        <f>+'[14]eff all'!$AP$44:$AQ$44</f>
        <v>0.94321744444989342</v>
      </c>
      <c r="AQ299" s="750"/>
      <c r="AR299" s="764">
        <f>+'[14]eff all'!$AR$44:$AS$44</f>
        <v>1441.538</v>
      </c>
      <c r="AS299" s="765"/>
      <c r="AT299" s="752">
        <f>+'[14]eff all'!$AT$44:$AU$44</f>
        <v>98.381360721465839</v>
      </c>
      <c r="AU299" s="753"/>
      <c r="AV299" s="747">
        <f>+'[14]eff all'!$AV$44:$AW$44</f>
        <v>1.4245895703061591</v>
      </c>
      <c r="AW299" s="748"/>
      <c r="AX299" s="752">
        <f>+'[14]eff all'!$AX$44:$AY$44</f>
        <v>6.3755312952158888E-2</v>
      </c>
      <c r="AY299" s="753"/>
      <c r="AZ299" s="752">
        <f>+'[14]eff all'!$AZ$44:$BA$44</f>
        <v>884.49349236718024</v>
      </c>
      <c r="BA299" s="753"/>
      <c r="BB299" s="752">
        <f>+'[14]eff all'!$BB$44:$BC$44</f>
        <v>178.9753721372584</v>
      </c>
      <c r="BC299" s="757"/>
      <c r="BD299" s="790">
        <f>+'[14]eff all'!$BD$44:$BE$44</f>
        <v>0</v>
      </c>
      <c r="BE299" s="757"/>
      <c r="BF299" s="749">
        <f>+'[14]eff all'!$BF$44:$BG$44</f>
        <v>0.83968007638049036</v>
      </c>
      <c r="BG299" s="750"/>
      <c r="BH299" s="751">
        <f>+'[14]eff all'!$BH$44:$BI$44</f>
        <v>0.88025535162218882</v>
      </c>
      <c r="BI299" s="750"/>
      <c r="BJ299" s="752">
        <f>+'[14]eff all'!$BJ$44:$BK$44</f>
        <v>1283.7219999999998</v>
      </c>
      <c r="BK299" s="753"/>
      <c r="BL299" s="747">
        <f>+'[14]eff all'!$BL$44:$BM$44</f>
        <v>2.9010175100216404</v>
      </c>
      <c r="BM299" s="748"/>
      <c r="BN299" s="747">
        <f>+'[14]eff all'!$BN$44:$BO$44</f>
        <v>0</v>
      </c>
      <c r="BO299" s="748"/>
      <c r="BP299" s="752">
        <f>+'[14]eff all'!$BP$44:$BQ$44</f>
        <v>1018.1901188326394</v>
      </c>
      <c r="BQ299" s="753"/>
      <c r="BR299" s="752">
        <f>+'[14]eff all'!$BR$44:$BS$44</f>
        <v>0</v>
      </c>
      <c r="BS299" s="757"/>
      <c r="BT299" s="762">
        <f>+'[14]eff all'!$BT$44:$BU$44</f>
        <v>0.86479672437549404</v>
      </c>
      <c r="BU299" s="763"/>
      <c r="BV299" s="763">
        <f>+'[14]eff all'!$BV$44:$BW$44</f>
        <v>0.91368891665471463</v>
      </c>
      <c r="BW299" s="763"/>
      <c r="BX299" s="760">
        <f>+'[14]eff all'!$BX$44:$BY$44</f>
        <v>1364.9880000000001</v>
      </c>
      <c r="BY299" s="760"/>
      <c r="BZ299" s="759">
        <f>+'[14]eff all'!$BZ$44:$CA$44</f>
        <v>71.774411764880114</v>
      </c>
      <c r="CA299" s="759"/>
      <c r="CB299" s="759">
        <f>+'[14]eff all'!$CB$44:$CC$44</f>
        <v>1.9880760856505704</v>
      </c>
      <c r="CC299" s="759"/>
      <c r="CD299" s="759">
        <f>+'[14]eff all'!$CD$44:$CE$44</f>
        <v>0.17403816004243261</v>
      </c>
      <c r="CE299" s="759"/>
      <c r="CF299" s="760">
        <f>+'[14]eff all'!$CF$44:$CG$44</f>
        <v>844.20451628287208</v>
      </c>
      <c r="CG299" s="760"/>
      <c r="CH299" s="760">
        <f>+'[14]eff all'!$CH$44:$CI$44</f>
        <v>469.40954792276608</v>
      </c>
      <c r="CI299" s="761"/>
      <c r="CJ299" s="753">
        <f>+'[14]eff all'!$CJ$44:$CK$44</f>
        <v>0</v>
      </c>
      <c r="CK299" s="761"/>
    </row>
    <row r="300" spans="1:89" ht="14.25" customHeight="1" thickTop="1">
      <c r="A300" s="559">
        <v>45717</v>
      </c>
      <c r="B300" s="518">
        <v>0.92437851002577198</v>
      </c>
      <c r="C300" s="519">
        <v>0.92437851002577198</v>
      </c>
      <c r="D300" s="519">
        <v>0.92437851002577198</v>
      </c>
      <c r="E300" s="519">
        <v>0.92437851002577198</v>
      </c>
      <c r="F300" s="520">
        <v>56.475000000000001</v>
      </c>
      <c r="G300" s="520">
        <v>56.475000000000001</v>
      </c>
      <c r="H300" s="520">
        <v>2.1310668437361664</v>
      </c>
      <c r="I300" s="520">
        <v>2.1310668437361664</v>
      </c>
      <c r="J300" s="520">
        <v>964.82231075694426</v>
      </c>
      <c r="K300" s="548">
        <v>964.82231075694426</v>
      </c>
      <c r="L300" s="518">
        <v>0.59015068226833944</v>
      </c>
      <c r="M300" s="519">
        <v>0.59015068226833944</v>
      </c>
      <c r="N300" s="519">
        <v>0.59015068226833944</v>
      </c>
      <c r="O300" s="519">
        <v>0.59015068226833944</v>
      </c>
      <c r="P300" s="520">
        <v>34.82</v>
      </c>
      <c r="Q300" s="520">
        <v>34.82</v>
      </c>
      <c r="R300" s="520">
        <v>3.3142446869615165</v>
      </c>
      <c r="S300" s="520">
        <v>3.3142446869615165</v>
      </c>
      <c r="T300" s="520">
        <v>0.3446295232624928</v>
      </c>
      <c r="U300" s="520">
        <v>0.3446295232624928</v>
      </c>
      <c r="V300" s="520">
        <v>947.8176335439465</v>
      </c>
      <c r="W300" s="520">
        <v>947.8176335439465</v>
      </c>
      <c r="X300" s="520">
        <v>913.78518093051139</v>
      </c>
      <c r="Y300" s="556">
        <v>913.78518093051139</v>
      </c>
      <c r="Z300" s="518">
        <v>0.96963254088354611</v>
      </c>
      <c r="AA300" s="519">
        <v>0.96963254088354611</v>
      </c>
      <c r="AB300" s="519">
        <v>0.96963254088354611</v>
      </c>
      <c r="AC300" s="519">
        <v>0.96963254088354611</v>
      </c>
      <c r="AD300" s="520">
        <v>42.927</v>
      </c>
      <c r="AE300" s="520">
        <v>42.927</v>
      </c>
      <c r="AF300" s="520">
        <v>106.60278900305742</v>
      </c>
      <c r="AG300" s="520">
        <v>106.60278900305741</v>
      </c>
      <c r="AH300" s="520">
        <v>1.4256761478789575</v>
      </c>
      <c r="AI300" s="520">
        <v>1.4256761478789575</v>
      </c>
      <c r="AJ300" s="520">
        <v>851.8727141426225</v>
      </c>
      <c r="AK300" s="520">
        <v>851.8727141426225</v>
      </c>
      <c r="AL300" s="576">
        <v>0</v>
      </c>
      <c r="AM300" s="577">
        <v>0</v>
      </c>
      <c r="AN300" s="518">
        <v>0.27627150680874446</v>
      </c>
      <c r="AO300" s="519">
        <v>0.27627150680874446</v>
      </c>
      <c r="AP300" s="519">
        <v>3.6166451800417456</v>
      </c>
      <c r="AQ300" s="519">
        <v>3.6166451800417456</v>
      </c>
      <c r="AR300" s="521">
        <v>14.929</v>
      </c>
      <c r="AS300" s="521">
        <v>14.929</v>
      </c>
      <c r="AT300" s="521">
        <v>22.748447246947784</v>
      </c>
      <c r="AU300" s="521">
        <v>22.74844724694778</v>
      </c>
      <c r="AV300" s="520">
        <v>0.46218768839172081</v>
      </c>
      <c r="AW300" s="520">
        <v>0.46218768839172081</v>
      </c>
      <c r="AX300" s="520">
        <v>0</v>
      </c>
      <c r="AY300" s="520">
        <v>0</v>
      </c>
      <c r="AZ300" s="520">
        <v>908.18809029406077</v>
      </c>
      <c r="BA300" s="520">
        <v>908.18809029406077</v>
      </c>
      <c r="BB300" s="520">
        <v>0</v>
      </c>
      <c r="BC300" s="520">
        <v>0</v>
      </c>
      <c r="BD300" s="520">
        <v>0</v>
      </c>
      <c r="BE300" s="520">
        <v>0</v>
      </c>
      <c r="BF300" s="518">
        <v>0.79372965433227249</v>
      </c>
      <c r="BG300" s="519">
        <v>0.79372965433227249</v>
      </c>
      <c r="BH300" s="519">
        <v>0.79372965433227249</v>
      </c>
      <c r="BI300" s="519">
        <v>0.79372965433227249</v>
      </c>
      <c r="BJ300" s="520">
        <v>40.904000000000003</v>
      </c>
      <c r="BK300" s="520">
        <v>40.904000000000003</v>
      </c>
      <c r="BL300" s="520">
        <v>3.0657148445139839</v>
      </c>
      <c r="BM300" s="520">
        <v>3.0657148445139839</v>
      </c>
      <c r="BN300" s="521">
        <v>0</v>
      </c>
      <c r="BO300" s="521">
        <v>0</v>
      </c>
      <c r="BP300" s="521">
        <v>1202.3482701148612</v>
      </c>
      <c r="BQ300" s="521">
        <v>1202.3482701148612</v>
      </c>
      <c r="BR300" s="521">
        <v>0</v>
      </c>
      <c r="BS300" s="522">
        <v>0</v>
      </c>
      <c r="BT300" s="580">
        <v>0.58852859323622153</v>
      </c>
      <c r="BU300" s="581">
        <v>0.58852859323622153</v>
      </c>
      <c r="BV300" s="581">
        <v>0.58852859323622153</v>
      </c>
      <c r="BW300" s="581">
        <v>0.58852859323622153</v>
      </c>
      <c r="BX300" s="576">
        <v>30.611999999999998</v>
      </c>
      <c r="BY300" s="576">
        <v>30.611999999999998</v>
      </c>
      <c r="BZ300" s="582">
        <v>121.82315783078764</v>
      </c>
      <c r="CA300" s="582">
        <v>121.82315783078765</v>
      </c>
      <c r="CB300" s="576">
        <v>2.9498235985887886</v>
      </c>
      <c r="CC300" s="576">
        <v>2.9498235985887886</v>
      </c>
      <c r="CD300" s="582">
        <v>0</v>
      </c>
      <c r="CE300" s="582">
        <v>0</v>
      </c>
      <c r="CF300" s="582">
        <v>1095.7848673468052</v>
      </c>
      <c r="CG300" s="582">
        <v>1095.7848673468052</v>
      </c>
      <c r="CH300" s="582">
        <v>0</v>
      </c>
      <c r="CI300" s="582">
        <v>0</v>
      </c>
      <c r="CJ300" s="582">
        <v>0</v>
      </c>
      <c r="CK300" s="582">
        <v>0</v>
      </c>
    </row>
    <row r="301" spans="1:89" ht="14.25" customHeight="1">
      <c r="A301" s="560">
        <v>45718</v>
      </c>
      <c r="B301" s="512">
        <v>0.87886533878389272</v>
      </c>
      <c r="C301" s="513">
        <v>0.90188155226179345</v>
      </c>
      <c r="D301" s="513">
        <v>0.87886533878389272</v>
      </c>
      <c r="E301" s="513">
        <v>0.90188155226179345</v>
      </c>
      <c r="F301" s="510">
        <v>52.482999999999997</v>
      </c>
      <c r="G301" s="510">
        <v>108.958</v>
      </c>
      <c r="H301" s="510">
        <v>2.1932435264752397</v>
      </c>
      <c r="I301" s="510">
        <v>2.1610161713687841</v>
      </c>
      <c r="J301" s="510">
        <v>1080.2122592077503</v>
      </c>
      <c r="K301" s="511">
        <v>1020.4034582132452</v>
      </c>
      <c r="L301" s="512">
        <v>1.0118265783801377</v>
      </c>
      <c r="M301" s="513">
        <v>0.82029045903356823</v>
      </c>
      <c r="N301" s="513">
        <v>1.0118265783801377</v>
      </c>
      <c r="O301" s="513">
        <v>0.82029045903356823</v>
      </c>
      <c r="P301" s="510">
        <v>71.731999999999999</v>
      </c>
      <c r="Q301" s="510">
        <v>106.55199999999999</v>
      </c>
      <c r="R301" s="510">
        <v>2.0223470696481347</v>
      </c>
      <c r="S301" s="510">
        <v>2.4445247390945268</v>
      </c>
      <c r="T301" s="510">
        <v>0.11710254837450511</v>
      </c>
      <c r="U301" s="510">
        <v>0.19145581500112621</v>
      </c>
      <c r="V301" s="510">
        <v>556.5629007974062</v>
      </c>
      <c r="W301" s="510">
        <v>684.42056460695039</v>
      </c>
      <c r="X301" s="510">
        <v>362.06992695032517</v>
      </c>
      <c r="Y301" s="569">
        <v>542.3642916134952</v>
      </c>
      <c r="Z301" s="512">
        <v>0.96630267285417437</v>
      </c>
      <c r="AA301" s="513">
        <v>0.96799262420111287</v>
      </c>
      <c r="AB301" s="513">
        <v>0.96630267285417437</v>
      </c>
      <c r="AC301" s="513">
        <v>0.96799262420111287</v>
      </c>
      <c r="AD301" s="510">
        <v>41.512999999999998</v>
      </c>
      <c r="AE301" s="510">
        <v>84.44</v>
      </c>
      <c r="AF301" s="510">
        <v>105.17256378956904</v>
      </c>
      <c r="AG301" s="510">
        <v>105.89965139898892</v>
      </c>
      <c r="AH301" s="510">
        <v>1.5031435935730977</v>
      </c>
      <c r="AI301" s="510">
        <v>1.4637612505921365</v>
      </c>
      <c r="AJ301" s="510">
        <v>887.25893093728359</v>
      </c>
      <c r="AK301" s="569">
        <v>869.26954050212953</v>
      </c>
      <c r="AL301" s="576">
        <v>0</v>
      </c>
      <c r="AM301" s="577">
        <v>0</v>
      </c>
      <c r="AN301" s="512">
        <v>0</v>
      </c>
      <c r="AO301" s="513">
        <v>0.13813575340437223</v>
      </c>
      <c r="AP301" s="513" t="e">
        <v>#DIV/0!</v>
      </c>
      <c r="AQ301" s="513">
        <v>3.6166451800417456</v>
      </c>
      <c r="AR301" s="510">
        <v>0</v>
      </c>
      <c r="AS301" s="510">
        <v>14.929</v>
      </c>
      <c r="AT301" s="514">
        <v>0</v>
      </c>
      <c r="AU301" s="514">
        <v>22.74844724694778</v>
      </c>
      <c r="AV301" s="510">
        <v>0</v>
      </c>
      <c r="AW301" s="510">
        <v>1.2124053854913257</v>
      </c>
      <c r="AX301" s="510">
        <v>0</v>
      </c>
      <c r="AY301" s="510">
        <v>0</v>
      </c>
      <c r="AZ301" s="510">
        <v>0</v>
      </c>
      <c r="BA301" s="510">
        <v>1536.6816263647941</v>
      </c>
      <c r="BB301" s="510">
        <v>0</v>
      </c>
      <c r="BC301" s="569">
        <v>0</v>
      </c>
      <c r="BD301" s="510">
        <v>0</v>
      </c>
      <c r="BE301" s="510">
        <v>0</v>
      </c>
      <c r="BF301" s="512">
        <v>0.86309474955241583</v>
      </c>
      <c r="BG301" s="513">
        <v>0.82906757563119515</v>
      </c>
      <c r="BH301" s="513">
        <v>0.86309474955241583</v>
      </c>
      <c r="BI301" s="513">
        <v>0.82906757563119515</v>
      </c>
      <c r="BJ301" s="510">
        <v>46.192</v>
      </c>
      <c r="BK301" s="510">
        <v>87.096000000000004</v>
      </c>
      <c r="BL301" s="510">
        <v>2.7104260478004849</v>
      </c>
      <c r="BM301" s="510">
        <v>2.8772848351244606</v>
      </c>
      <c r="BN301" s="514">
        <v>0</v>
      </c>
      <c r="BO301" s="514">
        <v>0</v>
      </c>
      <c r="BP301" s="514">
        <v>1193.4042514342364</v>
      </c>
      <c r="BQ301" s="514">
        <v>1197.6047444547225</v>
      </c>
      <c r="BR301" s="514">
        <v>0</v>
      </c>
      <c r="BS301" s="515">
        <v>0</v>
      </c>
      <c r="BT301" s="512">
        <v>0.73162664100307084</v>
      </c>
      <c r="BU301" s="513">
        <v>0.6597469128851835</v>
      </c>
      <c r="BV301" s="581">
        <v>0.73162664100307084</v>
      </c>
      <c r="BW301" s="581">
        <v>0.6597469128851835</v>
      </c>
      <c r="BX301" s="510">
        <v>37.704999999999998</v>
      </c>
      <c r="BY301" s="510">
        <v>68.316999999999993</v>
      </c>
      <c r="BZ301" s="514">
        <v>90.517739276054101</v>
      </c>
      <c r="CA301" s="514">
        <v>104.54530888241128</v>
      </c>
      <c r="CB301" s="510">
        <v>2.1721257127701898</v>
      </c>
      <c r="CC301" s="510">
        <v>2.5206024854721374</v>
      </c>
      <c r="CD301" s="514">
        <v>0</v>
      </c>
      <c r="CE301" s="514">
        <v>0</v>
      </c>
      <c r="CF301" s="514">
        <v>1010.2800906444871</v>
      </c>
      <c r="CG301" s="514">
        <v>1048.5937201131605</v>
      </c>
      <c r="CH301" s="514">
        <v>0</v>
      </c>
      <c r="CI301" s="514">
        <v>0</v>
      </c>
      <c r="CJ301" s="582">
        <v>0</v>
      </c>
      <c r="CK301" s="582">
        <v>0</v>
      </c>
    </row>
    <row r="302" spans="1:89" ht="12.75" customHeight="1">
      <c r="A302" s="560">
        <v>45719</v>
      </c>
      <c r="B302" s="512">
        <v>0</v>
      </c>
      <c r="C302" s="513">
        <v>0.6035916834735745</v>
      </c>
      <c r="D302" s="513">
        <v>0</v>
      </c>
      <c r="E302" s="513">
        <v>0.6035916834735745</v>
      </c>
      <c r="F302" s="510">
        <v>0</v>
      </c>
      <c r="G302" s="510">
        <v>108.958</v>
      </c>
      <c r="H302" s="510">
        <v>0</v>
      </c>
      <c r="I302" s="510">
        <v>2.1778024559922171</v>
      </c>
      <c r="J302" s="510">
        <v>0</v>
      </c>
      <c r="K302" s="511">
        <v>1093.812478202608</v>
      </c>
      <c r="L302" s="512">
        <v>0.67373510230689027</v>
      </c>
      <c r="M302" s="513">
        <v>0.76658416984932132</v>
      </c>
      <c r="N302" s="513">
        <v>0.67373510230689027</v>
      </c>
      <c r="O302" s="513">
        <v>0.76658416984932132</v>
      </c>
      <c r="P302" s="510">
        <v>50.621000000000002</v>
      </c>
      <c r="Q302" s="510">
        <v>157.173</v>
      </c>
      <c r="R302" s="510">
        <v>2.3058612038482051</v>
      </c>
      <c r="S302" s="510">
        <v>2.3998651167821441</v>
      </c>
      <c r="T302" s="510">
        <v>0.2074237964481144</v>
      </c>
      <c r="U302" s="510">
        <v>0.19659865244030461</v>
      </c>
      <c r="V302" s="510">
        <v>597.35979139092456</v>
      </c>
      <c r="W302" s="510">
        <v>656.38073969447532</v>
      </c>
      <c r="X302" s="510">
        <v>598.07194642539935</v>
      </c>
      <c r="Y302" s="569">
        <v>560.30615945487637</v>
      </c>
      <c r="Z302" s="512">
        <v>0.8931745126578613</v>
      </c>
      <c r="AA302" s="513">
        <v>0.94278190574238108</v>
      </c>
      <c r="AB302" s="513">
        <v>0.8931745126578613</v>
      </c>
      <c r="AC302" s="513">
        <v>0.94278190574238108</v>
      </c>
      <c r="AD302" s="510">
        <v>39.595999999999997</v>
      </c>
      <c r="AE302" s="510">
        <v>124.036</v>
      </c>
      <c r="AF302" s="510">
        <v>113.61099277876556</v>
      </c>
      <c r="AG302" s="510">
        <v>108.36134214420512</v>
      </c>
      <c r="AH302" s="510">
        <v>1.5961208202848776</v>
      </c>
      <c r="AI302" s="510">
        <v>1.5060143829210875</v>
      </c>
      <c r="AJ302" s="510">
        <v>954.09889887869303</v>
      </c>
      <c r="AK302" s="569">
        <v>896.34960817827528</v>
      </c>
      <c r="AL302" s="576">
        <v>0</v>
      </c>
      <c r="AM302" s="577">
        <v>0</v>
      </c>
      <c r="AN302" s="512">
        <v>0</v>
      </c>
      <c r="AO302" s="513">
        <v>9.2090502269581487E-2</v>
      </c>
      <c r="AP302" s="513" t="e">
        <v>#DIV/0!</v>
      </c>
      <c r="AQ302" s="513">
        <v>3.6166451800417456</v>
      </c>
      <c r="AR302" s="510">
        <v>0</v>
      </c>
      <c r="AS302" s="510">
        <v>14.929</v>
      </c>
      <c r="AT302" s="514">
        <v>0</v>
      </c>
      <c r="AU302" s="514">
        <v>22.74844724694778</v>
      </c>
      <c r="AV302" s="510">
        <v>0</v>
      </c>
      <c r="AW302" s="510">
        <v>2.0229084332507203</v>
      </c>
      <c r="AX302" s="510">
        <v>0</v>
      </c>
      <c r="AY302" s="510">
        <v>0</v>
      </c>
      <c r="AZ302" s="510">
        <v>0</v>
      </c>
      <c r="BA302" s="510">
        <v>2227.1833344497304</v>
      </c>
      <c r="BB302" s="510">
        <v>0</v>
      </c>
      <c r="BC302" s="569">
        <v>0</v>
      </c>
      <c r="BD302" s="510">
        <v>0</v>
      </c>
      <c r="BE302" s="510">
        <v>0</v>
      </c>
      <c r="BF302" s="512">
        <v>0.91304992737664037</v>
      </c>
      <c r="BG302" s="513">
        <v>0.85719899425825807</v>
      </c>
      <c r="BH302" s="513">
        <v>0.91304992737664037</v>
      </c>
      <c r="BI302" s="513">
        <v>0.85719899425825807</v>
      </c>
      <c r="BJ302" s="510">
        <v>48.313000000000002</v>
      </c>
      <c r="BK302" s="510">
        <v>135.40899999999999</v>
      </c>
      <c r="BL302" s="510">
        <v>2.4258481154140705</v>
      </c>
      <c r="BM302" s="510">
        <v>2.7162153180364674</v>
      </c>
      <c r="BN302" s="514">
        <v>0</v>
      </c>
      <c r="BO302" s="514">
        <v>0</v>
      </c>
      <c r="BP302" s="514">
        <v>1087.3014125150091</v>
      </c>
      <c r="BQ302" s="514">
        <v>1158.2492741683798</v>
      </c>
      <c r="BR302" s="514">
        <v>0</v>
      </c>
      <c r="BS302" s="515">
        <v>0</v>
      </c>
      <c r="BT302" s="512">
        <v>0.62137835562582544</v>
      </c>
      <c r="BU302" s="513">
        <v>0.64730879740700153</v>
      </c>
      <c r="BV302" s="581">
        <v>0.62137835562582544</v>
      </c>
      <c r="BW302" s="581">
        <v>0.64730879740700153</v>
      </c>
      <c r="BX302" s="510">
        <v>30.864000000000001</v>
      </c>
      <c r="BY302" s="510">
        <v>99.180999999999997</v>
      </c>
      <c r="BZ302" s="514">
        <v>119.08563795787968</v>
      </c>
      <c r="CA302" s="514">
        <v>109.07009403869381</v>
      </c>
      <c r="CB302" s="510">
        <v>2.8414981855883878</v>
      </c>
      <c r="CC302" s="510">
        <v>2.6204615803430089</v>
      </c>
      <c r="CD302" s="514">
        <v>0</v>
      </c>
      <c r="CE302" s="514">
        <v>0</v>
      </c>
      <c r="CF302" s="514">
        <v>1371.3292786794341</v>
      </c>
      <c r="CG302" s="514">
        <v>1149.0253580235412</v>
      </c>
      <c r="CH302" s="514">
        <v>0</v>
      </c>
      <c r="CI302" s="514">
        <v>0</v>
      </c>
      <c r="CJ302" s="582">
        <v>0</v>
      </c>
      <c r="CK302" s="582">
        <v>0</v>
      </c>
    </row>
    <row r="303" spans="1:89" ht="12.75" customHeight="1">
      <c r="A303" s="560">
        <v>45720</v>
      </c>
      <c r="B303" s="512">
        <v>0.35613695409405172</v>
      </c>
      <c r="C303" s="513">
        <v>0.54115274047089312</v>
      </c>
      <c r="D303" s="513">
        <v>0.35613695409405172</v>
      </c>
      <c r="E303" s="513">
        <v>0.54115274047089312</v>
      </c>
      <c r="F303" s="510">
        <v>21.696000000000002</v>
      </c>
      <c r="G303" s="510">
        <v>130.654</v>
      </c>
      <c r="H303" s="510">
        <v>2.9116887905604716</v>
      </c>
      <c r="I303" s="510">
        <v>2.2996693557028487</v>
      </c>
      <c r="J303" s="510">
        <v>1560.104166666611</v>
      </c>
      <c r="K303" s="511">
        <v>1171.2434368637664</v>
      </c>
      <c r="L303" s="512">
        <v>0.95798179559248897</v>
      </c>
      <c r="M303" s="513">
        <v>0.81940860829851658</v>
      </c>
      <c r="N303" s="513">
        <v>0.95798179559248897</v>
      </c>
      <c r="O303" s="513">
        <v>0.81940860829851658</v>
      </c>
      <c r="P303" s="510">
        <v>74.873999999999995</v>
      </c>
      <c r="Q303" s="510">
        <v>232.047</v>
      </c>
      <c r="R303" s="510">
        <v>1.9942303069156184</v>
      </c>
      <c r="S303" s="510">
        <v>2.2689799911224879</v>
      </c>
      <c r="T303" s="510">
        <v>0.17228944626973317</v>
      </c>
      <c r="U303" s="510">
        <v>0.18875486431628075</v>
      </c>
      <c r="V303" s="510">
        <v>480.8335336699115</v>
      </c>
      <c r="W303" s="510">
        <v>599.73738078923964</v>
      </c>
      <c r="X303" s="510">
        <v>443.39824238052404</v>
      </c>
      <c r="Y303" s="569">
        <v>522.58378690524171</v>
      </c>
      <c r="Z303" s="512">
        <v>0.98675649626905571</v>
      </c>
      <c r="AA303" s="513">
        <v>0.95384119145886892</v>
      </c>
      <c r="AB303" s="513">
        <v>0.98675649626905571</v>
      </c>
      <c r="AC303" s="513">
        <v>0.95384119145886892</v>
      </c>
      <c r="AD303" s="510">
        <v>43.619</v>
      </c>
      <c r="AE303" s="510">
        <v>167.655</v>
      </c>
      <c r="AF303" s="510">
        <v>105.4344917422314</v>
      </c>
      <c r="AG303" s="510">
        <v>107.59986000717556</v>
      </c>
      <c r="AH303" s="510">
        <v>1.501639193929251</v>
      </c>
      <c r="AI303" s="510">
        <v>1.5048760848170351</v>
      </c>
      <c r="AJ303" s="510">
        <v>858.29615534513937</v>
      </c>
      <c r="AK303" s="569">
        <v>886.44919626614296</v>
      </c>
      <c r="AL303" s="576">
        <v>0</v>
      </c>
      <c r="AM303" s="577">
        <v>0</v>
      </c>
      <c r="AN303" s="512">
        <v>0</v>
      </c>
      <c r="AO303" s="513">
        <v>6.9067876702186115E-2</v>
      </c>
      <c r="AP303" s="513" t="e">
        <v>#DIV/0!</v>
      </c>
      <c r="AQ303" s="513">
        <v>3.6166451800417456</v>
      </c>
      <c r="AR303" s="510">
        <v>0</v>
      </c>
      <c r="AS303" s="510">
        <v>14.929</v>
      </c>
      <c r="AT303" s="514">
        <v>0</v>
      </c>
      <c r="AU303" s="514">
        <v>22.74844724694778</v>
      </c>
      <c r="AV303" s="510">
        <v>0</v>
      </c>
      <c r="AW303" s="510">
        <v>2.2573514635943468</v>
      </c>
      <c r="AX303" s="510">
        <v>0</v>
      </c>
      <c r="AY303" s="510">
        <v>0</v>
      </c>
      <c r="AZ303" s="510">
        <v>0</v>
      </c>
      <c r="BA303" s="510">
        <v>2921.6719137249693</v>
      </c>
      <c r="BB303" s="510">
        <v>0</v>
      </c>
      <c r="BC303" s="569">
        <v>0</v>
      </c>
      <c r="BD303" s="510">
        <v>0</v>
      </c>
      <c r="BE303" s="510">
        <v>0</v>
      </c>
      <c r="BF303" s="512">
        <v>0.23840836483607655</v>
      </c>
      <c r="BG303" s="513">
        <v>0.70515544210548031</v>
      </c>
      <c r="BH303" s="513">
        <v>0.23840836483607655</v>
      </c>
      <c r="BI303" s="513">
        <v>0.70515544210548031</v>
      </c>
      <c r="BJ303" s="510">
        <v>12.268000000000001</v>
      </c>
      <c r="BK303" s="510">
        <v>147.67699999999999</v>
      </c>
      <c r="BL303" s="510">
        <v>3.2849690251059664</v>
      </c>
      <c r="BM303" s="510">
        <v>2.7634635048111762</v>
      </c>
      <c r="BN303" s="514">
        <v>0</v>
      </c>
      <c r="BO303" s="514">
        <v>0</v>
      </c>
      <c r="BP303" s="514">
        <v>1437.5501636241593</v>
      </c>
      <c r="BQ303" s="514">
        <v>1181.4516910094824</v>
      </c>
      <c r="BR303" s="514">
        <v>0</v>
      </c>
      <c r="BS303" s="515">
        <v>0</v>
      </c>
      <c r="BT303" s="512">
        <v>0.70886662979796589</v>
      </c>
      <c r="BU303" s="513">
        <v>0.66234057828308246</v>
      </c>
      <c r="BV303" s="581">
        <v>0.70886662979796589</v>
      </c>
      <c r="BW303" s="581">
        <v>0.66234057828308246</v>
      </c>
      <c r="BX303" s="510">
        <v>35.091000000000001</v>
      </c>
      <c r="BY303" s="510">
        <v>134.27199999999999</v>
      </c>
      <c r="BZ303" s="514">
        <v>104.84320494416255</v>
      </c>
      <c r="CA303" s="514">
        <v>107.9654276509421</v>
      </c>
      <c r="CB303" s="510">
        <v>2.4564703200250775</v>
      </c>
      <c r="CC303" s="510">
        <v>2.577603670162059</v>
      </c>
      <c r="CD303" s="514">
        <v>0</v>
      </c>
      <c r="CE303" s="514">
        <v>0</v>
      </c>
      <c r="CF303" s="514">
        <v>1245.281827039953</v>
      </c>
      <c r="CG303" s="514">
        <v>1174.1812785002965</v>
      </c>
      <c r="CH303" s="514">
        <v>0</v>
      </c>
      <c r="CI303" s="514">
        <v>0</v>
      </c>
      <c r="CJ303" s="582">
        <v>0</v>
      </c>
      <c r="CK303" s="582">
        <v>0</v>
      </c>
    </row>
    <row r="304" spans="1:89" ht="12.75" customHeight="1">
      <c r="A304" s="560">
        <v>45721</v>
      </c>
      <c r="B304" s="512">
        <v>0.9578491341240799</v>
      </c>
      <c r="C304" s="513">
        <v>0.62058245642344811</v>
      </c>
      <c r="D304" s="513">
        <v>0.9578491341240799</v>
      </c>
      <c r="E304" s="513">
        <v>0.62058245642344811</v>
      </c>
      <c r="F304" s="510">
        <v>54.463999999999999</v>
      </c>
      <c r="G304" s="510">
        <v>185.11799999999999</v>
      </c>
      <c r="H304" s="510">
        <v>2.2780185076380728</v>
      </c>
      <c r="I304" s="510">
        <v>2.2932994090255945</v>
      </c>
      <c r="J304" s="510">
        <v>933.31485017628211</v>
      </c>
      <c r="K304" s="511">
        <v>1101.2419105651509</v>
      </c>
      <c r="L304" s="512">
        <v>0.94464403027712918</v>
      </c>
      <c r="M304" s="513">
        <v>0.84662052327795656</v>
      </c>
      <c r="N304" s="513">
        <v>0.94464403027712918</v>
      </c>
      <c r="O304" s="513">
        <v>0.84662052327795656</v>
      </c>
      <c r="P304" s="510">
        <v>74.263000000000005</v>
      </c>
      <c r="Q304" s="510">
        <v>306.31</v>
      </c>
      <c r="R304" s="510">
        <v>1.6607866636144513</v>
      </c>
      <c r="S304" s="510">
        <v>2.1215272109953971</v>
      </c>
      <c r="T304" s="510">
        <v>0.15081534546140068</v>
      </c>
      <c r="U304" s="510">
        <v>0.17955665828735595</v>
      </c>
      <c r="V304" s="510">
        <v>439.93092118550481</v>
      </c>
      <c r="W304" s="510">
        <v>560.99327478698001</v>
      </c>
      <c r="X304" s="510">
        <v>423.95270861667012</v>
      </c>
      <c r="Y304" s="569">
        <v>498.6712807286749</v>
      </c>
      <c r="Z304" s="512">
        <v>0.87769551719685202</v>
      </c>
      <c r="AA304" s="513">
        <v>0.93878272173294885</v>
      </c>
      <c r="AB304" s="513">
        <v>0.87769551719685202</v>
      </c>
      <c r="AC304" s="513">
        <v>0.93878272173294885</v>
      </c>
      <c r="AD304" s="510">
        <v>38.029000000000003</v>
      </c>
      <c r="AE304" s="510">
        <v>205.684</v>
      </c>
      <c r="AF304" s="510">
        <v>96.053780032710065</v>
      </c>
      <c r="AG304" s="510">
        <v>105.46510049574565</v>
      </c>
      <c r="AH304" s="510">
        <v>1.5409292908043861</v>
      </c>
      <c r="AI304" s="510">
        <v>1.5115419770132827</v>
      </c>
      <c r="AJ304" s="510">
        <v>930.39680244025249</v>
      </c>
      <c r="AK304" s="569">
        <v>894.57468738453417</v>
      </c>
      <c r="AL304" s="576">
        <v>0</v>
      </c>
      <c r="AM304" s="577">
        <v>0</v>
      </c>
      <c r="AN304" s="512">
        <v>0</v>
      </c>
      <c r="AO304" s="513">
        <v>5.52543013617489E-2</v>
      </c>
      <c r="AP304" s="513" t="e">
        <v>#DIV/0!</v>
      </c>
      <c r="AQ304" s="513">
        <v>3.6166451800417456</v>
      </c>
      <c r="AR304" s="510">
        <v>0</v>
      </c>
      <c r="AS304" s="510">
        <v>14.929</v>
      </c>
      <c r="AT304" s="514">
        <v>0</v>
      </c>
      <c r="AU304" s="514">
        <v>22.74844724694778</v>
      </c>
      <c r="AV304" s="510">
        <v>0</v>
      </c>
      <c r="AW304" s="510">
        <v>2.3511286757317973</v>
      </c>
      <c r="AX304" s="510">
        <v>0</v>
      </c>
      <c r="AY304" s="510">
        <v>0</v>
      </c>
      <c r="AZ304" s="510">
        <v>0</v>
      </c>
      <c r="BA304" s="510">
        <v>3538.0601513832157</v>
      </c>
      <c r="BB304" s="510">
        <v>0</v>
      </c>
      <c r="BC304" s="569">
        <v>0</v>
      </c>
      <c r="BD304" s="510">
        <v>0</v>
      </c>
      <c r="BE304" s="510">
        <v>0</v>
      </c>
      <c r="BF304" s="512">
        <v>0.61250720928654601</v>
      </c>
      <c r="BG304" s="513">
        <v>0.68668063216488828</v>
      </c>
      <c r="BH304" s="513">
        <v>0.61250720928654601</v>
      </c>
      <c r="BI304" s="513">
        <v>0.68668063216488828</v>
      </c>
      <c r="BJ304" s="510">
        <v>31.95</v>
      </c>
      <c r="BK304" s="510">
        <v>179.62699999999998</v>
      </c>
      <c r="BL304" s="510">
        <v>3.061032863849765</v>
      </c>
      <c r="BM304" s="510">
        <v>2.816391745116269</v>
      </c>
      <c r="BN304" s="514">
        <v>0</v>
      </c>
      <c r="BO304" s="514">
        <v>0</v>
      </c>
      <c r="BP304" s="514">
        <v>1180.1362842829776</v>
      </c>
      <c r="BQ304" s="514">
        <v>1181.217721478667</v>
      </c>
      <c r="BR304" s="514">
        <v>0</v>
      </c>
      <c r="BS304" s="515">
        <v>0</v>
      </c>
      <c r="BT304" s="512">
        <v>0.50839369675518364</v>
      </c>
      <c r="BU304" s="513">
        <v>0.63409972144807603</v>
      </c>
      <c r="BV304" s="581">
        <v>0.50839369675518364</v>
      </c>
      <c r="BW304" s="581">
        <v>0.63409972144807603</v>
      </c>
      <c r="BX304" s="510">
        <v>23.154</v>
      </c>
      <c r="BY304" s="510">
        <v>157.42599999999999</v>
      </c>
      <c r="BZ304" s="514">
        <v>140.71740516265308</v>
      </c>
      <c r="CA304" s="514">
        <v>112.78254354860928</v>
      </c>
      <c r="CB304" s="510">
        <v>3.5501425239699405</v>
      </c>
      <c r="CC304" s="510">
        <v>2.7206433498913776</v>
      </c>
      <c r="CD304" s="514">
        <v>0</v>
      </c>
      <c r="CE304" s="514">
        <v>0</v>
      </c>
      <c r="CF304" s="514">
        <v>2136.1676477998699</v>
      </c>
      <c r="CG304" s="514">
        <v>1315.668913292277</v>
      </c>
      <c r="CH304" s="514">
        <v>0</v>
      </c>
      <c r="CI304" s="514">
        <v>0</v>
      </c>
      <c r="CJ304" s="582">
        <v>0</v>
      </c>
      <c r="CK304" s="582">
        <v>0</v>
      </c>
    </row>
    <row r="305" spans="1:89" ht="12.75" customHeight="1">
      <c r="A305" s="560">
        <v>45722</v>
      </c>
      <c r="B305" s="512">
        <v>0.94523600523926643</v>
      </c>
      <c r="C305" s="513">
        <v>0.67177597418764301</v>
      </c>
      <c r="D305" s="513">
        <v>0.94523600523926643</v>
      </c>
      <c r="E305" s="513">
        <v>0.67177597418764301</v>
      </c>
      <c r="F305" s="510">
        <v>52.784999999999997</v>
      </c>
      <c r="G305" s="510">
        <v>237.90299999999999</v>
      </c>
      <c r="H305" s="510">
        <v>2.4011745761106376</v>
      </c>
      <c r="I305" s="510">
        <v>2.3172343350020808</v>
      </c>
      <c r="J305" s="510">
        <v>953.18442739411989</v>
      </c>
      <c r="K305" s="511">
        <v>1068.3914872868279</v>
      </c>
      <c r="L305" s="512">
        <v>0.99524766905480877</v>
      </c>
      <c r="M305" s="513">
        <v>0.87092712976574516</v>
      </c>
      <c r="N305" s="513">
        <v>0.99524766905480877</v>
      </c>
      <c r="O305" s="513">
        <v>0.87092712976574516</v>
      </c>
      <c r="P305" s="510">
        <v>70.402000000000001</v>
      </c>
      <c r="Q305" s="510">
        <v>376.71199999999999</v>
      </c>
      <c r="R305" s="510">
        <v>1.773912672935428</v>
      </c>
      <c r="S305" s="510">
        <v>2.0565631039096179</v>
      </c>
      <c r="T305" s="510">
        <v>0.17897218829010539</v>
      </c>
      <c r="U305" s="510">
        <v>0.17944742933593832</v>
      </c>
      <c r="V305" s="510">
        <v>459.34717763700866</v>
      </c>
      <c r="W305" s="510">
        <v>541.99709592473982</v>
      </c>
      <c r="X305" s="510">
        <v>496.00863611829533</v>
      </c>
      <c r="Y305" s="569">
        <v>498.17367113338742</v>
      </c>
      <c r="Z305" s="512">
        <v>0.22029756444564438</v>
      </c>
      <c r="AA305" s="513">
        <v>0.8199284830231085</v>
      </c>
      <c r="AB305" s="513">
        <v>0.22029756444564438</v>
      </c>
      <c r="AC305" s="513">
        <v>0.8199284830231085</v>
      </c>
      <c r="AD305" s="510">
        <v>9.5670000000000002</v>
      </c>
      <c r="AE305" s="510">
        <v>215.251</v>
      </c>
      <c r="AF305" s="510">
        <v>221.18033016992104</v>
      </c>
      <c r="AG305" s="510">
        <v>110.60815489406592</v>
      </c>
      <c r="AH305" s="510">
        <v>3.3030208006689663</v>
      </c>
      <c r="AI305" s="510">
        <v>1.5911656624127184</v>
      </c>
      <c r="AJ305" s="510">
        <v>1782.5692484582419</v>
      </c>
      <c r="AK305" s="569">
        <v>934.04230410079651</v>
      </c>
      <c r="AL305" s="576">
        <v>0</v>
      </c>
      <c r="AM305" s="577">
        <v>0</v>
      </c>
      <c r="AN305" s="512">
        <v>0</v>
      </c>
      <c r="AO305" s="513">
        <v>4.604525113479075E-2</v>
      </c>
      <c r="AP305" s="513" t="e">
        <v>#DIV/0!</v>
      </c>
      <c r="AQ305" s="513">
        <v>3.6166451800417456</v>
      </c>
      <c r="AR305" s="510">
        <v>0</v>
      </c>
      <c r="AS305" s="510">
        <v>14.929</v>
      </c>
      <c r="AT305" s="514">
        <v>0</v>
      </c>
      <c r="AU305" s="514">
        <v>22.74844724694778</v>
      </c>
      <c r="AV305" s="510">
        <v>0</v>
      </c>
      <c r="AW305" s="510">
        <v>3.2554089356286422</v>
      </c>
      <c r="AX305" s="510">
        <v>0</v>
      </c>
      <c r="AY305" s="510">
        <v>0</v>
      </c>
      <c r="AZ305" s="510">
        <v>0</v>
      </c>
      <c r="BA305" s="510">
        <v>4133.1328287226243</v>
      </c>
      <c r="BB305" s="510">
        <v>0</v>
      </c>
      <c r="BC305" s="569">
        <v>0</v>
      </c>
      <c r="BD305" s="510">
        <v>0</v>
      </c>
      <c r="BE305" s="510">
        <v>0</v>
      </c>
      <c r="BF305" s="512">
        <v>0.76020374932192103</v>
      </c>
      <c r="BG305" s="513">
        <v>0.69903293385067822</v>
      </c>
      <c r="BH305" s="513">
        <v>0.76020374932192103</v>
      </c>
      <c r="BI305" s="513">
        <v>0.69903293385067822</v>
      </c>
      <c r="BJ305" s="510">
        <v>40.155999999999999</v>
      </c>
      <c r="BK305" s="510">
        <v>219.78299999999999</v>
      </c>
      <c r="BL305" s="510">
        <v>2.7119234983564104</v>
      </c>
      <c r="BM305" s="510">
        <v>2.7973046140966322</v>
      </c>
      <c r="BN305" s="514">
        <v>0</v>
      </c>
      <c r="BO305" s="514">
        <v>0</v>
      </c>
      <c r="BP305" s="514">
        <v>945.46989424217452</v>
      </c>
      <c r="BQ305" s="514">
        <v>1138.1448279859553</v>
      </c>
      <c r="BR305" s="514">
        <v>0</v>
      </c>
      <c r="BS305" s="515">
        <v>0</v>
      </c>
      <c r="BT305" s="512">
        <v>0.83011488077743389</v>
      </c>
      <c r="BU305" s="513">
        <v>0.664407669683036</v>
      </c>
      <c r="BV305" s="581">
        <v>0.83011488077743389</v>
      </c>
      <c r="BW305" s="581">
        <v>0.664407669683036</v>
      </c>
      <c r="BX305" s="510">
        <v>37.694000000000003</v>
      </c>
      <c r="BY305" s="510">
        <v>195.12</v>
      </c>
      <c r="BZ305" s="514">
        <v>83.460704124379617</v>
      </c>
      <c r="CA305" s="514">
        <v>107.11804265040861</v>
      </c>
      <c r="CB305" s="510">
        <v>2.1701066482729345</v>
      </c>
      <c r="CC305" s="510">
        <v>2.6142886428864287</v>
      </c>
      <c r="CD305" s="514">
        <v>0</v>
      </c>
      <c r="CE305" s="514">
        <v>0</v>
      </c>
      <c r="CF305" s="514">
        <v>1117.2924318674688</v>
      </c>
      <c r="CG305" s="514">
        <v>1277.3458142207994</v>
      </c>
      <c r="CH305" s="514">
        <v>0</v>
      </c>
      <c r="CI305" s="514">
        <v>0</v>
      </c>
      <c r="CJ305" s="582">
        <v>0</v>
      </c>
      <c r="CK305" s="582">
        <v>0</v>
      </c>
    </row>
    <row r="306" spans="1:89" ht="12.75" customHeight="1">
      <c r="A306" s="560">
        <v>45723</v>
      </c>
      <c r="B306" s="512">
        <v>0.66746093026304798</v>
      </c>
      <c r="C306" s="513">
        <v>0.67114841169049178</v>
      </c>
      <c r="D306" s="513">
        <v>0.66746093026304798</v>
      </c>
      <c r="E306" s="513">
        <v>0.67114841169049178</v>
      </c>
      <c r="F306" s="510">
        <v>40.228000000000002</v>
      </c>
      <c r="G306" s="510">
        <v>278.13099999999997</v>
      </c>
      <c r="H306" s="510">
        <v>2.79188624838421</v>
      </c>
      <c r="I306" s="510">
        <v>2.3858865067180579</v>
      </c>
      <c r="J306" s="510">
        <v>1159.2134831460735</v>
      </c>
      <c r="K306" s="511">
        <v>1081.5276973800062</v>
      </c>
      <c r="L306" s="512">
        <v>0.85599482677912964</v>
      </c>
      <c r="M306" s="513">
        <v>0.86851295249510163</v>
      </c>
      <c r="N306" s="513">
        <v>0.85599482677912964</v>
      </c>
      <c r="O306" s="513">
        <v>0.86851295249510163</v>
      </c>
      <c r="P306" s="510">
        <v>71.405000000000001</v>
      </c>
      <c r="Q306" s="510">
        <v>448.11699999999996</v>
      </c>
      <c r="R306" s="510">
        <v>1.8336110916602479</v>
      </c>
      <c r="S306" s="510">
        <v>2.0210369166980944</v>
      </c>
      <c r="T306" s="510">
        <v>3.9212940270289195E-2</v>
      </c>
      <c r="U306" s="510">
        <v>0.15710182831715824</v>
      </c>
      <c r="V306" s="510">
        <v>516.02772915060234</v>
      </c>
      <c r="W306" s="510">
        <v>537.8590189615644</v>
      </c>
      <c r="X306" s="510">
        <v>413.41642742104068</v>
      </c>
      <c r="Y306" s="569">
        <v>484.66806659867865</v>
      </c>
      <c r="Z306" s="512">
        <v>0.79339333534272105</v>
      </c>
      <c r="AA306" s="513">
        <v>0.816154153038261</v>
      </c>
      <c r="AB306" s="513">
        <v>0.79339333534272105</v>
      </c>
      <c r="AC306" s="513">
        <v>0.816154153038261</v>
      </c>
      <c r="AD306" s="510">
        <v>34.539000000000001</v>
      </c>
      <c r="AE306" s="510">
        <v>249.79000000000002</v>
      </c>
      <c r="AF306" s="510">
        <v>116.4244245446006</v>
      </c>
      <c r="AG306" s="510">
        <v>111.4123829955104</v>
      </c>
      <c r="AH306" s="510">
        <v>1.6068791800573263</v>
      </c>
      <c r="AI306" s="510">
        <v>1.5933384042595782</v>
      </c>
      <c r="AJ306" s="510">
        <v>926.57112249918259</v>
      </c>
      <c r="AK306" s="569">
        <v>933.00924776812428</v>
      </c>
      <c r="AL306" s="576">
        <v>0</v>
      </c>
      <c r="AM306" s="577">
        <v>0</v>
      </c>
      <c r="AN306" s="512">
        <v>0</v>
      </c>
      <c r="AO306" s="513">
        <v>3.946735811553493E-2</v>
      </c>
      <c r="AP306" s="513" t="e">
        <v>#DIV/0!</v>
      </c>
      <c r="AQ306" s="513">
        <v>3.6166451800417456</v>
      </c>
      <c r="AR306" s="510">
        <v>0</v>
      </c>
      <c r="AS306" s="510">
        <v>14.929</v>
      </c>
      <c r="AT306" s="514">
        <v>0</v>
      </c>
      <c r="AU306" s="514">
        <v>23.482566580435368</v>
      </c>
      <c r="AV306" s="510">
        <v>0</v>
      </c>
      <c r="AW306" s="510">
        <v>3.9453412820684575</v>
      </c>
      <c r="AX306" s="510">
        <v>0</v>
      </c>
      <c r="AY306" s="510">
        <v>0</v>
      </c>
      <c r="AZ306" s="510">
        <v>0</v>
      </c>
      <c r="BA306" s="510">
        <v>4855.4075959541906</v>
      </c>
      <c r="BB306" s="510">
        <v>0</v>
      </c>
      <c r="BC306" s="569">
        <v>0</v>
      </c>
      <c r="BD306" s="510">
        <v>0</v>
      </c>
      <c r="BE306" s="510">
        <v>0</v>
      </c>
      <c r="BF306" s="512">
        <v>0.31555320063333175</v>
      </c>
      <c r="BG306" s="513">
        <v>0.64139706186293599</v>
      </c>
      <c r="BH306" s="513">
        <v>0.64329714652168946</v>
      </c>
      <c r="BI306" s="513">
        <v>0.69458311010885043</v>
      </c>
      <c r="BJ306" s="510">
        <v>17.548999999999999</v>
      </c>
      <c r="BK306" s="510">
        <v>237.33199999999999</v>
      </c>
      <c r="BL306" s="510">
        <v>4.0401162459399398</v>
      </c>
      <c r="BM306" s="510">
        <v>2.8892016247282291</v>
      </c>
      <c r="BN306" s="514">
        <v>0</v>
      </c>
      <c r="BO306" s="514">
        <v>0</v>
      </c>
      <c r="BP306" s="514">
        <v>1296.6145977245512</v>
      </c>
      <c r="BQ306" s="514">
        <v>1149.862531410452</v>
      </c>
      <c r="BR306" s="514">
        <v>0</v>
      </c>
      <c r="BS306" s="515">
        <v>0</v>
      </c>
      <c r="BT306" s="512">
        <v>0.58925822569426611</v>
      </c>
      <c r="BU306" s="513">
        <v>0.65402225083955801</v>
      </c>
      <c r="BV306" s="581">
        <v>0.83681641518712346</v>
      </c>
      <c r="BW306" s="581">
        <v>0.68190055790897142</v>
      </c>
      <c r="BX306" s="510">
        <v>27.75</v>
      </c>
      <c r="BY306" s="510">
        <v>222.87</v>
      </c>
      <c r="BZ306" s="514">
        <v>69.400257049528065</v>
      </c>
      <c r="CA306" s="514">
        <v>102.4217239425321</v>
      </c>
      <c r="CB306" s="510">
        <v>2.1657657657657658</v>
      </c>
      <c r="CC306" s="510">
        <v>2.5584421411585225</v>
      </c>
      <c r="CD306" s="514">
        <v>0</v>
      </c>
      <c r="CE306" s="514">
        <v>0</v>
      </c>
      <c r="CF306" s="514">
        <v>890.42307836150326</v>
      </c>
      <c r="CG306" s="514">
        <v>1229.1692722003593</v>
      </c>
      <c r="CH306" s="514">
        <v>0</v>
      </c>
      <c r="CI306" s="514">
        <v>0</v>
      </c>
      <c r="CJ306" s="582">
        <v>0</v>
      </c>
      <c r="CK306" s="582">
        <v>0</v>
      </c>
    </row>
    <row r="307" spans="1:89" ht="12.75" customHeight="1">
      <c r="A307" s="560">
        <v>45724</v>
      </c>
      <c r="B307" s="512">
        <v>1.0030645213769716</v>
      </c>
      <c r="C307" s="513">
        <v>0.71147852868648231</v>
      </c>
      <c r="D307" s="513">
        <v>1.0030645213769716</v>
      </c>
      <c r="E307" s="513">
        <v>0.71147852868648231</v>
      </c>
      <c r="F307" s="510">
        <v>57.494</v>
      </c>
      <c r="G307" s="510">
        <v>335.625</v>
      </c>
      <c r="H307" s="510">
        <v>2.2864820676940205</v>
      </c>
      <c r="I307" s="510">
        <v>2.3688581005586591</v>
      </c>
      <c r="J307" s="510">
        <v>845.62771767488471</v>
      </c>
      <c r="K307" s="511">
        <v>1041.1170204841665</v>
      </c>
      <c r="L307" s="512">
        <v>0.96336633790770176</v>
      </c>
      <c r="M307" s="513">
        <v>0.88127180861095222</v>
      </c>
      <c r="N307" s="513">
        <v>0.96336633790770176</v>
      </c>
      <c r="O307" s="513">
        <v>0.88127180861095222</v>
      </c>
      <c r="P307" s="510">
        <v>77.251000000000005</v>
      </c>
      <c r="Q307" s="510">
        <v>525.36799999999994</v>
      </c>
      <c r="R307" s="510">
        <v>1.97040815005631</v>
      </c>
      <c r="S307" s="510">
        <v>2.0135923771527771</v>
      </c>
      <c r="T307" s="510">
        <v>0.19028879885050029</v>
      </c>
      <c r="U307" s="510">
        <v>0.16198169663930809</v>
      </c>
      <c r="V307" s="510">
        <v>478.67186185293968</v>
      </c>
      <c r="W307" s="510">
        <v>529.15603919538466</v>
      </c>
      <c r="X307" s="510">
        <v>480.78342027936088</v>
      </c>
      <c r="Y307" s="569">
        <v>484.0968616284224</v>
      </c>
      <c r="Z307" s="512">
        <v>0.94739052461101503</v>
      </c>
      <c r="AA307" s="513">
        <v>0.83249654526951322</v>
      </c>
      <c r="AB307" s="513">
        <v>0.94739052461101503</v>
      </c>
      <c r="AC307" s="513">
        <v>0.83249654526951322</v>
      </c>
      <c r="AD307" s="510">
        <v>41.243000000000002</v>
      </c>
      <c r="AE307" s="510">
        <v>291.03300000000002</v>
      </c>
      <c r="AF307" s="510">
        <v>114.17184610981843</v>
      </c>
      <c r="AG307" s="510">
        <v>111.80343327923563</v>
      </c>
      <c r="AH307" s="510">
        <v>1.5251072909342189</v>
      </c>
      <c r="AI307" s="510">
        <v>1.583669205897613</v>
      </c>
      <c r="AJ307" s="510">
        <v>960.36951725141671</v>
      </c>
      <c r="AK307" s="569">
        <v>936.88653863994796</v>
      </c>
      <c r="AL307" s="576">
        <v>0</v>
      </c>
      <c r="AM307" s="577">
        <v>0</v>
      </c>
      <c r="AN307" s="512">
        <v>0</v>
      </c>
      <c r="AO307" s="513">
        <v>3.4533938351093064E-2</v>
      </c>
      <c r="AP307" s="513" t="e">
        <v>#DIV/0!</v>
      </c>
      <c r="AQ307" s="513">
        <v>3.6166451800417456</v>
      </c>
      <c r="AR307" s="510">
        <v>0</v>
      </c>
      <c r="AS307" s="510">
        <v>14.929</v>
      </c>
      <c r="AT307" s="514">
        <v>0</v>
      </c>
      <c r="AU307" s="514">
        <v>23.482566580435368</v>
      </c>
      <c r="AV307" s="510">
        <v>0</v>
      </c>
      <c r="AW307" s="510">
        <v>5.1577466675597829</v>
      </c>
      <c r="AX307" s="510">
        <v>0</v>
      </c>
      <c r="AY307" s="510">
        <v>0</v>
      </c>
      <c r="AZ307" s="510">
        <v>0</v>
      </c>
      <c r="BA307" s="510">
        <v>5447.44457096926</v>
      </c>
      <c r="BB307" s="510">
        <v>0</v>
      </c>
      <c r="BC307" s="569">
        <v>0</v>
      </c>
      <c r="BD307" s="510">
        <v>0</v>
      </c>
      <c r="BE307" s="510">
        <v>0</v>
      </c>
      <c r="BF307" s="512">
        <v>0.65806438893995756</v>
      </c>
      <c r="BG307" s="513">
        <v>0.64351776810879091</v>
      </c>
      <c r="BH307" s="513">
        <v>0.65806438893995756</v>
      </c>
      <c r="BI307" s="513">
        <v>0.68960379946781492</v>
      </c>
      <c r="BJ307" s="510">
        <v>35.499000000000002</v>
      </c>
      <c r="BK307" s="510">
        <v>272.83100000000002</v>
      </c>
      <c r="BL307" s="510">
        <v>2.9465618749823936</v>
      </c>
      <c r="BM307" s="510">
        <v>2.8966649684236763</v>
      </c>
      <c r="BN307" s="514">
        <v>0</v>
      </c>
      <c r="BO307" s="514">
        <v>0</v>
      </c>
      <c r="BP307" s="514">
        <v>1210.7382328180884</v>
      </c>
      <c r="BQ307" s="514">
        <v>1157.7832828069932</v>
      </c>
      <c r="BR307" s="514">
        <v>0</v>
      </c>
      <c r="BS307" s="515">
        <v>0</v>
      </c>
      <c r="BT307" s="512">
        <v>0.87387019472035576</v>
      </c>
      <c r="BU307" s="513">
        <v>0.68100736871779954</v>
      </c>
      <c r="BV307" s="581">
        <v>0.87387019472035576</v>
      </c>
      <c r="BW307" s="581">
        <v>0.70634030060028785</v>
      </c>
      <c r="BX307" s="510">
        <v>41.665999999999997</v>
      </c>
      <c r="BY307" s="510">
        <v>264.536</v>
      </c>
      <c r="BZ307" s="514">
        <v>85.494421132164319</v>
      </c>
      <c r="CA307" s="514">
        <v>99.755572647824451</v>
      </c>
      <c r="CB307" s="510">
        <v>2.126434022944367</v>
      </c>
      <c r="CC307" s="510">
        <v>2.4903982822753803</v>
      </c>
      <c r="CD307" s="514">
        <v>0</v>
      </c>
      <c r="CE307" s="514">
        <v>0</v>
      </c>
      <c r="CF307" s="514">
        <v>1057.3502009597742</v>
      </c>
      <c r="CG307" s="514">
        <v>1202.1067422524118</v>
      </c>
      <c r="CH307" s="514">
        <v>0</v>
      </c>
      <c r="CI307" s="514">
        <v>0</v>
      </c>
      <c r="CJ307" s="582">
        <v>0</v>
      </c>
      <c r="CK307" s="582">
        <v>0</v>
      </c>
    </row>
    <row r="308" spans="1:89" ht="12.75" customHeight="1">
      <c r="A308" s="560">
        <v>45725</v>
      </c>
      <c r="B308" s="512">
        <v>0.86723452192221884</v>
      </c>
      <c r="C308" s="513">
        <v>0.72822614855807355</v>
      </c>
      <c r="D308" s="513">
        <v>0.86723452192221884</v>
      </c>
      <c r="E308" s="513">
        <v>0.72822614855807355</v>
      </c>
      <c r="F308" s="510">
        <v>49.287999999999997</v>
      </c>
      <c r="G308" s="510">
        <v>384.91300000000001</v>
      </c>
      <c r="H308" s="510">
        <v>2.6433817562084077</v>
      </c>
      <c r="I308" s="510">
        <v>2.4040107764611744</v>
      </c>
      <c r="J308" s="510">
        <v>985.20126602824894</v>
      </c>
      <c r="K308" s="511">
        <v>1033.9570240547828</v>
      </c>
      <c r="L308" s="512">
        <v>0.95256959625744586</v>
      </c>
      <c r="M308" s="513">
        <v>0.88795109032845931</v>
      </c>
      <c r="N308" s="513">
        <v>0.95256959625744586</v>
      </c>
      <c r="O308" s="513">
        <v>0.88795109032845931</v>
      </c>
      <c r="P308" s="510">
        <v>58.698</v>
      </c>
      <c r="Q308" s="510">
        <v>584.06599999999992</v>
      </c>
      <c r="R308" s="510">
        <v>2.1455415857439779</v>
      </c>
      <c r="S308" s="510">
        <v>2.0268531296120647</v>
      </c>
      <c r="T308" s="510">
        <v>0.20273263143548331</v>
      </c>
      <c r="U308" s="510">
        <v>0.16607712142120928</v>
      </c>
      <c r="V308" s="510">
        <v>681.23956523219147</v>
      </c>
      <c r="W308" s="510">
        <v>544.44026873675239</v>
      </c>
      <c r="X308" s="510">
        <v>506.04790623188177</v>
      </c>
      <c r="Y308" s="569">
        <v>486.30291782093121</v>
      </c>
      <c r="Z308" s="512">
        <v>0.9256140724292814</v>
      </c>
      <c r="AA308" s="513">
        <v>0.84280807731669993</v>
      </c>
      <c r="AB308" s="513">
        <v>0.9256140724292814</v>
      </c>
      <c r="AC308" s="513">
        <v>0.84280807731669993</v>
      </c>
      <c r="AD308" s="510">
        <v>40.295000000000002</v>
      </c>
      <c r="AE308" s="510">
        <v>331.32800000000003</v>
      </c>
      <c r="AF308" s="510">
        <v>113.93874619732846</v>
      </c>
      <c r="AG308" s="510">
        <v>112.06312287394103</v>
      </c>
      <c r="AH308" s="510">
        <v>1.5039086735326963</v>
      </c>
      <c r="AI308" s="510">
        <v>1.5739689974888931</v>
      </c>
      <c r="AJ308" s="510">
        <v>952.93708896886369</v>
      </c>
      <c r="AK308" s="569">
        <v>938.83855273324411</v>
      </c>
      <c r="AL308" s="576">
        <v>0</v>
      </c>
      <c r="AM308" s="577">
        <v>0</v>
      </c>
      <c r="AN308" s="512">
        <v>0</v>
      </c>
      <c r="AO308" s="513">
        <v>3.06968340898605E-2</v>
      </c>
      <c r="AP308" s="513" t="e">
        <v>#DIV/0!</v>
      </c>
      <c r="AQ308" s="513">
        <v>3.6166451800417456</v>
      </c>
      <c r="AR308" s="510">
        <v>0</v>
      </c>
      <c r="AS308" s="510">
        <v>14.929</v>
      </c>
      <c r="AT308" s="514">
        <v>0</v>
      </c>
      <c r="AU308" s="514">
        <v>23.482566580435368</v>
      </c>
      <c r="AV308" s="510">
        <v>0</v>
      </c>
      <c r="AW308" s="510">
        <v>5.2783173688793621</v>
      </c>
      <c r="AX308" s="510">
        <v>0</v>
      </c>
      <c r="AY308" s="510">
        <v>0</v>
      </c>
      <c r="AZ308" s="510">
        <v>0</v>
      </c>
      <c r="BA308" s="510">
        <v>6054.8931609618903</v>
      </c>
      <c r="BB308" s="510">
        <v>0</v>
      </c>
      <c r="BC308" s="569">
        <v>0</v>
      </c>
      <c r="BD308" s="510">
        <v>0</v>
      </c>
      <c r="BE308" s="510">
        <v>0</v>
      </c>
      <c r="BF308" s="512">
        <v>0.76277548067276391</v>
      </c>
      <c r="BG308" s="513">
        <v>0.65703106795396138</v>
      </c>
      <c r="BH308" s="513">
        <v>0.76277548067276391</v>
      </c>
      <c r="BI308" s="513">
        <v>0.69841727162521616</v>
      </c>
      <c r="BJ308" s="510">
        <v>41.326999999999998</v>
      </c>
      <c r="BK308" s="510">
        <v>314.15800000000002</v>
      </c>
      <c r="BL308" s="510">
        <v>2.5382921576693205</v>
      </c>
      <c r="BM308" s="510">
        <v>2.8495215783140968</v>
      </c>
      <c r="BN308" s="514">
        <v>0</v>
      </c>
      <c r="BO308" s="514">
        <v>0</v>
      </c>
      <c r="BP308" s="514">
        <v>1139.7608805902566</v>
      </c>
      <c r="BQ308" s="514">
        <v>1155.4124636127945</v>
      </c>
      <c r="BR308" s="514">
        <v>0</v>
      </c>
      <c r="BS308" s="515">
        <v>0</v>
      </c>
      <c r="BT308" s="512">
        <v>0.78817102092531288</v>
      </c>
      <c r="BU308" s="513">
        <v>0.69344018420597964</v>
      </c>
      <c r="BV308" s="581">
        <v>0.78817102092531288</v>
      </c>
      <c r="BW308" s="581">
        <v>0.71614490917903428</v>
      </c>
      <c r="BX308" s="510">
        <v>40.182000000000002</v>
      </c>
      <c r="BY308" s="510">
        <v>304.71800000000002</v>
      </c>
      <c r="BZ308" s="514">
        <v>93.420890497701734</v>
      </c>
      <c r="CA308" s="514">
        <v>98.920242282843617</v>
      </c>
      <c r="CB308" s="510">
        <v>2.219899457468518</v>
      </c>
      <c r="CC308" s="510">
        <v>2.4547286343438852</v>
      </c>
      <c r="CD308" s="514">
        <v>0</v>
      </c>
      <c r="CE308" s="514">
        <v>0</v>
      </c>
      <c r="CF308" s="514">
        <v>1101.187150660651</v>
      </c>
      <c r="CG308" s="514">
        <v>1188.7988607707136</v>
      </c>
      <c r="CH308" s="514">
        <v>0</v>
      </c>
      <c r="CI308" s="514">
        <v>0</v>
      </c>
      <c r="CJ308" s="582">
        <v>0</v>
      </c>
      <c r="CK308" s="582">
        <v>0</v>
      </c>
    </row>
    <row r="309" spans="1:89" ht="12.75" customHeight="1">
      <c r="A309" s="560">
        <v>45726</v>
      </c>
      <c r="B309" s="512">
        <v>0.84233639875938737</v>
      </c>
      <c r="C309" s="513">
        <v>0.73929898091778701</v>
      </c>
      <c r="D309" s="513">
        <v>0.84233639875938737</v>
      </c>
      <c r="E309" s="513">
        <v>0.73929898091778701</v>
      </c>
      <c r="F309" s="510">
        <v>47.845999999999997</v>
      </c>
      <c r="G309" s="510">
        <v>432.75900000000001</v>
      </c>
      <c r="H309" s="510">
        <v>2.7168415332525182</v>
      </c>
      <c r="I309" s="510">
        <v>2.4385974641775214</v>
      </c>
      <c r="J309" s="510">
        <v>1090.2474606027729</v>
      </c>
      <c r="K309" s="511">
        <v>1040.1805161764375</v>
      </c>
      <c r="L309" s="512">
        <v>0.8532357389975106</v>
      </c>
      <c r="M309" s="513">
        <v>0.8850815524047051</v>
      </c>
      <c r="N309" s="513">
        <v>0.8532357389975106</v>
      </c>
      <c r="O309" s="513">
        <v>0.8850815524047051</v>
      </c>
      <c r="P309" s="510">
        <v>50.570999999999998</v>
      </c>
      <c r="Q309" s="510">
        <v>634.63699999999994</v>
      </c>
      <c r="R309" s="510">
        <v>2.4033537007375769</v>
      </c>
      <c r="S309" s="510">
        <v>2.0568545483481109</v>
      </c>
      <c r="T309" s="510">
        <v>0.24915465385299876</v>
      </c>
      <c r="U309" s="510">
        <v>0.17269714813349996</v>
      </c>
      <c r="V309" s="510">
        <v>736.64886990568368</v>
      </c>
      <c r="W309" s="510">
        <v>559.75639617608203</v>
      </c>
      <c r="X309" s="510">
        <v>591.168851713447</v>
      </c>
      <c r="Y309" s="569">
        <v>494.65915160950385</v>
      </c>
      <c r="Z309" s="512">
        <v>0.50991547192846631</v>
      </c>
      <c r="AA309" s="513">
        <v>0.7966090178488624</v>
      </c>
      <c r="AB309" s="513">
        <v>0.50991547192846631</v>
      </c>
      <c r="AC309" s="513">
        <v>0.7966090178488624</v>
      </c>
      <c r="AD309" s="510">
        <v>32.302999999999997</v>
      </c>
      <c r="AE309" s="510">
        <v>363.63100000000003</v>
      </c>
      <c r="AF309" s="510">
        <v>122.46848730627329</v>
      </c>
      <c r="AG309" s="510">
        <v>112.98747884815013</v>
      </c>
      <c r="AH309" s="510">
        <v>1.7428721790545771</v>
      </c>
      <c r="AI309" s="510">
        <v>1.5889734373582007</v>
      </c>
      <c r="AJ309" s="510">
        <v>973.40742345911599</v>
      </c>
      <c r="AK309" s="569">
        <v>941.90946316458212</v>
      </c>
      <c r="AL309" s="576">
        <v>0</v>
      </c>
      <c r="AM309" s="577">
        <v>0</v>
      </c>
      <c r="AN309" s="512">
        <v>0</v>
      </c>
      <c r="AO309" s="513">
        <v>2.762715068087445E-2</v>
      </c>
      <c r="AP309" s="513" t="e">
        <v>#DIV/0!</v>
      </c>
      <c r="AQ309" s="513">
        <v>3.6166451800417456</v>
      </c>
      <c r="AR309" s="510">
        <v>0</v>
      </c>
      <c r="AS309" s="510">
        <v>14.929</v>
      </c>
      <c r="AT309" s="514">
        <v>0</v>
      </c>
      <c r="AU309" s="514">
        <v>23.482566580435368</v>
      </c>
      <c r="AV309" s="510">
        <v>0</v>
      </c>
      <c r="AW309" s="510">
        <v>5.5328555161095849</v>
      </c>
      <c r="AX309" s="510">
        <v>0</v>
      </c>
      <c r="AY309" s="510">
        <v>0</v>
      </c>
      <c r="AZ309" s="510">
        <v>0</v>
      </c>
      <c r="BA309" s="510">
        <v>6743.0825909304049</v>
      </c>
      <c r="BB309" s="510">
        <v>0</v>
      </c>
      <c r="BC309" s="569">
        <v>0</v>
      </c>
      <c r="BD309" s="510">
        <v>0</v>
      </c>
      <c r="BE309" s="510">
        <v>0</v>
      </c>
      <c r="BF309" s="512">
        <v>0.91401818570209103</v>
      </c>
      <c r="BG309" s="513">
        <v>0.68229432088929021</v>
      </c>
      <c r="BH309" s="513">
        <v>0.91401818570209103</v>
      </c>
      <c r="BI309" s="513">
        <v>0.72080843284356844</v>
      </c>
      <c r="BJ309" s="510">
        <v>47.646999999999998</v>
      </c>
      <c r="BK309" s="510">
        <v>361.80500000000001</v>
      </c>
      <c r="BL309" s="510">
        <v>2.26247192897769</v>
      </c>
      <c r="BM309" s="510">
        <v>2.7722115504208067</v>
      </c>
      <c r="BN309" s="514">
        <v>0</v>
      </c>
      <c r="BO309" s="514">
        <v>0</v>
      </c>
      <c r="BP309" s="514">
        <v>1015.8121996241796</v>
      </c>
      <c r="BQ309" s="514">
        <v>1137.0281577622243</v>
      </c>
      <c r="BR309" s="514">
        <v>0</v>
      </c>
      <c r="BS309" s="515">
        <v>0</v>
      </c>
      <c r="BT309" s="512">
        <v>0.84499190659806733</v>
      </c>
      <c r="BU309" s="513">
        <v>0.70761904844656731</v>
      </c>
      <c r="BV309" s="581">
        <v>0.84499190659806733</v>
      </c>
      <c r="BW309" s="581">
        <v>0.72855624248400686</v>
      </c>
      <c r="BX309" s="510">
        <v>38.325000000000003</v>
      </c>
      <c r="BY309" s="510">
        <v>343.04300000000001</v>
      </c>
      <c r="BZ309" s="514">
        <v>79.866939453240818</v>
      </c>
      <c r="CA309" s="514">
        <v>96.791594180580844</v>
      </c>
      <c r="CB309" s="510">
        <v>2.1030658838878016</v>
      </c>
      <c r="CC309" s="510">
        <v>2.4154406298918794</v>
      </c>
      <c r="CD309" s="514">
        <v>0</v>
      </c>
      <c r="CE309" s="514">
        <v>0</v>
      </c>
      <c r="CF309" s="514">
        <v>1061.0968329943089</v>
      </c>
      <c r="CG309" s="514">
        <v>1174.5319023587049</v>
      </c>
      <c r="CH309" s="514">
        <v>0</v>
      </c>
      <c r="CI309" s="514">
        <v>0</v>
      </c>
      <c r="CJ309" s="582">
        <v>0</v>
      </c>
      <c r="CK309" s="582">
        <v>0</v>
      </c>
    </row>
    <row r="310" spans="1:89" ht="12.75" customHeight="1">
      <c r="A310" s="560">
        <v>45727</v>
      </c>
      <c r="B310" s="512">
        <v>0.95920653310111659</v>
      </c>
      <c r="C310" s="513">
        <v>0.75890644146559971</v>
      </c>
      <c r="D310" s="513">
        <v>0.95920653310111659</v>
      </c>
      <c r="E310" s="513">
        <v>0.75890644146559971</v>
      </c>
      <c r="F310" s="510">
        <v>54.963999999999999</v>
      </c>
      <c r="G310" s="510">
        <v>487.72300000000001</v>
      </c>
      <c r="H310" s="510">
        <v>2.3628738810858017</v>
      </c>
      <c r="I310" s="510">
        <v>2.4300637862065151</v>
      </c>
      <c r="J310" s="510">
        <v>986.88850884214571</v>
      </c>
      <c r="K310" s="511">
        <v>1034.1747672346776</v>
      </c>
      <c r="L310" s="512">
        <v>0.87073930847163183</v>
      </c>
      <c r="M310" s="513">
        <v>0.88407071100745394</v>
      </c>
      <c r="N310" s="513">
        <v>0.87073930847163183</v>
      </c>
      <c r="O310" s="513">
        <v>0.88407071100745394</v>
      </c>
      <c r="P310" s="510">
        <v>47.341000000000001</v>
      </c>
      <c r="Q310" s="510">
        <v>681.97799999999995</v>
      </c>
      <c r="R310" s="510">
        <v>2.7810777127648336</v>
      </c>
      <c r="S310" s="510">
        <v>2.1071280891758972</v>
      </c>
      <c r="T310" s="510">
        <v>0.19222238651486026</v>
      </c>
      <c r="U310" s="510">
        <v>0.1740525354190311</v>
      </c>
      <c r="V310" s="510">
        <v>869.08409201326492</v>
      </c>
      <c r="W310" s="510">
        <v>581.22905724231612</v>
      </c>
      <c r="X310" s="510">
        <v>481.33752983671468</v>
      </c>
      <c r="Y310" s="569">
        <v>493.73440198950783</v>
      </c>
      <c r="Z310" s="512">
        <v>0.88047151921860434</v>
      </c>
      <c r="AA310" s="513">
        <v>0.8040665924607121</v>
      </c>
      <c r="AB310" s="513">
        <v>0.88047151921860434</v>
      </c>
      <c r="AC310" s="513">
        <v>0.8040665924607121</v>
      </c>
      <c r="AD310" s="510">
        <v>39.228999999999999</v>
      </c>
      <c r="AE310" s="510">
        <v>402.86</v>
      </c>
      <c r="AF310" s="510">
        <v>117.35159296743571</v>
      </c>
      <c r="AG310" s="510">
        <v>113.41243995817707</v>
      </c>
      <c r="AH310" s="510">
        <v>1.5779142980957965</v>
      </c>
      <c r="AI310" s="510">
        <v>1.5878965397408527</v>
      </c>
      <c r="AJ310" s="510">
        <v>985.32565194117512</v>
      </c>
      <c r="AK310" s="569">
        <v>946.1371692399357</v>
      </c>
      <c r="AL310" s="576">
        <v>0</v>
      </c>
      <c r="AM310" s="577">
        <v>0</v>
      </c>
      <c r="AN310" s="512">
        <v>0.27539220613208293</v>
      </c>
      <c r="AO310" s="513">
        <v>4.9913662600807963E-2</v>
      </c>
      <c r="AP310" s="513">
        <v>0.51974413739213554</v>
      </c>
      <c r="AQ310" s="513">
        <v>0.91395416227446624</v>
      </c>
      <c r="AR310" s="510">
        <v>14.709</v>
      </c>
      <c r="AS310" s="510">
        <v>29.637999999999998</v>
      </c>
      <c r="AT310" s="514">
        <v>208.03638762396236</v>
      </c>
      <c r="AU310" s="514">
        <v>115.07451454349761</v>
      </c>
      <c r="AV310" s="510">
        <v>3.3720851179549935</v>
      </c>
      <c r="AW310" s="510">
        <v>4.4604899115999732</v>
      </c>
      <c r="AX310" s="510">
        <v>0</v>
      </c>
      <c r="AY310" s="510">
        <v>0</v>
      </c>
      <c r="AZ310" s="510">
        <v>1805.9242640560194</v>
      </c>
      <c r="BA310" s="510">
        <v>4292.8274512450243</v>
      </c>
      <c r="BB310" s="510">
        <v>0</v>
      </c>
      <c r="BC310" s="569">
        <v>0</v>
      </c>
      <c r="BD310" s="510">
        <v>0</v>
      </c>
      <c r="BE310" s="510">
        <v>0</v>
      </c>
      <c r="BF310" s="512">
        <v>0.81310339417120359</v>
      </c>
      <c r="BG310" s="513">
        <v>0.6947075289420197</v>
      </c>
      <c r="BH310" s="513">
        <v>0.81310339417120359</v>
      </c>
      <c r="BI310" s="513">
        <v>0.73001191341351379</v>
      </c>
      <c r="BJ310" s="510">
        <v>45.206000000000003</v>
      </c>
      <c r="BK310" s="510">
        <v>407.01100000000002</v>
      </c>
      <c r="BL310" s="510">
        <v>2.5018802813785777</v>
      </c>
      <c r="BM310" s="510">
        <v>2.7421863291164117</v>
      </c>
      <c r="BN310" s="514">
        <v>0</v>
      </c>
      <c r="BO310" s="514">
        <v>0</v>
      </c>
      <c r="BP310" s="514">
        <v>1009.3516102413671</v>
      </c>
      <c r="BQ310" s="514">
        <v>1122.8473469064295</v>
      </c>
      <c r="BR310" s="514">
        <v>0</v>
      </c>
      <c r="BS310" s="515">
        <v>0</v>
      </c>
      <c r="BT310" s="512">
        <v>0.91995280610595731</v>
      </c>
      <c r="BU310" s="513">
        <v>0.72602758500750175</v>
      </c>
      <c r="BV310" s="581">
        <v>0.91995280610595731</v>
      </c>
      <c r="BW310" s="581">
        <v>0.74559685899321693</v>
      </c>
      <c r="BX310" s="510">
        <v>42.335000000000001</v>
      </c>
      <c r="BY310" s="510">
        <v>385.37799999999999</v>
      </c>
      <c r="BZ310" s="514">
        <v>83.628372125182523</v>
      </c>
      <c r="CA310" s="514">
        <v>95.345572337830902</v>
      </c>
      <c r="CB310" s="510">
        <v>1.9676390693279791</v>
      </c>
      <c r="CC310" s="510">
        <v>2.3662482030629666</v>
      </c>
      <c r="CD310" s="514">
        <v>0</v>
      </c>
      <c r="CE310" s="514">
        <v>0</v>
      </c>
      <c r="CF310" s="514">
        <v>1057.468314808764</v>
      </c>
      <c r="CG310" s="514">
        <v>1161.6720946402397</v>
      </c>
      <c r="CH310" s="514">
        <v>0</v>
      </c>
      <c r="CI310" s="514">
        <v>0</v>
      </c>
      <c r="CJ310" s="582">
        <v>0</v>
      </c>
      <c r="CK310" s="582">
        <v>0</v>
      </c>
    </row>
    <row r="311" spans="1:89" ht="12.75" customHeight="1">
      <c r="A311" s="560">
        <v>45728</v>
      </c>
      <c r="B311" s="512">
        <v>1.1026903566633692</v>
      </c>
      <c r="C311" s="513">
        <v>0.78667676409781329</v>
      </c>
      <c r="D311" s="513">
        <v>1.1026903566633692</v>
      </c>
      <c r="E311" s="513">
        <v>0.78667676409781329</v>
      </c>
      <c r="F311" s="510">
        <v>62.274999999999999</v>
      </c>
      <c r="G311" s="510">
        <v>549.99800000000005</v>
      </c>
      <c r="H311" s="510">
        <v>2.1326856684062627</v>
      </c>
      <c r="I311" s="510">
        <v>2.3963923505176385</v>
      </c>
      <c r="J311" s="510">
        <v>870.78731433159271</v>
      </c>
      <c r="K311" s="511">
        <v>1015.6747842719402</v>
      </c>
      <c r="L311" s="512">
        <v>0.89650725007941978</v>
      </c>
      <c r="M311" s="513">
        <v>0.88492206287685771</v>
      </c>
      <c r="N311" s="513">
        <v>0.89650725007941978</v>
      </c>
      <c r="O311" s="513">
        <v>0.88492206287685771</v>
      </c>
      <c r="P311" s="510">
        <v>50.820999999999998</v>
      </c>
      <c r="Q311" s="510">
        <v>732.79899999999998</v>
      </c>
      <c r="R311" s="510">
        <v>2.6899706814112276</v>
      </c>
      <c r="S311" s="510">
        <v>2.1475493279876199</v>
      </c>
      <c r="T311" s="510">
        <v>0.20660750477164952</v>
      </c>
      <c r="U311" s="510">
        <v>0.17631028426621762</v>
      </c>
      <c r="V311" s="510">
        <v>784.35627004584148</v>
      </c>
      <c r="W311" s="510">
        <v>595.3163145692065</v>
      </c>
      <c r="X311" s="510">
        <v>583.65636252730519</v>
      </c>
      <c r="Y311" s="569">
        <v>499.97066044031277</v>
      </c>
      <c r="Z311" s="512">
        <v>0.91007654426294649</v>
      </c>
      <c r="AA311" s="513">
        <v>0.812664939157833</v>
      </c>
      <c r="AB311" s="513">
        <v>0.91007654426294649</v>
      </c>
      <c r="AC311" s="513">
        <v>0.812664939157833</v>
      </c>
      <c r="AD311" s="510">
        <v>40.247999999999998</v>
      </c>
      <c r="AE311" s="510">
        <v>443.108</v>
      </c>
      <c r="AF311" s="510">
        <v>101.84382060453061</v>
      </c>
      <c r="AG311" s="510">
        <v>112.36164919893652</v>
      </c>
      <c r="AH311" s="510">
        <v>1.5503875968992249</v>
      </c>
      <c r="AI311" s="510">
        <v>1.5844895601072422</v>
      </c>
      <c r="AJ311" s="510">
        <v>944.2899026038516</v>
      </c>
      <c r="AK311" s="569">
        <v>945.96937992543656</v>
      </c>
      <c r="AL311" s="576">
        <v>0</v>
      </c>
      <c r="AM311" s="577">
        <v>0</v>
      </c>
      <c r="AN311" s="512">
        <v>0.88706423337145113</v>
      </c>
      <c r="AO311" s="513">
        <v>0.11888992636408399</v>
      </c>
      <c r="AP311" s="513">
        <v>0.88706423337145113</v>
      </c>
      <c r="AQ311" s="513">
        <v>0.8972337762942747</v>
      </c>
      <c r="AR311" s="510">
        <v>47.295999999999999</v>
      </c>
      <c r="AS311" s="510">
        <v>76.933999999999997</v>
      </c>
      <c r="AT311" s="514">
        <v>98.842575637582868</v>
      </c>
      <c r="AU311" s="514">
        <v>105.09575635473654</v>
      </c>
      <c r="AV311" s="510">
        <v>1.4673545331529094</v>
      </c>
      <c r="AW311" s="510">
        <v>2.6204278992383081</v>
      </c>
      <c r="AX311" s="510">
        <v>0</v>
      </c>
      <c r="AY311" s="510">
        <v>0</v>
      </c>
      <c r="AZ311" s="510">
        <v>868.0603010825439</v>
      </c>
      <c r="BA311" s="510">
        <v>2187.4151870434398</v>
      </c>
      <c r="BB311" s="510">
        <v>0</v>
      </c>
      <c r="BC311" s="569">
        <v>0</v>
      </c>
      <c r="BD311" s="510">
        <v>0</v>
      </c>
      <c r="BE311" s="510">
        <v>0</v>
      </c>
      <c r="BF311" s="512">
        <v>0.68403621388508939</v>
      </c>
      <c r="BG311" s="513">
        <v>0.6937638426074163</v>
      </c>
      <c r="BH311" s="513">
        <v>0.68403621388508939</v>
      </c>
      <c r="BI311" s="513">
        <v>0.72575868555141509</v>
      </c>
      <c r="BJ311" s="510">
        <v>38.878</v>
      </c>
      <c r="BK311" s="510">
        <v>445.88900000000001</v>
      </c>
      <c r="BL311" s="510">
        <v>2.9528267915016202</v>
      </c>
      <c r="BM311" s="510">
        <v>2.760552514190751</v>
      </c>
      <c r="BN311" s="514">
        <v>0</v>
      </c>
      <c r="BO311" s="514">
        <v>0</v>
      </c>
      <c r="BP311" s="514">
        <v>1223.1462169725451</v>
      </c>
      <c r="BQ311" s="514">
        <v>1131.5926164027178</v>
      </c>
      <c r="BR311" s="514">
        <v>0</v>
      </c>
      <c r="BS311" s="515">
        <v>0</v>
      </c>
      <c r="BT311" s="512">
        <v>0.6962983928212334</v>
      </c>
      <c r="BU311" s="513">
        <v>0.72355121929237576</v>
      </c>
      <c r="BV311" s="581">
        <v>0.6962983928212334</v>
      </c>
      <c r="BW311" s="581">
        <v>0.74138918534285125</v>
      </c>
      <c r="BX311" s="510">
        <v>33.584000000000003</v>
      </c>
      <c r="BY311" s="510">
        <v>418.96199999999999</v>
      </c>
      <c r="BZ311" s="514">
        <v>95.019397658222175</v>
      </c>
      <c r="CA311" s="514">
        <v>95.319426170780005</v>
      </c>
      <c r="CB311" s="510">
        <v>2.5786088613625533</v>
      </c>
      <c r="CC311" s="510">
        <v>2.3832710365140515</v>
      </c>
      <c r="CD311" s="514">
        <v>0</v>
      </c>
      <c r="CE311" s="514">
        <v>0</v>
      </c>
      <c r="CF311" s="514">
        <v>1317.1111653329378</v>
      </c>
      <c r="CG311" s="514">
        <v>1174.1320928027069</v>
      </c>
      <c r="CH311" s="514">
        <v>0</v>
      </c>
      <c r="CI311" s="514">
        <v>0</v>
      </c>
      <c r="CJ311" s="582">
        <v>0</v>
      </c>
      <c r="CK311" s="582">
        <v>0</v>
      </c>
    </row>
    <row r="312" spans="1:89" ht="12.75" customHeight="1">
      <c r="A312" s="560">
        <v>45729</v>
      </c>
      <c r="B312" s="512">
        <v>0.77588651339909032</v>
      </c>
      <c r="C312" s="513">
        <v>0.78587215685901224</v>
      </c>
      <c r="D312" s="513">
        <v>0.77588651339909032</v>
      </c>
      <c r="E312" s="513">
        <v>0.78587215685901224</v>
      </c>
      <c r="F312" s="510">
        <v>43.709000000000003</v>
      </c>
      <c r="G312" s="510">
        <v>593.70700000000011</v>
      </c>
      <c r="H312" s="510">
        <v>2.2407055755107641</v>
      </c>
      <c r="I312" s="510">
        <v>2.3849306139223558</v>
      </c>
      <c r="J312" s="510">
        <v>1027.2547987828411</v>
      </c>
      <c r="K312" s="511">
        <v>1016.5273106094381</v>
      </c>
      <c r="L312" s="512">
        <v>0.75052859522944781</v>
      </c>
      <c r="M312" s="513">
        <v>0.87619338307198702</v>
      </c>
      <c r="N312" s="513">
        <v>0.75052859522944781</v>
      </c>
      <c r="O312" s="513">
        <v>0.87619338307198702</v>
      </c>
      <c r="P312" s="510">
        <v>43.17</v>
      </c>
      <c r="Q312" s="510">
        <v>775.96899999999994</v>
      </c>
      <c r="R312" s="510">
        <v>3.0873523280055593</v>
      </c>
      <c r="S312" s="510">
        <v>2.199834013987672</v>
      </c>
      <c r="T312" s="510">
        <v>0.24322446143154969</v>
      </c>
      <c r="U312" s="510">
        <v>0.1800329652344359</v>
      </c>
      <c r="V312" s="510">
        <v>864.23141070184772</v>
      </c>
      <c r="W312" s="510">
        <v>610.27704715007792</v>
      </c>
      <c r="X312" s="510">
        <v>651.47092888580448</v>
      </c>
      <c r="Y312" s="569">
        <v>508.39917574026924</v>
      </c>
      <c r="Z312" s="512">
        <v>1.0071609134051827</v>
      </c>
      <c r="AA312" s="513">
        <v>0.82704544477793884</v>
      </c>
      <c r="AB312" s="513">
        <v>1.0071609134051827</v>
      </c>
      <c r="AC312" s="513">
        <v>0.82704544477793884</v>
      </c>
      <c r="AD312" s="510">
        <v>43.844999999999999</v>
      </c>
      <c r="AE312" s="510">
        <v>486.95299999999997</v>
      </c>
      <c r="AF312" s="510">
        <v>88.454339092253846</v>
      </c>
      <c r="AG312" s="510">
        <v>110.20904717856187</v>
      </c>
      <c r="AH312" s="510">
        <v>1.4117915383738169</v>
      </c>
      <c r="AI312" s="510">
        <v>1.5689399182261941</v>
      </c>
      <c r="AJ312" s="510">
        <v>864.01596533242514</v>
      </c>
      <c r="AK312" s="569">
        <v>938.59033623368282</v>
      </c>
      <c r="AL312" s="576">
        <v>0</v>
      </c>
      <c r="AM312" s="577">
        <v>0</v>
      </c>
      <c r="AN312" s="512">
        <v>0.83711701448988807</v>
      </c>
      <c r="AO312" s="513">
        <v>0.17119491970015563</v>
      </c>
      <c r="AP312" s="513">
        <v>0.83711701448988807</v>
      </c>
      <c r="AQ312" s="513">
        <v>0.87486073610131632</v>
      </c>
      <c r="AR312" s="510">
        <v>42.548000000000002</v>
      </c>
      <c r="AS312" s="510">
        <v>119.482</v>
      </c>
      <c r="AT312" s="514">
        <v>130.26599412076035</v>
      </c>
      <c r="AU312" s="514">
        <v>114.05897488529997</v>
      </c>
      <c r="AV312" s="510">
        <v>1.5417880981479739</v>
      </c>
      <c r="AW312" s="510">
        <v>2.2363201151637901</v>
      </c>
      <c r="AX312" s="510">
        <v>0</v>
      </c>
      <c r="AY312" s="510">
        <v>0</v>
      </c>
      <c r="AZ312" s="510">
        <v>1029.0208705462076</v>
      </c>
      <c r="BA312" s="510">
        <v>1774.9065131149466</v>
      </c>
      <c r="BB312" s="510">
        <v>0</v>
      </c>
      <c r="BC312" s="569">
        <v>0</v>
      </c>
      <c r="BD312" s="510">
        <v>0</v>
      </c>
      <c r="BE312" s="510">
        <v>0</v>
      </c>
      <c r="BF312" s="512">
        <v>0.89018099093161085</v>
      </c>
      <c r="BG312" s="513">
        <v>0.70935500662688689</v>
      </c>
      <c r="BH312" s="513">
        <v>0.89018099093161085</v>
      </c>
      <c r="BI312" s="513">
        <v>0.73936227514803288</v>
      </c>
      <c r="BJ312" s="510">
        <v>49.33</v>
      </c>
      <c r="BK312" s="510">
        <v>495.21899999999999</v>
      </c>
      <c r="BL312" s="510">
        <v>2.2967768092438678</v>
      </c>
      <c r="BM312" s="510">
        <v>2.7143546592517649</v>
      </c>
      <c r="BN312" s="514">
        <v>0</v>
      </c>
      <c r="BO312" s="514">
        <v>0</v>
      </c>
      <c r="BP312" s="514">
        <v>990.35701933306746</v>
      </c>
      <c r="BQ312" s="514">
        <v>1117.5237862418276</v>
      </c>
      <c r="BR312" s="514">
        <v>0</v>
      </c>
      <c r="BS312" s="515">
        <v>0</v>
      </c>
      <c r="BT312" s="512">
        <v>0.90439552551148228</v>
      </c>
      <c r="BU312" s="513">
        <v>0.73848768994887726</v>
      </c>
      <c r="BV312" s="581">
        <v>0.90439552551148228</v>
      </c>
      <c r="BW312" s="581">
        <v>0.75515624533973402</v>
      </c>
      <c r="BX312" s="510">
        <v>47.146000000000001</v>
      </c>
      <c r="BY312" s="510">
        <v>466.108</v>
      </c>
      <c r="BZ312" s="514">
        <v>72.968268456497242</v>
      </c>
      <c r="CA312" s="514">
        <v>93.058646090632109</v>
      </c>
      <c r="CB312" s="510">
        <v>1.9598693420438638</v>
      </c>
      <c r="CC312" s="510">
        <v>2.3404447038025524</v>
      </c>
      <c r="CD312" s="514">
        <v>0</v>
      </c>
      <c r="CE312" s="514">
        <v>0</v>
      </c>
      <c r="CF312" s="514">
        <v>975.03559657869482</v>
      </c>
      <c r="CG312" s="514">
        <v>1153.9938342639621</v>
      </c>
      <c r="CH312" s="514">
        <v>0</v>
      </c>
      <c r="CI312" s="514">
        <v>0</v>
      </c>
      <c r="CJ312" s="582">
        <v>0</v>
      </c>
      <c r="CK312" s="582">
        <v>0</v>
      </c>
    </row>
    <row r="313" spans="1:89" ht="12.75" customHeight="1">
      <c r="A313" s="560">
        <v>45730</v>
      </c>
      <c r="B313" s="512">
        <v>0.88324180937598606</v>
      </c>
      <c r="C313" s="513">
        <v>0.79278165507815834</v>
      </c>
      <c r="D313" s="513">
        <v>0.88324180937598606</v>
      </c>
      <c r="E313" s="513">
        <v>0.79278165507815834</v>
      </c>
      <c r="F313" s="510">
        <v>50.966999999999999</v>
      </c>
      <c r="G313" s="510">
        <v>644.67400000000009</v>
      </c>
      <c r="H313" s="510">
        <v>2.4818019502815547</v>
      </c>
      <c r="I313" s="510">
        <v>2.392589122564273</v>
      </c>
      <c r="J313" s="510">
        <v>1083.5207094786915</v>
      </c>
      <c r="K313" s="511">
        <v>1021.8237124500107</v>
      </c>
      <c r="L313" s="512">
        <v>1.0617493973883689</v>
      </c>
      <c r="M313" s="513">
        <v>0.88647726989553699</v>
      </c>
      <c r="N313" s="513">
        <v>1.0617493973883689</v>
      </c>
      <c r="O313" s="513">
        <v>0.88647726989553699</v>
      </c>
      <c r="P313" s="510">
        <v>55.170999999999999</v>
      </c>
      <c r="Q313" s="510">
        <v>831.14</v>
      </c>
      <c r="R313" s="510">
        <v>2.254535897482373</v>
      </c>
      <c r="S313" s="510">
        <v>2.2034651201963564</v>
      </c>
      <c r="T313" s="510">
        <v>0.1776295517572638</v>
      </c>
      <c r="U313" s="510">
        <v>0.1798734268594942</v>
      </c>
      <c r="V313" s="510">
        <v>781.8908484530175</v>
      </c>
      <c r="W313" s="510">
        <v>621.66875616622963</v>
      </c>
      <c r="X313" s="510">
        <v>425.82153667687237</v>
      </c>
      <c r="Y313" s="569">
        <v>502.91767933200259</v>
      </c>
      <c r="Z313" s="512">
        <v>0.91763970194465649</v>
      </c>
      <c r="AA313" s="513">
        <v>0.83360296888782048</v>
      </c>
      <c r="AB313" s="513">
        <v>0.91763970194465649</v>
      </c>
      <c r="AC313" s="513">
        <v>0.83360296888782048</v>
      </c>
      <c r="AD313" s="510">
        <v>42.16</v>
      </c>
      <c r="AE313" s="510">
        <v>529.11299999999994</v>
      </c>
      <c r="AF313" s="510">
        <v>98.185274983711579</v>
      </c>
      <c r="AG313" s="510">
        <v>109.25098673450762</v>
      </c>
      <c r="AH313" s="510">
        <v>1.5085388994307403</v>
      </c>
      <c r="AI313" s="510">
        <v>1.5641271335234628</v>
      </c>
      <c r="AJ313" s="510">
        <v>879.12239089184061</v>
      </c>
      <c r="AK313" s="569">
        <v>933.85189931073421</v>
      </c>
      <c r="AL313" s="576">
        <v>0</v>
      </c>
      <c r="AM313" s="577">
        <v>0</v>
      </c>
      <c r="AN313" s="512">
        <v>0.86910611710836372</v>
      </c>
      <c r="AO313" s="513">
        <v>0.21800607829680124</v>
      </c>
      <c r="AP313" s="513">
        <v>0.86910611710836372</v>
      </c>
      <c r="AQ313" s="513">
        <v>0.87331452822483768</v>
      </c>
      <c r="AR313" s="510">
        <v>43.61</v>
      </c>
      <c r="AS313" s="510">
        <v>163.09199999999998</v>
      </c>
      <c r="AT313" s="514">
        <v>123.76331304532275</v>
      </c>
      <c r="AU313" s="514">
        <v>116.653867259902</v>
      </c>
      <c r="AV313" s="510">
        <v>1.4239853244668654</v>
      </c>
      <c r="AW313" s="510">
        <v>2.0191057807863051</v>
      </c>
      <c r="AX313" s="510">
        <v>0</v>
      </c>
      <c r="AY313" s="510">
        <v>0</v>
      </c>
      <c r="AZ313" s="510">
        <v>993.20797982114209</v>
      </c>
      <c r="BA313" s="510">
        <v>1565.8841635395979</v>
      </c>
      <c r="BB313" s="510">
        <v>0</v>
      </c>
      <c r="BC313" s="569">
        <v>0</v>
      </c>
      <c r="BD313" s="510">
        <v>0</v>
      </c>
      <c r="BE313" s="510">
        <v>0</v>
      </c>
      <c r="BF313" s="512">
        <v>0.81508601891426313</v>
      </c>
      <c r="BG313" s="513">
        <v>0.7167070724302198</v>
      </c>
      <c r="BH313" s="513">
        <v>0.81508601891426313</v>
      </c>
      <c r="BI313" s="513">
        <v>0.74483441410142359</v>
      </c>
      <c r="BJ313" s="510">
        <v>42.524999999999999</v>
      </c>
      <c r="BK313" s="510">
        <v>537.74400000000003</v>
      </c>
      <c r="BL313" s="510">
        <v>2.5984714873603765</v>
      </c>
      <c r="BM313" s="510">
        <v>2.7051905739534048</v>
      </c>
      <c r="BN313" s="514">
        <v>0</v>
      </c>
      <c r="BO313" s="514">
        <v>0</v>
      </c>
      <c r="BP313" s="514">
        <v>1169.3862852953584</v>
      </c>
      <c r="BQ313" s="514">
        <v>1121.62509238797</v>
      </c>
      <c r="BR313" s="514">
        <v>0</v>
      </c>
      <c r="BS313" s="515">
        <v>0</v>
      </c>
      <c r="BT313" s="512">
        <v>0.96869391925819215</v>
      </c>
      <c r="BU313" s="513">
        <v>0.75580453582192997</v>
      </c>
      <c r="BV313" s="581">
        <v>0.96869391925819215</v>
      </c>
      <c r="BW313" s="581">
        <v>0.77155394895322738</v>
      </c>
      <c r="BX313" s="510">
        <v>49.732999999999997</v>
      </c>
      <c r="BY313" s="510">
        <v>515.84100000000001</v>
      </c>
      <c r="BZ313" s="514">
        <v>73.858217376393824</v>
      </c>
      <c r="CA313" s="514">
        <v>91.20750412780788</v>
      </c>
      <c r="CB313" s="510">
        <v>1.8599320370779966</v>
      </c>
      <c r="CC313" s="510">
        <v>2.2941177610930503</v>
      </c>
      <c r="CD313" s="514">
        <v>0</v>
      </c>
      <c r="CE313" s="514">
        <v>0</v>
      </c>
      <c r="CF313" s="514">
        <v>974.36829103040748</v>
      </c>
      <c r="CG313" s="514">
        <v>1136.6758677943822</v>
      </c>
      <c r="CH313" s="514">
        <v>0</v>
      </c>
      <c r="CI313" s="514">
        <v>0</v>
      </c>
      <c r="CJ313" s="582">
        <v>0</v>
      </c>
      <c r="CK313" s="582">
        <v>0</v>
      </c>
    </row>
    <row r="314" spans="1:89" ht="12.75" customHeight="1">
      <c r="A314" s="560">
        <v>45731</v>
      </c>
      <c r="B314" s="512">
        <v>0.96990021385593317</v>
      </c>
      <c r="C314" s="513">
        <v>0.80483627520013079</v>
      </c>
      <c r="D314" s="513">
        <v>0.96990021385593317</v>
      </c>
      <c r="E314" s="513">
        <v>0.80483627520013079</v>
      </c>
      <c r="F314" s="510">
        <v>57.598999999999997</v>
      </c>
      <c r="G314" s="510">
        <v>702.27300000000014</v>
      </c>
      <c r="H314" s="510">
        <v>2.3017066268511606</v>
      </c>
      <c r="I314" s="510">
        <v>2.3851351255138669</v>
      </c>
      <c r="J314" s="510">
        <v>967.71697425303591</v>
      </c>
      <c r="K314" s="511">
        <v>1017.3859880701648</v>
      </c>
      <c r="L314" s="512">
        <v>0.90798066241676856</v>
      </c>
      <c r="M314" s="513">
        <v>0.88759860487268682</v>
      </c>
      <c r="N314" s="513">
        <v>0.90798066241676856</v>
      </c>
      <c r="O314" s="513">
        <v>0.88759860487268682</v>
      </c>
      <c r="P314" s="510">
        <v>46.835000000000001</v>
      </c>
      <c r="Q314" s="510">
        <v>877.97500000000002</v>
      </c>
      <c r="R314" s="510">
        <v>2.5771324863883849</v>
      </c>
      <c r="S314" s="510">
        <v>2.2233981605398783</v>
      </c>
      <c r="T314" s="510">
        <v>0.20711006725739295</v>
      </c>
      <c r="U314" s="510">
        <v>0.18132634756114921</v>
      </c>
      <c r="V314" s="510">
        <v>923.2956122557872</v>
      </c>
      <c r="W314" s="510">
        <v>637.7588427916512</v>
      </c>
      <c r="X314" s="510">
        <v>559.26123625494142</v>
      </c>
      <c r="Y314" s="569">
        <v>505.92328938751194</v>
      </c>
      <c r="Z314" s="512">
        <v>0.81804667393414499</v>
      </c>
      <c r="AA314" s="513">
        <v>0.83254606179023993</v>
      </c>
      <c r="AB314" s="513">
        <v>0.81804667393414499</v>
      </c>
      <c r="AC314" s="513">
        <v>0.83254606179023993</v>
      </c>
      <c r="AD314" s="510">
        <v>37.848999999999997</v>
      </c>
      <c r="AE314" s="510">
        <v>566.96199999999999</v>
      </c>
      <c r="AF314" s="510">
        <v>110.32874493251762</v>
      </c>
      <c r="AG314" s="510">
        <v>109.32293524258483</v>
      </c>
      <c r="AH314" s="510">
        <v>1.6328040370947714</v>
      </c>
      <c r="AI314" s="510">
        <v>1.5687118360666146</v>
      </c>
      <c r="AJ314" s="510">
        <v>989.52944595629515</v>
      </c>
      <c r="AK314" s="569">
        <v>937.56879649782593</v>
      </c>
      <c r="AL314" s="576">
        <v>0</v>
      </c>
      <c r="AM314" s="577">
        <v>0</v>
      </c>
      <c r="AN314" s="512">
        <v>0.89530089057448214</v>
      </c>
      <c r="AO314" s="513">
        <v>0.25785829273416216</v>
      </c>
      <c r="AP314" s="513">
        <v>0.89530089057448214</v>
      </c>
      <c r="AQ314" s="513">
        <v>0.87771806904573524</v>
      </c>
      <c r="AR314" s="510">
        <v>41.874000000000002</v>
      </c>
      <c r="AS314" s="510">
        <v>204.96599999999998</v>
      </c>
      <c r="AT314" s="514">
        <v>123.99851511788893</v>
      </c>
      <c r="AU314" s="514">
        <v>118.15435897269997</v>
      </c>
      <c r="AV314" s="510">
        <v>1.5021254238907196</v>
      </c>
      <c r="AW314" s="510">
        <v>1.9134880907077272</v>
      </c>
      <c r="AX314" s="510">
        <v>0</v>
      </c>
      <c r="AY314" s="510">
        <v>0</v>
      </c>
      <c r="AZ314" s="510">
        <v>1108.6282657496288</v>
      </c>
      <c r="BA314" s="510">
        <v>1472.4680190860927</v>
      </c>
      <c r="BB314" s="510">
        <v>0</v>
      </c>
      <c r="BC314" s="569">
        <v>0</v>
      </c>
      <c r="BD314" s="510">
        <v>0</v>
      </c>
      <c r="BE314" s="510">
        <v>0</v>
      </c>
      <c r="BF314" s="512">
        <v>1.0025460539466267</v>
      </c>
      <c r="BG314" s="513">
        <v>0.73527379347783417</v>
      </c>
      <c r="BH314" s="513">
        <v>1.0025460539466267</v>
      </c>
      <c r="BI314" s="513">
        <v>0.76218683801316978</v>
      </c>
      <c r="BJ314" s="510">
        <v>52.253999999999998</v>
      </c>
      <c r="BK314" s="510">
        <v>589.99800000000005</v>
      </c>
      <c r="BL314" s="510">
        <v>2.1357216672407855</v>
      </c>
      <c r="BM314" s="510">
        <v>2.654754761880548</v>
      </c>
      <c r="BN314" s="514">
        <v>0</v>
      </c>
      <c r="BO314" s="514">
        <v>0</v>
      </c>
      <c r="BP314" s="514">
        <v>962.73897092656216</v>
      </c>
      <c r="BQ314" s="514">
        <v>1107.5531202951081</v>
      </c>
      <c r="BR314" s="514">
        <v>0</v>
      </c>
      <c r="BS314" s="515">
        <v>0</v>
      </c>
      <c r="BT314" s="512">
        <v>0.97780845436710528</v>
      </c>
      <c r="BU314" s="513">
        <v>0.77126352800060527</v>
      </c>
      <c r="BV314" s="581">
        <v>0.97780845436710528</v>
      </c>
      <c r="BW314" s="581">
        <v>0.7861942858170915</v>
      </c>
      <c r="BX314" s="510">
        <v>49.948999999999998</v>
      </c>
      <c r="BY314" s="510">
        <v>565.79</v>
      </c>
      <c r="BZ314" s="514">
        <v>74.372930609274675</v>
      </c>
      <c r="CA314" s="514">
        <v>89.721316473948306</v>
      </c>
      <c r="CB314" s="510">
        <v>1.8318685058759936</v>
      </c>
      <c r="CC314" s="510">
        <v>2.2533095318050869</v>
      </c>
      <c r="CD314" s="514">
        <v>0</v>
      </c>
      <c r="CE314" s="514">
        <v>0</v>
      </c>
      <c r="CF314" s="514">
        <v>978.42054522020965</v>
      </c>
      <c r="CG314" s="514">
        <v>1122.7047917639513</v>
      </c>
      <c r="CH314" s="514">
        <v>0</v>
      </c>
      <c r="CI314" s="514">
        <v>0</v>
      </c>
      <c r="CJ314" s="582">
        <v>0</v>
      </c>
      <c r="CK314" s="582">
        <v>0</v>
      </c>
    </row>
    <row r="315" spans="1:89" ht="12.75" customHeight="1">
      <c r="A315" s="560">
        <v>45732</v>
      </c>
      <c r="B315" s="512">
        <v>1.0513504988677467</v>
      </c>
      <c r="C315" s="513">
        <v>0.81984946093637778</v>
      </c>
      <c r="D315" s="513">
        <v>1.0513504988677467</v>
      </c>
      <c r="E315" s="513">
        <v>0.81984946093637778</v>
      </c>
      <c r="F315" s="510">
        <v>59.493000000000002</v>
      </c>
      <c r="G315" s="510">
        <v>761.76600000000019</v>
      </c>
      <c r="H315" s="510">
        <v>2.2142268838350727</v>
      </c>
      <c r="I315" s="510">
        <v>2.3717873992800937</v>
      </c>
      <c r="J315" s="510">
        <v>916.04676180389617</v>
      </c>
      <c r="K315" s="511">
        <v>1009.4715175001219</v>
      </c>
      <c r="L315" s="512">
        <v>0.85728483448689852</v>
      </c>
      <c r="M315" s="513">
        <v>0.88544755206650294</v>
      </c>
      <c r="N315" s="513">
        <v>0.85728483448689852</v>
      </c>
      <c r="O315" s="513">
        <v>0.88544755206650294</v>
      </c>
      <c r="P315" s="510">
        <v>64.769000000000005</v>
      </c>
      <c r="Q315" s="510">
        <v>942.74400000000003</v>
      </c>
      <c r="R315" s="510">
        <v>2.597801417344717</v>
      </c>
      <c r="S315" s="510">
        <v>2.2491206520540037</v>
      </c>
      <c r="T315" s="510">
        <v>0.15130695240006795</v>
      </c>
      <c r="U315" s="510">
        <v>0.179263935914734</v>
      </c>
      <c r="V315" s="510">
        <v>693.00359739999067</v>
      </c>
      <c r="W315" s="510">
        <v>641.55430318304866</v>
      </c>
      <c r="X315" s="510">
        <v>392.16291744505781</v>
      </c>
      <c r="Y315" s="569">
        <v>498.10765170608329</v>
      </c>
      <c r="Z315" s="512">
        <v>0.94074552807064971</v>
      </c>
      <c r="AA315" s="513">
        <v>0.83947440427490616</v>
      </c>
      <c r="AB315" s="513">
        <v>0.94074552807064971</v>
      </c>
      <c r="AC315" s="513">
        <v>0.83947440427490616</v>
      </c>
      <c r="AD315" s="510">
        <v>43.829000000000001</v>
      </c>
      <c r="AE315" s="510">
        <v>610.79099999999994</v>
      </c>
      <c r="AF315" s="510">
        <v>98.549362541974062</v>
      </c>
      <c r="AG315" s="510">
        <v>108.5498476923507</v>
      </c>
      <c r="AH315" s="510">
        <v>1.412306920075749</v>
      </c>
      <c r="AI315" s="510">
        <v>1.5574885681026733</v>
      </c>
      <c r="AJ315" s="510">
        <v>866.7799858541149</v>
      </c>
      <c r="AK315" s="569">
        <v>932.48914931621528</v>
      </c>
      <c r="AL315" s="576">
        <v>0</v>
      </c>
      <c r="AM315" s="577">
        <v>0</v>
      </c>
      <c r="AN315" s="512">
        <v>0.86338367752844059</v>
      </c>
      <c r="AO315" s="513">
        <v>0.29162864687746609</v>
      </c>
      <c r="AP315" s="513">
        <v>0.86338367752844059</v>
      </c>
      <c r="AQ315" s="513">
        <v>0.87531858156650544</v>
      </c>
      <c r="AR315" s="510">
        <v>40.534999999999997</v>
      </c>
      <c r="AS315" s="510">
        <v>245.50099999999998</v>
      </c>
      <c r="AT315" s="514">
        <v>129.34654672586689</v>
      </c>
      <c r="AU315" s="514">
        <v>120.00231613203789</v>
      </c>
      <c r="AV315" s="510">
        <v>1.5418773899099545</v>
      </c>
      <c r="AW315" s="510">
        <v>1.8521309485501078</v>
      </c>
      <c r="AX315" s="510">
        <v>0</v>
      </c>
      <c r="AY315" s="510">
        <v>0</v>
      </c>
      <c r="AZ315" s="510">
        <v>1138.2780313309481</v>
      </c>
      <c r="BA315" s="510">
        <v>1417.2894611427246</v>
      </c>
      <c r="BB315" s="510">
        <v>0</v>
      </c>
      <c r="BC315" s="569">
        <v>0</v>
      </c>
      <c r="BD315" s="510">
        <v>0</v>
      </c>
      <c r="BE315" s="510">
        <v>0</v>
      </c>
      <c r="BF315" s="512">
        <v>0.82847203844101958</v>
      </c>
      <c r="BG315" s="513">
        <v>0.7412619113144977</v>
      </c>
      <c r="BH315" s="513">
        <v>0.82847203844101958</v>
      </c>
      <c r="BI315" s="513">
        <v>0.76659128482824335</v>
      </c>
      <c r="BJ315" s="510">
        <v>45.646000000000001</v>
      </c>
      <c r="BK315" s="510">
        <v>635.64400000000001</v>
      </c>
      <c r="BL315" s="510">
        <v>2.6004469175831399</v>
      </c>
      <c r="BM315" s="510">
        <v>2.6508548810340375</v>
      </c>
      <c r="BN315" s="514">
        <v>0</v>
      </c>
      <c r="BO315" s="514">
        <v>0</v>
      </c>
      <c r="BP315" s="514">
        <v>1115.481690455799</v>
      </c>
      <c r="BQ315" s="514">
        <v>1108.1224759620457</v>
      </c>
      <c r="BR315" s="514">
        <v>0</v>
      </c>
      <c r="BS315" s="515">
        <v>0</v>
      </c>
      <c r="BT315" s="512">
        <v>0.82393550991610132</v>
      </c>
      <c r="BU315" s="513">
        <v>0.77475194050162854</v>
      </c>
      <c r="BV315" s="581">
        <v>0.82393550991610132</v>
      </c>
      <c r="BW315" s="581">
        <v>0.78873897524328851</v>
      </c>
      <c r="BX315" s="510">
        <v>42.87</v>
      </c>
      <c r="BY315" s="510">
        <v>608.66</v>
      </c>
      <c r="BZ315" s="514">
        <v>92.176760382897243</v>
      </c>
      <c r="CA315" s="514">
        <v>89.894261764219792</v>
      </c>
      <c r="CB315" s="510">
        <v>2.1600186610683463</v>
      </c>
      <c r="CC315" s="510">
        <v>2.2467387375546282</v>
      </c>
      <c r="CD315" s="514">
        <v>0</v>
      </c>
      <c r="CE315" s="514">
        <v>0</v>
      </c>
      <c r="CF315" s="514">
        <v>1040.7747319210321</v>
      </c>
      <c r="CG315" s="514">
        <v>1116.9341781776045</v>
      </c>
      <c r="CH315" s="514">
        <v>0</v>
      </c>
      <c r="CI315" s="514">
        <v>0</v>
      </c>
      <c r="CJ315" s="582">
        <v>0</v>
      </c>
      <c r="CK315" s="582">
        <v>0</v>
      </c>
    </row>
    <row r="316" spans="1:89" ht="12.75" customHeight="1">
      <c r="A316" s="560">
        <v>45733</v>
      </c>
      <c r="B316" s="512">
        <v>0.94879079615621531</v>
      </c>
      <c r="C316" s="513">
        <v>0.82727983605718602</v>
      </c>
      <c r="D316" s="513">
        <v>0.94879079615621531</v>
      </c>
      <c r="E316" s="513">
        <v>0.82727983605718602</v>
      </c>
      <c r="F316" s="510">
        <v>53.908000000000001</v>
      </c>
      <c r="G316" s="510">
        <v>815.67400000000021</v>
      </c>
      <c r="H316" s="510">
        <v>2.8351636120798394</v>
      </c>
      <c r="I316" s="510">
        <v>2.4024119930266257</v>
      </c>
      <c r="J316" s="510">
        <v>953.32232692735624</v>
      </c>
      <c r="K316" s="511">
        <v>1005.7606102437957</v>
      </c>
      <c r="L316" s="512">
        <v>1.0027622033743833</v>
      </c>
      <c r="M316" s="513">
        <v>0.89346709913473443</v>
      </c>
      <c r="N316" s="513">
        <v>1.0027622033743833</v>
      </c>
      <c r="O316" s="513">
        <v>0.89346709913473443</v>
      </c>
      <c r="P316" s="510">
        <v>78.338999999999999</v>
      </c>
      <c r="Q316" s="510">
        <v>1021.0830000000001</v>
      </c>
      <c r="R316" s="510">
        <v>2.1900713565401655</v>
      </c>
      <c r="S316" s="510">
        <v>2.2445903026492457</v>
      </c>
      <c r="T316" s="510">
        <v>0.16083942863707731</v>
      </c>
      <c r="U316" s="510">
        <v>0.17785038042940679</v>
      </c>
      <c r="V316" s="510">
        <v>521.02145802217342</v>
      </c>
      <c r="W316" s="510">
        <v>632.30684479126467</v>
      </c>
      <c r="X316" s="510">
        <v>407.2173502342535</v>
      </c>
      <c r="Y316" s="569">
        <v>491.13441316719684</v>
      </c>
      <c r="Z316" s="512">
        <v>0.81982038650816924</v>
      </c>
      <c r="AA316" s="513">
        <v>0.83845405123202577</v>
      </c>
      <c r="AB316" s="513">
        <v>0.81982038650816924</v>
      </c>
      <c r="AC316" s="513">
        <v>0.83845405123202577</v>
      </c>
      <c r="AD316" s="510">
        <v>32.662999999999997</v>
      </c>
      <c r="AE316" s="510">
        <v>643.45399999999995</v>
      </c>
      <c r="AF316" s="510">
        <v>120.39906504132857</v>
      </c>
      <c r="AG316" s="510">
        <v>109.15133744339687</v>
      </c>
      <c r="AH316" s="510">
        <v>1.7940789272265256</v>
      </c>
      <c r="AI316" s="510">
        <v>1.5694983635193813</v>
      </c>
      <c r="AJ316" s="510">
        <v>1112.4758901509188</v>
      </c>
      <c r="AK316" s="569">
        <v>941.62563291237564</v>
      </c>
      <c r="AL316" s="576">
        <v>0</v>
      </c>
      <c r="AM316" s="577">
        <v>0</v>
      </c>
      <c r="AN316" s="512">
        <v>0.84525199825861697</v>
      </c>
      <c r="AO316" s="513">
        <v>0.32104595445877415</v>
      </c>
      <c r="AP316" s="513">
        <v>0.84525199825861697</v>
      </c>
      <c r="AQ316" s="513">
        <v>0.8709843138601947</v>
      </c>
      <c r="AR316" s="510">
        <v>39.930999999999997</v>
      </c>
      <c r="AS316" s="510">
        <v>285.43199999999996</v>
      </c>
      <c r="AT316" s="514">
        <v>118.08270431081888</v>
      </c>
      <c r="AU316" s="514">
        <v>119.73376873849723</v>
      </c>
      <c r="AV316" s="510">
        <v>1.7129548471112672</v>
      </c>
      <c r="AW316" s="510">
        <v>1.8326606687407161</v>
      </c>
      <c r="AX316" s="510">
        <v>0</v>
      </c>
      <c r="AY316" s="510">
        <v>0</v>
      </c>
      <c r="AZ316" s="510">
        <v>1113.8413763742458</v>
      </c>
      <c r="BA316" s="510">
        <v>1374.8380700131734</v>
      </c>
      <c r="BB316" s="510">
        <v>0</v>
      </c>
      <c r="BC316" s="569">
        <v>0</v>
      </c>
      <c r="BD316" s="510">
        <v>0</v>
      </c>
      <c r="BE316" s="510">
        <v>0</v>
      </c>
      <c r="BF316" s="512">
        <v>0.93955073135312595</v>
      </c>
      <c r="BG316" s="513">
        <v>0.75250206014435783</v>
      </c>
      <c r="BH316" s="513">
        <v>0.93955073135312595</v>
      </c>
      <c r="BI316" s="513">
        <v>0.77671103762461036</v>
      </c>
      <c r="BJ316" s="510">
        <v>48.414999999999999</v>
      </c>
      <c r="BK316" s="510">
        <v>684.05899999999997</v>
      </c>
      <c r="BL316" s="510">
        <v>2.4331302282350511</v>
      </c>
      <c r="BM316" s="510">
        <v>2.6354451882074494</v>
      </c>
      <c r="BN316" s="514">
        <v>0</v>
      </c>
      <c r="BO316" s="514">
        <v>0</v>
      </c>
      <c r="BP316" s="514">
        <v>1029.5288849558631</v>
      </c>
      <c r="BQ316" s="514">
        <v>1102.5599313444552</v>
      </c>
      <c r="BR316" s="514">
        <v>0</v>
      </c>
      <c r="BS316" s="515">
        <v>0</v>
      </c>
      <c r="BT316" s="512">
        <v>0.81134716477899615</v>
      </c>
      <c r="BU316" s="513">
        <v>0.77688602198718204</v>
      </c>
      <c r="BV316" s="581">
        <v>0.81134716477899615</v>
      </c>
      <c r="BW316" s="581">
        <v>0.79007978144773394</v>
      </c>
      <c r="BX316" s="510">
        <v>39.472999999999999</v>
      </c>
      <c r="BY316" s="510">
        <v>648.13299999999992</v>
      </c>
      <c r="BZ316" s="514">
        <v>87.534387371615466</v>
      </c>
      <c r="CA316" s="514">
        <v>89.750539222859814</v>
      </c>
      <c r="CB316" s="510">
        <v>2.19137131710283</v>
      </c>
      <c r="CC316" s="510">
        <v>2.2433667163992577</v>
      </c>
      <c r="CD316" s="514">
        <v>0</v>
      </c>
      <c r="CE316" s="514">
        <v>0</v>
      </c>
      <c r="CF316" s="514">
        <v>1115.3385614182257</v>
      </c>
      <c r="CG316" s="514">
        <v>1116.8370009310472</v>
      </c>
      <c r="CH316" s="514">
        <v>0</v>
      </c>
      <c r="CI316" s="514">
        <v>0</v>
      </c>
      <c r="CJ316" s="582">
        <v>0</v>
      </c>
      <c r="CK316" s="582">
        <v>0</v>
      </c>
    </row>
    <row r="317" spans="1:89" ht="12.75" customHeight="1">
      <c r="A317" s="560">
        <v>45734</v>
      </c>
      <c r="B317" s="512">
        <v>0.62123494468321916</v>
      </c>
      <c r="C317" s="513">
        <v>0.81569813932679214</v>
      </c>
      <c r="D317" s="513">
        <v>0.62123494468321916</v>
      </c>
      <c r="E317" s="513">
        <v>0.81569813932679214</v>
      </c>
      <c r="F317" s="510">
        <v>36.479999999999997</v>
      </c>
      <c r="G317" s="510">
        <v>852.15400000000022</v>
      </c>
      <c r="H317" s="510">
        <v>4.0509594298245624</v>
      </c>
      <c r="I317" s="510">
        <v>2.4729849299539755</v>
      </c>
      <c r="J317" s="510">
        <v>1545.7691885964764</v>
      </c>
      <c r="K317" s="511">
        <v>1028.8779258209165</v>
      </c>
      <c r="L317" s="512">
        <v>0.96608638119443402</v>
      </c>
      <c r="M317" s="513">
        <v>0.89809667562739248</v>
      </c>
      <c r="N317" s="513">
        <v>0.96608638119443402</v>
      </c>
      <c r="O317" s="513">
        <v>0.89809667562739248</v>
      </c>
      <c r="P317" s="510">
        <v>75.179000000000002</v>
      </c>
      <c r="Q317" s="510">
        <v>1096.2620000000002</v>
      </c>
      <c r="R317" s="510">
        <v>2.2571861823115493</v>
      </c>
      <c r="S317" s="510">
        <v>2.2454540976518382</v>
      </c>
      <c r="T317" s="510">
        <v>0.19952380318972052</v>
      </c>
      <c r="U317" s="510">
        <v>0.17933669141135966</v>
      </c>
      <c r="V317" s="510">
        <v>541.04324345896157</v>
      </c>
      <c r="W317" s="510">
        <v>626.04820745405755</v>
      </c>
      <c r="X317" s="510">
        <v>451.44255709705317</v>
      </c>
      <c r="Y317" s="569">
        <v>488.41244155138111</v>
      </c>
      <c r="Z317" s="512">
        <v>0.8976101263015398</v>
      </c>
      <c r="AA317" s="513">
        <v>0.84135752122270302</v>
      </c>
      <c r="AB317" s="513">
        <v>0.8976101263015398</v>
      </c>
      <c r="AC317" s="513">
        <v>0.84135752122270302</v>
      </c>
      <c r="AD317" s="510">
        <v>35.555</v>
      </c>
      <c r="AE317" s="510">
        <v>679.0089999999999</v>
      </c>
      <c r="AF317" s="510">
        <v>108.53810501778568</v>
      </c>
      <c r="AG317" s="510">
        <v>109.11922670717306</v>
      </c>
      <c r="AH317" s="510">
        <v>1.6678385599774996</v>
      </c>
      <c r="AI317" s="510">
        <v>1.5746477587189565</v>
      </c>
      <c r="AJ317" s="510">
        <v>1086.4761636900628</v>
      </c>
      <c r="AK317" s="569">
        <v>949.21045229150138</v>
      </c>
      <c r="AL317" s="576">
        <v>0</v>
      </c>
      <c r="AM317" s="577">
        <v>0</v>
      </c>
      <c r="AN317" s="512">
        <v>0.71026580139578599</v>
      </c>
      <c r="AO317" s="513">
        <v>0.34193517208825452</v>
      </c>
      <c r="AP317" s="513">
        <v>0.71026580139578599</v>
      </c>
      <c r="AQ317" s="513">
        <v>0.84955343285890561</v>
      </c>
      <c r="AR317" s="510">
        <v>35.813000000000002</v>
      </c>
      <c r="AS317" s="510">
        <v>321.24499999999995</v>
      </c>
      <c r="AT317" s="514">
        <v>114.46689301164746</v>
      </c>
      <c r="AU317" s="514">
        <v>119.14660747402412</v>
      </c>
      <c r="AV317" s="510">
        <v>1.7004998185016613</v>
      </c>
      <c r="AW317" s="510">
        <v>1.8179271272704636</v>
      </c>
      <c r="AX317" s="510">
        <v>0</v>
      </c>
      <c r="AY317" s="510">
        <v>0</v>
      </c>
      <c r="AZ317" s="510">
        <v>1073.0645296400755</v>
      </c>
      <c r="BA317" s="510">
        <v>1341.1957851484074</v>
      </c>
      <c r="BB317" s="510">
        <v>0</v>
      </c>
      <c r="BC317" s="569">
        <v>0</v>
      </c>
      <c r="BD317" s="510">
        <v>0</v>
      </c>
      <c r="BE317" s="510">
        <v>0</v>
      </c>
      <c r="BF317" s="512">
        <v>0.99087751016433834</v>
      </c>
      <c r="BG317" s="513">
        <v>0.76520458751299703</v>
      </c>
      <c r="BH317" s="513">
        <v>0.99087751016433834</v>
      </c>
      <c r="BI317" s="513">
        <v>0.78847051413490132</v>
      </c>
      <c r="BJ317" s="510">
        <v>50.701000000000001</v>
      </c>
      <c r="BK317" s="510">
        <v>734.76</v>
      </c>
      <c r="BL317" s="510">
        <v>2.2445316660420898</v>
      </c>
      <c r="BM317" s="510">
        <v>2.6084707931841686</v>
      </c>
      <c r="BN317" s="514">
        <v>0</v>
      </c>
      <c r="BO317" s="514">
        <v>0</v>
      </c>
      <c r="BP317" s="514">
        <v>994.25338885843678</v>
      </c>
      <c r="BQ317" s="514">
        <v>1095.0864025587516</v>
      </c>
      <c r="BR317" s="514">
        <v>0</v>
      </c>
      <c r="BS317" s="515">
        <v>0</v>
      </c>
      <c r="BT317" s="512">
        <v>0.78052913117304823</v>
      </c>
      <c r="BU317" s="513">
        <v>0.77708512889364068</v>
      </c>
      <c r="BV317" s="581">
        <v>0.78052913117304823</v>
      </c>
      <c r="BW317" s="581">
        <v>0.78954943726431492</v>
      </c>
      <c r="BX317" s="510">
        <v>37.646000000000001</v>
      </c>
      <c r="BY317" s="510">
        <v>685.77899999999988</v>
      </c>
      <c r="BZ317" s="514">
        <v>88.25704820343465</v>
      </c>
      <c r="CA317" s="514">
        <v>89.668553680990968</v>
      </c>
      <c r="CB317" s="510">
        <v>2.2260001062529882</v>
      </c>
      <c r="CC317" s="510">
        <v>2.2424133722379955</v>
      </c>
      <c r="CD317" s="514">
        <v>0</v>
      </c>
      <c r="CE317" s="514">
        <v>0</v>
      </c>
      <c r="CF317" s="514">
        <v>1183.640464630726</v>
      </c>
      <c r="CG317" s="514">
        <v>1120.5041928317005</v>
      </c>
      <c r="CH317" s="514">
        <v>0</v>
      </c>
      <c r="CI317" s="514">
        <v>0</v>
      </c>
      <c r="CJ317" s="582">
        <v>0</v>
      </c>
      <c r="CK317" s="582">
        <v>0</v>
      </c>
    </row>
    <row r="318" spans="1:89" ht="12.75" customHeight="1">
      <c r="A318" s="560">
        <v>45735</v>
      </c>
      <c r="B318" s="512">
        <v>0.69959269557122217</v>
      </c>
      <c r="C318" s="513">
        <v>0.80951213941941591</v>
      </c>
      <c r="D318" s="513">
        <v>0.69959269557122217</v>
      </c>
      <c r="E318" s="513">
        <v>0.80951213941941591</v>
      </c>
      <c r="F318" s="510">
        <v>41.131</v>
      </c>
      <c r="G318" s="510">
        <v>893.2850000000002</v>
      </c>
      <c r="H318" s="510">
        <v>3.6841798157107775</v>
      </c>
      <c r="I318" s="510">
        <v>2.5287539810922608</v>
      </c>
      <c r="J318" s="510">
        <v>1403.925506309163</v>
      </c>
      <c r="K318" s="511">
        <v>1046.146862423526</v>
      </c>
      <c r="L318" s="512">
        <v>0.99018058336074555</v>
      </c>
      <c r="M318" s="513">
        <v>0.90334382027073756</v>
      </c>
      <c r="N318" s="513">
        <v>1.0836826638454973</v>
      </c>
      <c r="O318" s="513">
        <v>0.90780707843832675</v>
      </c>
      <c r="P318" s="510">
        <v>73.034000000000006</v>
      </c>
      <c r="Q318" s="510">
        <v>1169.2960000000003</v>
      </c>
      <c r="R318" s="510">
        <v>1.9761754799134648</v>
      </c>
      <c r="S318" s="510">
        <v>2.228635007731147</v>
      </c>
      <c r="T318" s="510">
        <v>0.15472245803324478</v>
      </c>
      <c r="U318" s="510">
        <v>0.17779929119743842</v>
      </c>
      <c r="V318" s="510">
        <v>484.88224662484032</v>
      </c>
      <c r="W318" s="510">
        <v>617.23100908580773</v>
      </c>
      <c r="X318" s="510">
        <v>359.01087164882983</v>
      </c>
      <c r="Y318" s="569">
        <v>480.33004474487274</v>
      </c>
      <c r="Z318" s="512">
        <v>0.89570356121455152</v>
      </c>
      <c r="AA318" s="513">
        <v>0.84428089486091273</v>
      </c>
      <c r="AB318" s="513">
        <v>0.89570356121455152</v>
      </c>
      <c r="AC318" s="513">
        <v>0.84428089486091273</v>
      </c>
      <c r="AD318" s="510">
        <v>41.094999999999999</v>
      </c>
      <c r="AE318" s="510">
        <v>720.10399999999993</v>
      </c>
      <c r="AF318" s="510">
        <v>96.858476291748971</v>
      </c>
      <c r="AG318" s="510">
        <v>108.41952841592366</v>
      </c>
      <c r="AH318" s="510">
        <v>1.508699355152695</v>
      </c>
      <c r="AI318" s="510">
        <v>1.5708842056147445</v>
      </c>
      <c r="AJ318" s="510">
        <v>880.27399926998862</v>
      </c>
      <c r="AK318" s="569">
        <v>945.27637674558162</v>
      </c>
      <c r="AL318" s="576">
        <v>0</v>
      </c>
      <c r="AM318" s="577">
        <v>0</v>
      </c>
      <c r="AN318" s="512">
        <v>0.85831771341054763</v>
      </c>
      <c r="AO318" s="513">
        <v>0.36725321430329139</v>
      </c>
      <c r="AP318" s="513">
        <v>0.85831771341054763</v>
      </c>
      <c r="AQ318" s="513">
        <v>0.85054862831250566</v>
      </c>
      <c r="AR318" s="510">
        <v>41.575000000000003</v>
      </c>
      <c r="AS318" s="510">
        <v>362.81999999999994</v>
      </c>
      <c r="AT318" s="514">
        <v>115.48863148772448</v>
      </c>
      <c r="AU318" s="514">
        <v>118.72744548838273</v>
      </c>
      <c r="AV318" s="510">
        <v>1.5898977751052312</v>
      </c>
      <c r="AW318" s="510">
        <v>1.7917975855796267</v>
      </c>
      <c r="AX318" s="510">
        <v>0</v>
      </c>
      <c r="AY318" s="510">
        <v>0</v>
      </c>
      <c r="AZ318" s="510">
        <v>999.03451593505645</v>
      </c>
      <c r="BA318" s="510">
        <v>1301.9880381456373</v>
      </c>
      <c r="BB318" s="510">
        <v>0</v>
      </c>
      <c r="BC318" s="569">
        <v>0</v>
      </c>
      <c r="BD318" s="510">
        <v>0</v>
      </c>
      <c r="BE318" s="510">
        <v>0</v>
      </c>
      <c r="BF318" s="512">
        <v>0.97839692941156853</v>
      </c>
      <c r="BG318" s="513">
        <v>0.7758720274753298</v>
      </c>
      <c r="BH318" s="513">
        <v>0.97839692941156853</v>
      </c>
      <c r="BI318" s="513">
        <v>0.79824787523558138</v>
      </c>
      <c r="BJ318" s="510">
        <v>49.484000000000002</v>
      </c>
      <c r="BK318" s="510">
        <v>784.24400000000003</v>
      </c>
      <c r="BL318" s="510">
        <v>2.3361086411769461</v>
      </c>
      <c r="BM318" s="510">
        <v>2.591285365268972</v>
      </c>
      <c r="BN318" s="514">
        <v>0</v>
      </c>
      <c r="BO318" s="514">
        <v>0</v>
      </c>
      <c r="BP318" s="514">
        <v>1056.847006651016</v>
      </c>
      <c r="BQ318" s="514">
        <v>1092.6735842686553</v>
      </c>
      <c r="BR318" s="514">
        <v>0</v>
      </c>
      <c r="BS318" s="515">
        <v>0</v>
      </c>
      <c r="BT318" s="512">
        <v>0.86570926612189891</v>
      </c>
      <c r="BU318" s="513">
        <v>0.78157805871213049</v>
      </c>
      <c r="BV318" s="581">
        <v>0.86570926612189891</v>
      </c>
      <c r="BW318" s="581">
        <v>0.7934692136841297</v>
      </c>
      <c r="BX318" s="510">
        <v>40.799999999999997</v>
      </c>
      <c r="BY318" s="510">
        <v>726.57899999999984</v>
      </c>
      <c r="BZ318" s="514">
        <v>91.229437810990945</v>
      </c>
      <c r="CA318" s="514">
        <v>89.756202887070415</v>
      </c>
      <c r="CB318" s="510">
        <v>2.0196078431372553</v>
      </c>
      <c r="CC318" s="510">
        <v>2.2299020478158611</v>
      </c>
      <c r="CD318" s="514">
        <v>0</v>
      </c>
      <c r="CE318" s="514">
        <v>0</v>
      </c>
      <c r="CF318" s="514">
        <v>1093.3226157568924</v>
      </c>
      <c r="CG318" s="514">
        <v>1118.977850417934</v>
      </c>
      <c r="CH318" s="514">
        <v>0</v>
      </c>
      <c r="CI318" s="514">
        <v>0</v>
      </c>
      <c r="CJ318" s="582">
        <v>0</v>
      </c>
      <c r="CK318" s="582">
        <v>0</v>
      </c>
    </row>
    <row r="319" spans="1:89" ht="12.75" customHeight="1">
      <c r="A319" s="560">
        <v>45736</v>
      </c>
      <c r="B319" s="512">
        <v>0.76165160678410504</v>
      </c>
      <c r="C319" s="513">
        <v>0.80713090260671849</v>
      </c>
      <c r="D319" s="513">
        <v>0.97642111067362247</v>
      </c>
      <c r="E319" s="513">
        <v>0.81606156012823872</v>
      </c>
      <c r="F319" s="510">
        <v>44.006</v>
      </c>
      <c r="G319" s="510">
        <v>937.29100000000017</v>
      </c>
      <c r="H319" s="510">
        <v>2.5239512793709951</v>
      </c>
      <c r="I319" s="510">
        <v>2.5285284932854366</v>
      </c>
      <c r="J319" s="510">
        <v>1039.9663682224896</v>
      </c>
      <c r="K319" s="511">
        <v>1045.8566869840834</v>
      </c>
      <c r="L319" s="512">
        <v>0</v>
      </c>
      <c r="M319" s="513">
        <v>0.85492238995113767</v>
      </c>
      <c r="N319" s="513" t="e">
        <v>#DIV/0!</v>
      </c>
      <c r="O319" s="513">
        <v>0.90780707843832675</v>
      </c>
      <c r="P319" s="510">
        <v>0</v>
      </c>
      <c r="Q319" s="510">
        <v>1169.2960000000003</v>
      </c>
      <c r="R319" s="510">
        <v>0</v>
      </c>
      <c r="S319" s="510">
        <v>2.2407422927984011</v>
      </c>
      <c r="T319" s="510">
        <v>0</v>
      </c>
      <c r="U319" s="510">
        <v>0.17779929119743842</v>
      </c>
      <c r="V319" s="510">
        <v>0</v>
      </c>
      <c r="W319" s="510">
        <v>624.84707892612244</v>
      </c>
      <c r="X319" s="510">
        <v>0</v>
      </c>
      <c r="Y319" s="569">
        <v>481.38880146686535</v>
      </c>
      <c r="Z319" s="512">
        <v>0.9330432590126635</v>
      </c>
      <c r="AA319" s="513">
        <v>0.84864104876718693</v>
      </c>
      <c r="AB319" s="513">
        <v>0.9330432590126635</v>
      </c>
      <c r="AC319" s="513">
        <v>0.84864104876718693</v>
      </c>
      <c r="AD319" s="510">
        <v>41.110999999999997</v>
      </c>
      <c r="AE319" s="510">
        <v>761.21499999999992</v>
      </c>
      <c r="AF319" s="1022">
        <v>57.656680522888259</v>
      </c>
      <c r="AG319" s="510">
        <v>105.67797518887141</v>
      </c>
      <c r="AH319" s="510">
        <v>1.459463403955146</v>
      </c>
      <c r="AI319" s="510">
        <v>1.564866693378349</v>
      </c>
      <c r="AJ319" s="510">
        <v>929.30748461482335</v>
      </c>
      <c r="AK319" s="569">
        <v>944.4139434982236</v>
      </c>
      <c r="AL319" s="576">
        <v>0</v>
      </c>
      <c r="AM319" s="577">
        <v>0</v>
      </c>
      <c r="AN319" s="512">
        <v>0.86583602665474002</v>
      </c>
      <c r="AO319" s="513">
        <v>0.39025435447163254</v>
      </c>
      <c r="AP319" s="513">
        <v>0.86583602665474002</v>
      </c>
      <c r="AQ319" s="513">
        <v>0.85208849309484991</v>
      </c>
      <c r="AR319" s="510">
        <v>41.37</v>
      </c>
      <c r="AS319" s="510">
        <v>404.18999999999994</v>
      </c>
      <c r="AT319" s="1034">
        <v>132.49319375062615</v>
      </c>
      <c r="AU319" s="514">
        <v>120.1364091084847</v>
      </c>
      <c r="AV319" s="510">
        <v>1.5760212714527437</v>
      </c>
      <c r="AW319" s="510">
        <v>1.7697122640342418</v>
      </c>
      <c r="AX319" s="510">
        <v>0</v>
      </c>
      <c r="AY319" s="510">
        <v>0</v>
      </c>
      <c r="AZ319" s="510">
        <v>999.38989605994936</v>
      </c>
      <c r="BA319" s="510">
        <v>1271.0162547316861</v>
      </c>
      <c r="BB319" s="510">
        <v>0</v>
      </c>
      <c r="BC319" s="569">
        <v>0</v>
      </c>
      <c r="BD319" s="510">
        <v>0</v>
      </c>
      <c r="BE319" s="510">
        <v>0</v>
      </c>
      <c r="BF319" s="512">
        <v>0.70042099561956361</v>
      </c>
      <c r="BG319" s="513">
        <v>0.77211111990713532</v>
      </c>
      <c r="BH319" s="513">
        <v>0.70042099561956361</v>
      </c>
      <c r="BI319" s="513">
        <v>0.79323820093917286</v>
      </c>
      <c r="BJ319" s="510">
        <v>37.140999999999998</v>
      </c>
      <c r="BK319" s="510">
        <v>821.38499999999999</v>
      </c>
      <c r="BL319" s="510">
        <v>3.1555423925042407</v>
      </c>
      <c r="BM319" s="510">
        <v>2.6167996737218231</v>
      </c>
      <c r="BN319" s="514">
        <v>0</v>
      </c>
      <c r="BO319" s="514">
        <v>0</v>
      </c>
      <c r="BP319" s="514">
        <v>1350.7835147916951</v>
      </c>
      <c r="BQ319" s="514">
        <v>1104.344677519148</v>
      </c>
      <c r="BR319" s="514">
        <v>0</v>
      </c>
      <c r="BS319" s="515">
        <v>0</v>
      </c>
      <c r="BT319" s="512">
        <v>0.43647768424721567</v>
      </c>
      <c r="BU319" s="513">
        <v>0.76390750514407679</v>
      </c>
      <c r="BV319" s="581">
        <v>0.43647768424721567</v>
      </c>
      <c r="BW319" s="581">
        <v>0.77492612141046779</v>
      </c>
      <c r="BX319" s="510">
        <v>21.898</v>
      </c>
      <c r="BY319" s="510">
        <v>748.47699999999986</v>
      </c>
      <c r="BZ319" s="1034">
        <v>201.77334832222743</v>
      </c>
      <c r="CA319" s="514">
        <v>93.033459837837199</v>
      </c>
      <c r="CB319" s="510">
        <v>4.1099643803087043</v>
      </c>
      <c r="CC319" s="510">
        <v>2.2849065502346768</v>
      </c>
      <c r="CD319" s="514">
        <v>0</v>
      </c>
      <c r="CE319" s="514">
        <v>0</v>
      </c>
      <c r="CF319" s="514">
        <v>2074.154693447887</v>
      </c>
      <c r="CG319" s="514">
        <v>1146.9232148161316</v>
      </c>
      <c r="CH319" s="514">
        <v>0</v>
      </c>
      <c r="CI319" s="514">
        <v>0</v>
      </c>
      <c r="CJ319" s="582">
        <v>0</v>
      </c>
      <c r="CK319" s="582">
        <v>0</v>
      </c>
    </row>
    <row r="320" spans="1:89" ht="12.75" customHeight="1">
      <c r="A320" s="560">
        <v>45737</v>
      </c>
      <c r="B320" s="512">
        <v>0.93148047349241281</v>
      </c>
      <c r="C320" s="513">
        <v>0.81318815727435645</v>
      </c>
      <c r="D320" s="513">
        <v>0.93148047349241281</v>
      </c>
      <c r="E320" s="513">
        <v>0.82174293514681152</v>
      </c>
      <c r="F320" s="510">
        <v>55.389000000000003</v>
      </c>
      <c r="G320" s="510">
        <v>992.68000000000018</v>
      </c>
      <c r="H320" s="510">
        <v>2.2875300149849247</v>
      </c>
      <c r="I320" s="510">
        <v>2.5150813958173837</v>
      </c>
      <c r="J320" s="510">
        <v>893.43046453265822</v>
      </c>
      <c r="K320" s="511">
        <v>1037.351694403028</v>
      </c>
      <c r="L320" s="512">
        <v>0.83852382523341684</v>
      </c>
      <c r="M320" s="513">
        <v>0.85433309234531063</v>
      </c>
      <c r="N320" s="513">
        <v>0.83852382523341684</v>
      </c>
      <c r="O320" s="513">
        <v>0.90516917049799661</v>
      </c>
      <c r="P320" s="510">
        <v>42.75</v>
      </c>
      <c r="Q320" s="510">
        <v>1212.0460000000003</v>
      </c>
      <c r="R320" s="510">
        <v>3.8101754385964917</v>
      </c>
      <c r="S320" s="510">
        <v>2.2960976728606006</v>
      </c>
      <c r="T320" s="510">
        <v>0</v>
      </c>
      <c r="U320" s="510">
        <v>0.17152814332129304</v>
      </c>
      <c r="V320" s="510">
        <v>1060.742222222209</v>
      </c>
      <c r="W320" s="510">
        <v>640.22150974467866</v>
      </c>
      <c r="X320" s="510">
        <v>53.239766081896661</v>
      </c>
      <c r="Y320" s="569">
        <v>466.28758314453478</v>
      </c>
      <c r="Z320" s="512">
        <v>0.90292657031205503</v>
      </c>
      <c r="AA320" s="513">
        <v>0.85121972553118452</v>
      </c>
      <c r="AB320" s="513">
        <v>0.90292657031205503</v>
      </c>
      <c r="AC320" s="513">
        <v>0.85121972553118452</v>
      </c>
      <c r="AD320" s="510">
        <v>40.390999999999998</v>
      </c>
      <c r="AE320" s="510">
        <v>801.60599999999988</v>
      </c>
      <c r="AF320" s="1022">
        <v>95.547462441580592</v>
      </c>
      <c r="AG320" s="510">
        <v>105.16752299617848</v>
      </c>
      <c r="AH320" s="510">
        <v>1.5201406253868437</v>
      </c>
      <c r="AI320" s="510">
        <v>1.5626130542935059</v>
      </c>
      <c r="AJ320" s="510">
        <v>896.88841573617435</v>
      </c>
      <c r="AK320" s="569">
        <v>942.01924636292654</v>
      </c>
      <c r="AL320" s="576">
        <v>0</v>
      </c>
      <c r="AM320" s="577">
        <v>0</v>
      </c>
      <c r="AN320" s="512">
        <v>0.83128211609136149</v>
      </c>
      <c r="AO320" s="513">
        <v>0.40970307660761551</v>
      </c>
      <c r="AP320" s="513">
        <v>0.83128211609136149</v>
      </c>
      <c r="AQ320" s="513">
        <v>0.85018449914416105</v>
      </c>
      <c r="AR320" s="510">
        <v>39.719000000000001</v>
      </c>
      <c r="AS320" s="510">
        <v>443.90899999999993</v>
      </c>
      <c r="AT320" s="1034">
        <v>114.26892132217874</v>
      </c>
      <c r="AU320" s="514">
        <v>119.61141243713024</v>
      </c>
      <c r="AV320" s="510">
        <v>1.6667086281124903</v>
      </c>
      <c r="AW320" s="510">
        <v>1.7604959575048045</v>
      </c>
      <c r="AX320" s="510">
        <v>0</v>
      </c>
      <c r="AY320" s="510">
        <v>0</v>
      </c>
      <c r="AZ320" s="510">
        <v>1074.453536091039</v>
      </c>
      <c r="BA320" s="510">
        <v>1253.4286982241861</v>
      </c>
      <c r="BB320" s="510">
        <v>0</v>
      </c>
      <c r="BC320" s="569">
        <v>0</v>
      </c>
      <c r="BD320" s="510">
        <v>0</v>
      </c>
      <c r="BE320" s="510">
        <v>0</v>
      </c>
      <c r="BF320" s="512">
        <v>0.82468728833524751</v>
      </c>
      <c r="BG320" s="513">
        <v>0.77456840181854458</v>
      </c>
      <c r="BH320" s="513">
        <v>0.82468728833524751</v>
      </c>
      <c r="BI320" s="513">
        <v>0.79474634511512166</v>
      </c>
      <c r="BJ320" s="510">
        <v>43.014000000000003</v>
      </c>
      <c r="BK320" s="510">
        <v>864.399</v>
      </c>
      <c r="BL320" s="510">
        <v>2.7270191100571903</v>
      </c>
      <c r="BM320" s="510">
        <v>2.6222843848731889</v>
      </c>
      <c r="BN320" s="514">
        <v>0</v>
      </c>
      <c r="BO320" s="514">
        <v>0</v>
      </c>
      <c r="BP320" s="514">
        <v>1116.2841706887868</v>
      </c>
      <c r="BQ320" s="514">
        <v>1104.9388074975479</v>
      </c>
      <c r="BR320" s="514">
        <v>0</v>
      </c>
      <c r="BS320" s="515">
        <v>0</v>
      </c>
      <c r="BT320" s="512">
        <v>0.43206292284055309</v>
      </c>
      <c r="BU320" s="513">
        <v>0.74930925245099056</v>
      </c>
      <c r="BV320" s="581">
        <v>0.49654477964117832</v>
      </c>
      <c r="BW320" s="581">
        <v>0.76406032899833831</v>
      </c>
      <c r="BX320" s="510">
        <v>19.48</v>
      </c>
      <c r="BY320" s="510">
        <v>767.95699999999988</v>
      </c>
      <c r="BZ320" s="1034">
        <v>149.33753380526184</v>
      </c>
      <c r="CA320" s="514">
        <v>94.461669178836019</v>
      </c>
      <c r="CB320" s="510">
        <v>3.8603696098562628</v>
      </c>
      <c r="CC320" s="510">
        <v>2.3248697518220425</v>
      </c>
      <c r="CD320" s="514">
        <v>0</v>
      </c>
      <c r="CE320" s="514">
        <v>0</v>
      </c>
      <c r="CF320" s="514">
        <v>1919.8055791576999</v>
      </c>
      <c r="CG320" s="514">
        <v>1166.5281516255802</v>
      </c>
      <c r="CH320" s="514">
        <v>0</v>
      </c>
      <c r="CI320" s="514">
        <v>0</v>
      </c>
      <c r="CJ320" s="582">
        <v>0</v>
      </c>
      <c r="CK320" s="582">
        <v>0</v>
      </c>
    </row>
    <row r="321" spans="1:89" ht="12.75" customHeight="1">
      <c r="A321" s="560">
        <v>45738</v>
      </c>
      <c r="B321" s="512">
        <v>0.82399693527636864</v>
      </c>
      <c r="C321" s="513">
        <v>0.81370211309681217</v>
      </c>
      <c r="D321" s="513">
        <v>0.92110166661184067</v>
      </c>
      <c r="E321" s="513">
        <v>0.82603341067877012</v>
      </c>
      <c r="F321" s="510">
        <v>50.216999999999999</v>
      </c>
      <c r="G321" s="510">
        <v>1042.8970000000002</v>
      </c>
      <c r="H321" s="510">
        <v>2.6295875898600074</v>
      </c>
      <c r="I321" s="510">
        <v>2.5205950347925064</v>
      </c>
      <c r="J321" s="510">
        <v>1016.6226576657356</v>
      </c>
      <c r="K321" s="511">
        <v>1036.353561281697</v>
      </c>
      <c r="L321" s="512">
        <v>0.8250311699131212</v>
      </c>
      <c r="M321" s="513">
        <v>0.85331443819587793</v>
      </c>
      <c r="N321" s="513">
        <v>0.8250311699131212</v>
      </c>
      <c r="O321" s="513">
        <v>0.90222356745166654</v>
      </c>
      <c r="P321" s="510">
        <v>42.155999999999999</v>
      </c>
      <c r="Q321" s="510">
        <v>1254.2020000000002</v>
      </c>
      <c r="R321" s="510">
        <v>3.791275263307714</v>
      </c>
      <c r="S321" s="510">
        <v>2.3463532987509184</v>
      </c>
      <c r="T321" s="510">
        <v>0</v>
      </c>
      <c r="U321" s="510">
        <v>0.16576277186609492</v>
      </c>
      <c r="V321" s="510">
        <v>1149.7440459246991</v>
      </c>
      <c r="W321" s="510">
        <v>657.34748469544797</v>
      </c>
      <c r="X321" s="510">
        <v>16.106841256286177</v>
      </c>
      <c r="Y321" s="569">
        <v>451.15619334046738</v>
      </c>
      <c r="Z321" s="512">
        <v>0.87537427680445901</v>
      </c>
      <c r="AA321" s="513">
        <v>0.85231763591570153</v>
      </c>
      <c r="AB321" s="513">
        <v>0.87537427680445901</v>
      </c>
      <c r="AC321" s="513">
        <v>0.85231763591570153</v>
      </c>
      <c r="AD321" s="510">
        <v>39.253999999999998</v>
      </c>
      <c r="AE321" s="510">
        <v>840.8599999999999</v>
      </c>
      <c r="AF321" s="510">
        <v>108.53875511078185</v>
      </c>
      <c r="AG321" s="510">
        <v>105.32490275669348</v>
      </c>
      <c r="AH321" s="510">
        <v>1.6049319814541194</v>
      </c>
      <c r="AI321" s="510">
        <v>1.5645886354446639</v>
      </c>
      <c r="AJ321" s="510">
        <v>961.22025780812135</v>
      </c>
      <c r="AK321" s="569">
        <v>942.91561020859615</v>
      </c>
      <c r="AL321" s="576">
        <v>0</v>
      </c>
      <c r="AM321" s="577">
        <v>0</v>
      </c>
      <c r="AN321" s="512">
        <v>0.82950029266833325</v>
      </c>
      <c r="AO321" s="513">
        <v>0.42854635896866927</v>
      </c>
      <c r="AP321" s="513">
        <v>0.82950029266833325</v>
      </c>
      <c r="AQ321" s="513">
        <v>0.84834655901902545</v>
      </c>
      <c r="AR321" s="510">
        <v>42.238</v>
      </c>
      <c r="AS321" s="510">
        <v>486.14699999999993</v>
      </c>
      <c r="AT321" s="514">
        <v>131.28618501114977</v>
      </c>
      <c r="AU321" s="514">
        <v>120.62575386879892</v>
      </c>
      <c r="AV321" s="510">
        <v>1.7945925469955963</v>
      </c>
      <c r="AW321" s="510">
        <v>1.763458377815764</v>
      </c>
      <c r="AX321" s="510">
        <v>0</v>
      </c>
      <c r="AY321" s="510">
        <v>0</v>
      </c>
      <c r="AZ321" s="510">
        <v>1132.9073346275866</v>
      </c>
      <c r="BA321" s="510">
        <v>1242.9574182294659</v>
      </c>
      <c r="BB321" s="510">
        <v>0</v>
      </c>
      <c r="BC321" s="569">
        <v>0</v>
      </c>
      <c r="BD321" s="510">
        <v>126.66319428001174</v>
      </c>
      <c r="BE321" s="510">
        <v>11.0049018095332</v>
      </c>
      <c r="BF321" s="512">
        <v>1.1251274286882873</v>
      </c>
      <c r="BG321" s="513">
        <v>0.7898038735704459</v>
      </c>
      <c r="BH321" s="513">
        <v>1.1251274286882873</v>
      </c>
      <c r="BI321" s="513">
        <v>0.80946226011842071</v>
      </c>
      <c r="BJ321" s="510">
        <v>57.048999999999999</v>
      </c>
      <c r="BK321" s="510">
        <v>921.44799999999998</v>
      </c>
      <c r="BL321" s="510">
        <v>2.0754088590509912</v>
      </c>
      <c r="BM321" s="510">
        <v>2.5884260424896466</v>
      </c>
      <c r="BN321" s="514">
        <v>0</v>
      </c>
      <c r="BO321" s="514">
        <v>0</v>
      </c>
      <c r="BP321" s="514">
        <v>911.28203270676829</v>
      </c>
      <c r="BQ321" s="514">
        <v>1092.9490638060547</v>
      </c>
      <c r="BR321" s="514">
        <v>0</v>
      </c>
      <c r="BS321" s="515">
        <v>0</v>
      </c>
      <c r="BT321" s="512">
        <v>0.54932197956707063</v>
      </c>
      <c r="BU321" s="513">
        <v>0.74021962663723107</v>
      </c>
      <c r="BV321" s="581">
        <v>0.54932197956707063</v>
      </c>
      <c r="BW321" s="581">
        <v>0.75411700941162996</v>
      </c>
      <c r="BX321" s="510">
        <v>26.806999999999999</v>
      </c>
      <c r="BY321" s="510">
        <v>794.7639999999999</v>
      </c>
      <c r="BZ321" s="514">
        <v>103.70999456785263</v>
      </c>
      <c r="CA321" s="514">
        <v>94.773610659204223</v>
      </c>
      <c r="CB321" s="510">
        <v>2.8798448166523674</v>
      </c>
      <c r="CC321" s="510">
        <v>2.3435887886215285</v>
      </c>
      <c r="CD321" s="514">
        <v>0</v>
      </c>
      <c r="CE321" s="514">
        <v>0</v>
      </c>
      <c r="CF321" s="514">
        <v>1488.3236212971367</v>
      </c>
      <c r="CG321" s="514">
        <v>1177.3821550221678</v>
      </c>
      <c r="CH321" s="514">
        <v>0</v>
      </c>
      <c r="CI321" s="514">
        <v>0</v>
      </c>
      <c r="CJ321" s="582">
        <v>0</v>
      </c>
      <c r="CK321" s="582">
        <v>0</v>
      </c>
    </row>
    <row r="322" spans="1:89" ht="12.75" customHeight="1">
      <c r="A322" s="560">
        <v>45739</v>
      </c>
      <c r="B322" s="512">
        <v>1.177840499250929</v>
      </c>
      <c r="C322" s="513">
        <v>0.82984021327261048</v>
      </c>
      <c r="D322" s="513">
        <v>1.177840499250929</v>
      </c>
      <c r="E322" s="513">
        <v>0.84185066555349053</v>
      </c>
      <c r="F322" s="510">
        <v>70.006</v>
      </c>
      <c r="G322" s="510">
        <v>1112.9030000000002</v>
      </c>
      <c r="H322" s="510">
        <v>1.8952804045367542</v>
      </c>
      <c r="I322" s="510">
        <v>2.4812602715600556</v>
      </c>
      <c r="J322" s="510">
        <v>849.55318115590921</v>
      </c>
      <c r="K322" s="511">
        <v>1024.6030786151159</v>
      </c>
      <c r="L322" s="512">
        <v>0.45143099076299431</v>
      </c>
      <c r="M322" s="513">
        <v>0.83981125508626808</v>
      </c>
      <c r="N322" s="513">
        <v>0.45143099076299431</v>
      </c>
      <c r="O322" s="513">
        <v>0.88623968429948585</v>
      </c>
      <c r="P322" s="510">
        <v>23.068999999999999</v>
      </c>
      <c r="Q322" s="510">
        <v>1277.2710000000002</v>
      </c>
      <c r="R322" s="510">
        <v>3.3502102388486716</v>
      </c>
      <c r="S322" s="510">
        <v>2.3644841227899165</v>
      </c>
      <c r="T322" s="510">
        <v>0</v>
      </c>
      <c r="U322" s="510">
        <v>0.1627689033885526</v>
      </c>
      <c r="V322" s="510">
        <v>1247.9964454462299</v>
      </c>
      <c r="W322" s="510">
        <v>668.01529197797447</v>
      </c>
      <c r="X322" s="510">
        <v>31.427456760154321</v>
      </c>
      <c r="Y322" s="569">
        <v>443.57540412332298</v>
      </c>
      <c r="Z322" s="512">
        <v>0.7448372175478748</v>
      </c>
      <c r="AA322" s="513">
        <v>0.84765810709164691</v>
      </c>
      <c r="AB322" s="513">
        <v>0.7448372175478748</v>
      </c>
      <c r="AC322" s="513">
        <v>0.84765810709164691</v>
      </c>
      <c r="AD322" s="510">
        <v>33.299999999999997</v>
      </c>
      <c r="AE322" s="510">
        <v>874.15999999999985</v>
      </c>
      <c r="AF322" s="510">
        <v>121.14200719490823</v>
      </c>
      <c r="AG322" s="510">
        <v>105.92743499082975</v>
      </c>
      <c r="AH322" s="510">
        <v>1.8528528528528532</v>
      </c>
      <c r="AI322" s="510">
        <v>1.5755696897593121</v>
      </c>
      <c r="AJ322" s="510">
        <v>1107.6222222222277</v>
      </c>
      <c r="AK322" s="569">
        <v>949.18989658643761</v>
      </c>
      <c r="AL322" s="576">
        <v>0</v>
      </c>
      <c r="AM322" s="577">
        <v>0</v>
      </c>
      <c r="AN322" s="512">
        <v>0.8717096549373724</v>
      </c>
      <c r="AO322" s="513">
        <v>0.44789841200213443</v>
      </c>
      <c r="AP322" s="513">
        <v>0.8717096549373724</v>
      </c>
      <c r="AQ322" s="513">
        <v>0.85028332788346339</v>
      </c>
      <c r="AR322" s="510">
        <v>45.154000000000003</v>
      </c>
      <c r="AS322" s="510">
        <v>531.30099999999993</v>
      </c>
      <c r="AT322" s="514">
        <v>124.66819514211586</v>
      </c>
      <c r="AU322" s="514">
        <v>120.96931127459216</v>
      </c>
      <c r="AV322" s="510">
        <v>1.7805731496655888</v>
      </c>
      <c r="AW322" s="510">
        <v>1.764912921300732</v>
      </c>
      <c r="AX322" s="510">
        <v>0</v>
      </c>
      <c r="AY322" s="510">
        <v>0</v>
      </c>
      <c r="AZ322" s="510">
        <v>1067.5426318820041</v>
      </c>
      <c r="BA322" s="510">
        <v>1228.049335499087</v>
      </c>
      <c r="BB322" s="510">
        <v>0</v>
      </c>
      <c r="BC322" s="569">
        <v>0</v>
      </c>
      <c r="BD322" s="510">
        <v>103.86676706382602</v>
      </c>
      <c r="BE322" s="510">
        <v>18.897009416506158</v>
      </c>
      <c r="BF322" s="512">
        <v>0.9451197839776101</v>
      </c>
      <c r="BG322" s="513">
        <v>0.79611642164205043</v>
      </c>
      <c r="BH322" s="513">
        <v>0.9451197839776101</v>
      </c>
      <c r="BI322" s="513">
        <v>0.81510735004165191</v>
      </c>
      <c r="BJ322" s="510">
        <v>46.713999999999999</v>
      </c>
      <c r="BK322" s="510">
        <v>968.16200000000003</v>
      </c>
      <c r="BL322" s="510">
        <v>2.5409941345207008</v>
      </c>
      <c r="BM322" s="510">
        <v>2.5861374439401668</v>
      </c>
      <c r="BN322" s="514">
        <v>0</v>
      </c>
      <c r="BO322" s="514">
        <v>0</v>
      </c>
      <c r="BP322" s="514">
        <v>1099.4775180383799</v>
      </c>
      <c r="BQ322" s="514">
        <v>1093.264062960131</v>
      </c>
      <c r="BR322" s="514">
        <v>0</v>
      </c>
      <c r="BS322" s="515">
        <v>0</v>
      </c>
      <c r="BT322" s="512">
        <v>0.90301978251345183</v>
      </c>
      <c r="BU322" s="513">
        <v>0.74712826970448132</v>
      </c>
      <c r="BV322" s="581">
        <v>0.90301978251345183</v>
      </c>
      <c r="BW322" s="581">
        <v>0.76054940860258291</v>
      </c>
      <c r="BX322" s="510">
        <v>42.968000000000004</v>
      </c>
      <c r="BY322" s="510">
        <v>837.73199999999986</v>
      </c>
      <c r="BZ322" s="514">
        <v>85.405498905289008</v>
      </c>
      <c r="CA322" s="514">
        <v>94.293112091831574</v>
      </c>
      <c r="CB322" s="510">
        <v>2.2551666356358218</v>
      </c>
      <c r="CC322" s="510">
        <v>2.3390535397955441</v>
      </c>
      <c r="CD322" s="514">
        <v>0</v>
      </c>
      <c r="CE322" s="514">
        <v>0</v>
      </c>
      <c r="CF322" s="514">
        <v>1100.7137223597545</v>
      </c>
      <c r="CG322" s="514">
        <v>1173.4497646937111</v>
      </c>
      <c r="CH322" s="514">
        <v>0</v>
      </c>
      <c r="CI322" s="514">
        <v>0</v>
      </c>
      <c r="CJ322" s="582">
        <v>0</v>
      </c>
      <c r="CK322" s="582">
        <v>0</v>
      </c>
    </row>
    <row r="323" spans="1:89" ht="12.75" customHeight="1">
      <c r="A323" s="560">
        <v>45740</v>
      </c>
      <c r="B323" s="512">
        <v>1.0295873964131672</v>
      </c>
      <c r="C323" s="513">
        <v>0.8379336736844285</v>
      </c>
      <c r="D323" s="513">
        <v>1.0295873964131672</v>
      </c>
      <c r="E323" s="513">
        <v>0.84956305243627994</v>
      </c>
      <c r="F323" s="510">
        <v>58.31</v>
      </c>
      <c r="G323" s="510">
        <v>1171.2130000000002</v>
      </c>
      <c r="H323" s="510">
        <v>1.8646372834848224</v>
      </c>
      <c r="I323" s="510">
        <v>2.450561084960635</v>
      </c>
      <c r="J323" s="510">
        <v>846.27165151775512</v>
      </c>
      <c r="K323" s="511">
        <v>1015.7246717719139</v>
      </c>
      <c r="L323" s="512">
        <v>0.80433384973462307</v>
      </c>
      <c r="M323" s="513">
        <v>0.83865395654730612</v>
      </c>
      <c r="N323" s="513">
        <v>0.80433384973462307</v>
      </c>
      <c r="O323" s="513">
        <v>0.88342522230255982</v>
      </c>
      <c r="P323" s="510">
        <v>41.250999999999998</v>
      </c>
      <c r="Q323" s="510">
        <v>1318.5220000000002</v>
      </c>
      <c r="R323" s="510">
        <v>3.3991418389857215</v>
      </c>
      <c r="S323" s="510">
        <v>2.3968542049355257</v>
      </c>
      <c r="T323" s="510">
        <v>0</v>
      </c>
      <c r="U323" s="510">
        <v>0.15767654995517708</v>
      </c>
      <c r="V323" s="510">
        <v>950.04848367314253</v>
      </c>
      <c r="W323" s="510">
        <v>676.83892267250769</v>
      </c>
      <c r="X323" s="510">
        <v>16.557174371530387</v>
      </c>
      <c r="Y323" s="569">
        <v>430.21580223917448</v>
      </c>
      <c r="Z323" s="512">
        <v>1.0866777753881647</v>
      </c>
      <c r="AA323" s="513">
        <v>0.85741747654963973</v>
      </c>
      <c r="AB323" s="513">
        <v>1.0866777753881647</v>
      </c>
      <c r="AC323" s="513">
        <v>0.85741747654963973</v>
      </c>
      <c r="AD323" s="510">
        <v>47.704999999999998</v>
      </c>
      <c r="AE323" s="510">
        <v>921.8649999999999</v>
      </c>
      <c r="AF323" s="510">
        <v>86.975680353129988</v>
      </c>
      <c r="AG323" s="510">
        <v>104.9467128080899</v>
      </c>
      <c r="AH323" s="510">
        <v>1.3541557488732836</v>
      </c>
      <c r="AI323" s="510">
        <v>1.5641118818916002</v>
      </c>
      <c r="AJ323" s="510">
        <v>736.10942249239349</v>
      </c>
      <c r="AK323" s="569">
        <v>938.16333194122785</v>
      </c>
      <c r="AL323" s="576">
        <v>0</v>
      </c>
      <c r="AM323" s="577">
        <v>0</v>
      </c>
      <c r="AN323" s="512">
        <v>0.90012699586105127</v>
      </c>
      <c r="AO323" s="513">
        <v>0.46682005764474332</v>
      </c>
      <c r="AP323" s="513">
        <v>0.90012699586105127</v>
      </c>
      <c r="AQ323" s="513">
        <v>0.85409898717876787</v>
      </c>
      <c r="AR323" s="510">
        <v>46.625999999999998</v>
      </c>
      <c r="AS323" s="510">
        <v>577.92699999999991</v>
      </c>
      <c r="AT323" s="514">
        <v>109.07031232624259</v>
      </c>
      <c r="AU323" s="514">
        <v>120.00932372432068</v>
      </c>
      <c r="AV323" s="510">
        <v>1.668596920173294</v>
      </c>
      <c r="AW323" s="510">
        <v>1.7571423380461548</v>
      </c>
      <c r="AX323" s="510">
        <v>0</v>
      </c>
      <c r="AY323" s="510">
        <v>0</v>
      </c>
      <c r="AZ323" s="510">
        <v>907.99339424355514</v>
      </c>
      <c r="BA323" s="510">
        <v>1202.227859227896</v>
      </c>
      <c r="BB323" s="510">
        <v>0</v>
      </c>
      <c r="BC323" s="569">
        <v>0</v>
      </c>
      <c r="BD323" s="510">
        <v>168.57547291212083</v>
      </c>
      <c r="BE323" s="510">
        <v>30.97276991730735</v>
      </c>
      <c r="BF323" s="512">
        <v>0.65407059853824534</v>
      </c>
      <c r="BG323" s="513">
        <v>0.78985877617873701</v>
      </c>
      <c r="BH323" s="513">
        <v>0.65407059853824534</v>
      </c>
      <c r="BI323" s="513">
        <v>0.8078514788610468</v>
      </c>
      <c r="BJ323" s="510">
        <v>36.655999999999999</v>
      </c>
      <c r="BK323" s="510">
        <v>1004.818</v>
      </c>
      <c r="BL323" s="510">
        <v>3.3691619380183329</v>
      </c>
      <c r="BM323" s="510">
        <v>2.6147023640101987</v>
      </c>
      <c r="BN323" s="514">
        <v>0</v>
      </c>
      <c r="BO323" s="514">
        <v>0</v>
      </c>
      <c r="BP323" s="514">
        <v>1243.6610080802063</v>
      </c>
      <c r="BQ323" s="514">
        <v>1098.7505793445125</v>
      </c>
      <c r="BR323" s="514">
        <v>0</v>
      </c>
      <c r="BS323" s="515">
        <v>0</v>
      </c>
      <c r="BT323" s="512">
        <v>0.80371893000195049</v>
      </c>
      <c r="BU323" s="513">
        <v>0.7496267426829013</v>
      </c>
      <c r="BV323" s="581">
        <v>0.80371893000195049</v>
      </c>
      <c r="BW323" s="581">
        <v>0.76248803933636489</v>
      </c>
      <c r="BX323" s="510">
        <v>41.625</v>
      </c>
      <c r="BY323" s="510">
        <v>879.35699999999986</v>
      </c>
      <c r="BZ323" s="514">
        <v>86.90240927881193</v>
      </c>
      <c r="CA323" s="514">
        <v>93.943267825405144</v>
      </c>
      <c r="CB323" s="510">
        <v>2.3735735735735735</v>
      </c>
      <c r="CC323" s="510">
        <v>2.3406875705771384</v>
      </c>
      <c r="CD323" s="514">
        <v>0</v>
      </c>
      <c r="CE323" s="514">
        <v>0</v>
      </c>
      <c r="CF323" s="514">
        <v>1033.7699000075095</v>
      </c>
      <c r="CG323" s="514">
        <v>1166.8379172101941</v>
      </c>
      <c r="CH323" s="514">
        <v>0</v>
      </c>
      <c r="CI323" s="514">
        <v>0</v>
      </c>
      <c r="CJ323" s="582">
        <v>0</v>
      </c>
      <c r="CK323" s="582">
        <v>0</v>
      </c>
    </row>
    <row r="324" spans="1:89" ht="12.75" customHeight="1">
      <c r="A324" s="560">
        <v>45741</v>
      </c>
      <c r="B324" s="512">
        <v>0.69843563581904144</v>
      </c>
      <c r="C324" s="513">
        <v>0.83248508448771252</v>
      </c>
      <c r="D324" s="513">
        <v>0.69843563581904144</v>
      </c>
      <c r="E324" s="513">
        <v>0.84358155612428465</v>
      </c>
      <c r="F324" s="510">
        <v>39.68</v>
      </c>
      <c r="G324" s="510">
        <v>1210.8930000000003</v>
      </c>
      <c r="H324" s="510">
        <v>2.8829133064516133</v>
      </c>
      <c r="I324" s="510">
        <v>2.4647289231996554</v>
      </c>
      <c r="J324" s="510">
        <v>1192.5176411290267</v>
      </c>
      <c r="K324" s="511">
        <v>1021.5180366886245</v>
      </c>
      <c r="L324" s="512">
        <v>0.92391284393755635</v>
      </c>
      <c r="M324" s="513">
        <v>0.84136393988923519</v>
      </c>
      <c r="N324" s="513">
        <v>0.92391284393755635</v>
      </c>
      <c r="O324" s="513">
        <v>0.88477854047069082</v>
      </c>
      <c r="P324" s="510">
        <v>47.686</v>
      </c>
      <c r="Q324" s="510">
        <v>1366.2080000000001</v>
      </c>
      <c r="R324" s="510">
        <v>2.8738623495365516</v>
      </c>
      <c r="S324" s="510">
        <v>2.4135036539092143</v>
      </c>
      <c r="T324" s="510">
        <v>0</v>
      </c>
      <c r="U324" s="510">
        <v>0.15217302197030028</v>
      </c>
      <c r="V324" s="510">
        <v>959.26372520233463</v>
      </c>
      <c r="W324" s="510">
        <v>686.69665233990645</v>
      </c>
      <c r="X324" s="510">
        <v>15.790798137818227</v>
      </c>
      <c r="Y324" s="569">
        <v>415.75074951983953</v>
      </c>
      <c r="Z324" s="512">
        <v>0.97670527397028628</v>
      </c>
      <c r="AA324" s="513">
        <v>0.86218679417920341</v>
      </c>
      <c r="AB324" s="513">
        <v>0.97670527397028628</v>
      </c>
      <c r="AC324" s="513">
        <v>0.86218679417920341</v>
      </c>
      <c r="AD324" s="510">
        <v>43.734000000000002</v>
      </c>
      <c r="AE324" s="510">
        <v>965.59899999999993</v>
      </c>
      <c r="AF324" s="510">
        <v>98.375771187926333</v>
      </c>
      <c r="AG324" s="510">
        <v>104.64910110714962</v>
      </c>
      <c r="AH324" s="510">
        <v>1.5136964375543056</v>
      </c>
      <c r="AI324" s="510">
        <v>1.5618284608828303</v>
      </c>
      <c r="AJ324" s="510">
        <v>759.5715004344612</v>
      </c>
      <c r="AK324" s="569">
        <v>930.07453404570697</v>
      </c>
      <c r="AL324" s="576">
        <v>0</v>
      </c>
      <c r="AM324" s="577">
        <v>0</v>
      </c>
      <c r="AN324" s="512">
        <v>0.24703009134470064</v>
      </c>
      <c r="AO324" s="513">
        <v>0.45799317484235075</v>
      </c>
      <c r="AP324" s="513">
        <v>0.97192167086439585</v>
      </c>
      <c r="AQ324" s="513">
        <v>0.85634772146841986</v>
      </c>
      <c r="AR324" s="510">
        <v>12.795999999999999</v>
      </c>
      <c r="AS324" s="510">
        <v>590.72299999999996</v>
      </c>
      <c r="AT324" s="514">
        <v>119.62724410636305</v>
      </c>
      <c r="AU324" s="514">
        <v>120.00104727192016</v>
      </c>
      <c r="AV324" s="510">
        <v>2.0475148483901218</v>
      </c>
      <c r="AW324" s="510">
        <v>1.763432268592894</v>
      </c>
      <c r="AX324" s="510">
        <v>0</v>
      </c>
      <c r="AY324" s="510">
        <v>0</v>
      </c>
      <c r="AZ324" s="510">
        <v>1551.9771803688589</v>
      </c>
      <c r="BA324" s="510">
        <v>1209.8039859629641</v>
      </c>
      <c r="BB324" s="510">
        <v>0</v>
      </c>
      <c r="BC324" s="569">
        <v>0</v>
      </c>
      <c r="BD324" s="510">
        <v>0</v>
      </c>
      <c r="BE324" s="510">
        <v>30.301850444285527</v>
      </c>
      <c r="BF324" s="512">
        <v>0.55720506903938849</v>
      </c>
      <c r="BG324" s="513">
        <v>0.78027991884460024</v>
      </c>
      <c r="BH324" s="513">
        <v>0.55720506903938849</v>
      </c>
      <c r="BI324" s="513">
        <v>0.79730663473943553</v>
      </c>
      <c r="BJ324" s="510">
        <v>30.437999999999999</v>
      </c>
      <c r="BK324" s="510">
        <v>1035.2560000000001</v>
      </c>
      <c r="BL324" s="510">
        <v>2.789276562191997</v>
      </c>
      <c r="BM324" s="510">
        <v>2.619835093928458</v>
      </c>
      <c r="BN324" s="514">
        <v>0</v>
      </c>
      <c r="BO324" s="514">
        <v>0</v>
      </c>
      <c r="BP324" s="514">
        <v>1081.5654881505816</v>
      </c>
      <c r="BQ324" s="514">
        <v>1098.2453132018763</v>
      </c>
      <c r="BR324" s="514">
        <v>0</v>
      </c>
      <c r="BS324" s="515">
        <v>0</v>
      </c>
      <c r="BT324" s="512">
        <v>1.0404290356344352</v>
      </c>
      <c r="BU324" s="513">
        <v>0.76159821946611339</v>
      </c>
      <c r="BV324" s="581">
        <v>1.0404290356344352</v>
      </c>
      <c r="BW324" s="581">
        <v>0.77411814983201188</v>
      </c>
      <c r="BX324" s="510">
        <v>52.401000000000003</v>
      </c>
      <c r="BY324" s="510">
        <v>931.75799999999981</v>
      </c>
      <c r="BZ324" s="514">
        <v>71.236881114524692</v>
      </c>
      <c r="CA324" s="514">
        <v>92.666286710097481</v>
      </c>
      <c r="CB324" s="510">
        <v>1.8492013511192535</v>
      </c>
      <c r="CC324" s="510">
        <v>2.3130469499591104</v>
      </c>
      <c r="CD324" s="514">
        <v>0</v>
      </c>
      <c r="CE324" s="514">
        <v>0</v>
      </c>
      <c r="CF324" s="514">
        <v>759.36756305551501</v>
      </c>
      <c r="CG324" s="514">
        <v>1143.9222523829974</v>
      </c>
      <c r="CH324" s="514">
        <v>0</v>
      </c>
      <c r="CI324" s="514">
        <v>0</v>
      </c>
      <c r="CJ324" s="582">
        <v>2.1142828931971027</v>
      </c>
      <c r="CK324" s="582">
        <v>2.1142828931971027</v>
      </c>
    </row>
    <row r="325" spans="1:89" ht="12.75" customHeight="1">
      <c r="A325" s="560">
        <v>45742</v>
      </c>
      <c r="B325" s="512">
        <v>0.86273130187005898</v>
      </c>
      <c r="C325" s="513">
        <v>0.83367121274680522</v>
      </c>
      <c r="D325" s="513">
        <v>0.86273130187005898</v>
      </c>
      <c r="E325" s="513">
        <v>0.84434214024781429</v>
      </c>
      <c r="F325" s="510">
        <v>51.22</v>
      </c>
      <c r="G325" s="510">
        <v>1262.1130000000003</v>
      </c>
      <c r="H325" s="510">
        <v>2.402440452948067</v>
      </c>
      <c r="I325" s="510">
        <v>2.4622010865905035</v>
      </c>
      <c r="J325" s="510">
        <v>1006.3643108160891</v>
      </c>
      <c r="K325" s="511">
        <v>1020.9030570162882</v>
      </c>
      <c r="L325" s="512">
        <v>0.93660781114652358</v>
      </c>
      <c r="M325" s="513">
        <v>0.84428478705480026</v>
      </c>
      <c r="N325" s="513">
        <v>0.93660781114652358</v>
      </c>
      <c r="O325" s="513">
        <v>0.88644736579356809</v>
      </c>
      <c r="P325" s="510">
        <v>48.116</v>
      </c>
      <c r="Q325" s="510">
        <v>1414.3240000000001</v>
      </c>
      <c r="R325" s="510">
        <v>2.7154792584587253</v>
      </c>
      <c r="S325" s="510">
        <v>2.4237770129051048</v>
      </c>
      <c r="T325" s="510">
        <v>0</v>
      </c>
      <c r="U325" s="510">
        <v>0.1469960207137827</v>
      </c>
      <c r="V325" s="510">
        <v>949.06205835897254</v>
      </c>
      <c r="W325" s="510">
        <v>695.62245284673043</v>
      </c>
      <c r="X325" s="510">
        <v>13.633718513592152</v>
      </c>
      <c r="Y325" s="569">
        <v>402.07052980788063</v>
      </c>
      <c r="Z325" s="512">
        <v>0.93639814750848516</v>
      </c>
      <c r="AA325" s="513">
        <v>0.86506380804510141</v>
      </c>
      <c r="AB325" s="513">
        <v>0.93639814750848516</v>
      </c>
      <c r="AC325" s="513">
        <v>0.86506380804510141</v>
      </c>
      <c r="AD325" s="510">
        <v>42.295999999999999</v>
      </c>
      <c r="AE325" s="510">
        <v>1007.895</v>
      </c>
      <c r="AF325" s="510">
        <v>105.30544806835013</v>
      </c>
      <c r="AG325" s="510">
        <v>104.67664450310944</v>
      </c>
      <c r="AH325" s="510">
        <v>1.5178740306411955</v>
      </c>
      <c r="AI325" s="510">
        <v>1.5599839268971469</v>
      </c>
      <c r="AJ325" s="510">
        <v>824.33279742764421</v>
      </c>
      <c r="AK325" s="569">
        <v>925.63711497725478</v>
      </c>
      <c r="AL325" s="576">
        <v>0</v>
      </c>
      <c r="AM325" s="577">
        <v>0</v>
      </c>
      <c r="AN325" s="512">
        <v>0</v>
      </c>
      <c r="AO325" s="513">
        <v>0.44031008589024218</v>
      </c>
      <c r="AP325" s="513" t="e">
        <v>#DIV/0!</v>
      </c>
      <c r="AQ325" s="513">
        <v>0.85634772146841986</v>
      </c>
      <c r="AR325" s="510">
        <v>0</v>
      </c>
      <c r="AS325" s="510">
        <v>590.72299999999996</v>
      </c>
      <c r="AT325" s="514">
        <v>0</v>
      </c>
      <c r="AU325" s="514">
        <v>120.00104727192016</v>
      </c>
      <c r="AV325" s="510">
        <v>0</v>
      </c>
      <c r="AW325" s="510">
        <v>1.7832385060341314</v>
      </c>
      <c r="AX325" s="510">
        <v>0</v>
      </c>
      <c r="AY325" s="510">
        <v>0</v>
      </c>
      <c r="AZ325" s="510">
        <v>0</v>
      </c>
      <c r="BA325" s="510">
        <v>1226.9287297091871</v>
      </c>
      <c r="BB325" s="510">
        <v>0</v>
      </c>
      <c r="BC325" s="569">
        <v>0</v>
      </c>
      <c r="BD325" s="510">
        <v>0</v>
      </c>
      <c r="BE325" s="510">
        <v>30.301850444285527</v>
      </c>
      <c r="BF325" s="512">
        <v>0.89194204500917462</v>
      </c>
      <c r="BG325" s="513">
        <v>0.78491660710157296</v>
      </c>
      <c r="BH325" s="513">
        <v>0.89194204500917462</v>
      </c>
      <c r="BI325" s="513">
        <v>0.80131841631869183</v>
      </c>
      <c r="BJ325" s="510">
        <v>51.268999999999998</v>
      </c>
      <c r="BK325" s="510">
        <v>1086.5250000000001</v>
      </c>
      <c r="BL325" s="510">
        <v>2.4732294368916889</v>
      </c>
      <c r="BM325" s="510">
        <v>2.6129173281792868</v>
      </c>
      <c r="BN325" s="514">
        <v>0</v>
      </c>
      <c r="BO325" s="514">
        <v>0</v>
      </c>
      <c r="BP325" s="514">
        <v>975.86665331028348</v>
      </c>
      <c r="BQ325" s="514">
        <v>1092.4707276985682</v>
      </c>
      <c r="BR325" s="514">
        <v>0</v>
      </c>
      <c r="BS325" s="515">
        <v>0</v>
      </c>
      <c r="BT325" s="512">
        <v>0.90247070945142494</v>
      </c>
      <c r="BU325" s="513">
        <v>0.76738306742283491</v>
      </c>
      <c r="BV325" s="581">
        <v>0.90247070945142494</v>
      </c>
      <c r="BW325" s="581">
        <v>0.77947190548657852</v>
      </c>
      <c r="BX325" s="510">
        <v>47.280999999999999</v>
      </c>
      <c r="BY325" s="510">
        <v>979.03899999999976</v>
      </c>
      <c r="BZ325" s="514">
        <v>88.471072280642588</v>
      </c>
      <c r="CA325" s="514">
        <v>92.463686064526627</v>
      </c>
      <c r="CB325" s="510">
        <v>2.0600241111651618</v>
      </c>
      <c r="CC325" s="510">
        <v>2.3008276483367882</v>
      </c>
      <c r="CD325" s="514">
        <v>0</v>
      </c>
      <c r="CE325" s="514">
        <v>0</v>
      </c>
      <c r="CF325" s="514">
        <v>920.90337665099753</v>
      </c>
      <c r="CG325" s="514">
        <v>1133.1519404102519</v>
      </c>
      <c r="CH325" s="514">
        <v>0</v>
      </c>
      <c r="CI325" s="514">
        <v>0</v>
      </c>
      <c r="CJ325" s="582">
        <v>1.644469730011499</v>
      </c>
      <c r="CK325" s="582">
        <v>3.6566469772912762</v>
      </c>
    </row>
    <row r="326" spans="1:89" ht="12.75" customHeight="1">
      <c r="A326" s="560">
        <v>45743</v>
      </c>
      <c r="B326" s="512">
        <v>0.92545884694141556</v>
      </c>
      <c r="C326" s="513">
        <v>0.83713617021800213</v>
      </c>
      <c r="D326" s="513">
        <v>0.92545884694141556</v>
      </c>
      <c r="E326" s="513">
        <v>0.84744197044466096</v>
      </c>
      <c r="F326" s="510">
        <v>54.965000000000003</v>
      </c>
      <c r="G326" s="510">
        <v>1317.0780000000002</v>
      </c>
      <c r="H326" s="510">
        <v>2.2477758573637767</v>
      </c>
      <c r="I326" s="510">
        <v>2.4532525788146189</v>
      </c>
      <c r="J326" s="510">
        <v>835.04193577729234</v>
      </c>
      <c r="K326" s="511">
        <v>1013.1466017957915</v>
      </c>
      <c r="L326" s="512">
        <v>0.91970862318993407</v>
      </c>
      <c r="M326" s="513">
        <v>0.8465124483085249</v>
      </c>
      <c r="N326" s="513">
        <v>0.91970862318993407</v>
      </c>
      <c r="O326" s="513">
        <v>0.88747728485017097</v>
      </c>
      <c r="P326" s="510">
        <v>46.889000000000003</v>
      </c>
      <c r="Q326" s="510">
        <v>1461.213</v>
      </c>
      <c r="R326" s="510">
        <v>2.7385527522446629</v>
      </c>
      <c r="S326" s="510">
        <v>2.43387788091127</v>
      </c>
      <c r="T326" s="510">
        <v>0</v>
      </c>
      <c r="U326" s="510">
        <v>0.1422790517193592</v>
      </c>
      <c r="V326" s="510">
        <v>854.58252468594878</v>
      </c>
      <c r="W326" s="510">
        <v>700.72333739160456</v>
      </c>
      <c r="X326" s="510">
        <v>254.36669581350634</v>
      </c>
      <c r="Y326" s="569">
        <v>397.33084772719684</v>
      </c>
      <c r="Z326" s="512">
        <v>0.87306578456426487</v>
      </c>
      <c r="AA326" s="513">
        <v>0.86533766808623469</v>
      </c>
      <c r="AB326" s="513">
        <v>0.87306578456426487</v>
      </c>
      <c r="AC326" s="513">
        <v>0.86533766808623469</v>
      </c>
      <c r="AD326" s="510">
        <v>36.046999999999997</v>
      </c>
      <c r="AE326" s="510">
        <v>1043.942</v>
      </c>
      <c r="AF326" s="510">
        <v>118.34049703716965</v>
      </c>
      <c r="AG326" s="510">
        <v>105.14845317858688</v>
      </c>
      <c r="AH326" s="510">
        <v>1.6728160457180903</v>
      </c>
      <c r="AI326" s="510">
        <v>1.5638799856697019</v>
      </c>
      <c r="AJ326" s="510">
        <v>911.81180125945673</v>
      </c>
      <c r="AK326" s="569">
        <v>925.15973109617175</v>
      </c>
      <c r="AL326" s="576">
        <v>0</v>
      </c>
      <c r="AM326" s="577">
        <v>0</v>
      </c>
      <c r="AN326" s="512">
        <v>0</v>
      </c>
      <c r="AO326" s="513">
        <v>0.42394172150476994</v>
      </c>
      <c r="AP326" s="513" t="e">
        <v>#DIV/0!</v>
      </c>
      <c r="AQ326" s="513">
        <v>0.85634772146841986</v>
      </c>
      <c r="AR326" s="510">
        <v>0</v>
      </c>
      <c r="AS326" s="510">
        <v>590.72299999999996</v>
      </c>
      <c r="AT326" s="514">
        <v>0</v>
      </c>
      <c r="AU326" s="514">
        <v>120.00104727192016</v>
      </c>
      <c r="AV326" s="510">
        <v>0</v>
      </c>
      <c r="AW326" s="510">
        <v>1.7937341190371803</v>
      </c>
      <c r="AX326" s="510">
        <v>0</v>
      </c>
      <c r="AY326" s="510">
        <v>0</v>
      </c>
      <c r="AZ326" s="510">
        <v>0</v>
      </c>
      <c r="BA326" s="510">
        <v>1238.4198685339832</v>
      </c>
      <c r="BB326" s="510">
        <v>0</v>
      </c>
      <c r="BC326" s="569">
        <v>0</v>
      </c>
      <c r="BD326" s="510">
        <v>0</v>
      </c>
      <c r="BE326" s="510">
        <v>30.301850444285527</v>
      </c>
      <c r="BF326" s="512">
        <v>0.82320532262661883</v>
      </c>
      <c r="BG326" s="513">
        <v>0.786443130295576</v>
      </c>
      <c r="BH326" s="513">
        <v>0.82838271459282409</v>
      </c>
      <c r="BI326" s="513">
        <v>0.80241246555320989</v>
      </c>
      <c r="BJ326" s="510">
        <v>47.317999999999998</v>
      </c>
      <c r="BK326" s="510">
        <v>1133.8430000000001</v>
      </c>
      <c r="BL326" s="510">
        <v>2.6881947673189908</v>
      </c>
      <c r="BM326" s="510">
        <v>2.6160588370700348</v>
      </c>
      <c r="BN326" s="514">
        <v>0</v>
      </c>
      <c r="BO326" s="514">
        <v>0</v>
      </c>
      <c r="BP326" s="514">
        <v>977.13422356117599</v>
      </c>
      <c r="BQ326" s="514">
        <v>1087.6574575167413</v>
      </c>
      <c r="BR326" s="514">
        <v>0</v>
      </c>
      <c r="BS326" s="515">
        <v>0</v>
      </c>
      <c r="BT326" s="512">
        <v>0.93503402979484107</v>
      </c>
      <c r="BU326" s="513">
        <v>0.77386635654227942</v>
      </c>
      <c r="BV326" s="581">
        <v>0.93503402979484107</v>
      </c>
      <c r="BW326" s="581">
        <v>0.78557875144389999</v>
      </c>
      <c r="BX326" s="510">
        <v>47.988</v>
      </c>
      <c r="BY326" s="510">
        <v>1027.0269999999998</v>
      </c>
      <c r="BZ326" s="514">
        <v>85.150039662022706</v>
      </c>
      <c r="CA326" s="514">
        <v>92.121954772590414</v>
      </c>
      <c r="CB326" s="510">
        <v>2.0546803367508542</v>
      </c>
      <c r="CC326" s="510">
        <v>2.2893263760349054</v>
      </c>
      <c r="CD326" s="514">
        <v>0</v>
      </c>
      <c r="CE326" s="514">
        <v>0</v>
      </c>
      <c r="CF326" s="514">
        <v>872.15955675442467</v>
      </c>
      <c r="CG326" s="514">
        <v>1120.9570297536909</v>
      </c>
      <c r="CH326" s="514">
        <v>0</v>
      </c>
      <c r="CI326" s="514">
        <v>0</v>
      </c>
      <c r="CJ326" s="582">
        <v>0.98342107851108129</v>
      </c>
      <c r="CK326" s="582">
        <v>4.4692106439268624</v>
      </c>
    </row>
    <row r="327" spans="1:89" ht="12.75" customHeight="1">
      <c r="A327" s="560">
        <v>45744</v>
      </c>
      <c r="B327" s="512">
        <v>1.0082454410406489</v>
      </c>
      <c r="C327" s="513">
        <v>0.84308905510260967</v>
      </c>
      <c r="D327" s="513">
        <v>1.0082454410406489</v>
      </c>
      <c r="E327" s="513">
        <v>0.85310276324540335</v>
      </c>
      <c r="F327" s="510">
        <v>57.176000000000002</v>
      </c>
      <c r="G327" s="510">
        <v>1374.2540000000001</v>
      </c>
      <c r="H327" s="510">
        <v>2.1608542045613546</v>
      </c>
      <c r="I327" s="510">
        <v>2.4410873099150523</v>
      </c>
      <c r="J327" s="510">
        <v>1005.9710367986656</v>
      </c>
      <c r="K327" s="511">
        <v>1012.8480615664921</v>
      </c>
      <c r="L327" s="512">
        <v>0.97071992237582716</v>
      </c>
      <c r="M327" s="513">
        <v>0.85065125584952672</v>
      </c>
      <c r="N327" s="513">
        <v>0.97071992237582716</v>
      </c>
      <c r="O327" s="513">
        <v>0.89038062210053559</v>
      </c>
      <c r="P327" s="510">
        <v>57.759</v>
      </c>
      <c r="Q327" s="510">
        <v>1518.972</v>
      </c>
      <c r="R327" s="510">
        <v>2.4972731522360152</v>
      </c>
      <c r="S327" s="510">
        <v>2.4362884898470805</v>
      </c>
      <c r="T327" s="510">
        <v>0.19217784241416921</v>
      </c>
      <c r="U327" s="510">
        <v>0.14417645618220745</v>
      </c>
      <c r="V327" s="510">
        <v>880.11565297183733</v>
      </c>
      <c r="W327" s="510">
        <v>707.54474078521457</v>
      </c>
      <c r="X327" s="510">
        <v>571.18371162934534</v>
      </c>
      <c r="Y327" s="569">
        <v>403.94161314362594</v>
      </c>
      <c r="Z327" s="512">
        <v>0.86905178778861947</v>
      </c>
      <c r="AA327" s="513">
        <v>0.86546457942789157</v>
      </c>
      <c r="AB327" s="513">
        <v>0.86905178778861947</v>
      </c>
      <c r="AC327" s="513">
        <v>0.86546457942789157</v>
      </c>
      <c r="AD327" s="510">
        <v>37.091999999999999</v>
      </c>
      <c r="AE327" s="510">
        <v>1081.0340000000001</v>
      </c>
      <c r="AF327" s="510">
        <v>109.59385174183798</v>
      </c>
      <c r="AG327" s="510">
        <v>105.30098189045728</v>
      </c>
      <c r="AH327" s="510">
        <v>1.6742154642510516</v>
      </c>
      <c r="AI327" s="510">
        <v>1.5676657718443634</v>
      </c>
      <c r="AJ327" s="510">
        <v>1069.9719616089822</v>
      </c>
      <c r="AK327" s="569">
        <v>930.12846959485091</v>
      </c>
      <c r="AL327" s="576">
        <v>0</v>
      </c>
      <c r="AM327" s="577">
        <v>0</v>
      </c>
      <c r="AN327" s="512">
        <v>0.63989897610092683</v>
      </c>
      <c r="AO327" s="513">
        <v>0.43181298228985537</v>
      </c>
      <c r="AP327" s="513">
        <v>0.82715846102812796</v>
      </c>
      <c r="AQ327" s="513">
        <v>0.85471861390175408</v>
      </c>
      <c r="AR327" s="510">
        <v>33.728000000000002</v>
      </c>
      <c r="AS327" s="510">
        <v>624.45099999999991</v>
      </c>
      <c r="AT327" s="514">
        <v>108.99129100843528</v>
      </c>
      <c r="AU327" s="514">
        <v>119.40638562632297</v>
      </c>
      <c r="AV327" s="510">
        <v>1.8412001897533206</v>
      </c>
      <c r="AW327" s="510">
        <v>1.7962978680472932</v>
      </c>
      <c r="AX327" s="510">
        <v>0</v>
      </c>
      <c r="AY327" s="510">
        <v>0</v>
      </c>
      <c r="AZ327" s="510">
        <v>1117.3920777988621</v>
      </c>
      <c r="BA327" s="510">
        <v>1231.8828859269988</v>
      </c>
      <c r="BB327" s="510">
        <v>0</v>
      </c>
      <c r="BC327" s="569">
        <v>0</v>
      </c>
      <c r="BD327" s="510">
        <v>0</v>
      </c>
      <c r="BE327" s="510">
        <v>28.665179493666731</v>
      </c>
      <c r="BF327" s="512">
        <v>0.67677129227795074</v>
      </c>
      <c r="BG327" s="513">
        <v>0.78219236265297198</v>
      </c>
      <c r="BH327" s="513">
        <v>0.67677129227795074</v>
      </c>
      <c r="BI327" s="513">
        <v>0.79744776679167906</v>
      </c>
      <c r="BJ327" s="510">
        <v>39.343000000000004</v>
      </c>
      <c r="BK327" s="510">
        <v>1173.1860000000001</v>
      </c>
      <c r="BL327" s="510">
        <v>2.8975929644409422</v>
      </c>
      <c r="BM327" s="510">
        <v>2.6255001338236217</v>
      </c>
      <c r="BN327" s="514">
        <v>0</v>
      </c>
      <c r="BO327" s="514">
        <v>0</v>
      </c>
      <c r="BP327" s="514">
        <v>1345.5667376986282</v>
      </c>
      <c r="BQ327" s="514">
        <v>1096.3064908415472</v>
      </c>
      <c r="BR327" s="514">
        <v>0</v>
      </c>
      <c r="BS327" s="515">
        <v>0</v>
      </c>
      <c r="BT327" s="512">
        <v>0.95722005722494408</v>
      </c>
      <c r="BU327" s="513">
        <v>0.78054499318541692</v>
      </c>
      <c r="BV327" s="581">
        <v>0.95722005722494408</v>
      </c>
      <c r="BW327" s="581">
        <v>0.79192189225769816</v>
      </c>
      <c r="BX327" s="510">
        <v>48.021999999999998</v>
      </c>
      <c r="BY327" s="510">
        <v>1075.0489999999998</v>
      </c>
      <c r="BZ327" s="514">
        <v>77.982728500671385</v>
      </c>
      <c r="CA327" s="514">
        <v>91.490361306590174</v>
      </c>
      <c r="CB327" s="510">
        <v>1.953271417267086</v>
      </c>
      <c r="CC327" s="510">
        <v>2.2743149382028176</v>
      </c>
      <c r="CD327" s="514">
        <v>0</v>
      </c>
      <c r="CE327" s="514">
        <v>0</v>
      </c>
      <c r="CF327" s="514">
        <v>1017.8367797826522</v>
      </c>
      <c r="CG327" s="514">
        <v>1116.3506902806907</v>
      </c>
      <c r="CH327" s="514">
        <v>0</v>
      </c>
      <c r="CI327" s="514">
        <v>0</v>
      </c>
      <c r="CJ327" s="582">
        <v>0</v>
      </c>
      <c r="CK327" s="582">
        <v>4.269572828773641</v>
      </c>
    </row>
    <row r="328" spans="1:89" ht="12.75" customHeight="1">
      <c r="A328" s="560">
        <v>45745</v>
      </c>
      <c r="B328" s="512">
        <v>0.90225818428076876</v>
      </c>
      <c r="C328" s="513">
        <v>0.8450903741122211</v>
      </c>
      <c r="D328" s="513">
        <v>0.90225818428076876</v>
      </c>
      <c r="E328" s="513">
        <v>0.85478445356085486</v>
      </c>
      <c r="F328" s="510">
        <v>51.485999999999997</v>
      </c>
      <c r="G328" s="510">
        <v>1425.7400000000002</v>
      </c>
      <c r="H328" s="510">
        <v>2.3836771161092338</v>
      </c>
      <c r="I328" s="510">
        <v>2.4390141259977276</v>
      </c>
      <c r="J328" s="510">
        <v>931.65753797150921</v>
      </c>
      <c r="K328" s="511">
        <v>1009.9161277652302</v>
      </c>
      <c r="L328" s="512">
        <v>0.91379253582770503</v>
      </c>
      <c r="M328" s="513">
        <v>0.8529323014469431</v>
      </c>
      <c r="N328" s="513">
        <v>0.91379253582770503</v>
      </c>
      <c r="O328" s="513">
        <v>0.89126441295772307</v>
      </c>
      <c r="P328" s="510">
        <v>61.156999999999996</v>
      </c>
      <c r="Q328" s="510">
        <v>1580.1289999999999</v>
      </c>
      <c r="R328" s="510">
        <v>2.2040976503098584</v>
      </c>
      <c r="S328" s="510">
        <v>2.4273018215601381</v>
      </c>
      <c r="T328" s="510">
        <v>0.16678385139885868</v>
      </c>
      <c r="U328" s="510">
        <v>0.14505144833111727</v>
      </c>
      <c r="V328" s="510">
        <v>705.75862125349943</v>
      </c>
      <c r="W328" s="510">
        <v>707.47561116845486</v>
      </c>
      <c r="X328" s="510">
        <v>492.71547001978445</v>
      </c>
      <c r="Y328" s="569">
        <v>407.37749892572043</v>
      </c>
      <c r="Z328" s="512">
        <v>0.89379350209674557</v>
      </c>
      <c r="AA328" s="513">
        <v>0.86644555158368575</v>
      </c>
      <c r="AB328" s="513">
        <v>0.89379350209674557</v>
      </c>
      <c r="AC328" s="513">
        <v>0.86644555158368575</v>
      </c>
      <c r="AD328" s="510">
        <v>40.045999999999999</v>
      </c>
      <c r="AE328" s="510">
        <v>1121.0800000000002</v>
      </c>
      <c r="AF328" s="510">
        <v>108.8135959681571</v>
      </c>
      <c r="AG328" s="510">
        <v>105.42645566873854</v>
      </c>
      <c r="AH328" s="510">
        <v>1.525745392798282</v>
      </c>
      <c r="AI328" s="510">
        <v>1.5661683376743849</v>
      </c>
      <c r="AJ328" s="510">
        <v>943.84757528841374</v>
      </c>
      <c r="AK328" s="569">
        <v>930.6185285617438</v>
      </c>
      <c r="AL328" s="576">
        <v>0</v>
      </c>
      <c r="AM328" s="577">
        <v>0</v>
      </c>
      <c r="AN328" s="512">
        <v>0.81768546968067457</v>
      </c>
      <c r="AO328" s="513">
        <v>0.44555224367386492</v>
      </c>
      <c r="AP328" s="513">
        <v>0.81768546968067457</v>
      </c>
      <c r="AQ328" s="513">
        <v>0.8521965777442182</v>
      </c>
      <c r="AR328" s="510">
        <v>43.656999999999996</v>
      </c>
      <c r="AS328" s="510">
        <v>668.10799999999995</v>
      </c>
      <c r="AT328" s="514">
        <v>108.5459966796984</v>
      </c>
      <c r="AU328" s="514">
        <v>118.69672191889424</v>
      </c>
      <c r="AV328" s="510">
        <v>1.6011178047048586</v>
      </c>
      <c r="AW328" s="510">
        <v>1.783543977919738</v>
      </c>
      <c r="AX328" s="510">
        <v>0</v>
      </c>
      <c r="AY328" s="510">
        <v>0</v>
      </c>
      <c r="AZ328" s="510">
        <v>936.5581693657366</v>
      </c>
      <c r="BA328" s="510">
        <v>1212.5851209684663</v>
      </c>
      <c r="BB328" s="510">
        <v>0</v>
      </c>
      <c r="BC328" s="569">
        <v>0</v>
      </c>
      <c r="BD328" s="510">
        <v>0</v>
      </c>
      <c r="BE328" s="510">
        <v>26.792075532697826</v>
      </c>
      <c r="BF328" s="512">
        <v>0.89987363414037858</v>
      </c>
      <c r="BG328" s="513">
        <v>0.78621112162395979</v>
      </c>
      <c r="BH328" s="513">
        <v>0.89987363414037858</v>
      </c>
      <c r="BI328" s="513">
        <v>0.80101140638459933</v>
      </c>
      <c r="BJ328" s="510">
        <v>47.720999999999997</v>
      </c>
      <c r="BK328" s="510">
        <v>1220.9070000000002</v>
      </c>
      <c r="BL328" s="510">
        <v>2.4831835041176844</v>
      </c>
      <c r="BM328" s="510">
        <v>2.6199374727149567</v>
      </c>
      <c r="BN328" s="514">
        <v>0</v>
      </c>
      <c r="BO328" s="514">
        <v>0</v>
      </c>
      <c r="BP328" s="514">
        <v>1004.5289147788196</v>
      </c>
      <c r="BQ328" s="514">
        <v>1092.719225220751</v>
      </c>
      <c r="BR328" s="514">
        <v>0</v>
      </c>
      <c r="BS328" s="515">
        <v>0</v>
      </c>
      <c r="BT328" s="512">
        <v>0.90646762906422107</v>
      </c>
      <c r="BU328" s="513">
        <v>0.78515830827106592</v>
      </c>
      <c r="BV328" s="581">
        <v>0.90646762906422107</v>
      </c>
      <c r="BW328" s="581">
        <v>0.79617729628492029</v>
      </c>
      <c r="BX328" s="510">
        <v>47.478999999999999</v>
      </c>
      <c r="BY328" s="510">
        <v>1122.5279999999998</v>
      </c>
      <c r="BZ328" s="514">
        <v>82.071192712853843</v>
      </c>
      <c r="CA328" s="514">
        <v>91.091963488752214</v>
      </c>
      <c r="CB328" s="510">
        <v>2.0556456538680257</v>
      </c>
      <c r="CC328" s="510">
        <v>2.2650659938994848</v>
      </c>
      <c r="CD328" s="514">
        <v>0</v>
      </c>
      <c r="CE328" s="514">
        <v>0</v>
      </c>
      <c r="CF328" s="514">
        <v>950.41651378169104</v>
      </c>
      <c r="CG328" s="514">
        <v>1109.3322562051078</v>
      </c>
      <c r="CH328" s="514">
        <v>0</v>
      </c>
      <c r="CI328" s="514">
        <v>0</v>
      </c>
      <c r="CJ328" s="582">
        <v>0</v>
      </c>
      <c r="CK328" s="582">
        <v>4.0889848627386343</v>
      </c>
    </row>
    <row r="329" spans="1:89" ht="12.75" customHeight="1">
      <c r="A329" s="560">
        <v>45746</v>
      </c>
      <c r="B329" s="512">
        <v>0.9115457326069335</v>
      </c>
      <c r="C329" s="513">
        <v>0.84734975818651503</v>
      </c>
      <c r="D329" s="513">
        <v>0.9115457326069335</v>
      </c>
      <c r="E329" s="513">
        <v>0.85673562913098555</v>
      </c>
      <c r="F329" s="510">
        <v>54.125</v>
      </c>
      <c r="G329" s="510">
        <v>1479.8650000000002</v>
      </c>
      <c r="H329" s="510">
        <v>2.3595381062355658</v>
      </c>
      <c r="I329" s="510">
        <v>2.4361073476296826</v>
      </c>
      <c r="J329" s="510">
        <v>978.5965819861226</v>
      </c>
      <c r="K329" s="511">
        <v>1008.7706378622363</v>
      </c>
      <c r="L329" s="512">
        <v>0.90200469907540037</v>
      </c>
      <c r="M329" s="513">
        <v>0.8546515674558457</v>
      </c>
      <c r="N329" s="513">
        <v>0.90200469907540037</v>
      </c>
      <c r="O329" s="513">
        <v>0.89165699495274242</v>
      </c>
      <c r="P329" s="510">
        <v>60.670999999999999</v>
      </c>
      <c r="Q329" s="510">
        <v>1640.8</v>
      </c>
      <c r="R329" s="510">
        <v>2.1848494338316491</v>
      </c>
      <c r="S329" s="510">
        <v>2.4183367869332031</v>
      </c>
      <c r="T329" s="510">
        <v>0.19613983616554861</v>
      </c>
      <c r="U329" s="510">
        <v>0.14694051682106291</v>
      </c>
      <c r="V329" s="510">
        <v>754.93580128892029</v>
      </c>
      <c r="W329" s="510">
        <v>709.23052169673292</v>
      </c>
      <c r="X329" s="510">
        <v>543.55458126617623</v>
      </c>
      <c r="Y329" s="569">
        <v>412.41284739151632</v>
      </c>
      <c r="Z329" s="512">
        <v>0.94820129566781475</v>
      </c>
      <c r="AA329" s="513">
        <v>0.86918041846187166</v>
      </c>
      <c r="AB329" s="513">
        <v>0.94820129566781475</v>
      </c>
      <c r="AC329" s="513">
        <v>0.86918041846187166</v>
      </c>
      <c r="AD329" s="510">
        <v>42.460999999999999</v>
      </c>
      <c r="AE329" s="510">
        <v>1163.5410000000002</v>
      </c>
      <c r="AF329" s="510">
        <v>103.45848834857127</v>
      </c>
      <c r="AG329" s="510">
        <v>105.35463880935703</v>
      </c>
      <c r="AH329" s="510">
        <v>1.4695838534184311</v>
      </c>
      <c r="AI329" s="510">
        <v>1.5626436885335364</v>
      </c>
      <c r="AJ329" s="510">
        <v>922.64760603849095</v>
      </c>
      <c r="AK329" s="569">
        <v>930.32764638289507</v>
      </c>
      <c r="AL329" s="576">
        <v>0</v>
      </c>
      <c r="AM329" s="577">
        <v>0</v>
      </c>
      <c r="AN329" s="512">
        <v>0.92892885307676298</v>
      </c>
      <c r="AO329" s="513">
        <v>0.46201953965338782</v>
      </c>
      <c r="AP329" s="513">
        <v>0.92892885307676298</v>
      </c>
      <c r="AQ329" s="513">
        <v>0.85704564655533211</v>
      </c>
      <c r="AR329" s="510">
        <v>49.127000000000002</v>
      </c>
      <c r="AS329" s="510">
        <v>717.2349999999999</v>
      </c>
      <c r="AT329" s="514">
        <v>110.46630639093573</v>
      </c>
      <c r="AU329" s="514">
        <v>118.13297973726337</v>
      </c>
      <c r="AV329" s="510">
        <v>1.361776619781383</v>
      </c>
      <c r="AW329" s="510">
        <v>1.7546550293836753</v>
      </c>
      <c r="AX329" s="510">
        <v>0</v>
      </c>
      <c r="AY329" s="510">
        <v>0</v>
      </c>
      <c r="AZ329" s="510">
        <v>842.23624483481717</v>
      </c>
      <c r="BA329" s="510">
        <v>1187.2180805454282</v>
      </c>
      <c r="BB329" s="510">
        <v>0</v>
      </c>
      <c r="BC329" s="569">
        <v>0</v>
      </c>
      <c r="BD329" s="510">
        <v>0</v>
      </c>
      <c r="BE329" s="510">
        <v>24.956952742127314</v>
      </c>
      <c r="BF329" s="512">
        <v>0.95146565570672714</v>
      </c>
      <c r="BG329" s="513">
        <v>0.7915137290101214</v>
      </c>
      <c r="BH329" s="513">
        <v>0.95146565570672714</v>
      </c>
      <c r="BI329" s="513">
        <v>0.80592702082316281</v>
      </c>
      <c r="BJ329" s="510">
        <v>48.981999999999999</v>
      </c>
      <c r="BK329" s="510">
        <v>1269.8890000000001</v>
      </c>
      <c r="BL329" s="510">
        <v>2.4560042464578826</v>
      </c>
      <c r="BM329" s="510">
        <v>2.6136142607739727</v>
      </c>
      <c r="BN329" s="514">
        <v>0</v>
      </c>
      <c r="BO329" s="514">
        <v>0</v>
      </c>
      <c r="BP329" s="514">
        <v>959.94059042095114</v>
      </c>
      <c r="BQ329" s="514">
        <v>1087.59770429273</v>
      </c>
      <c r="BR329" s="514">
        <v>0</v>
      </c>
      <c r="BS329" s="515">
        <v>0</v>
      </c>
      <c r="BT329" s="512">
        <v>0.86593726655145931</v>
      </c>
      <c r="BU329" s="513">
        <v>0.78809956622797162</v>
      </c>
      <c r="BV329" s="581">
        <v>0.86593726655145931</v>
      </c>
      <c r="BW329" s="581">
        <v>0.79875167149752946</v>
      </c>
      <c r="BX329" s="510">
        <v>46.780999999999999</v>
      </c>
      <c r="BY329" s="510">
        <v>1169.3089999999997</v>
      </c>
      <c r="BZ329" s="514">
        <v>80.591926041850641</v>
      </c>
      <c r="CA329" s="514">
        <v>90.671884406316778</v>
      </c>
      <c r="CB329" s="510">
        <v>2.1718218935037727</v>
      </c>
      <c r="CC329" s="510">
        <v>2.2613355409049283</v>
      </c>
      <c r="CD329" s="514">
        <v>0</v>
      </c>
      <c r="CE329" s="514">
        <v>0</v>
      </c>
      <c r="CF329" s="514">
        <v>982.01855454138479</v>
      </c>
      <c r="CG329" s="514">
        <v>1104.2387674202523</v>
      </c>
      <c r="CH329" s="514">
        <v>0</v>
      </c>
      <c r="CI329" s="514">
        <v>0</v>
      </c>
      <c r="CJ329" s="582">
        <v>0</v>
      </c>
      <c r="CK329" s="582">
        <v>3.9253952548045672</v>
      </c>
    </row>
    <row r="330" spans="1:89" ht="12.75" customHeight="1">
      <c r="A330" s="560">
        <v>45747</v>
      </c>
      <c r="B330" s="512">
        <v>0.92178487084845773</v>
      </c>
      <c r="C330" s="513">
        <v>0.84979165368605014</v>
      </c>
      <c r="D330" s="513">
        <v>0.92178487084845773</v>
      </c>
      <c r="E330" s="513">
        <v>0.85889246846907286</v>
      </c>
      <c r="F330" s="510">
        <v>54.603999999999999</v>
      </c>
      <c r="G330" s="510">
        <v>1534.4690000000003</v>
      </c>
      <c r="H330" s="510">
        <v>2.2846861035821551</v>
      </c>
      <c r="I330" s="510">
        <v>2.4307190304919817</v>
      </c>
      <c r="J330" s="510">
        <v>1023.3001245330124</v>
      </c>
      <c r="K330" s="511">
        <v>1009.2876688939294</v>
      </c>
      <c r="L330" s="512">
        <v>0.9350235790588397</v>
      </c>
      <c r="M330" s="513">
        <v>0.85741705611332952</v>
      </c>
      <c r="N330" s="513">
        <v>0.98423534637772603</v>
      </c>
      <c r="O330" s="513">
        <v>0.89481520731611941</v>
      </c>
      <c r="P330" s="510">
        <v>63.968000000000004</v>
      </c>
      <c r="Q330" s="510">
        <v>1704.768</v>
      </c>
      <c r="R330" s="510">
        <v>2.0844328414207101</v>
      </c>
      <c r="S330" s="510">
        <v>2.4058077110785745</v>
      </c>
      <c r="T330" s="510">
        <v>0.17977738869434717</v>
      </c>
      <c r="U330" s="510">
        <v>0.14817265457821827</v>
      </c>
      <c r="V330" s="510">
        <v>696.39522886444388</v>
      </c>
      <c r="W330" s="510">
        <v>708.74890307654778</v>
      </c>
      <c r="X330" s="510">
        <v>588.45047523761252</v>
      </c>
      <c r="Y330" s="569">
        <v>419.01830630326219</v>
      </c>
      <c r="Z330" s="512">
        <v>0.93663481353625322</v>
      </c>
      <c r="AA330" s="513">
        <v>0.87132155033301406</v>
      </c>
      <c r="AB330" s="513">
        <v>0.93663481353625322</v>
      </c>
      <c r="AC330" s="513">
        <v>0.87132155033301406</v>
      </c>
      <c r="AD330" s="510">
        <v>41.103999999999999</v>
      </c>
      <c r="AE330" s="510">
        <v>1204.6450000000002</v>
      </c>
      <c r="AF330" s="510">
        <v>107.8081319982868</v>
      </c>
      <c r="AG330" s="510">
        <v>105.43835507766659</v>
      </c>
      <c r="AH330" s="510">
        <v>1.4962047489295447</v>
      </c>
      <c r="AI330" s="510">
        <v>1.5603767084908828</v>
      </c>
      <c r="AJ330" s="510">
        <v>863.56413001167334</v>
      </c>
      <c r="AK330" s="569">
        <v>928.04959137339199</v>
      </c>
      <c r="AL330" s="576">
        <v>0</v>
      </c>
      <c r="AM330" s="577">
        <v>0</v>
      </c>
      <c r="AN330" s="512">
        <v>0.98314351830085589</v>
      </c>
      <c r="AO330" s="513">
        <v>0.47758007033586591</v>
      </c>
      <c r="AP330" s="513">
        <v>0.98314351830085589</v>
      </c>
      <c r="AQ330" s="513">
        <v>0.8638562625636298</v>
      </c>
      <c r="AR330" s="510">
        <v>46.975000000000001</v>
      </c>
      <c r="AS330" s="510">
        <v>764.20999999999992</v>
      </c>
      <c r="AT330" s="514">
        <v>114.60201900913977</v>
      </c>
      <c r="AU330" s="514">
        <v>117.91593614950136</v>
      </c>
      <c r="AV330" s="510">
        <v>1.4688664183076103</v>
      </c>
      <c r="AW330" s="510">
        <v>1.737087973201084</v>
      </c>
      <c r="AX330" s="510">
        <v>0</v>
      </c>
      <c r="AY330" s="510">
        <v>0</v>
      </c>
      <c r="AZ330" s="510">
        <v>925.93805215540044</v>
      </c>
      <c r="BA330" s="510">
        <v>1171.1575352324626</v>
      </c>
      <c r="BB330" s="510">
        <v>0</v>
      </c>
      <c r="BC330" s="569">
        <v>0</v>
      </c>
      <c r="BD330" s="510">
        <v>0</v>
      </c>
      <c r="BE330" s="510">
        <v>23.422881145234534</v>
      </c>
      <c r="BF330" s="512">
        <v>0.87227294017699175</v>
      </c>
      <c r="BG330" s="513">
        <v>0.79411423930112257</v>
      </c>
      <c r="BH330" s="513">
        <v>0.85336710251160741</v>
      </c>
      <c r="BI330" s="513">
        <v>0.80751482141228126</v>
      </c>
      <c r="BJ330" s="510">
        <v>46.563000000000002</v>
      </c>
      <c r="BK330" s="510">
        <v>1316.4520000000002</v>
      </c>
      <c r="BL330" s="510">
        <v>2.6415823722698279</v>
      </c>
      <c r="BM330" s="510">
        <v>2.6146034948482737</v>
      </c>
      <c r="BN330" s="514">
        <v>0</v>
      </c>
      <c r="BO330" s="514">
        <v>0</v>
      </c>
      <c r="BP330" s="514">
        <v>967.91250563755284</v>
      </c>
      <c r="BQ330" s="514">
        <v>1083.3644303830235</v>
      </c>
      <c r="BR330" s="514">
        <v>0</v>
      </c>
      <c r="BS330" s="515">
        <v>0</v>
      </c>
      <c r="BT330" s="512">
        <v>0.90110858682157058</v>
      </c>
      <c r="BU330" s="513">
        <v>0.79215109753247104</v>
      </c>
      <c r="BV330" s="581">
        <v>0.90110858682157058</v>
      </c>
      <c r="BW330" s="581">
        <v>0.80246910810737848</v>
      </c>
      <c r="BX330" s="510">
        <v>49.715000000000003</v>
      </c>
      <c r="BY330" s="510">
        <v>1219.0239999999997</v>
      </c>
      <c r="BZ330" s="514">
        <v>73.402890463402954</v>
      </c>
      <c r="CA330" s="514">
        <v>89.967609483204555</v>
      </c>
      <c r="CB330" s="510">
        <v>2.0537061249119981</v>
      </c>
      <c r="CC330" s="510">
        <v>2.2528678680649445</v>
      </c>
      <c r="CD330" s="514">
        <v>0</v>
      </c>
      <c r="CE330" s="514">
        <v>0</v>
      </c>
      <c r="CF330" s="514">
        <v>837.85416876194461</v>
      </c>
      <c r="CG330" s="514">
        <v>1093.3749039341374</v>
      </c>
      <c r="CH330" s="514">
        <v>0</v>
      </c>
      <c r="CI330" s="514">
        <v>0</v>
      </c>
      <c r="CJ330" s="582">
        <v>0</v>
      </c>
      <c r="CK330" s="582">
        <v>3.7653073278297011</v>
      </c>
    </row>
    <row r="331" spans="1:89" ht="12.75" customHeight="1">
      <c r="A331" s="560"/>
      <c r="B331" s="512"/>
      <c r="C331" s="513"/>
      <c r="D331" s="513"/>
      <c r="E331" s="513"/>
      <c r="F331" s="510"/>
      <c r="G331" s="510"/>
      <c r="H331" s="510"/>
      <c r="I331" s="510"/>
      <c r="J331" s="510"/>
      <c r="K331" s="511"/>
      <c r="L331" s="512"/>
      <c r="M331" s="513"/>
      <c r="N331" s="513"/>
      <c r="O331" s="513"/>
      <c r="P331" s="510"/>
      <c r="Q331" s="510"/>
      <c r="R331" s="510"/>
      <c r="S331" s="510"/>
      <c r="T331" s="510"/>
      <c r="U331" s="510"/>
      <c r="V331" s="510"/>
      <c r="W331" s="510"/>
      <c r="X331" s="510"/>
      <c r="Y331" s="569"/>
      <c r="Z331" s="512"/>
      <c r="AA331" s="513"/>
      <c r="AB331" s="513"/>
      <c r="AC331" s="513"/>
      <c r="AD331" s="510"/>
      <c r="AE331" s="510"/>
      <c r="AF331" s="510"/>
      <c r="AG331" s="510"/>
      <c r="AH331" s="510"/>
      <c r="AI331" s="510"/>
      <c r="AJ331" s="510"/>
      <c r="AK331" s="569"/>
      <c r="AL331" s="510"/>
      <c r="AM331" s="569"/>
      <c r="AN331" s="512"/>
      <c r="AO331" s="513"/>
      <c r="AP331" s="513"/>
      <c r="AQ331" s="513"/>
      <c r="AR331" s="510"/>
      <c r="AS331" s="510"/>
      <c r="AT331" s="514"/>
      <c r="AU331" s="514"/>
      <c r="AV331" s="510"/>
      <c r="AW331" s="510"/>
      <c r="AX331" s="510"/>
      <c r="AY331" s="510"/>
      <c r="AZ331" s="510"/>
      <c r="BA331" s="510"/>
      <c r="BB331" s="510"/>
      <c r="BC331" s="569"/>
      <c r="BD331" s="510"/>
      <c r="BE331" s="511"/>
      <c r="BF331" s="512"/>
      <c r="BG331" s="513"/>
      <c r="BH331" s="513"/>
      <c r="BI331" s="513"/>
      <c r="BJ331" s="510"/>
      <c r="BK331" s="510"/>
      <c r="BL331" s="510"/>
      <c r="BM331" s="510"/>
      <c r="BN331" s="514"/>
      <c r="BO331" s="514"/>
      <c r="BP331" s="514"/>
      <c r="BQ331" s="514"/>
      <c r="BR331" s="514"/>
      <c r="BS331" s="515"/>
      <c r="BT331" s="512"/>
      <c r="BU331" s="513"/>
      <c r="BV331" s="581"/>
      <c r="BW331" s="581"/>
      <c r="BX331" s="510"/>
      <c r="BY331" s="510"/>
      <c r="BZ331" s="510"/>
      <c r="CA331" s="510"/>
      <c r="CB331" s="510"/>
      <c r="CC331" s="510"/>
      <c r="CD331" s="510"/>
      <c r="CE331" s="510"/>
      <c r="CF331" s="1023"/>
      <c r="CG331" s="514"/>
      <c r="CH331" s="514"/>
      <c r="CI331" s="514"/>
      <c r="CJ331" s="582"/>
      <c r="CK331" s="582"/>
    </row>
    <row r="332" spans="1:89" ht="13.5" thickBot="1">
      <c r="A332" s="561" t="s">
        <v>230</v>
      </c>
      <c r="B332" s="630">
        <f>+'[15]eff all'!$B$45:$C$45</f>
        <v>0.84979165368605014</v>
      </c>
      <c r="C332" s="631"/>
      <c r="D332" s="632">
        <f>+'[15]eff all'!$D$45:$E$45</f>
        <v>0.85889246846907286</v>
      </c>
      <c r="E332" s="631"/>
      <c r="F332" s="626">
        <f>+'[15]eff all'!$F$45:$G$45</f>
        <v>1534.4690000000003</v>
      </c>
      <c r="G332" s="627"/>
      <c r="H332" s="628">
        <f>+'[15]eff all'!$H$45:$I$45</f>
        <v>2.4307190304919817</v>
      </c>
      <c r="I332" s="629"/>
      <c r="J332" s="626">
        <f>+'[15]eff all'!$J$45:$K$45</f>
        <v>1009.2876688939294</v>
      </c>
      <c r="K332" s="651"/>
      <c r="L332" s="630">
        <f>+'[15]eff all'!$L$45:$M$45</f>
        <v>0.85741705611332952</v>
      </c>
      <c r="M332" s="631"/>
      <c r="N332" s="632">
        <f>+'[15]eff all'!$N$45:$O$45</f>
        <v>0.89481520731611941</v>
      </c>
      <c r="O332" s="631"/>
      <c r="P332" s="626">
        <f>+'[15]eff all'!$P$45:$Q$45</f>
        <v>1704.768</v>
      </c>
      <c r="Q332" s="627"/>
      <c r="R332" s="628">
        <f>+'[15]eff all'!$R$45:$S$45</f>
        <v>2.4058077110785745</v>
      </c>
      <c r="S332" s="629"/>
      <c r="T332" s="628">
        <f>+'[15]eff all'!$T$45:$U$45</f>
        <v>0.14817265457821827</v>
      </c>
      <c r="U332" s="629"/>
      <c r="V332" s="628">
        <f>+'[15]eff all'!$V$45:$W$45</f>
        <v>708.74890307654778</v>
      </c>
      <c r="W332" s="629"/>
      <c r="X332" s="628">
        <f>+'[15]eff all'!$X$45:$Y$45</f>
        <v>419.01830630326219</v>
      </c>
      <c r="Y332" s="659"/>
      <c r="Z332" s="630">
        <f>+'[15]eff all'!$Z$45:$AA$45</f>
        <v>0.87132155033301406</v>
      </c>
      <c r="AA332" s="631"/>
      <c r="AB332" s="632">
        <f>+'[15]eff all'!$AB$45:$AC$45</f>
        <v>0.87132155033301406</v>
      </c>
      <c r="AC332" s="631"/>
      <c r="AD332" s="626">
        <f>+'[15]eff all'!$AD$45:$AE$45</f>
        <v>1204.6450000000002</v>
      </c>
      <c r="AE332" s="627"/>
      <c r="AF332" s="628">
        <f>+'[15]eff all'!$AF$45:$AG$45</f>
        <v>105.43835507766659</v>
      </c>
      <c r="AG332" s="629"/>
      <c r="AH332" s="628">
        <f>+'[15]eff all'!$AH$45:$AI$45</f>
        <v>1.5603767084908828</v>
      </c>
      <c r="AI332" s="629"/>
      <c r="AJ332" s="628">
        <f>+'[15]eff all'!$AJ$45:$AK$45</f>
        <v>928.04959137339199</v>
      </c>
      <c r="AK332" s="629"/>
      <c r="AL332" s="626">
        <f>+'[15]eff all'!$AL$45:$AM$45</f>
        <v>0</v>
      </c>
      <c r="AM332" s="651"/>
      <c r="AN332" s="630">
        <f>+'[15]eff all'!$AN$45:$AO$45</f>
        <v>0.47758007033586591</v>
      </c>
      <c r="AO332" s="631"/>
      <c r="AP332" s="632">
        <f>+'[15]eff all'!$AP$45:$AQ$45</f>
        <v>0.8638562625636298</v>
      </c>
      <c r="AQ332" s="631"/>
      <c r="AR332" s="657">
        <f>+'[15]eff all'!$AR$45:$AS$45</f>
        <v>764.20999999999992</v>
      </c>
      <c r="AS332" s="658"/>
      <c r="AT332" s="628">
        <f>+'[15]eff all'!$AT$45:$AU$45</f>
        <v>117.91593614950136</v>
      </c>
      <c r="AU332" s="629"/>
      <c r="AV332" s="628">
        <f>+'[15]eff all'!$AV$45:$AW$45</f>
        <v>1.737087973201084</v>
      </c>
      <c r="AW332" s="629"/>
      <c r="AX332" s="628">
        <f>+'[15]eff all'!$AX$45:$AY$45</f>
        <v>0</v>
      </c>
      <c r="AY332" s="629"/>
      <c r="AZ332" s="626">
        <f>+'[15]eff all'!$AZ$45:$BA$45</f>
        <v>1171.1575352324626</v>
      </c>
      <c r="BA332" s="627"/>
      <c r="BB332" s="628">
        <f>+'[15]eff all'!$BB$45:$BC$45</f>
        <v>0</v>
      </c>
      <c r="BC332" s="659"/>
      <c r="BD332" s="791">
        <f>+'[15]eff all'!$BD$45:$BE$45</f>
        <v>23.422881145234534</v>
      </c>
      <c r="BE332" s="651"/>
      <c r="BF332" s="630">
        <f>+'[15]eff all'!$BF$45:$BG$45</f>
        <v>0.79411423930112257</v>
      </c>
      <c r="BG332" s="631"/>
      <c r="BH332" s="632">
        <f>+'[15]eff all'!$BH$45:$BI$45</f>
        <v>0.80751482141228126</v>
      </c>
      <c r="BI332" s="631"/>
      <c r="BJ332" s="626">
        <f>+'[15]eff all'!$BJ$45:$BK$45</f>
        <v>1316.4520000000002</v>
      </c>
      <c r="BK332" s="627"/>
      <c r="BL332" s="628">
        <f>+'[15]eff all'!$BL$45:$BM$45</f>
        <v>2.6146034948482737</v>
      </c>
      <c r="BM332" s="629"/>
      <c r="BN332" s="628">
        <f>+'[15]eff all'!$BN$45:$BO$45</f>
        <v>0</v>
      </c>
      <c r="BO332" s="629"/>
      <c r="BP332" s="626">
        <f>+'[15]eff all'!$BP$45:$BQ$45</f>
        <v>1083.3644303830235</v>
      </c>
      <c r="BQ332" s="627"/>
      <c r="BR332" s="628">
        <f>+'[15]eff all'!$BR$45:$BS$45</f>
        <v>0</v>
      </c>
      <c r="BS332" s="659"/>
      <c r="BT332" s="767">
        <f>+'[15]eff all'!$BT$45:$BU$45</f>
        <v>0.79215109753247104</v>
      </c>
      <c r="BU332" s="768"/>
      <c r="BV332" s="768">
        <f>+'[15]eff all'!$BV$45:$BW$45</f>
        <v>0.80246910810737848</v>
      </c>
      <c r="BW332" s="768"/>
      <c r="BX332" s="670">
        <f>+'[15]eff all'!$BX$45:$BY$45</f>
        <v>1219.0239999999997</v>
      </c>
      <c r="BY332" s="670"/>
      <c r="BZ332" s="672">
        <f>+'[15]eff all'!$BZ$45:$CA$45</f>
        <v>89.967609483204555</v>
      </c>
      <c r="CA332" s="672"/>
      <c r="CB332" s="672">
        <f>+'[15]eff all'!$CB$45:$CC$45</f>
        <v>2.2528678680649445</v>
      </c>
      <c r="CC332" s="672"/>
      <c r="CD332" s="672">
        <f>+'[15]eff all'!$CD$45:$CE$45</f>
        <v>0</v>
      </c>
      <c r="CE332" s="672"/>
      <c r="CF332" s="670">
        <f>+'[15]eff all'!$CF$45:$CG$45</f>
        <v>1093.3749039341374</v>
      </c>
      <c r="CG332" s="670"/>
      <c r="CH332" s="672">
        <f>+'[15]eff all'!$CH$45:$CI$45</f>
        <v>0</v>
      </c>
      <c r="CI332" s="766"/>
      <c r="CJ332" s="629">
        <f>+'[15]eff all'!$CJ$45:$CK$45</f>
        <v>3.7653073278297011</v>
      </c>
      <c r="CK332" s="766"/>
    </row>
    <row r="333" spans="1:89" ht="14.25" customHeight="1" thickTop="1">
      <c r="A333" s="559">
        <v>45689</v>
      </c>
      <c r="B333" s="518">
        <v>0.9851240861063576</v>
      </c>
      <c r="C333" s="519">
        <v>0.9851240861063576</v>
      </c>
      <c r="D333" s="519">
        <v>0.9851240861063576</v>
      </c>
      <c r="E333" s="519">
        <v>0.9851240861063576</v>
      </c>
      <c r="F333" s="520">
        <v>56.024000000000001</v>
      </c>
      <c r="G333" s="520">
        <v>56.024000000000001</v>
      </c>
      <c r="H333" s="520">
        <v>2.0612059117521064</v>
      </c>
      <c r="I333" s="520">
        <v>2.0612059117521064</v>
      </c>
      <c r="J333" s="520">
        <v>882.3092960159745</v>
      </c>
      <c r="K333" s="548">
        <v>882.3092960159745</v>
      </c>
      <c r="L333" s="518">
        <v>0.91483948453749542</v>
      </c>
      <c r="M333" s="519">
        <v>0.91483948453749542</v>
      </c>
      <c r="N333" s="519">
        <v>0.91483948453749542</v>
      </c>
      <c r="O333" s="519">
        <v>0.91483948453749542</v>
      </c>
      <c r="P333" s="520">
        <v>68.882999999999996</v>
      </c>
      <c r="Q333" s="520">
        <v>68.882999999999996</v>
      </c>
      <c r="R333" s="520">
        <v>2.4398908293773505</v>
      </c>
      <c r="S333" s="520">
        <v>2.4398908293773505</v>
      </c>
      <c r="T333" s="520">
        <v>0.24389181655851228</v>
      </c>
      <c r="U333" s="520">
        <v>0.24389181655851228</v>
      </c>
      <c r="V333" s="520">
        <v>484.59213448891603</v>
      </c>
      <c r="W333" s="520">
        <v>484.59213448891603</v>
      </c>
      <c r="X333" s="520">
        <v>455.84541904388601</v>
      </c>
      <c r="Y333" s="548">
        <v>455.84541904388601</v>
      </c>
      <c r="Z333" s="1025">
        <v>0.60747379456770823</v>
      </c>
      <c r="AA333" s="581">
        <v>0.60747379456770823</v>
      </c>
      <c r="AB333" s="581">
        <v>0.60747379456770823</v>
      </c>
      <c r="AC333" s="581">
        <v>0.60747379456770823</v>
      </c>
      <c r="AD333" s="576">
        <v>26.103000000000002</v>
      </c>
      <c r="AE333" s="576">
        <v>26.103000000000002</v>
      </c>
      <c r="AF333" s="576">
        <v>98.115842452157139</v>
      </c>
      <c r="AG333" s="576">
        <v>98.115842452157139</v>
      </c>
      <c r="AH333" s="576">
        <v>1.6281653449795042</v>
      </c>
      <c r="AI333" s="576">
        <v>1.6281653449795042</v>
      </c>
      <c r="AJ333" s="576">
        <v>1032.8866413822166</v>
      </c>
      <c r="AK333" s="576">
        <v>1032.8866413822166</v>
      </c>
      <c r="AL333" s="576">
        <v>0</v>
      </c>
      <c r="AM333" s="577">
        <v>0</v>
      </c>
      <c r="AN333" s="581">
        <v>0.96631099397919473</v>
      </c>
      <c r="AO333" s="581">
        <v>0.96631099397919473</v>
      </c>
      <c r="AP333" s="581">
        <v>0.96631099397919473</v>
      </c>
      <c r="AQ333" s="581">
        <v>0.96631099397919473</v>
      </c>
      <c r="AR333" s="576">
        <v>49.524999999999999</v>
      </c>
      <c r="AS333" s="576">
        <v>49.524999999999999</v>
      </c>
      <c r="AT333" s="582">
        <v>113.01564268296643</v>
      </c>
      <c r="AU333" s="582">
        <v>113.01564268296643</v>
      </c>
      <c r="AV333" s="576">
        <v>1.7142857142857144</v>
      </c>
      <c r="AW333" s="576">
        <v>1.7142857142857144</v>
      </c>
      <c r="AX333" s="576">
        <v>0</v>
      </c>
      <c r="AY333" s="576">
        <v>0</v>
      </c>
      <c r="AZ333" s="576">
        <v>932.28551236749195</v>
      </c>
      <c r="BA333" s="576">
        <v>932.28551236749195</v>
      </c>
      <c r="BB333" s="576">
        <v>0</v>
      </c>
      <c r="BC333" s="576">
        <v>0</v>
      </c>
      <c r="BD333" s="576">
        <v>0</v>
      </c>
      <c r="BE333" s="576">
        <v>0</v>
      </c>
      <c r="BF333" s="518">
        <v>0.9836180197793869</v>
      </c>
      <c r="BG333" s="519">
        <v>0.9836180197793869</v>
      </c>
      <c r="BH333" s="519">
        <v>0.9836180197793869</v>
      </c>
      <c r="BI333" s="519">
        <v>0.9836180197793869</v>
      </c>
      <c r="BJ333" s="520">
        <v>52.084000000000003</v>
      </c>
      <c r="BK333" s="520">
        <v>52.084000000000003</v>
      </c>
      <c r="BL333" s="520">
        <v>2.3020505337531678</v>
      </c>
      <c r="BM333" s="520">
        <v>2.3020505337531678</v>
      </c>
      <c r="BN333" s="521">
        <v>0</v>
      </c>
      <c r="BO333" s="521">
        <v>0</v>
      </c>
      <c r="BP333" s="521">
        <v>990.55861621630845</v>
      </c>
      <c r="BQ333" s="521">
        <v>990.55861621630845</v>
      </c>
      <c r="BR333" s="521">
        <v>0</v>
      </c>
      <c r="BS333" s="522">
        <v>0</v>
      </c>
      <c r="BT333" s="1020">
        <v>0.91384371902671513</v>
      </c>
      <c r="BU333" s="581">
        <v>0.91384371902671513</v>
      </c>
      <c r="BV333" s="581">
        <v>0.91384371902671513</v>
      </c>
      <c r="BW333" s="581">
        <v>0.91384371902671513</v>
      </c>
      <c r="BX333" s="576">
        <v>44.957999999999998</v>
      </c>
      <c r="BY333" s="576">
        <v>44.957999999999998</v>
      </c>
      <c r="BZ333" s="582">
        <v>90.679800271307244</v>
      </c>
      <c r="CA333" s="582">
        <v>90.679800271307244</v>
      </c>
      <c r="CB333" s="576">
        <v>1.8572890253125141</v>
      </c>
      <c r="CC333" s="576">
        <v>1.8572890253125141</v>
      </c>
      <c r="CD333" s="582">
        <v>0</v>
      </c>
      <c r="CE333" s="582">
        <v>0</v>
      </c>
      <c r="CF333" s="582">
        <v>954.4920822320928</v>
      </c>
      <c r="CG333" s="582">
        <v>954.4920822320928</v>
      </c>
      <c r="CH333" s="582">
        <v>0</v>
      </c>
      <c r="CI333" s="582">
        <v>0</v>
      </c>
      <c r="CJ333" s="582">
        <v>0</v>
      </c>
      <c r="CK333" s="582">
        <v>0</v>
      </c>
    </row>
    <row r="334" spans="1:89" ht="14.25" customHeight="1">
      <c r="A334" s="560">
        <v>45690</v>
      </c>
      <c r="B334" s="512">
        <v>0.98922210283086331</v>
      </c>
      <c r="C334" s="513">
        <v>0.98717309348187798</v>
      </c>
      <c r="D334" s="513">
        <v>0.98922210283086331</v>
      </c>
      <c r="E334" s="513">
        <v>0.98717309348187798</v>
      </c>
      <c r="F334" s="510">
        <v>56.256999999999998</v>
      </c>
      <c r="G334" s="510">
        <v>112.28100000000001</v>
      </c>
      <c r="H334" s="510">
        <v>2.0372753612883732</v>
      </c>
      <c r="I334" s="510">
        <v>2.0492158067705133</v>
      </c>
      <c r="J334" s="510">
        <v>873.04861617219956</v>
      </c>
      <c r="K334" s="511">
        <v>877.66934744078151</v>
      </c>
      <c r="L334" s="512">
        <v>0.94881094112636033</v>
      </c>
      <c r="M334" s="513">
        <v>0.93174940087587699</v>
      </c>
      <c r="N334" s="513">
        <v>0.98300492740722833</v>
      </c>
      <c r="O334" s="513">
        <v>0.94816686604328393</v>
      </c>
      <c r="P334" s="510">
        <v>70.805999999999997</v>
      </c>
      <c r="Q334" s="510">
        <v>139.68899999999999</v>
      </c>
      <c r="R334" s="510">
        <v>2.2878428381775557</v>
      </c>
      <c r="S334" s="510">
        <v>2.3628202650172887</v>
      </c>
      <c r="T334" s="510">
        <v>0.21749569245544165</v>
      </c>
      <c r="U334" s="510">
        <v>0.23051206608967065</v>
      </c>
      <c r="V334" s="510">
        <v>416.04327316893921</v>
      </c>
      <c r="W334" s="510">
        <v>449.84587190115127</v>
      </c>
      <c r="X334" s="510">
        <v>388.3851650990029</v>
      </c>
      <c r="Y334" s="511">
        <v>421.65095318886961</v>
      </c>
      <c r="Z334" s="1026">
        <v>0.89198308323356734</v>
      </c>
      <c r="AA334" s="513">
        <v>0.74971304504236136</v>
      </c>
      <c r="AB334" s="513">
        <v>0.89198308323356734</v>
      </c>
      <c r="AC334" s="513">
        <v>0.74971304504236136</v>
      </c>
      <c r="AD334" s="510">
        <v>38.32</v>
      </c>
      <c r="AE334" s="510">
        <v>64.423000000000002</v>
      </c>
      <c r="AF334" s="510">
        <v>115.91873731696279</v>
      </c>
      <c r="AG334" s="510">
        <v>108.70533581973319</v>
      </c>
      <c r="AH334" s="510">
        <v>1.5579331941544885</v>
      </c>
      <c r="AI334" s="510">
        <v>1.5863899538984525</v>
      </c>
      <c r="AJ334" s="510">
        <v>962.01043841335161</v>
      </c>
      <c r="AK334" s="510">
        <v>990.72815609331508</v>
      </c>
      <c r="AL334" s="576">
        <v>0</v>
      </c>
      <c r="AM334" s="577">
        <v>0</v>
      </c>
      <c r="AN334" s="513">
        <v>0.82437691153296211</v>
      </c>
      <c r="AO334" s="513">
        <v>0.89401843442437812</v>
      </c>
      <c r="AP334" s="513">
        <v>0.82437691153296211</v>
      </c>
      <c r="AQ334" s="513">
        <v>0.89401843442437812</v>
      </c>
      <c r="AR334" s="510">
        <v>43.859000000000002</v>
      </c>
      <c r="AS334" s="510">
        <v>93.384</v>
      </c>
      <c r="AT334" s="514">
        <v>123.22454282533171</v>
      </c>
      <c r="AU334" s="514">
        <v>117.81038430191613</v>
      </c>
      <c r="AV334" s="510">
        <v>1.928908547846508</v>
      </c>
      <c r="AW334" s="510">
        <v>1.8150860961192496</v>
      </c>
      <c r="AX334" s="510">
        <v>0</v>
      </c>
      <c r="AY334" s="510">
        <v>0</v>
      </c>
      <c r="AZ334" s="510">
        <v>1006.7315716272586</v>
      </c>
      <c r="BA334" s="510">
        <v>967.25006425083507</v>
      </c>
      <c r="BB334" s="576">
        <v>0</v>
      </c>
      <c r="BC334" s="576">
        <v>0</v>
      </c>
      <c r="BD334" s="510">
        <v>0</v>
      </c>
      <c r="BE334" s="510">
        <v>0</v>
      </c>
      <c r="BF334" s="512">
        <v>0.81023739778813231</v>
      </c>
      <c r="BG334" s="513">
        <v>0.89641873971615449</v>
      </c>
      <c r="BH334" s="513">
        <v>0.81023739778813231</v>
      </c>
      <c r="BI334" s="513">
        <v>0.89641873971615449</v>
      </c>
      <c r="BJ334" s="510">
        <v>43.41</v>
      </c>
      <c r="BK334" s="510">
        <v>95.494</v>
      </c>
      <c r="BL334" s="510">
        <v>2.7804653305689935</v>
      </c>
      <c r="BM334" s="510">
        <v>2.5195300228286595</v>
      </c>
      <c r="BN334" s="514">
        <v>0</v>
      </c>
      <c r="BO334" s="514">
        <v>0</v>
      </c>
      <c r="BP334" s="514">
        <v>1142.1425702100771</v>
      </c>
      <c r="BQ334" s="514">
        <v>1059.4661857271626</v>
      </c>
      <c r="BR334" s="514">
        <v>0</v>
      </c>
      <c r="BS334" s="515">
        <v>0</v>
      </c>
      <c r="BT334" s="1021">
        <v>0.90506466970579347</v>
      </c>
      <c r="BU334" s="513">
        <v>0.90942662244458783</v>
      </c>
      <c r="BV334" s="513">
        <v>0.90506466970579347</v>
      </c>
      <c r="BW334" s="513">
        <v>0.90942662244458783</v>
      </c>
      <c r="BX334" s="510">
        <v>45.088999999999999</v>
      </c>
      <c r="BY334" s="510">
        <v>90.046999999999997</v>
      </c>
      <c r="BZ334" s="514">
        <v>88.812986809149947</v>
      </c>
      <c r="CA334" s="514">
        <v>89.745035624009617</v>
      </c>
      <c r="CB334" s="510">
        <v>1.8629821020648052</v>
      </c>
      <c r="CC334" s="510">
        <v>1.8601397048208159</v>
      </c>
      <c r="CD334" s="514">
        <v>0</v>
      </c>
      <c r="CE334" s="514">
        <v>0</v>
      </c>
      <c r="CF334" s="514">
        <v>881.19721056532228</v>
      </c>
      <c r="CG334" s="514">
        <v>917.79133186191928</v>
      </c>
      <c r="CH334" s="514">
        <v>0</v>
      </c>
      <c r="CI334" s="514">
        <v>0</v>
      </c>
      <c r="CJ334" s="582">
        <v>0</v>
      </c>
      <c r="CK334" s="582">
        <v>0</v>
      </c>
    </row>
    <row r="335" spans="1:89" ht="12.75" customHeight="1">
      <c r="A335" s="560">
        <v>45691</v>
      </c>
      <c r="B335" s="512">
        <v>0.80931484502978468</v>
      </c>
      <c r="C335" s="513">
        <v>0.92740695853262156</v>
      </c>
      <c r="D335" s="513">
        <v>0.80931484502978468</v>
      </c>
      <c r="E335" s="513">
        <v>0.92740695853262156</v>
      </c>
      <c r="F335" s="510">
        <v>46.587000000000003</v>
      </c>
      <c r="G335" s="510">
        <v>158.86799999999999</v>
      </c>
      <c r="H335" s="510">
        <v>2.5006117586451153</v>
      </c>
      <c r="I335" s="510">
        <v>2.1815847118362415</v>
      </c>
      <c r="J335" s="510">
        <v>1106.1629209865478</v>
      </c>
      <c r="K335" s="511">
        <v>944.67359065386802</v>
      </c>
      <c r="L335" s="512">
        <v>1.6685100886180814E-2</v>
      </c>
      <c r="M335" s="513">
        <v>0.64269879016800679</v>
      </c>
      <c r="N335" s="513" t="e">
        <v>#DIV/0!</v>
      </c>
      <c r="O335" s="513">
        <v>0.95600665822649089</v>
      </c>
      <c r="P335" s="510">
        <v>1.155</v>
      </c>
      <c r="Q335" s="510">
        <v>140.84399999999999</v>
      </c>
      <c r="R335" s="510">
        <v>1.8181818181818181E-2</v>
      </c>
      <c r="S335" s="510">
        <v>2.3435929113061262</v>
      </c>
      <c r="T335" s="510">
        <v>0</v>
      </c>
      <c r="U335" s="510">
        <v>0.22862173752520523</v>
      </c>
      <c r="V335" s="510">
        <v>3864.6839826839819</v>
      </c>
      <c r="W335" s="510">
        <v>477.84946465593089</v>
      </c>
      <c r="X335" s="510">
        <v>692.64069264069258</v>
      </c>
      <c r="Y335" s="511">
        <v>423.87322143648294</v>
      </c>
      <c r="Z335" s="1026">
        <v>0.96363795127230201</v>
      </c>
      <c r="AA335" s="513">
        <v>0.82195691906826485</v>
      </c>
      <c r="AB335" s="513">
        <v>0.96363795127230201</v>
      </c>
      <c r="AC335" s="513">
        <v>0.82195691906826485</v>
      </c>
      <c r="AD335" s="510">
        <v>42.222999999999999</v>
      </c>
      <c r="AE335" s="510">
        <v>106.646</v>
      </c>
      <c r="AF335" s="510">
        <v>101.14471358167809</v>
      </c>
      <c r="AG335" s="510">
        <v>105.71195441998636</v>
      </c>
      <c r="AH335" s="510">
        <v>1.4186580773512067</v>
      </c>
      <c r="AI335" s="510">
        <v>1.5199819965118242</v>
      </c>
      <c r="AJ335" s="510">
        <v>895.27366601142842</v>
      </c>
      <c r="AK335" s="510">
        <v>952.93606886334396</v>
      </c>
      <c r="AL335" s="576">
        <v>0</v>
      </c>
      <c r="AM335" s="577">
        <v>0</v>
      </c>
      <c r="AN335" s="513">
        <v>0.95359759429866542</v>
      </c>
      <c r="AO335" s="513">
        <v>0.91379726830314889</v>
      </c>
      <c r="AP335" s="513">
        <v>0.95359759429866542</v>
      </c>
      <c r="AQ335" s="513">
        <v>0.91379726830314889</v>
      </c>
      <c r="AR335" s="510">
        <v>49.5</v>
      </c>
      <c r="AS335" s="510">
        <v>142.88400000000001</v>
      </c>
      <c r="AT335" s="514">
        <v>105.06027087276181</v>
      </c>
      <c r="AU335" s="514">
        <v>113.39330041048574</v>
      </c>
      <c r="AV335" s="510">
        <v>1.7616161616161616</v>
      </c>
      <c r="AW335" s="510">
        <v>1.7965622462976958</v>
      </c>
      <c r="AX335" s="510">
        <v>0</v>
      </c>
      <c r="AY335" s="510">
        <v>0</v>
      </c>
      <c r="AZ335" s="510">
        <v>951.33616161616271</v>
      </c>
      <c r="BA335" s="510">
        <v>961.73693345651043</v>
      </c>
      <c r="BB335" s="576">
        <v>0</v>
      </c>
      <c r="BC335" s="576">
        <v>0</v>
      </c>
      <c r="BD335" s="510">
        <v>0</v>
      </c>
      <c r="BE335" s="510">
        <v>0</v>
      </c>
      <c r="BF335" s="512">
        <v>0.95703470676815949</v>
      </c>
      <c r="BG335" s="513">
        <v>0.91663603973984953</v>
      </c>
      <c r="BH335" s="513">
        <v>0.95703470676815949</v>
      </c>
      <c r="BI335" s="513">
        <v>0.91663603973984953</v>
      </c>
      <c r="BJ335" s="510">
        <v>51.021000000000001</v>
      </c>
      <c r="BK335" s="510">
        <v>146.51499999999999</v>
      </c>
      <c r="BL335" s="510">
        <v>2.4303718076870306</v>
      </c>
      <c r="BM335" s="510">
        <v>2.4884824079445793</v>
      </c>
      <c r="BN335" s="514">
        <v>0</v>
      </c>
      <c r="BO335" s="514">
        <v>0</v>
      </c>
      <c r="BP335" s="514">
        <v>1116.9561496592646</v>
      </c>
      <c r="BQ335" s="514">
        <v>1079.4859478660546</v>
      </c>
      <c r="BR335" s="514">
        <v>0</v>
      </c>
      <c r="BS335" s="515">
        <v>0</v>
      </c>
      <c r="BT335" s="1021">
        <v>0.91682001836925187</v>
      </c>
      <c r="BU335" s="513">
        <v>0.91190262466069127</v>
      </c>
      <c r="BV335" s="513">
        <v>0.91682001836925187</v>
      </c>
      <c r="BW335" s="513">
        <v>0.91190262466069127</v>
      </c>
      <c r="BX335" s="510">
        <v>45.709000000000003</v>
      </c>
      <c r="BY335" s="510">
        <v>135.756</v>
      </c>
      <c r="BZ335" s="514">
        <v>83.328958197271774</v>
      </c>
      <c r="CA335" s="514">
        <v>87.584744490661848</v>
      </c>
      <c r="CB335" s="510">
        <v>1.861777768054431</v>
      </c>
      <c r="CC335" s="510">
        <v>1.8606912401661804</v>
      </c>
      <c r="CD335" s="514">
        <v>0</v>
      </c>
      <c r="CE335" s="514">
        <v>0</v>
      </c>
      <c r="CF335" s="514">
        <v>886.81026249175159</v>
      </c>
      <c r="CG335" s="514">
        <v>907.36001612014002</v>
      </c>
      <c r="CH335" s="514">
        <v>0</v>
      </c>
      <c r="CI335" s="514">
        <v>0</v>
      </c>
      <c r="CJ335" s="582">
        <v>0</v>
      </c>
      <c r="CK335" s="582">
        <v>0</v>
      </c>
    </row>
    <row r="336" spans="1:89" ht="12.75" customHeight="1">
      <c r="A336" s="560">
        <v>45692</v>
      </c>
      <c r="B336" s="512">
        <v>0.59963775784100104</v>
      </c>
      <c r="C336" s="513">
        <v>0.84214820621732478</v>
      </c>
      <c r="D336" s="513">
        <v>0.59963775784100104</v>
      </c>
      <c r="E336" s="513">
        <v>0.84214820621732478</v>
      </c>
      <c r="F336" s="510">
        <v>36.113</v>
      </c>
      <c r="G336" s="510">
        <v>194.98099999999999</v>
      </c>
      <c r="H336" s="510">
        <v>3.4032066015008446</v>
      </c>
      <c r="I336" s="510">
        <v>2.4078448669357528</v>
      </c>
      <c r="J336" s="510">
        <v>1421.319524824896</v>
      </c>
      <c r="K336" s="511">
        <v>1032.9545750611605</v>
      </c>
      <c r="L336" s="512">
        <v>0.21785701694944185</v>
      </c>
      <c r="M336" s="513">
        <v>0.56022341247080742</v>
      </c>
      <c r="N336" s="513">
        <v>0.5919134045418798</v>
      </c>
      <c r="O336" s="513">
        <v>0.91358283670295903</v>
      </c>
      <c r="P336" s="510">
        <v>11.500999999999999</v>
      </c>
      <c r="Q336" s="510">
        <v>152.345</v>
      </c>
      <c r="R336" s="510">
        <v>6.191461612033736</v>
      </c>
      <c r="S336" s="510">
        <v>2.6340805408776133</v>
      </c>
      <c r="T336" s="510">
        <v>0.62603251891139911</v>
      </c>
      <c r="U336" s="510">
        <v>0.25862351898651093</v>
      </c>
      <c r="V336" s="510">
        <v>1373.484044865648</v>
      </c>
      <c r="W336" s="510">
        <v>545.46371722078004</v>
      </c>
      <c r="X336" s="510">
        <v>2191.1138161898689</v>
      </c>
      <c r="Y336" s="511">
        <v>557.28773507499216</v>
      </c>
      <c r="Z336" s="1026">
        <v>0.91389201914185858</v>
      </c>
      <c r="AA336" s="513">
        <v>0.84562007064693157</v>
      </c>
      <c r="AB336" s="513">
        <v>0.91389201914185858</v>
      </c>
      <c r="AC336" s="513">
        <v>0.84562007064693157</v>
      </c>
      <c r="AD336" s="510">
        <v>41.097999999999999</v>
      </c>
      <c r="AE336" s="510">
        <v>147.744</v>
      </c>
      <c r="AF336" s="510">
        <v>104.39274012258387</v>
      </c>
      <c r="AG336" s="510">
        <v>105.344988118853</v>
      </c>
      <c r="AH336" s="510">
        <v>1.45505864032313</v>
      </c>
      <c r="AI336" s="510">
        <v>1.501922243881308</v>
      </c>
      <c r="AJ336" s="510">
        <v>849.45642123704317</v>
      </c>
      <c r="AK336" s="510">
        <v>924.15109919861504</v>
      </c>
      <c r="AL336" s="576">
        <v>0</v>
      </c>
      <c r="AM336" s="577">
        <v>0</v>
      </c>
      <c r="AN336" s="513">
        <v>0.72545430949787415</v>
      </c>
      <c r="AO336" s="513">
        <v>0.86803070067057275</v>
      </c>
      <c r="AP336" s="513">
        <v>0.88810118323708209</v>
      </c>
      <c r="AQ336" s="513">
        <v>0.90845920309390071</v>
      </c>
      <c r="AR336" s="510">
        <v>36.411999999999999</v>
      </c>
      <c r="AS336" s="510">
        <v>179.29600000000002</v>
      </c>
      <c r="AT336" s="514">
        <v>113.63227099164311</v>
      </c>
      <c r="AU336" s="514">
        <v>113.44183131357951</v>
      </c>
      <c r="AV336" s="510">
        <v>1.996594529276063</v>
      </c>
      <c r="AW336" s="510">
        <v>1.8371854363733711</v>
      </c>
      <c r="AX336" s="510">
        <v>0</v>
      </c>
      <c r="AY336" s="510">
        <v>0</v>
      </c>
      <c r="AZ336" s="510">
        <v>1072.2003735032404</v>
      </c>
      <c r="BA336" s="510">
        <v>984.17019900053538</v>
      </c>
      <c r="BB336" s="576">
        <v>0</v>
      </c>
      <c r="BC336" s="576">
        <v>0</v>
      </c>
      <c r="BD336" s="510">
        <v>0</v>
      </c>
      <c r="BE336" s="510">
        <v>0</v>
      </c>
      <c r="BF336" s="512">
        <v>0.90804756330237835</v>
      </c>
      <c r="BG336" s="513">
        <v>0.91456645557954608</v>
      </c>
      <c r="BH336" s="513">
        <v>0.90804756330237835</v>
      </c>
      <c r="BI336" s="513">
        <v>0.91456645557954608</v>
      </c>
      <c r="BJ336" s="510">
        <v>46.079000000000001</v>
      </c>
      <c r="BK336" s="510">
        <v>192.59399999999999</v>
      </c>
      <c r="BL336" s="510">
        <v>2.6194144838212634</v>
      </c>
      <c r="BM336" s="510">
        <v>2.5198085090916647</v>
      </c>
      <c r="BN336" s="514">
        <v>0</v>
      </c>
      <c r="BO336" s="514">
        <v>0</v>
      </c>
      <c r="BP336" s="514">
        <v>1079.785498974785</v>
      </c>
      <c r="BQ336" s="514">
        <v>1079.5576168460809</v>
      </c>
      <c r="BR336" s="514">
        <v>0</v>
      </c>
      <c r="BS336" s="515">
        <v>0</v>
      </c>
      <c r="BT336" s="1021">
        <v>0.52956066857527784</v>
      </c>
      <c r="BU336" s="513">
        <v>0.81685493578182111</v>
      </c>
      <c r="BV336" s="513">
        <v>0.52956066857527784</v>
      </c>
      <c r="BW336" s="513">
        <v>0.81685493578182111</v>
      </c>
      <c r="BX336" s="510">
        <v>26.082000000000001</v>
      </c>
      <c r="BY336" s="510">
        <v>161.83799999999999</v>
      </c>
      <c r="BZ336" s="514">
        <v>109.27417050434551</v>
      </c>
      <c r="CA336" s="514">
        <v>91.080237571946199</v>
      </c>
      <c r="CB336" s="510">
        <v>2.3886205045625335</v>
      </c>
      <c r="CC336" s="510">
        <v>1.9457729334272544</v>
      </c>
      <c r="CD336" s="514">
        <v>0</v>
      </c>
      <c r="CE336" s="514">
        <v>0</v>
      </c>
      <c r="CF336" s="514">
        <v>1176.9593586665278</v>
      </c>
      <c r="CG336" s="514">
        <v>950.80895921320143</v>
      </c>
      <c r="CH336" s="514">
        <v>0</v>
      </c>
      <c r="CI336" s="514">
        <v>0</v>
      </c>
      <c r="CJ336" s="582">
        <v>0</v>
      </c>
      <c r="CK336" s="582">
        <v>0</v>
      </c>
    </row>
    <row r="337" spans="1:89" ht="12.75" customHeight="1">
      <c r="A337" s="560">
        <v>45693</v>
      </c>
      <c r="B337" s="512">
        <v>1.2161716135095304</v>
      </c>
      <c r="C337" s="513">
        <v>0.92085565529191393</v>
      </c>
      <c r="D337" s="513">
        <v>1.2161716135095304</v>
      </c>
      <c r="E337" s="513">
        <v>0.92085565529191393</v>
      </c>
      <c r="F337" s="510">
        <v>75.046000000000006</v>
      </c>
      <c r="G337" s="510">
        <v>270.02699999999999</v>
      </c>
      <c r="H337" s="510">
        <v>1.6626602350558324</v>
      </c>
      <c r="I337" s="510">
        <v>2.2007428886740956</v>
      </c>
      <c r="J337" s="510">
        <v>681.28433227619041</v>
      </c>
      <c r="K337" s="511">
        <v>935.21825595217956</v>
      </c>
      <c r="L337" s="512">
        <v>0.79623116656536286</v>
      </c>
      <c r="M337" s="513">
        <v>0.60502083033057796</v>
      </c>
      <c r="N337" s="513">
        <v>0.79623116656536286</v>
      </c>
      <c r="O337" s="513">
        <v>0.88114203508625721</v>
      </c>
      <c r="P337" s="510">
        <v>50.728000000000002</v>
      </c>
      <c r="Q337" s="510">
        <v>203.07300000000001</v>
      </c>
      <c r="R337" s="510">
        <v>2.7869815486516321</v>
      </c>
      <c r="S337" s="510">
        <v>2.6722754871400918</v>
      </c>
      <c r="T337" s="510">
        <v>0.20698627976659834</v>
      </c>
      <c r="U337" s="510">
        <v>0.2457244439191818</v>
      </c>
      <c r="V337" s="510">
        <v>580.09107396310264</v>
      </c>
      <c r="W337" s="510">
        <v>554.113693105435</v>
      </c>
      <c r="X337" s="510">
        <v>498.93549913262979</v>
      </c>
      <c r="Y337" s="511">
        <v>542.71124177019942</v>
      </c>
      <c r="Z337" s="1026">
        <v>0.89127736023523174</v>
      </c>
      <c r="AA337" s="513">
        <v>0.85497212381625987</v>
      </c>
      <c r="AB337" s="513">
        <v>0.89127736023523174</v>
      </c>
      <c r="AC337" s="513">
        <v>0.85497212381625987</v>
      </c>
      <c r="AD337" s="510">
        <v>40.113</v>
      </c>
      <c r="AE337" s="510">
        <v>187.857</v>
      </c>
      <c r="AF337" s="510">
        <v>108.95169921375177</v>
      </c>
      <c r="AG337" s="510">
        <v>106.11512711899499</v>
      </c>
      <c r="AH337" s="510">
        <v>1.5007603520055843</v>
      </c>
      <c r="AI337" s="510">
        <v>1.5016741457598064</v>
      </c>
      <c r="AJ337" s="510">
        <v>926.66317652630858</v>
      </c>
      <c r="AK337" s="510">
        <v>924.68750166349935</v>
      </c>
      <c r="AL337" s="576">
        <v>0</v>
      </c>
      <c r="AM337" s="577">
        <v>0</v>
      </c>
      <c r="AN337" s="513">
        <v>1.0222742803028784</v>
      </c>
      <c r="AO337" s="513">
        <v>0.89707409668347016</v>
      </c>
      <c r="AP337" s="513">
        <v>1.0222742803028784</v>
      </c>
      <c r="AQ337" s="513">
        <v>0.93069324100130446</v>
      </c>
      <c r="AR337" s="510">
        <v>48.982999999999997</v>
      </c>
      <c r="AS337" s="510">
        <v>228.27900000000002</v>
      </c>
      <c r="AT337" s="514">
        <v>98.850658395090889</v>
      </c>
      <c r="AU337" s="514">
        <v>110.3109282385427</v>
      </c>
      <c r="AV337" s="510">
        <v>1.7169221974970907</v>
      </c>
      <c r="AW337" s="510">
        <v>1.8113799342033212</v>
      </c>
      <c r="AX337" s="510">
        <v>0</v>
      </c>
      <c r="AY337" s="510">
        <v>0</v>
      </c>
      <c r="AZ337" s="510">
        <v>943.00553253169289</v>
      </c>
      <c r="BA337" s="510">
        <v>975.33728463853413</v>
      </c>
      <c r="BB337" s="576">
        <v>0</v>
      </c>
      <c r="BC337" s="576">
        <v>0</v>
      </c>
      <c r="BD337" s="510">
        <v>0</v>
      </c>
      <c r="BE337" s="510">
        <v>0</v>
      </c>
      <c r="BF337" s="512">
        <v>0.90069074158175766</v>
      </c>
      <c r="BG337" s="513">
        <v>0.91181877006776424</v>
      </c>
      <c r="BH337" s="513">
        <v>0.90069074158175766</v>
      </c>
      <c r="BI337" s="513">
        <v>0.91181877006776424</v>
      </c>
      <c r="BJ337" s="510">
        <v>46.832999999999998</v>
      </c>
      <c r="BK337" s="510">
        <v>239.42699999999999</v>
      </c>
      <c r="BL337" s="510">
        <v>2.6925458544188925</v>
      </c>
      <c r="BM337" s="510">
        <v>2.5535967121502585</v>
      </c>
      <c r="BN337" s="514">
        <v>0</v>
      </c>
      <c r="BO337" s="514">
        <v>0</v>
      </c>
      <c r="BP337" s="514">
        <v>1069.0169613901878</v>
      </c>
      <c r="BQ337" s="514">
        <v>1077.4958171452708</v>
      </c>
      <c r="BR337" s="514">
        <v>0</v>
      </c>
      <c r="BS337" s="515">
        <v>0</v>
      </c>
      <c r="BT337" s="1021">
        <v>0.91798685773623301</v>
      </c>
      <c r="BU337" s="513">
        <v>0.83741670622317965</v>
      </c>
      <c r="BV337" s="513">
        <v>0.91798685773623301</v>
      </c>
      <c r="BW337" s="513">
        <v>0.83741670622317965</v>
      </c>
      <c r="BX337" s="510">
        <v>46.414999999999999</v>
      </c>
      <c r="BY337" s="510">
        <v>208.25299999999999</v>
      </c>
      <c r="BZ337" s="514">
        <v>85.373665609652903</v>
      </c>
      <c r="CA337" s="514">
        <v>89.808368558631415</v>
      </c>
      <c r="CB337" s="510">
        <v>1.8485403425616718</v>
      </c>
      <c r="CC337" s="510">
        <v>1.9241019337056369</v>
      </c>
      <c r="CD337" s="514">
        <v>0</v>
      </c>
      <c r="CE337" s="514">
        <v>0</v>
      </c>
      <c r="CF337" s="514">
        <v>949.44390061859929</v>
      </c>
      <c r="CG337" s="514">
        <v>950.5047177632897</v>
      </c>
      <c r="CH337" s="514">
        <v>0</v>
      </c>
      <c r="CI337" s="514">
        <v>0</v>
      </c>
      <c r="CJ337" s="582">
        <v>0</v>
      </c>
      <c r="CK337" s="582">
        <v>0</v>
      </c>
    </row>
    <row r="338" spans="1:89" ht="12.75" customHeight="1">
      <c r="A338" s="560">
        <v>45694</v>
      </c>
      <c r="B338" s="512">
        <v>0.57478838533563048</v>
      </c>
      <c r="C338" s="513">
        <v>0.86099097557552751</v>
      </c>
      <c r="D338" s="513">
        <v>0.83623457771757792</v>
      </c>
      <c r="E338" s="513">
        <v>0.9102187394477983</v>
      </c>
      <c r="F338" s="510">
        <v>35.255000000000003</v>
      </c>
      <c r="G338" s="510">
        <v>305.28199999999998</v>
      </c>
      <c r="H338" s="510">
        <v>3.5358672528719328</v>
      </c>
      <c r="I338" s="510">
        <v>2.3549275751600161</v>
      </c>
      <c r="J338" s="510">
        <v>1418.4112324492955</v>
      </c>
      <c r="K338" s="511">
        <v>991.01901848127011</v>
      </c>
      <c r="L338" s="512">
        <v>0.90034305058960651</v>
      </c>
      <c r="M338" s="513">
        <v>0.65476173086159106</v>
      </c>
      <c r="N338" s="513">
        <v>0.90034305058960651</v>
      </c>
      <c r="O338" s="513">
        <v>0.88551579298874017</v>
      </c>
      <c r="P338" s="510">
        <v>61.207999999999998</v>
      </c>
      <c r="Q338" s="510">
        <v>264.28100000000001</v>
      </c>
      <c r="R338" s="510">
        <v>2.5190334596784734</v>
      </c>
      <c r="S338" s="510">
        <v>2.636784331828621</v>
      </c>
      <c r="T338" s="510">
        <v>0.18951771010325447</v>
      </c>
      <c r="U338" s="510">
        <v>0.23270685368982261</v>
      </c>
      <c r="V338" s="510">
        <v>575.21990589466918</v>
      </c>
      <c r="W338" s="510">
        <v>559.00193354800729</v>
      </c>
      <c r="X338" s="510">
        <v>499.18311331852709</v>
      </c>
      <c r="Y338" s="511">
        <v>532.63004150884899</v>
      </c>
      <c r="Z338" s="1026">
        <v>0.95608609663600586</v>
      </c>
      <c r="AA338" s="513">
        <v>0.87180846820054325</v>
      </c>
      <c r="AB338" s="513">
        <v>0.95608609663600586</v>
      </c>
      <c r="AC338" s="513">
        <v>0.87180846820054325</v>
      </c>
      <c r="AD338" s="510">
        <v>41.966999999999999</v>
      </c>
      <c r="AE338" s="510">
        <v>229.82400000000001</v>
      </c>
      <c r="AF338" s="510">
        <v>109.57722674806278</v>
      </c>
      <c r="AG338" s="510">
        <v>106.74732364822208</v>
      </c>
      <c r="AH338" s="510">
        <v>1.4702027783734841</v>
      </c>
      <c r="AI338" s="510">
        <v>1.4959273182957391</v>
      </c>
      <c r="AJ338" s="510">
        <v>933.89186741963488</v>
      </c>
      <c r="AK338" s="510">
        <v>926.36826441102676</v>
      </c>
      <c r="AL338" s="576">
        <v>0</v>
      </c>
      <c r="AM338" s="577">
        <v>0</v>
      </c>
      <c r="AN338" s="513">
        <v>0.98186009718535827</v>
      </c>
      <c r="AO338" s="513">
        <v>0.91036576321797102</v>
      </c>
      <c r="AP338" s="513">
        <v>0.98186009718535827</v>
      </c>
      <c r="AQ338" s="513">
        <v>0.93896653041382461</v>
      </c>
      <c r="AR338" s="510">
        <v>46.451000000000001</v>
      </c>
      <c r="AS338" s="510">
        <v>274.73</v>
      </c>
      <c r="AT338" s="514">
        <v>109.45483907241058</v>
      </c>
      <c r="AU338" s="514">
        <v>110.16618176798615</v>
      </c>
      <c r="AV338" s="510">
        <v>1.8643301543562032</v>
      </c>
      <c r="AW338" s="510">
        <v>1.8203326902777273</v>
      </c>
      <c r="AX338" s="510">
        <v>0</v>
      </c>
      <c r="AY338" s="510">
        <v>0</v>
      </c>
      <c r="AZ338" s="510">
        <v>1016.1813523928449</v>
      </c>
      <c r="BA338" s="510">
        <v>982.24314781785745</v>
      </c>
      <c r="BB338" s="576">
        <v>0</v>
      </c>
      <c r="BC338" s="576">
        <v>0</v>
      </c>
      <c r="BD338" s="510">
        <v>0</v>
      </c>
      <c r="BE338" s="510">
        <v>0</v>
      </c>
      <c r="BF338" s="512">
        <v>0.94228765694087435</v>
      </c>
      <c r="BG338" s="513">
        <v>0.91693657661682104</v>
      </c>
      <c r="BH338" s="513">
        <v>0.94228765694087435</v>
      </c>
      <c r="BI338" s="513">
        <v>0.91693657661682104</v>
      </c>
      <c r="BJ338" s="510">
        <v>49.95</v>
      </c>
      <c r="BK338" s="510">
        <v>289.37700000000001</v>
      </c>
      <c r="BL338" s="510">
        <v>2.4924924924924925</v>
      </c>
      <c r="BM338" s="510">
        <v>2.5430493784924164</v>
      </c>
      <c r="BN338" s="514">
        <v>0</v>
      </c>
      <c r="BO338" s="514">
        <v>0</v>
      </c>
      <c r="BP338" s="514">
        <v>1102.7486486486532</v>
      </c>
      <c r="BQ338" s="514">
        <v>1081.8547638949915</v>
      </c>
      <c r="BR338" s="514">
        <v>0</v>
      </c>
      <c r="BS338" s="515">
        <v>0</v>
      </c>
      <c r="BT338" s="1021">
        <v>0.98906689251132329</v>
      </c>
      <c r="BU338" s="513">
        <v>0.86411448320013395</v>
      </c>
      <c r="BV338" s="513">
        <v>0.98906689251132329</v>
      </c>
      <c r="BW338" s="513">
        <v>0.86411448320013395</v>
      </c>
      <c r="BX338" s="510">
        <v>52.554000000000002</v>
      </c>
      <c r="BY338" s="510">
        <v>260.80700000000002</v>
      </c>
      <c r="BZ338" s="514">
        <v>77.67412176640228</v>
      </c>
      <c r="CA338" s="514">
        <v>87.363253182438243</v>
      </c>
      <c r="CB338" s="510">
        <v>1.8076644974692697</v>
      </c>
      <c r="CC338" s="510">
        <v>1.9006391699609289</v>
      </c>
      <c r="CD338" s="514">
        <v>0</v>
      </c>
      <c r="CE338" s="514">
        <v>0</v>
      </c>
      <c r="CF338" s="514">
        <v>907.93536172318329</v>
      </c>
      <c r="CG338" s="514">
        <v>941.92676572468736</v>
      </c>
      <c r="CH338" s="514">
        <v>0</v>
      </c>
      <c r="CI338" s="514">
        <v>0</v>
      </c>
      <c r="CJ338" s="582">
        <v>0</v>
      </c>
      <c r="CK338" s="582">
        <v>0</v>
      </c>
    </row>
    <row r="339" spans="1:89" ht="12.75" customHeight="1">
      <c r="A339" s="560">
        <v>45695</v>
      </c>
      <c r="B339" s="512">
        <v>0.64744765955871242</v>
      </c>
      <c r="C339" s="513">
        <v>0.82989687577362303</v>
      </c>
      <c r="D339" s="513">
        <v>0.74012632012024604</v>
      </c>
      <c r="E339" s="513">
        <v>0.8870605336751245</v>
      </c>
      <c r="F339" s="510">
        <v>39.124000000000002</v>
      </c>
      <c r="G339" s="510">
        <v>344.40600000000001</v>
      </c>
      <c r="H339" s="510">
        <v>3.2948318167876498</v>
      </c>
      <c r="I339" s="510">
        <v>2.4616992735318202</v>
      </c>
      <c r="J339" s="510">
        <v>1282.4706062774842</v>
      </c>
      <c r="K339" s="511">
        <v>1024.1274774539336</v>
      </c>
      <c r="L339" s="512">
        <v>0.9859978092665872</v>
      </c>
      <c r="M339" s="513">
        <v>0.70292519554600119</v>
      </c>
      <c r="N339" s="513">
        <v>0.9859978092665872</v>
      </c>
      <c r="O339" s="513">
        <v>0.90431232669924666</v>
      </c>
      <c r="P339" s="510">
        <v>67.713999999999999</v>
      </c>
      <c r="Q339" s="510">
        <v>331.995</v>
      </c>
      <c r="R339" s="510">
        <v>2.0162743302714357</v>
      </c>
      <c r="S339" s="510">
        <v>2.5102245515745714</v>
      </c>
      <c r="T339" s="510">
        <v>0.15063354697699147</v>
      </c>
      <c r="U339" s="510">
        <v>0.21596710793837257</v>
      </c>
      <c r="V339" s="510">
        <v>533.52644947867498</v>
      </c>
      <c r="W339" s="510">
        <v>553.80593081221082</v>
      </c>
      <c r="X339" s="510">
        <v>425.99757804884712</v>
      </c>
      <c r="Y339" s="511">
        <v>510.88118796969763</v>
      </c>
      <c r="Z339" s="1026">
        <v>0.94620275732714931</v>
      </c>
      <c r="AA339" s="513">
        <v>0.88222944712957962</v>
      </c>
      <c r="AB339" s="513">
        <v>0.94620275732714931</v>
      </c>
      <c r="AC339" s="513">
        <v>0.88222944712957962</v>
      </c>
      <c r="AD339" s="510">
        <v>40.631999999999998</v>
      </c>
      <c r="AE339" s="510">
        <v>270.45600000000002</v>
      </c>
      <c r="AF339" s="510">
        <v>97.044205243470174</v>
      </c>
      <c r="AG339" s="510">
        <v>105.28957411771847</v>
      </c>
      <c r="AH339" s="510">
        <v>1.4766686355581808</v>
      </c>
      <c r="AI339" s="510">
        <v>1.493033987044103</v>
      </c>
      <c r="AJ339" s="510">
        <v>799.80163417995675</v>
      </c>
      <c r="AK339" s="510">
        <v>907.35350667021555</v>
      </c>
      <c r="AL339" s="576">
        <v>0</v>
      </c>
      <c r="AM339" s="577">
        <v>0</v>
      </c>
      <c r="AN339" s="513">
        <v>1.0008560065021226</v>
      </c>
      <c r="AO339" s="513">
        <v>0.92265274157149502</v>
      </c>
      <c r="AP339" s="513">
        <v>1.0008560065021226</v>
      </c>
      <c r="AQ339" s="513">
        <v>0.94759722297010029</v>
      </c>
      <c r="AR339" s="510">
        <v>47.454999999999998</v>
      </c>
      <c r="AS339" s="510">
        <v>322.185</v>
      </c>
      <c r="AT339" s="514">
        <v>97.919827440995107</v>
      </c>
      <c r="AU339" s="514">
        <v>108.36240212403202</v>
      </c>
      <c r="AV339" s="510">
        <v>1.8291012538194078</v>
      </c>
      <c r="AW339" s="510">
        <v>1.8216242221084158</v>
      </c>
      <c r="AX339" s="510">
        <v>0</v>
      </c>
      <c r="AY339" s="510">
        <v>0</v>
      </c>
      <c r="AZ339" s="510">
        <v>867.71762722579422</v>
      </c>
      <c r="BA339" s="510">
        <v>965.37455188789068</v>
      </c>
      <c r="BB339" s="576">
        <v>0</v>
      </c>
      <c r="BC339" s="576">
        <v>0</v>
      </c>
      <c r="BD339" s="510">
        <v>0</v>
      </c>
      <c r="BE339" s="510">
        <v>0</v>
      </c>
      <c r="BF339" s="512">
        <v>0.86561610877125761</v>
      </c>
      <c r="BG339" s="513">
        <v>0.90955367582989066</v>
      </c>
      <c r="BH339" s="513">
        <v>0.86594254888001909</v>
      </c>
      <c r="BI339" s="513">
        <v>0.90960300487925616</v>
      </c>
      <c r="BJ339" s="510">
        <v>45.902999999999999</v>
      </c>
      <c r="BK339" s="510">
        <v>335.28000000000003</v>
      </c>
      <c r="BL339" s="510">
        <v>2.7797747423915649</v>
      </c>
      <c r="BM339" s="510">
        <v>2.5754593175853016</v>
      </c>
      <c r="BN339" s="514">
        <v>0</v>
      </c>
      <c r="BO339" s="514">
        <v>0</v>
      </c>
      <c r="BP339" s="514">
        <v>992.0317025420286</v>
      </c>
      <c r="BQ339" s="514">
        <v>1069.5571380739314</v>
      </c>
      <c r="BR339" s="514">
        <v>0</v>
      </c>
      <c r="BS339" s="515">
        <v>0</v>
      </c>
      <c r="BT339" s="1021">
        <v>0.85224047350777132</v>
      </c>
      <c r="BU339" s="513">
        <v>0.86239790555921736</v>
      </c>
      <c r="BV339" s="513">
        <v>0.9410031142293499</v>
      </c>
      <c r="BW339" s="513">
        <v>0.8743206418293139</v>
      </c>
      <c r="BX339" s="510">
        <v>43.47</v>
      </c>
      <c r="BY339" s="510">
        <v>304.27700000000004</v>
      </c>
      <c r="BZ339" s="514">
        <v>81.300079165744137</v>
      </c>
      <c r="CA339" s="514">
        <v>86.497048459420427</v>
      </c>
      <c r="CB339" s="510">
        <v>2.0427881297446513</v>
      </c>
      <c r="CC339" s="510">
        <v>1.9209470318164039</v>
      </c>
      <c r="CD339" s="514">
        <v>0</v>
      </c>
      <c r="CE339" s="514">
        <v>0</v>
      </c>
      <c r="CF339" s="514">
        <v>912.70712579281223</v>
      </c>
      <c r="CG339" s="514">
        <v>937.75235310776714</v>
      </c>
      <c r="CH339" s="514">
        <v>0</v>
      </c>
      <c r="CI339" s="514">
        <v>0</v>
      </c>
      <c r="CJ339" s="582">
        <v>0</v>
      </c>
      <c r="CK339" s="582">
        <v>0</v>
      </c>
    </row>
    <row r="340" spans="1:89" ht="12.75" customHeight="1">
      <c r="A340" s="560">
        <v>45696</v>
      </c>
      <c r="B340" s="512">
        <v>0.81011064350460937</v>
      </c>
      <c r="C340" s="513">
        <v>0.82730557627073908</v>
      </c>
      <c r="D340" s="513">
        <v>0.81011064350460937</v>
      </c>
      <c r="E340" s="513">
        <v>0.87638495380051795</v>
      </c>
      <c r="F340" s="510">
        <v>50.664999999999999</v>
      </c>
      <c r="G340" s="510">
        <v>395.07100000000003</v>
      </c>
      <c r="H340" s="510">
        <v>2.5443007993684006</v>
      </c>
      <c r="I340" s="510">
        <v>2.4722923221395647</v>
      </c>
      <c r="J340" s="510">
        <v>985.25096220273497</v>
      </c>
      <c r="K340" s="511">
        <v>1019.1418453898184</v>
      </c>
      <c r="L340" s="512">
        <v>0.9069483190172295</v>
      </c>
      <c r="M340" s="513">
        <v>0.72907022375155173</v>
      </c>
      <c r="N340" s="513">
        <v>0.9069483190172295</v>
      </c>
      <c r="O340" s="513">
        <v>0.90473151023619747</v>
      </c>
      <c r="P340" s="510">
        <v>62.960999999999999</v>
      </c>
      <c r="Q340" s="510">
        <v>394.95600000000002</v>
      </c>
      <c r="R340" s="510">
        <v>2.0334016295802164</v>
      </c>
      <c r="S340" s="510">
        <v>2.4342129249840481</v>
      </c>
      <c r="T340" s="510">
        <v>0.1953590317815791</v>
      </c>
      <c r="U340" s="510">
        <v>0.21268191899857197</v>
      </c>
      <c r="V340" s="510">
        <v>451.82525690507282</v>
      </c>
      <c r="W340" s="510">
        <v>537.54891684137021</v>
      </c>
      <c r="X340" s="510">
        <v>492.63829989993951</v>
      </c>
      <c r="Y340" s="511">
        <v>507.97304003483902</v>
      </c>
      <c r="Z340" s="1026">
        <v>0.98725935181436841</v>
      </c>
      <c r="AA340" s="513">
        <v>0.89613632865132531</v>
      </c>
      <c r="AB340" s="513">
        <v>0.98725935181436841</v>
      </c>
      <c r="AC340" s="513">
        <v>0.89613632865132531</v>
      </c>
      <c r="AD340" s="510">
        <v>46.19</v>
      </c>
      <c r="AE340" s="510">
        <v>316.64600000000002</v>
      </c>
      <c r="AF340" s="510">
        <v>97.846118473170094</v>
      </c>
      <c r="AG340" s="510">
        <v>104.20377730922669</v>
      </c>
      <c r="AH340" s="510">
        <v>1.3466118207404201</v>
      </c>
      <c r="AI340" s="510">
        <v>1.471674993525893</v>
      </c>
      <c r="AJ340" s="510">
        <v>813.76315219745322</v>
      </c>
      <c r="AK340" s="510">
        <v>893.7012310277097</v>
      </c>
      <c r="AL340" s="576">
        <v>0</v>
      </c>
      <c r="AM340" s="577">
        <v>0</v>
      </c>
      <c r="AN340" s="513">
        <v>0.94053969338244858</v>
      </c>
      <c r="AO340" s="513">
        <v>0.92483019565280755</v>
      </c>
      <c r="AP340" s="513">
        <v>0.94053969338244858</v>
      </c>
      <c r="AQ340" s="513">
        <v>0.94671774717094825</v>
      </c>
      <c r="AR340" s="510">
        <v>45.523000000000003</v>
      </c>
      <c r="AS340" s="510">
        <v>367.70800000000003</v>
      </c>
      <c r="AT340" s="514">
        <v>111.71290223039949</v>
      </c>
      <c r="AU340" s="514">
        <v>108.77720086744299</v>
      </c>
      <c r="AV340" s="510">
        <v>1.8825648573248688</v>
      </c>
      <c r="AW340" s="510">
        <v>1.8291687969802124</v>
      </c>
      <c r="AX340" s="510">
        <v>0</v>
      </c>
      <c r="AY340" s="510">
        <v>0</v>
      </c>
      <c r="AZ340" s="510">
        <v>992.63493179271882</v>
      </c>
      <c r="BA340" s="510">
        <v>968.74944249241241</v>
      </c>
      <c r="BB340" s="576">
        <v>0</v>
      </c>
      <c r="BC340" s="576">
        <v>0</v>
      </c>
      <c r="BD340" s="510">
        <v>0</v>
      </c>
      <c r="BE340" s="510">
        <v>0</v>
      </c>
      <c r="BF340" s="512">
        <v>1.0360857215274037</v>
      </c>
      <c r="BG340" s="513">
        <v>0.92492799637063616</v>
      </c>
      <c r="BH340" s="513">
        <v>1.0360857215274037</v>
      </c>
      <c r="BI340" s="513">
        <v>0.92497206388927922</v>
      </c>
      <c r="BJ340" s="510">
        <v>52.823999999999998</v>
      </c>
      <c r="BK340" s="510">
        <v>388.10400000000004</v>
      </c>
      <c r="BL340" s="510">
        <v>2.222474632742693</v>
      </c>
      <c r="BM340" s="510">
        <v>2.5274153319728727</v>
      </c>
      <c r="BN340" s="514">
        <v>0</v>
      </c>
      <c r="BO340" s="514">
        <v>0</v>
      </c>
      <c r="BP340" s="514">
        <v>1002.90608441859</v>
      </c>
      <c r="BQ340" s="514">
        <v>1060.4854066352195</v>
      </c>
      <c r="BR340" s="514">
        <v>0</v>
      </c>
      <c r="BS340" s="515">
        <v>0</v>
      </c>
      <c r="BT340" s="1021">
        <v>0.8055315979519253</v>
      </c>
      <c r="BU340" s="513">
        <v>0.85531411856544159</v>
      </c>
      <c r="BV340" s="513">
        <v>0.81802926731366177</v>
      </c>
      <c r="BW340" s="513">
        <v>0.86731868997752948</v>
      </c>
      <c r="BX340" s="510">
        <v>40.442</v>
      </c>
      <c r="BY340" s="510">
        <v>344.71900000000005</v>
      </c>
      <c r="BZ340" s="514">
        <v>87.557028324261879</v>
      </c>
      <c r="CA340" s="514">
        <v>86.621403965481633</v>
      </c>
      <c r="CB340" s="510">
        <v>1.8223628900647841</v>
      </c>
      <c r="CC340" s="510">
        <v>1.9093812641600838</v>
      </c>
      <c r="CD340" s="514">
        <v>0</v>
      </c>
      <c r="CE340" s="514">
        <v>0</v>
      </c>
      <c r="CF340" s="514">
        <v>1027.6257108123336</v>
      </c>
      <c r="CG340" s="514">
        <v>948.29618252328544</v>
      </c>
      <c r="CH340" s="514">
        <v>0</v>
      </c>
      <c r="CI340" s="514">
        <v>0</v>
      </c>
      <c r="CJ340" s="582">
        <v>0</v>
      </c>
      <c r="CK340" s="582">
        <v>0</v>
      </c>
    </row>
    <row r="341" spans="1:89" ht="12.75" customHeight="1">
      <c r="A341" s="560">
        <v>45697</v>
      </c>
      <c r="B341" s="512">
        <v>0.31258500941685513</v>
      </c>
      <c r="C341" s="513">
        <v>0.769040627280415</v>
      </c>
      <c r="D341" s="513">
        <v>0.65235132400039331</v>
      </c>
      <c r="E341" s="513">
        <v>0.86275254415590685</v>
      </c>
      <c r="F341" s="510">
        <v>19.053999999999998</v>
      </c>
      <c r="G341" s="510">
        <v>414.125</v>
      </c>
      <c r="H341" s="510">
        <v>9.818410832371157</v>
      </c>
      <c r="I341" s="510">
        <v>2.8102891638997889</v>
      </c>
      <c r="J341" s="510">
        <v>1325.5883279101172</v>
      </c>
      <c r="K341" s="511">
        <v>1033.241528523997</v>
      </c>
      <c r="L341" s="512">
        <v>0.39481720371947954</v>
      </c>
      <c r="M341" s="513">
        <v>0.69034089438302981</v>
      </c>
      <c r="N341" s="513">
        <v>0.74028225697402406</v>
      </c>
      <c r="O341" s="513">
        <v>0.89160634378831272</v>
      </c>
      <c r="P341" s="510">
        <v>28.03</v>
      </c>
      <c r="Q341" s="510">
        <v>422.98599999999999</v>
      </c>
      <c r="R341" s="510">
        <v>3.8224759186585802</v>
      </c>
      <c r="S341" s="510">
        <v>2.5262089052592756</v>
      </c>
      <c r="T341" s="510">
        <v>0.21048876204067071</v>
      </c>
      <c r="U341" s="510">
        <v>0.21253658513520543</v>
      </c>
      <c r="V341" s="510">
        <v>857.7823760256889</v>
      </c>
      <c r="W341" s="510">
        <v>558.76981744076704</v>
      </c>
      <c r="X341" s="510">
        <v>520.87049589721403</v>
      </c>
      <c r="Y341" s="511">
        <v>508.82771533809347</v>
      </c>
      <c r="Z341" s="1026">
        <v>0.55048731855582667</v>
      </c>
      <c r="AA341" s="513">
        <v>0.85637642087508004</v>
      </c>
      <c r="AB341" s="513">
        <v>0.73602761255375149</v>
      </c>
      <c r="AC341" s="513">
        <v>0.88195040236897226</v>
      </c>
      <c r="AD341" s="510">
        <v>25.283000000000001</v>
      </c>
      <c r="AE341" s="510">
        <v>341.92900000000003</v>
      </c>
      <c r="AF341" s="510">
        <v>105.95586955621661</v>
      </c>
      <c r="AG341" s="510">
        <v>104.33333095422505</v>
      </c>
      <c r="AH341" s="510">
        <v>1.7917177550132497</v>
      </c>
      <c r="AI341" s="510">
        <v>1.4953396757806443</v>
      </c>
      <c r="AJ341" s="510">
        <v>918.06431198827806</v>
      </c>
      <c r="AK341" s="510">
        <v>895.50269207934912</v>
      </c>
      <c r="AL341" s="576">
        <v>0</v>
      </c>
      <c r="AM341" s="577">
        <v>0</v>
      </c>
      <c r="AN341" s="513">
        <v>0.59690996378780636</v>
      </c>
      <c r="AO341" s="513">
        <v>0.88924323379341819</v>
      </c>
      <c r="AP341" s="513">
        <v>0.77436968275174867</v>
      </c>
      <c r="AQ341" s="513">
        <v>0.9316133043233259</v>
      </c>
      <c r="AR341" s="510">
        <v>28.890999999999998</v>
      </c>
      <c r="AS341" s="510">
        <v>396.59900000000005</v>
      </c>
      <c r="AT341" s="514">
        <v>116.65857702060484</v>
      </c>
      <c r="AU341" s="514">
        <v>109.35133453505435</v>
      </c>
      <c r="AV341" s="510">
        <v>2.0213907445225159</v>
      </c>
      <c r="AW341" s="510">
        <v>1.8431715662419721</v>
      </c>
      <c r="AX341" s="510">
        <v>0</v>
      </c>
      <c r="AY341" s="510">
        <v>0</v>
      </c>
      <c r="AZ341" s="510">
        <v>1030.8199785400307</v>
      </c>
      <c r="BA341" s="510">
        <v>973.27108742079531</v>
      </c>
      <c r="BB341" s="576">
        <v>0</v>
      </c>
      <c r="BC341" s="576">
        <v>0</v>
      </c>
      <c r="BD341" s="510">
        <v>0</v>
      </c>
      <c r="BE341" s="510">
        <v>0</v>
      </c>
      <c r="BF341" s="512">
        <v>0.23583462511218078</v>
      </c>
      <c r="BG341" s="513">
        <v>0.85046920801029724</v>
      </c>
      <c r="BH341" s="513">
        <v>0.56039910917745928</v>
      </c>
      <c r="BI341" s="513">
        <v>0.90728652333393833</v>
      </c>
      <c r="BJ341" s="510">
        <v>11.988</v>
      </c>
      <c r="BK341" s="510">
        <v>400.09200000000004</v>
      </c>
      <c r="BL341" s="510">
        <v>3.1531531531531529</v>
      </c>
      <c r="BM341" s="510">
        <v>2.5461643821920954</v>
      </c>
      <c r="BN341" s="514">
        <v>0</v>
      </c>
      <c r="BO341" s="514">
        <v>0</v>
      </c>
      <c r="BP341" s="514">
        <v>1569.9990566988229</v>
      </c>
      <c r="BQ341" s="514">
        <v>1075.7520194066885</v>
      </c>
      <c r="BR341" s="514">
        <v>0</v>
      </c>
      <c r="BS341" s="515">
        <v>0</v>
      </c>
      <c r="BT341" s="1021">
        <v>0.13528988472443379</v>
      </c>
      <c r="BU341" s="513">
        <v>0.78002825133368126</v>
      </c>
      <c r="BV341" s="513">
        <v>0.25735460238201413</v>
      </c>
      <c r="BW341" s="513">
        <v>0.83157533893994018</v>
      </c>
      <c r="BX341" s="510">
        <v>6.367</v>
      </c>
      <c r="BY341" s="510">
        <v>351.08600000000007</v>
      </c>
      <c r="BZ341" s="514">
        <v>199.89552399998138</v>
      </c>
      <c r="CA341" s="514">
        <v>88.675648003294754</v>
      </c>
      <c r="CB341" s="510">
        <v>4.5076174022302498</v>
      </c>
      <c r="CC341" s="510">
        <v>1.9565006864414984</v>
      </c>
      <c r="CD341" s="514">
        <v>0</v>
      </c>
      <c r="CE341" s="514">
        <v>0</v>
      </c>
      <c r="CF341" s="514">
        <v>3275.481593889539</v>
      </c>
      <c r="CG341" s="514">
        <v>990.50005711289873</v>
      </c>
      <c r="CH341" s="514">
        <v>0</v>
      </c>
      <c r="CI341" s="514">
        <v>0</v>
      </c>
      <c r="CJ341" s="582">
        <v>0</v>
      </c>
      <c r="CK341" s="582">
        <v>0</v>
      </c>
    </row>
    <row r="342" spans="1:89" ht="12.75" customHeight="1">
      <c r="A342" s="560">
        <v>45698</v>
      </c>
      <c r="B342" s="512">
        <v>1.0532499723474242</v>
      </c>
      <c r="C342" s="513">
        <v>0.79727555166993536</v>
      </c>
      <c r="D342" s="513">
        <v>1.0532499723474242</v>
      </c>
      <c r="E342" s="513">
        <v>0.8837297886370562</v>
      </c>
      <c r="F342" s="510">
        <v>62.561</v>
      </c>
      <c r="G342" s="510">
        <v>476.68599999999998</v>
      </c>
      <c r="H342" s="510">
        <v>1.8664982976614823</v>
      </c>
      <c r="I342" s="510">
        <v>2.6864246065544197</v>
      </c>
      <c r="J342" s="510">
        <v>842.5840379788981</v>
      </c>
      <c r="K342" s="511">
        <v>1008.2193477467309</v>
      </c>
      <c r="L342" s="512">
        <v>0.82311561896568575</v>
      </c>
      <c r="M342" s="513">
        <v>0.70399552020545808</v>
      </c>
      <c r="N342" s="513">
        <v>0.82311561896568575</v>
      </c>
      <c r="O342" s="513">
        <v>0.88277400343061141</v>
      </c>
      <c r="P342" s="510">
        <v>57.811999999999998</v>
      </c>
      <c r="Q342" s="510">
        <v>480.798</v>
      </c>
      <c r="R342" s="510">
        <v>1.7613644226112224</v>
      </c>
      <c r="S342" s="510">
        <v>2.4342426549195295</v>
      </c>
      <c r="T342" s="510">
        <v>0.17643395834774786</v>
      </c>
      <c r="U342" s="510">
        <v>0.20819554157879194</v>
      </c>
      <c r="V342" s="510">
        <v>510.76679582092174</v>
      </c>
      <c r="W342" s="510">
        <v>552.99784940869029</v>
      </c>
      <c r="X342" s="510">
        <v>711.3575036324803</v>
      </c>
      <c r="Y342" s="511">
        <v>533.18025449357049</v>
      </c>
      <c r="Z342" s="1026">
        <v>0.91043268255627863</v>
      </c>
      <c r="AA342" s="513">
        <v>0.8619691981700206</v>
      </c>
      <c r="AB342" s="513">
        <v>0.91043268255627863</v>
      </c>
      <c r="AC342" s="513">
        <v>0.88497589407190802</v>
      </c>
      <c r="AD342" s="510">
        <v>41.95</v>
      </c>
      <c r="AE342" s="510">
        <v>383.87900000000002</v>
      </c>
      <c r="AF342" s="510">
        <v>103.00882263995959</v>
      </c>
      <c r="AG342" s="510">
        <v>104.18858971080347</v>
      </c>
      <c r="AH342" s="510">
        <v>1.4851013110846243</v>
      </c>
      <c r="AI342" s="510">
        <v>1.4942208352110948</v>
      </c>
      <c r="AJ342" s="510">
        <v>843.82789034564098</v>
      </c>
      <c r="AK342" s="510">
        <v>889.85570974187033</v>
      </c>
      <c r="AL342" s="576">
        <v>0</v>
      </c>
      <c r="AM342" s="577">
        <v>0</v>
      </c>
      <c r="AN342" s="513">
        <v>0.92938239969281</v>
      </c>
      <c r="AO342" s="513">
        <v>0.89362295779304401</v>
      </c>
      <c r="AP342" s="513">
        <v>0.92938239969281</v>
      </c>
      <c r="AQ342" s="513">
        <v>0.9313596031452942</v>
      </c>
      <c r="AR342" s="510">
        <v>50.767000000000003</v>
      </c>
      <c r="AS342" s="510">
        <v>447.36600000000004</v>
      </c>
      <c r="AT342" s="514">
        <v>104.62378291502009</v>
      </c>
      <c r="AU342" s="514">
        <v>108.81485296717865</v>
      </c>
      <c r="AV342" s="510">
        <v>1.6723462091516144</v>
      </c>
      <c r="AW342" s="510">
        <v>1.8237863404907837</v>
      </c>
      <c r="AX342" s="510">
        <v>0</v>
      </c>
      <c r="AY342" s="510">
        <v>0</v>
      </c>
      <c r="AZ342" s="510">
        <v>850.13059664742798</v>
      </c>
      <c r="BA342" s="510">
        <v>959.29713031388155</v>
      </c>
      <c r="BB342" s="576">
        <v>0</v>
      </c>
      <c r="BC342" s="576">
        <v>0</v>
      </c>
      <c r="BD342" s="510">
        <v>0</v>
      </c>
      <c r="BE342" s="510">
        <v>0</v>
      </c>
      <c r="BF342" s="512">
        <v>0.90838036491115681</v>
      </c>
      <c r="BG342" s="513">
        <v>0.85611649028311065</v>
      </c>
      <c r="BH342" s="513">
        <v>0.90838036491115681</v>
      </c>
      <c r="BI342" s="513">
        <v>0.90739958031741197</v>
      </c>
      <c r="BJ342" s="510">
        <v>46.174999999999997</v>
      </c>
      <c r="BK342" s="510">
        <v>446.26700000000005</v>
      </c>
      <c r="BL342" s="510">
        <v>2.4428803465078506</v>
      </c>
      <c r="BM342" s="510">
        <v>2.535477640067493</v>
      </c>
      <c r="BN342" s="514">
        <v>0</v>
      </c>
      <c r="BO342" s="514">
        <v>0</v>
      </c>
      <c r="BP342" s="514">
        <v>1088.5931022134719</v>
      </c>
      <c r="BQ342" s="514">
        <v>1077.0806791520945</v>
      </c>
      <c r="BR342" s="514">
        <v>0</v>
      </c>
      <c r="BS342" s="515">
        <v>0</v>
      </c>
      <c r="BT342" s="1021">
        <v>0.96597112082256531</v>
      </c>
      <c r="BU342" s="513">
        <v>0.79853393370172332</v>
      </c>
      <c r="BV342" s="513">
        <v>0.96597112082256531</v>
      </c>
      <c r="BW342" s="513">
        <v>0.84574160959170197</v>
      </c>
      <c r="BX342" s="510">
        <v>48.052999999999997</v>
      </c>
      <c r="BY342" s="510">
        <v>399.13900000000007</v>
      </c>
      <c r="BZ342" s="514">
        <v>77.463307244227636</v>
      </c>
      <c r="CA342" s="514">
        <v>87.325775877304935</v>
      </c>
      <c r="CB342" s="510">
        <v>1.7667991592616488</v>
      </c>
      <c r="CC342" s="510">
        <v>1.9336622079025101</v>
      </c>
      <c r="CD342" s="514">
        <v>0</v>
      </c>
      <c r="CE342" s="514">
        <v>0</v>
      </c>
      <c r="CF342" s="514">
        <v>868.31318555122061</v>
      </c>
      <c r="CG342" s="514">
        <v>975.7897788911431</v>
      </c>
      <c r="CH342" s="514">
        <v>0</v>
      </c>
      <c r="CI342" s="514">
        <v>0</v>
      </c>
      <c r="CJ342" s="582">
        <v>0</v>
      </c>
      <c r="CK342" s="582">
        <v>0</v>
      </c>
    </row>
    <row r="343" spans="1:89" ht="12.75" customHeight="1">
      <c r="A343" s="560">
        <v>45699</v>
      </c>
      <c r="B343" s="512">
        <v>0.84544892426966411</v>
      </c>
      <c r="C343" s="513">
        <v>0.8016061532958737</v>
      </c>
      <c r="D343" s="513">
        <v>0.85883016707234106</v>
      </c>
      <c r="E343" s="513">
        <v>0.88130719658457068</v>
      </c>
      <c r="F343" s="510">
        <v>49.93</v>
      </c>
      <c r="G343" s="510">
        <v>526.61599999999999</v>
      </c>
      <c r="H343" s="510">
        <v>2.3763468856398959</v>
      </c>
      <c r="I343" s="510">
        <v>2.6570252328072073</v>
      </c>
      <c r="J343" s="510">
        <v>1106.2050871219981</v>
      </c>
      <c r="K343" s="511">
        <v>1017.5096616889718</v>
      </c>
      <c r="L343" s="512">
        <v>0.68938402105978069</v>
      </c>
      <c r="M343" s="513">
        <v>0.70266512233480571</v>
      </c>
      <c r="N343" s="513">
        <v>0.68938402105978069</v>
      </c>
      <c r="O343" s="513">
        <v>0.86119294192793772</v>
      </c>
      <c r="P343" s="510">
        <v>47.162999999999997</v>
      </c>
      <c r="Q343" s="510">
        <v>527.96100000000001</v>
      </c>
      <c r="R343" s="510">
        <v>2.5010283484935227</v>
      </c>
      <c r="S343" s="510">
        <v>2.4402086517754147</v>
      </c>
      <c r="T343" s="510">
        <v>0.17810571846574647</v>
      </c>
      <c r="U343" s="510">
        <v>0.20550760378133992</v>
      </c>
      <c r="V343" s="510">
        <v>667.18253715837614</v>
      </c>
      <c r="W343" s="510">
        <v>563.19802030831795</v>
      </c>
      <c r="X343" s="510">
        <v>534.67760744651684</v>
      </c>
      <c r="Y343" s="511">
        <v>533.3140137244983</v>
      </c>
      <c r="Z343" s="1026">
        <v>0.80041146521305029</v>
      </c>
      <c r="AA343" s="513">
        <v>0.85590577716771798</v>
      </c>
      <c r="AB343" s="513">
        <v>0.80041146521305029</v>
      </c>
      <c r="AC343" s="513">
        <v>0.87644642025823782</v>
      </c>
      <c r="AD343" s="510">
        <v>38.948</v>
      </c>
      <c r="AE343" s="510">
        <v>422.827</v>
      </c>
      <c r="AF343" s="510">
        <v>105.28551911980537</v>
      </c>
      <c r="AG343" s="510">
        <v>104.28963152370048</v>
      </c>
      <c r="AH343" s="510">
        <v>1.4583547293827668</v>
      </c>
      <c r="AI343" s="510">
        <v>1.4909170890222239</v>
      </c>
      <c r="AJ343" s="510">
        <v>921.9846975454592</v>
      </c>
      <c r="AK343" s="510">
        <v>892.81521757125256</v>
      </c>
      <c r="AL343" s="576">
        <v>0</v>
      </c>
      <c r="AM343" s="577">
        <v>0</v>
      </c>
      <c r="AN343" s="513">
        <v>0.96487304908055682</v>
      </c>
      <c r="AO343" s="513">
        <v>0.90066642835790012</v>
      </c>
      <c r="AP343" s="513">
        <v>0.96487304908055682</v>
      </c>
      <c r="AQ343" s="513">
        <v>0.93479814433298336</v>
      </c>
      <c r="AR343" s="510">
        <v>52.988999999999997</v>
      </c>
      <c r="AS343" s="510">
        <v>500.35500000000002</v>
      </c>
      <c r="AT343" s="514">
        <v>90.590499311564031</v>
      </c>
      <c r="AU343" s="514">
        <v>106.88484272273749</v>
      </c>
      <c r="AV343" s="510">
        <v>1.6550604842514485</v>
      </c>
      <c r="AW343" s="510">
        <v>1.8059177983631622</v>
      </c>
      <c r="AX343" s="510">
        <v>0</v>
      </c>
      <c r="AY343" s="510">
        <v>0</v>
      </c>
      <c r="AZ343" s="510">
        <v>815.81950970956279</v>
      </c>
      <c r="BA343" s="510">
        <v>944.10244726244366</v>
      </c>
      <c r="BB343" s="576">
        <v>0</v>
      </c>
      <c r="BC343" s="576">
        <v>0</v>
      </c>
      <c r="BD343" s="510">
        <v>0</v>
      </c>
      <c r="BE343" s="510">
        <v>0</v>
      </c>
      <c r="BF343" s="512">
        <v>0.95577155709461059</v>
      </c>
      <c r="BG343" s="513">
        <v>0.86497102320615515</v>
      </c>
      <c r="BH343" s="513">
        <v>0.95577155709461059</v>
      </c>
      <c r="BI343" s="513">
        <v>0.91193085573458599</v>
      </c>
      <c r="BJ343" s="510">
        <v>48.584000000000003</v>
      </c>
      <c r="BK343" s="510">
        <v>494.85100000000006</v>
      </c>
      <c r="BL343" s="510">
        <v>2.3052856907623909</v>
      </c>
      <c r="BM343" s="510">
        <v>2.5128776136655273</v>
      </c>
      <c r="BN343" s="514">
        <v>0</v>
      </c>
      <c r="BO343" s="514">
        <v>0</v>
      </c>
      <c r="BP343" s="514">
        <v>1043.3256367648307</v>
      </c>
      <c r="BQ343" s="514">
        <v>1073.7666412308965</v>
      </c>
      <c r="BR343" s="514">
        <v>0</v>
      </c>
      <c r="BS343" s="515">
        <v>0</v>
      </c>
      <c r="BT343" s="1021">
        <v>0.89278548905853072</v>
      </c>
      <c r="BU343" s="513">
        <v>0.80768339307409309</v>
      </c>
      <c r="BV343" s="513">
        <v>0.89278548905853072</v>
      </c>
      <c r="BW343" s="513">
        <v>0.85055076845732169</v>
      </c>
      <c r="BX343" s="510">
        <v>47.976999999999997</v>
      </c>
      <c r="BY343" s="510">
        <v>447.11600000000004</v>
      </c>
      <c r="BZ343" s="514">
        <v>70.784743383316041</v>
      </c>
      <c r="CA343" s="514">
        <v>85.550869329643703</v>
      </c>
      <c r="CB343" s="510">
        <v>1.9238385059507681</v>
      </c>
      <c r="CC343" s="510">
        <v>1.9326080927544529</v>
      </c>
      <c r="CD343" s="514">
        <v>0.14381891322925569</v>
      </c>
      <c r="CE343" s="514">
        <v>1.5432236824448241E-2</v>
      </c>
      <c r="CF343" s="514">
        <v>868.86106391432941</v>
      </c>
      <c r="CG343" s="514">
        <v>964.3159802383492</v>
      </c>
      <c r="CH343" s="514">
        <v>408.94595326927612</v>
      </c>
      <c r="CI343" s="514">
        <v>43.881229926909484</v>
      </c>
      <c r="CJ343" s="582">
        <v>0</v>
      </c>
      <c r="CK343" s="582">
        <v>0</v>
      </c>
    </row>
    <row r="344" spans="1:89" ht="12.75" customHeight="1">
      <c r="A344" s="560">
        <v>45700</v>
      </c>
      <c r="B344" s="512">
        <v>0.7430651803982431</v>
      </c>
      <c r="C344" s="513">
        <v>0.79600305509766145</v>
      </c>
      <c r="D344" s="513">
        <v>0.7430651803982431</v>
      </c>
      <c r="E344" s="513">
        <v>0.86689728665267252</v>
      </c>
      <c r="F344" s="510">
        <v>51.667999999999999</v>
      </c>
      <c r="G344" s="510">
        <v>578.28399999999999</v>
      </c>
      <c r="H344" s="510">
        <v>2.4964000929008288</v>
      </c>
      <c r="I344" s="510">
        <v>2.6426738419185041</v>
      </c>
      <c r="J344" s="510">
        <v>1062.8529844391226</v>
      </c>
      <c r="K344" s="511">
        <v>1021.5609562083685</v>
      </c>
      <c r="L344" s="512">
        <v>0.97443115111272027</v>
      </c>
      <c r="M344" s="513">
        <v>0.7253447912369102</v>
      </c>
      <c r="N344" s="513">
        <v>0.97443115111272027</v>
      </c>
      <c r="O344" s="513">
        <v>0.87256098812074234</v>
      </c>
      <c r="P344" s="510">
        <v>66.664000000000001</v>
      </c>
      <c r="Q344" s="510">
        <v>594.625</v>
      </c>
      <c r="R344" s="510">
        <v>2.4976749069962798</v>
      </c>
      <c r="S344" s="510">
        <v>2.4466512507883116</v>
      </c>
      <c r="T344" s="510">
        <v>0.16800672026881075</v>
      </c>
      <c r="U344" s="510">
        <v>0.20130334244271603</v>
      </c>
      <c r="V344" s="510">
        <v>564.48907956317862</v>
      </c>
      <c r="W344" s="510">
        <v>563.34276224511189</v>
      </c>
      <c r="X344" s="510">
        <v>424.31447257889982</v>
      </c>
      <c r="Y344" s="511">
        <v>521.09396678578867</v>
      </c>
      <c r="Z344" s="1026">
        <v>0.88771890408352006</v>
      </c>
      <c r="AA344" s="513">
        <v>0.85874302071221775</v>
      </c>
      <c r="AB344" s="513">
        <v>0.88771890408352006</v>
      </c>
      <c r="AC344" s="513">
        <v>0.87747368115797508</v>
      </c>
      <c r="AD344" s="510">
        <v>42.941000000000003</v>
      </c>
      <c r="AE344" s="510">
        <v>465.76800000000003</v>
      </c>
      <c r="AF344" s="510">
        <v>112.89385105317312</v>
      </c>
      <c r="AG344" s="510">
        <v>105.08288866205065</v>
      </c>
      <c r="AH344" s="510">
        <v>1.3716494725320787</v>
      </c>
      <c r="AI344" s="510">
        <v>1.4799213342264814</v>
      </c>
      <c r="AJ344" s="510">
        <v>843.83316643766602</v>
      </c>
      <c r="AK344" s="510">
        <v>888.29936792566207</v>
      </c>
      <c r="AL344" s="576">
        <v>0</v>
      </c>
      <c r="AM344" s="577">
        <v>0</v>
      </c>
      <c r="AN344" s="513">
        <v>0.93795361746775685</v>
      </c>
      <c r="AO344" s="513">
        <v>0.90395658878251561</v>
      </c>
      <c r="AP344" s="513">
        <v>0.93795361746775685</v>
      </c>
      <c r="AQ344" s="513">
        <v>0.93508616653966958</v>
      </c>
      <c r="AR344" s="510">
        <v>50.427999999999997</v>
      </c>
      <c r="AS344" s="510">
        <v>550.78300000000002</v>
      </c>
      <c r="AT344" s="514">
        <v>102.23422582230702</v>
      </c>
      <c r="AU344" s="514">
        <v>106.45904652159309</v>
      </c>
      <c r="AV344" s="510">
        <v>1.7529943682081386</v>
      </c>
      <c r="AW344" s="510">
        <v>1.8010722916284634</v>
      </c>
      <c r="AX344" s="510">
        <v>0</v>
      </c>
      <c r="AY344" s="510">
        <v>0</v>
      </c>
      <c r="AZ344" s="510">
        <v>916.45593717775751</v>
      </c>
      <c r="BA344" s="510">
        <v>941.57121770279764</v>
      </c>
      <c r="BB344" s="576">
        <v>0</v>
      </c>
      <c r="BC344" s="576">
        <v>0</v>
      </c>
      <c r="BD344" s="510">
        <v>0</v>
      </c>
      <c r="BE344" s="510">
        <v>0</v>
      </c>
      <c r="BF344" s="512">
        <v>0.77162970368314732</v>
      </c>
      <c r="BG344" s="513">
        <v>0.85714940059752442</v>
      </c>
      <c r="BH344" s="513">
        <v>0.77162970368314732</v>
      </c>
      <c r="BI344" s="513">
        <v>0.89959204677622473</v>
      </c>
      <c r="BJ344" s="510">
        <v>40.375</v>
      </c>
      <c r="BK344" s="510">
        <v>535.22600000000011</v>
      </c>
      <c r="BL344" s="510">
        <v>2.9325077399380808</v>
      </c>
      <c r="BM344" s="510">
        <v>2.5445325899713387</v>
      </c>
      <c r="BN344" s="514">
        <v>0</v>
      </c>
      <c r="BO344" s="514">
        <v>0</v>
      </c>
      <c r="BP344" s="514">
        <v>1276.1043786948842</v>
      </c>
      <c r="BQ344" s="514">
        <v>1089.0300741547615</v>
      </c>
      <c r="BR344" s="514">
        <v>0</v>
      </c>
      <c r="BS344" s="515">
        <v>0</v>
      </c>
      <c r="BT344" s="1021">
        <v>0.85991986138184962</v>
      </c>
      <c r="BU344" s="513">
        <v>0.81243576319752309</v>
      </c>
      <c r="BV344" s="513">
        <v>0.85991986138184962</v>
      </c>
      <c r="BW344" s="513">
        <v>0.85144407618763851</v>
      </c>
      <c r="BX344" s="510">
        <v>47.643000000000001</v>
      </c>
      <c r="BY344" s="510">
        <v>494.75900000000001</v>
      </c>
      <c r="BZ344" s="514">
        <v>78.096627041924208</v>
      </c>
      <c r="CA344" s="514">
        <v>84.833060325029706</v>
      </c>
      <c r="CB344" s="510">
        <v>2.0065906848855026</v>
      </c>
      <c r="CC344" s="510">
        <v>1.9397322736928484</v>
      </c>
      <c r="CD344" s="514">
        <v>0.19310286925676384</v>
      </c>
      <c r="CE344" s="514">
        <v>3.2541095765817298E-2</v>
      </c>
      <c r="CF344" s="514">
        <v>865.83812333801404</v>
      </c>
      <c r="CG344" s="514">
        <v>954.83301876356529</v>
      </c>
      <c r="CH344" s="514">
        <v>462.9116554373112</v>
      </c>
      <c r="CI344" s="514">
        <v>84.231918974692491</v>
      </c>
      <c r="CJ344" s="582">
        <v>0</v>
      </c>
      <c r="CK344" s="582">
        <v>0</v>
      </c>
    </row>
    <row r="345" spans="1:89" ht="12.75" customHeight="1">
      <c r="A345" s="560">
        <v>45701</v>
      </c>
      <c r="B345" s="512">
        <v>0.92950268011723158</v>
      </c>
      <c r="C345" s="513">
        <v>0.80882563830028731</v>
      </c>
      <c r="D345" s="513">
        <v>0.92950268011723158</v>
      </c>
      <c r="E345" s="513">
        <v>0.87339051673782919</v>
      </c>
      <c r="F345" s="510">
        <v>71.751000000000005</v>
      </c>
      <c r="G345" s="510">
        <v>650.03499999999997</v>
      </c>
      <c r="H345" s="510">
        <v>2.0551490571559978</v>
      </c>
      <c r="I345" s="510">
        <v>2.5778227326220899</v>
      </c>
      <c r="J345" s="510">
        <v>811.60335047593685</v>
      </c>
      <c r="K345" s="511">
        <v>998.38579153430055</v>
      </c>
      <c r="L345" s="512">
        <v>0.93625843032995482</v>
      </c>
      <c r="M345" s="513">
        <v>0.73995200781582537</v>
      </c>
      <c r="N345" s="513">
        <v>0.93625843032995482</v>
      </c>
      <c r="O345" s="513">
        <v>0.87779426827690987</v>
      </c>
      <c r="P345" s="510">
        <v>57.112000000000002</v>
      </c>
      <c r="Q345" s="510">
        <v>651.73699999999997</v>
      </c>
      <c r="R345" s="510">
        <v>2.1815555399915953</v>
      </c>
      <c r="S345" s="510">
        <v>2.4234207970392965</v>
      </c>
      <c r="T345" s="510">
        <v>0.16371340523882896</v>
      </c>
      <c r="U345" s="510">
        <v>0.19800931971025124</v>
      </c>
      <c r="V345" s="510">
        <v>583.72636223560869</v>
      </c>
      <c r="W345" s="510">
        <v>565.12898607874001</v>
      </c>
      <c r="X345" s="510">
        <v>447.36657795209692</v>
      </c>
      <c r="Y345" s="511">
        <v>514.63320327064412</v>
      </c>
      <c r="Z345" s="1026">
        <v>0.90727174060507387</v>
      </c>
      <c r="AA345" s="513">
        <v>0.86271525412740324</v>
      </c>
      <c r="AB345" s="513">
        <v>0.90727174060507387</v>
      </c>
      <c r="AC345" s="513">
        <v>0.87996150774798942</v>
      </c>
      <c r="AD345" s="510">
        <v>43.87</v>
      </c>
      <c r="AE345" s="510">
        <v>509.63800000000003</v>
      </c>
      <c r="AF345" s="510">
        <v>109.43910257426353</v>
      </c>
      <c r="AG345" s="510">
        <v>105.45787464097839</v>
      </c>
      <c r="AH345" s="510">
        <v>1.3289263733758834</v>
      </c>
      <c r="AI345" s="510">
        <v>1.4669235810516479</v>
      </c>
      <c r="AJ345" s="510">
        <v>816.72623660816453</v>
      </c>
      <c r="AK345" s="510">
        <v>882.13830208893364</v>
      </c>
      <c r="AL345" s="576">
        <v>0</v>
      </c>
      <c r="AM345" s="577">
        <v>0</v>
      </c>
      <c r="AN345" s="513">
        <v>0.93009987023908736</v>
      </c>
      <c r="AO345" s="513">
        <v>0.90595592996511509</v>
      </c>
      <c r="AP345" s="513">
        <v>0.93009987023908736</v>
      </c>
      <c r="AQ345" s="513">
        <v>0.934692737247663</v>
      </c>
      <c r="AR345" s="510">
        <v>46.929000000000002</v>
      </c>
      <c r="AS345" s="510">
        <v>597.71199999999999</v>
      </c>
      <c r="AT345" s="514">
        <v>105.35988854409904</v>
      </c>
      <c r="AU345" s="514">
        <v>106.37274679074309</v>
      </c>
      <c r="AV345" s="510">
        <v>1.800592384240022</v>
      </c>
      <c r="AW345" s="510">
        <v>1.801034611987044</v>
      </c>
      <c r="AX345" s="510">
        <v>0</v>
      </c>
      <c r="AY345" s="510">
        <v>0</v>
      </c>
      <c r="AZ345" s="510">
        <v>939.49966971382423</v>
      </c>
      <c r="BA345" s="510">
        <v>941.40857135208944</v>
      </c>
      <c r="BB345" s="576">
        <v>0</v>
      </c>
      <c r="BC345" s="576">
        <v>0</v>
      </c>
      <c r="BD345" s="510">
        <v>0</v>
      </c>
      <c r="BE345" s="510">
        <v>0</v>
      </c>
      <c r="BF345" s="512">
        <v>0.68388715460961602</v>
      </c>
      <c r="BG345" s="513">
        <v>0.84341717335775535</v>
      </c>
      <c r="BH345" s="513">
        <v>0.68388715460961602</v>
      </c>
      <c r="BI345" s="513">
        <v>0.88171955646039013</v>
      </c>
      <c r="BJ345" s="510">
        <v>36.759</v>
      </c>
      <c r="BK345" s="510">
        <v>571.98500000000013</v>
      </c>
      <c r="BL345" s="510">
        <v>3.3325172066704751</v>
      </c>
      <c r="BM345" s="510">
        <v>2.5951729503396064</v>
      </c>
      <c r="BN345" s="514">
        <v>0</v>
      </c>
      <c r="BO345" s="514">
        <v>0</v>
      </c>
      <c r="BP345" s="514">
        <v>1268.7875908656636</v>
      </c>
      <c r="BQ345" s="514">
        <v>1100.5823116378701</v>
      </c>
      <c r="BR345" s="514">
        <v>0</v>
      </c>
      <c r="BS345" s="515">
        <v>0</v>
      </c>
      <c r="BT345" s="1021">
        <v>0.94919139412316789</v>
      </c>
      <c r="BU345" s="513">
        <v>0.8238399853665116</v>
      </c>
      <c r="BV345" s="513">
        <v>0.94919139412316789</v>
      </c>
      <c r="BW345" s="513">
        <v>0.8599526540210648</v>
      </c>
      <c r="BX345" s="510">
        <v>52.588999999999999</v>
      </c>
      <c r="BY345" s="510">
        <v>547.34799999999996</v>
      </c>
      <c r="BZ345" s="514">
        <v>70.746208533743456</v>
      </c>
      <c r="CA345" s="514">
        <v>83.479600645169825</v>
      </c>
      <c r="CB345" s="510">
        <v>1.8939321911426343</v>
      </c>
      <c r="CC345" s="510">
        <v>1.9353318181486003</v>
      </c>
      <c r="CD345" s="514">
        <v>0.17779383521268707</v>
      </c>
      <c r="CE345" s="514">
        <v>4.6496927000738111E-2</v>
      </c>
      <c r="CF345" s="514">
        <v>744.67164135788903</v>
      </c>
      <c r="CG345" s="514">
        <v>934.64078881774094</v>
      </c>
      <c r="CH345" s="514">
        <v>461.123048546277</v>
      </c>
      <c r="CI345" s="514">
        <v>120.44348385305152</v>
      </c>
      <c r="CJ345" s="582">
        <v>0</v>
      </c>
      <c r="CK345" s="582">
        <v>0</v>
      </c>
    </row>
    <row r="346" spans="1:89" ht="12.75" customHeight="1">
      <c r="A346" s="560">
        <v>45702</v>
      </c>
      <c r="B346" s="512">
        <v>0.80719463326312879</v>
      </c>
      <c r="C346" s="513">
        <v>0.80868445394722177</v>
      </c>
      <c r="D346" s="513">
        <v>0.80719463326312879</v>
      </c>
      <c r="E346" s="513">
        <v>0.86724546994518936</v>
      </c>
      <c r="F346" s="510">
        <v>61.476999999999997</v>
      </c>
      <c r="G346" s="510">
        <v>711.51199999999994</v>
      </c>
      <c r="H346" s="510">
        <v>2.2990874636042751</v>
      </c>
      <c r="I346" s="510">
        <v>2.5537390795938792</v>
      </c>
      <c r="J346" s="510">
        <v>1026.955772077348</v>
      </c>
      <c r="K346" s="511">
        <v>1000.8543327449124</v>
      </c>
      <c r="L346" s="512">
        <v>0.96665124295035587</v>
      </c>
      <c r="M346" s="513">
        <v>0.75764492339137079</v>
      </c>
      <c r="N346" s="513">
        <v>0.96665124295035587</v>
      </c>
      <c r="O346" s="513">
        <v>0.88590315820737198</v>
      </c>
      <c r="P346" s="510">
        <v>72.073999999999998</v>
      </c>
      <c r="Q346" s="510">
        <v>723.81099999999992</v>
      </c>
      <c r="R346" s="510">
        <v>1.8613508338651941</v>
      </c>
      <c r="S346" s="510">
        <v>2.3674522769065405</v>
      </c>
      <c r="T346" s="510">
        <v>0.14290867719288511</v>
      </c>
      <c r="U346" s="510">
        <v>0.19252263367094455</v>
      </c>
      <c r="V346" s="510">
        <v>484.02364236756648</v>
      </c>
      <c r="W346" s="510">
        <v>557.05286324744975</v>
      </c>
      <c r="X346" s="510">
        <v>403.4742070649545</v>
      </c>
      <c r="Y346" s="511">
        <v>503.56446641457421</v>
      </c>
      <c r="Z346" s="1026">
        <v>0.86493790762083445</v>
      </c>
      <c r="AA346" s="513">
        <v>0.86288342056859491</v>
      </c>
      <c r="AB346" s="513">
        <v>0.86493790762083445</v>
      </c>
      <c r="AC346" s="513">
        <v>0.87880384672449718</v>
      </c>
      <c r="AD346" s="510">
        <v>41.823</v>
      </c>
      <c r="AE346" s="510">
        <v>551.46100000000001</v>
      </c>
      <c r="AF346" s="510">
        <v>116.18600918831693</v>
      </c>
      <c r="AG346" s="510">
        <v>106.27150021227598</v>
      </c>
      <c r="AH346" s="510">
        <v>1.3820146809171985</v>
      </c>
      <c r="AI346" s="510">
        <v>1.4604840596161828</v>
      </c>
      <c r="AJ346" s="510">
        <v>840.22332209548483</v>
      </c>
      <c r="AK346" s="510">
        <v>878.95945497505625</v>
      </c>
      <c r="AL346" s="576">
        <v>0</v>
      </c>
      <c r="AM346" s="577">
        <v>0</v>
      </c>
      <c r="AN346" s="513">
        <v>0.89544381574192955</v>
      </c>
      <c r="AO346" s="513">
        <v>0.90517780594289243</v>
      </c>
      <c r="AP346" s="513">
        <v>0.89544381574192955</v>
      </c>
      <c r="AQ346" s="513">
        <v>0.93170233393006585</v>
      </c>
      <c r="AR346" s="510">
        <v>47.225999999999999</v>
      </c>
      <c r="AS346" s="510">
        <v>644.93799999999999</v>
      </c>
      <c r="AT346" s="514">
        <v>106.42419819279714</v>
      </c>
      <c r="AU346" s="514">
        <v>106.37651435276209</v>
      </c>
      <c r="AV346" s="510">
        <v>1.8316181764282387</v>
      </c>
      <c r="AW346" s="510">
        <v>1.8032741131705683</v>
      </c>
      <c r="AX346" s="510">
        <v>0</v>
      </c>
      <c r="AY346" s="510">
        <v>0</v>
      </c>
      <c r="AZ346" s="510">
        <v>915.39956803455607</v>
      </c>
      <c r="BA346" s="510">
        <v>939.50404535009568</v>
      </c>
      <c r="BB346" s="576">
        <v>0</v>
      </c>
      <c r="BC346" s="576">
        <v>0</v>
      </c>
      <c r="BD346" s="510">
        <v>0</v>
      </c>
      <c r="BE346" s="510">
        <v>0</v>
      </c>
      <c r="BF346" s="512">
        <v>1.2688889947537003</v>
      </c>
      <c r="BG346" s="513">
        <v>0.87325747492772476</v>
      </c>
      <c r="BH346" s="513">
        <v>1.2688889947537003</v>
      </c>
      <c r="BI346" s="513">
        <v>0.91001656056057667</v>
      </c>
      <c r="BJ346" s="510">
        <v>64.905000000000001</v>
      </c>
      <c r="BK346" s="510">
        <v>636.8900000000001</v>
      </c>
      <c r="BL346" s="510">
        <v>1.7425467991680146</v>
      </c>
      <c r="BM346" s="510">
        <v>2.5082824349573705</v>
      </c>
      <c r="BN346" s="514">
        <v>0</v>
      </c>
      <c r="BO346" s="514">
        <v>0</v>
      </c>
      <c r="BP346" s="514">
        <v>829.15621546029126</v>
      </c>
      <c r="BQ346" s="514">
        <v>1072.9214741739347</v>
      </c>
      <c r="BR346" s="514">
        <v>0</v>
      </c>
      <c r="BS346" s="515">
        <v>0</v>
      </c>
      <c r="BT346" s="1021">
        <v>0.9481986860154501</v>
      </c>
      <c r="BU346" s="513">
        <v>0.83341217527642864</v>
      </c>
      <c r="BV346" s="513">
        <v>0.9481986860154501</v>
      </c>
      <c r="BW346" s="513">
        <v>0.86701906879533686</v>
      </c>
      <c r="BX346" s="510">
        <v>52.533999999999999</v>
      </c>
      <c r="BY346" s="510">
        <v>599.88199999999995</v>
      </c>
      <c r="BZ346" s="514">
        <v>68.598685686678763</v>
      </c>
      <c r="CA346" s="514">
        <v>82.176421042465662</v>
      </c>
      <c r="CB346" s="510">
        <v>1.850230327026307</v>
      </c>
      <c r="CC346" s="510">
        <v>1.9278791495660814</v>
      </c>
      <c r="CD346" s="514">
        <v>0.15989644801461908</v>
      </c>
      <c r="CE346" s="514">
        <v>5.6427764126944974E-2</v>
      </c>
      <c r="CF346" s="514">
        <v>772.27406699565711</v>
      </c>
      <c r="CG346" s="514">
        <v>920.42170345728448</v>
      </c>
      <c r="CH346" s="514">
        <v>433.43358586819232</v>
      </c>
      <c r="CI346" s="514">
        <v>147.85324447141213</v>
      </c>
      <c r="CJ346" s="582">
        <v>0</v>
      </c>
      <c r="CK346" s="582">
        <v>0</v>
      </c>
    </row>
    <row r="347" spans="1:89" ht="12.75" customHeight="1">
      <c r="A347" s="560">
        <v>45703</v>
      </c>
      <c r="B347" s="512">
        <v>0.91616352828050762</v>
      </c>
      <c r="C347" s="513">
        <v>0.81753991831296513</v>
      </c>
      <c r="D347" s="513">
        <v>0.89857757072411626</v>
      </c>
      <c r="E347" s="513">
        <v>0.87004656528890734</v>
      </c>
      <c r="F347" s="510">
        <v>72.378</v>
      </c>
      <c r="G347" s="510">
        <v>783.89</v>
      </c>
      <c r="H347" s="510">
        <v>2.014065047390091</v>
      </c>
      <c r="I347" s="510">
        <v>2.5039099873706769</v>
      </c>
      <c r="J347" s="510">
        <v>882.07300560946112</v>
      </c>
      <c r="K347" s="511">
        <v>989.88703517075055</v>
      </c>
      <c r="L347" s="512">
        <v>0.97992338850210225</v>
      </c>
      <c r="M347" s="513">
        <v>0.77401344878975264</v>
      </c>
      <c r="N347" s="513">
        <v>0.97992338850210225</v>
      </c>
      <c r="O347" s="513">
        <v>0.8938991714735427</v>
      </c>
      <c r="P347" s="510">
        <v>74.418999999999997</v>
      </c>
      <c r="Q347" s="510">
        <v>798.2299999999999</v>
      </c>
      <c r="R347" s="510">
        <v>1.8042435399561938</v>
      </c>
      <c r="S347" s="510">
        <v>2.3149443142953783</v>
      </c>
      <c r="T347" s="510">
        <v>0.15049920047299747</v>
      </c>
      <c r="U347" s="510">
        <v>0.18860478809365724</v>
      </c>
      <c r="V347" s="510">
        <v>491.12350340638073</v>
      </c>
      <c r="W347" s="510">
        <v>550.90626761710189</v>
      </c>
      <c r="X347" s="510">
        <v>427.56554105806714</v>
      </c>
      <c r="Y347" s="511">
        <v>496.47908497550787</v>
      </c>
      <c r="Z347" s="1026">
        <v>0.90463524321852584</v>
      </c>
      <c r="AA347" s="513">
        <v>0.86577665507384693</v>
      </c>
      <c r="AB347" s="513">
        <v>0.90463524321852584</v>
      </c>
      <c r="AC347" s="513">
        <v>0.88062455767182435</v>
      </c>
      <c r="AD347" s="510">
        <v>43.045999999999999</v>
      </c>
      <c r="AE347" s="510">
        <v>594.50700000000006</v>
      </c>
      <c r="AF347" s="510">
        <v>110.02186513333304</v>
      </c>
      <c r="AG347" s="510">
        <v>106.54304993060028</v>
      </c>
      <c r="AH347" s="510">
        <v>1.34971890535706</v>
      </c>
      <c r="AI347" s="510">
        <v>1.4524639743518575</v>
      </c>
      <c r="AJ347" s="510">
        <v>888.88026762070172</v>
      </c>
      <c r="AK347" s="510">
        <v>879.67778344073349</v>
      </c>
      <c r="AL347" s="576">
        <v>0</v>
      </c>
      <c r="AM347" s="577">
        <v>0</v>
      </c>
      <c r="AN347" s="513">
        <v>0.98330822674193819</v>
      </c>
      <c r="AO347" s="513">
        <v>0.91074905308763454</v>
      </c>
      <c r="AP347" s="513">
        <v>0.98330822674193819</v>
      </c>
      <c r="AQ347" s="513">
        <v>0.9354821296109691</v>
      </c>
      <c r="AR347" s="510">
        <v>53.793999999999997</v>
      </c>
      <c r="AS347" s="510">
        <v>698.73199999999997</v>
      </c>
      <c r="AT347" s="514">
        <v>100.57717157371866</v>
      </c>
      <c r="AU347" s="514">
        <v>105.93003437838586</v>
      </c>
      <c r="AV347" s="510">
        <v>1.6042681339926386</v>
      </c>
      <c r="AW347" s="510">
        <v>1.7879530349261232</v>
      </c>
      <c r="AX347" s="510">
        <v>0</v>
      </c>
      <c r="AY347" s="510">
        <v>0</v>
      </c>
      <c r="AZ347" s="510">
        <v>896.8052199130027</v>
      </c>
      <c r="BA347" s="510">
        <v>936.21674690725501</v>
      </c>
      <c r="BB347" s="576">
        <v>0</v>
      </c>
      <c r="BC347" s="576">
        <v>0</v>
      </c>
      <c r="BD347" s="510">
        <v>0</v>
      </c>
      <c r="BE347" s="510">
        <v>0</v>
      </c>
      <c r="BF347" s="512">
        <v>0.93443144879741236</v>
      </c>
      <c r="BG347" s="513">
        <v>0.87724253873506652</v>
      </c>
      <c r="BH347" s="513">
        <v>0.93443144879741236</v>
      </c>
      <c r="BI347" s="513">
        <v>0.91166943947951484</v>
      </c>
      <c r="BJ347" s="510">
        <v>47.488999999999997</v>
      </c>
      <c r="BK347" s="510">
        <v>684.37900000000013</v>
      </c>
      <c r="BL347" s="510">
        <v>2.3352776432436988</v>
      </c>
      <c r="BM347" s="510">
        <v>2.4962776473269925</v>
      </c>
      <c r="BN347" s="514">
        <v>0</v>
      </c>
      <c r="BO347" s="514">
        <v>0</v>
      </c>
      <c r="BP347" s="514">
        <v>1033.2442731228732</v>
      </c>
      <c r="BQ347" s="514">
        <v>1070.1682766025397</v>
      </c>
      <c r="BR347" s="514">
        <v>0</v>
      </c>
      <c r="BS347" s="515">
        <v>0</v>
      </c>
      <c r="BT347" s="1021">
        <v>0.9815717276730922</v>
      </c>
      <c r="BU347" s="513">
        <v>0.84400130349465652</v>
      </c>
      <c r="BV347" s="513">
        <v>0.9815717276730922</v>
      </c>
      <c r="BW347" s="513">
        <v>0.8755119427962601</v>
      </c>
      <c r="BX347" s="510">
        <v>54.383000000000003</v>
      </c>
      <c r="BY347" s="510">
        <v>654.26499999999999</v>
      </c>
      <c r="BZ347" s="514">
        <v>65.251097325155371</v>
      </c>
      <c r="CA347" s="514">
        <v>80.769575376384665</v>
      </c>
      <c r="CB347" s="510">
        <v>1.7670963352518247</v>
      </c>
      <c r="CC347" s="510">
        <v>1.914514760838498</v>
      </c>
      <c r="CD347" s="514">
        <v>0.1691705128440873</v>
      </c>
      <c r="CE347" s="514">
        <v>6.5799026388390025E-2</v>
      </c>
      <c r="CF347" s="514">
        <v>807.42681929402852</v>
      </c>
      <c r="CG347" s="514">
        <v>911.02948350749296</v>
      </c>
      <c r="CH347" s="514">
        <v>456.76038467904027</v>
      </c>
      <c r="CI347" s="514">
        <v>173.52983882677492</v>
      </c>
      <c r="CJ347" s="582">
        <v>0</v>
      </c>
      <c r="CK347" s="582">
        <v>0</v>
      </c>
    </row>
    <row r="348" spans="1:89" ht="12.75" customHeight="1">
      <c r="A348" s="560">
        <v>45704</v>
      </c>
      <c r="B348" s="512">
        <v>0.98502560633410152</v>
      </c>
      <c r="C348" s="513">
        <v>0.83020875188773757</v>
      </c>
      <c r="D348" s="513">
        <v>0.9603483797695388</v>
      </c>
      <c r="E348" s="513">
        <v>0.87745130566434193</v>
      </c>
      <c r="F348" s="510">
        <v>77.287999999999997</v>
      </c>
      <c r="G348" s="510">
        <v>861.178</v>
      </c>
      <c r="H348" s="510">
        <v>1.8663440637615156</v>
      </c>
      <c r="I348" s="510">
        <v>2.4466904635278652</v>
      </c>
      <c r="J348" s="510">
        <v>741.57230100401409</v>
      </c>
      <c r="K348" s="511">
        <v>967.60157365840507</v>
      </c>
      <c r="L348" s="512">
        <v>0.99315549122403324</v>
      </c>
      <c r="M348" s="513">
        <v>0.78924962529623588</v>
      </c>
      <c r="N348" s="513">
        <v>0.99315549122403324</v>
      </c>
      <c r="O348" s="513">
        <v>0.90178407961029639</v>
      </c>
      <c r="P348" s="510">
        <v>76.531999999999996</v>
      </c>
      <c r="Q348" s="510">
        <v>874.76199999999994</v>
      </c>
      <c r="R348" s="510">
        <v>1.9583703548842317</v>
      </c>
      <c r="S348" s="510">
        <v>2.2837480366088143</v>
      </c>
      <c r="T348" s="510">
        <v>0.14111744107040194</v>
      </c>
      <c r="U348" s="510">
        <v>0.18445017044636144</v>
      </c>
      <c r="V348" s="510">
        <v>377.5265248523578</v>
      </c>
      <c r="W348" s="510">
        <v>535.73745773136</v>
      </c>
      <c r="X348" s="510">
        <v>411.74280039722112</v>
      </c>
      <c r="Y348" s="511">
        <v>489.06559727102882</v>
      </c>
      <c r="Z348" s="1026">
        <v>0.61968707859349093</v>
      </c>
      <c r="AA348" s="513">
        <v>0.85110538153040605</v>
      </c>
      <c r="AB348" s="513">
        <v>0.61968707859349093</v>
      </c>
      <c r="AC348" s="513">
        <v>0.86481745879364313</v>
      </c>
      <c r="AD348" s="510">
        <v>26.977</v>
      </c>
      <c r="AE348" s="510">
        <v>621.48400000000004</v>
      </c>
      <c r="AF348" s="510">
        <v>104.30815834765606</v>
      </c>
      <c r="AG348" s="510">
        <v>106.44603911417849</v>
      </c>
      <c r="AH348" s="510">
        <v>1.8682581458279275</v>
      </c>
      <c r="AI348" s="510">
        <v>1.4705125152055398</v>
      </c>
      <c r="AJ348" s="510">
        <v>1087.4871186566063</v>
      </c>
      <c r="AK348" s="510">
        <v>888.69824484620608</v>
      </c>
      <c r="AL348" s="576">
        <v>0</v>
      </c>
      <c r="AM348" s="577">
        <v>0</v>
      </c>
      <c r="AN348" s="513">
        <v>0.89842725853695804</v>
      </c>
      <c r="AO348" s="513">
        <v>0.90992075532746697</v>
      </c>
      <c r="AP348" s="513">
        <v>0.89842725853695804</v>
      </c>
      <c r="AQ348" s="513">
        <v>0.93292823778958978</v>
      </c>
      <c r="AR348" s="510">
        <v>49.673999999999999</v>
      </c>
      <c r="AS348" s="510">
        <v>748.40599999999995</v>
      </c>
      <c r="AT348" s="514">
        <v>109.80047072842687</v>
      </c>
      <c r="AU348" s="514">
        <v>106.18692710138905</v>
      </c>
      <c r="AV348" s="510">
        <v>1.6809598582759593</v>
      </c>
      <c r="AW348" s="510">
        <v>1.7808515698698302</v>
      </c>
      <c r="AX348" s="510">
        <v>0</v>
      </c>
      <c r="AY348" s="510">
        <v>0</v>
      </c>
      <c r="AZ348" s="510">
        <v>908.26468575109561</v>
      </c>
      <c r="BA348" s="510">
        <v>934.36148293840506</v>
      </c>
      <c r="BB348" s="576">
        <v>0</v>
      </c>
      <c r="BC348" s="576">
        <v>0</v>
      </c>
      <c r="BD348" s="510">
        <v>0</v>
      </c>
      <c r="BE348" s="510">
        <v>0</v>
      </c>
      <c r="BF348" s="512">
        <v>0.91256460010692475</v>
      </c>
      <c r="BG348" s="513">
        <v>0.87942951317567508</v>
      </c>
      <c r="BH348" s="513">
        <v>0.91256460010692475</v>
      </c>
      <c r="BI348" s="513">
        <v>0.91172689904937931</v>
      </c>
      <c r="BJ348" s="510">
        <v>46.988999999999997</v>
      </c>
      <c r="BK348" s="510">
        <v>731.36800000000017</v>
      </c>
      <c r="BL348" s="510">
        <v>2.4452531443529337</v>
      </c>
      <c r="BM348" s="510">
        <v>2.4929994202644905</v>
      </c>
      <c r="BN348" s="514">
        <v>0</v>
      </c>
      <c r="BO348" s="514">
        <v>0</v>
      </c>
      <c r="BP348" s="514">
        <v>1036.6573381256933</v>
      </c>
      <c r="BQ348" s="514">
        <v>1068.0152626778281</v>
      </c>
      <c r="BR348" s="514">
        <v>0</v>
      </c>
      <c r="BS348" s="515">
        <v>0</v>
      </c>
      <c r="BT348" s="1021">
        <v>0.9492913124180119</v>
      </c>
      <c r="BU348" s="513">
        <v>0.85070149944554563</v>
      </c>
      <c r="BV348" s="513">
        <v>0.9492913124180119</v>
      </c>
      <c r="BW348" s="513">
        <v>0.88037068274479169</v>
      </c>
      <c r="BX348" s="510">
        <v>50.011000000000003</v>
      </c>
      <c r="BY348" s="510">
        <v>704.27599999999995</v>
      </c>
      <c r="BZ348" s="514">
        <v>63.563020721269446</v>
      </c>
      <c r="CA348" s="514">
        <v>79.547729104671632</v>
      </c>
      <c r="CB348" s="510">
        <v>1.777608926036272</v>
      </c>
      <c r="CC348" s="510">
        <v>1.9047930072869161</v>
      </c>
      <c r="CD348" s="514">
        <v>0.17596128851652637</v>
      </c>
      <c r="CE348" s="514">
        <v>7.3621705126967266E-2</v>
      </c>
      <c r="CF348" s="514">
        <v>789.56086338629711</v>
      </c>
      <c r="CG348" s="514">
        <v>902.40393448852717</v>
      </c>
      <c r="CH348" s="514">
        <v>494.08130211353705</v>
      </c>
      <c r="CI348" s="514">
        <v>196.29236265327799</v>
      </c>
      <c r="CJ348" s="582">
        <v>0</v>
      </c>
      <c r="CK348" s="582">
        <v>0</v>
      </c>
    </row>
    <row r="349" spans="1:89" ht="12.75" customHeight="1">
      <c r="A349" s="560">
        <v>45705</v>
      </c>
      <c r="B349" s="512">
        <v>1.0086043318786444</v>
      </c>
      <c r="C349" s="513">
        <v>0.84127517653259842</v>
      </c>
      <c r="D349" s="513">
        <v>1.0086043318786444</v>
      </c>
      <c r="E349" s="513">
        <v>0.88601984773382525</v>
      </c>
      <c r="F349" s="510">
        <v>69.192999999999998</v>
      </c>
      <c r="G349" s="510">
        <v>930.37099999999998</v>
      </c>
      <c r="H349" s="510">
        <v>1.9779601982859536</v>
      </c>
      <c r="I349" s="510">
        <v>2.4118303343504901</v>
      </c>
      <c r="J349" s="510">
        <v>878.1648432645128</v>
      </c>
      <c r="K349" s="511">
        <v>960.95003821056264</v>
      </c>
      <c r="L349" s="512">
        <v>0.98000523740941714</v>
      </c>
      <c r="M349" s="513">
        <v>0.80075608479217875</v>
      </c>
      <c r="N349" s="513">
        <v>0.98000523740941714</v>
      </c>
      <c r="O349" s="513">
        <v>0.90712920045833401</v>
      </c>
      <c r="P349" s="510">
        <v>69.724999999999994</v>
      </c>
      <c r="Q349" s="510">
        <v>944.48699999999997</v>
      </c>
      <c r="R349" s="510">
        <v>1.8562782359268557</v>
      </c>
      <c r="S349" s="510">
        <v>2.252190871870126</v>
      </c>
      <c r="T349" s="510">
        <v>0.15059160989602008</v>
      </c>
      <c r="U349" s="510">
        <v>0.18195062504830667</v>
      </c>
      <c r="V349" s="510">
        <v>444.66819648620958</v>
      </c>
      <c r="W349" s="510">
        <v>529.01443852588852</v>
      </c>
      <c r="X349" s="510">
        <v>438.06382215848004</v>
      </c>
      <c r="Y349" s="511">
        <v>485.3004858722245</v>
      </c>
      <c r="Z349" s="1026">
        <v>1.0136810479217153</v>
      </c>
      <c r="AA349" s="513">
        <v>0.86099861833060543</v>
      </c>
      <c r="AB349" s="513">
        <v>1.0136810479217153</v>
      </c>
      <c r="AC349" s="513">
        <v>0.87401320307765018</v>
      </c>
      <c r="AD349" s="510">
        <v>47.962000000000003</v>
      </c>
      <c r="AE349" s="510">
        <v>669.44600000000003</v>
      </c>
      <c r="AF349" s="510">
        <v>90.97301237663666</v>
      </c>
      <c r="AG349" s="510">
        <v>105.33748471489014</v>
      </c>
      <c r="AH349" s="510">
        <v>1.3698344522747175</v>
      </c>
      <c r="AI349" s="510">
        <v>1.4632995043662966</v>
      </c>
      <c r="AJ349" s="510">
        <v>782.78220257704027</v>
      </c>
      <c r="AK349" s="510">
        <v>881.10996256606143</v>
      </c>
      <c r="AL349" s="576">
        <v>0</v>
      </c>
      <c r="AM349" s="577">
        <v>0</v>
      </c>
      <c r="AN349" s="513">
        <v>0.95933773690300805</v>
      </c>
      <c r="AO349" s="513">
        <v>0.91306333933245443</v>
      </c>
      <c r="AP349" s="513">
        <v>0.95933773690300805</v>
      </c>
      <c r="AQ349" s="513">
        <v>0.93464740351214359</v>
      </c>
      <c r="AR349" s="510">
        <v>53.585999999999999</v>
      </c>
      <c r="AS349" s="510">
        <v>801.99199999999996</v>
      </c>
      <c r="AT349" s="514">
        <v>96.405814703947456</v>
      </c>
      <c r="AU349" s="514">
        <v>105.5333910450078</v>
      </c>
      <c r="AV349" s="510">
        <v>1.6310230284029412</v>
      </c>
      <c r="AW349" s="510">
        <v>1.7708406068888469</v>
      </c>
      <c r="AX349" s="510">
        <v>0</v>
      </c>
      <c r="AY349" s="510">
        <v>0</v>
      </c>
      <c r="AZ349" s="510">
        <v>881.64445937371795</v>
      </c>
      <c r="BA349" s="510">
        <v>930.83913555247443</v>
      </c>
      <c r="BB349" s="576">
        <v>0</v>
      </c>
      <c r="BC349" s="576">
        <v>0</v>
      </c>
      <c r="BD349" s="510">
        <v>0</v>
      </c>
      <c r="BE349" s="510">
        <v>0</v>
      </c>
      <c r="BF349" s="512">
        <v>0.95902836113433232</v>
      </c>
      <c r="BG349" s="513">
        <v>0.88428266421116153</v>
      </c>
      <c r="BH349" s="513">
        <v>0.95902836113433232</v>
      </c>
      <c r="BI349" s="513">
        <v>0.91471010995634172</v>
      </c>
      <c r="BJ349" s="510">
        <v>51.784999999999997</v>
      </c>
      <c r="BK349" s="510">
        <v>783.15300000000013</v>
      </c>
      <c r="BL349" s="510">
        <v>2.367480930771459</v>
      </c>
      <c r="BM349" s="510">
        <v>2.484699669157878</v>
      </c>
      <c r="BN349" s="514">
        <v>0</v>
      </c>
      <c r="BO349" s="514">
        <v>0</v>
      </c>
      <c r="BP349" s="514">
        <v>969.37103291492849</v>
      </c>
      <c r="BQ349" s="514">
        <v>1061.4925379506396</v>
      </c>
      <c r="BR349" s="514">
        <v>0</v>
      </c>
      <c r="BS349" s="515">
        <v>0</v>
      </c>
      <c r="BT349" s="1021">
        <v>0.90468654698010509</v>
      </c>
      <c r="BU349" s="513">
        <v>0.85393572771523218</v>
      </c>
      <c r="BV349" s="513">
        <v>0.90468654698010509</v>
      </c>
      <c r="BW349" s="513">
        <v>0.88187510166785887</v>
      </c>
      <c r="BX349" s="510">
        <v>47.73</v>
      </c>
      <c r="BY349" s="510">
        <v>752.00599999999997</v>
      </c>
      <c r="BZ349" s="514">
        <v>72.003988972680148</v>
      </c>
      <c r="CA349" s="514">
        <v>79.068926121051888</v>
      </c>
      <c r="CB349" s="510">
        <v>1.8793211816467632</v>
      </c>
      <c r="CC349" s="510">
        <v>1.9031763044443795</v>
      </c>
      <c r="CD349" s="514">
        <v>0.18018018018018017</v>
      </c>
      <c r="CE349" s="514">
        <v>8.038499692821599E-2</v>
      </c>
      <c r="CF349" s="514">
        <v>841.48357553950098</v>
      </c>
      <c r="CG349" s="514">
        <v>898.53730479057674</v>
      </c>
      <c r="CH349" s="514">
        <v>501.57133878064155</v>
      </c>
      <c r="CI349" s="514">
        <v>215.66849200671277</v>
      </c>
      <c r="CJ349" s="582">
        <v>0</v>
      </c>
      <c r="CK349" s="582">
        <v>0</v>
      </c>
    </row>
    <row r="350" spans="1:89" ht="12.75" customHeight="1">
      <c r="A350" s="560">
        <v>45706</v>
      </c>
      <c r="B350" s="512">
        <v>0.97522629427875818</v>
      </c>
      <c r="C350" s="513">
        <v>0.84907321334561825</v>
      </c>
      <c r="D350" s="513">
        <v>0.97522629427875818</v>
      </c>
      <c r="E350" s="513">
        <v>0.89147237604866703</v>
      </c>
      <c r="F350" s="510">
        <v>66.667000000000002</v>
      </c>
      <c r="G350" s="510">
        <v>997.03800000000001</v>
      </c>
      <c r="H350" s="510">
        <v>2.1121394393028035</v>
      </c>
      <c r="I350" s="510">
        <v>2.3917914863826653</v>
      </c>
      <c r="J350" s="510">
        <v>938.17030914846509</v>
      </c>
      <c r="K350" s="511">
        <v>959.42687039009559</v>
      </c>
      <c r="L350" s="512">
        <v>0.96760354595349685</v>
      </c>
      <c r="M350" s="513">
        <v>0.81055857605744619</v>
      </c>
      <c r="N350" s="513">
        <v>0.96760354595349685</v>
      </c>
      <c r="O350" s="513">
        <v>0.91112294809184513</v>
      </c>
      <c r="P350" s="510">
        <v>71.236999999999995</v>
      </c>
      <c r="Q350" s="510">
        <v>1015.7239999999999</v>
      </c>
      <c r="R350" s="510">
        <v>1.9932900037901655</v>
      </c>
      <c r="S350" s="510">
        <v>2.2340330641000898</v>
      </c>
      <c r="T350" s="510">
        <v>0.14178025464295241</v>
      </c>
      <c r="U350" s="510">
        <v>0.17913330786709777</v>
      </c>
      <c r="V350" s="510">
        <v>462.21766778497886</v>
      </c>
      <c r="W350" s="510">
        <v>524.32969980033886</v>
      </c>
      <c r="X350" s="510">
        <v>408.8044134368397</v>
      </c>
      <c r="Y350" s="511">
        <v>479.9354942878183</v>
      </c>
      <c r="Z350" s="1026">
        <v>7.7823050689169393E-2</v>
      </c>
      <c r="AA350" s="513">
        <v>0.81666275910822639</v>
      </c>
      <c r="AB350" s="513">
        <v>0.20702907298039497</v>
      </c>
      <c r="AC350" s="513">
        <v>0.85908249070176546</v>
      </c>
      <c r="AD350" s="510">
        <v>3.6309999999999998</v>
      </c>
      <c r="AE350" s="510">
        <v>673.077</v>
      </c>
      <c r="AF350" s="510">
        <v>94.887073216690212</v>
      </c>
      <c r="AG350" s="510">
        <v>105.28110863288175</v>
      </c>
      <c r="AH350" s="510">
        <v>3.4976590470944644</v>
      </c>
      <c r="AI350" s="510">
        <v>1.4742741172258149</v>
      </c>
      <c r="AJ350" s="510">
        <v>2424.2467639769161</v>
      </c>
      <c r="AK350" s="510">
        <v>889.43461149318694</v>
      </c>
      <c r="AL350" s="576">
        <v>0</v>
      </c>
      <c r="AM350" s="577">
        <v>0</v>
      </c>
      <c r="AN350" s="513">
        <v>0.93140873936060598</v>
      </c>
      <c r="AO350" s="513">
        <v>0.9141240151918274</v>
      </c>
      <c r="AP350" s="513">
        <v>0.93140873936060598</v>
      </c>
      <c r="AQ350" s="513">
        <v>0.9344559888744286</v>
      </c>
      <c r="AR350" s="510">
        <v>50.203000000000003</v>
      </c>
      <c r="AS350" s="510">
        <v>852.19499999999994</v>
      </c>
      <c r="AT350" s="514">
        <v>108.42148089367544</v>
      </c>
      <c r="AU350" s="514">
        <v>105.70352907054499</v>
      </c>
      <c r="AV350" s="510">
        <v>1.6433280879628707</v>
      </c>
      <c r="AW350" s="510">
        <v>1.7633288155879818</v>
      </c>
      <c r="AX350" s="510">
        <v>0.16333685237933987</v>
      </c>
      <c r="AY350" s="510">
        <v>9.622210878965495E-3</v>
      </c>
      <c r="AZ350" s="510">
        <v>880.47407525446772</v>
      </c>
      <c r="BA350" s="510">
        <v>927.87211847053811</v>
      </c>
      <c r="BB350" s="576">
        <v>453.5585522777547</v>
      </c>
      <c r="BC350" s="576">
        <v>26.719236794395794</v>
      </c>
      <c r="BD350" s="510">
        <v>0</v>
      </c>
      <c r="BE350" s="510">
        <v>0</v>
      </c>
      <c r="BF350" s="512">
        <v>0.7891214303270172</v>
      </c>
      <c r="BG350" s="513">
        <v>0.87887067516912543</v>
      </c>
      <c r="BH350" s="513">
        <v>0.7891214303270172</v>
      </c>
      <c r="BI350" s="513">
        <v>0.9073363217190874</v>
      </c>
      <c r="BJ350" s="510">
        <v>42.143000000000001</v>
      </c>
      <c r="BK350" s="510">
        <v>825.29600000000016</v>
      </c>
      <c r="BL350" s="510">
        <v>2.8949054409985049</v>
      </c>
      <c r="BM350" s="510">
        <v>2.505646458967449</v>
      </c>
      <c r="BN350" s="514">
        <v>0</v>
      </c>
      <c r="BO350" s="514">
        <v>0</v>
      </c>
      <c r="BP350" s="514">
        <v>1110.7436624721513</v>
      </c>
      <c r="BQ350" s="514">
        <v>1064.0075024490866</v>
      </c>
      <c r="BR350" s="514">
        <v>0</v>
      </c>
      <c r="BS350" s="515">
        <v>0</v>
      </c>
      <c r="BT350" s="1021">
        <v>9.298957048993077E-2</v>
      </c>
      <c r="BU350" s="513">
        <v>0.81092446029152243</v>
      </c>
      <c r="BV350" s="513" t="e">
        <v>#DIV/0!</v>
      </c>
      <c r="BW350" s="513">
        <v>0.88762835263764162</v>
      </c>
      <c r="BX350" s="510">
        <v>4.9059999999999997</v>
      </c>
      <c r="BY350" s="510">
        <v>756.91199999999992</v>
      </c>
      <c r="BZ350" s="514">
        <v>12.919166703018908</v>
      </c>
      <c r="CA350" s="514">
        <v>78.64016991200134</v>
      </c>
      <c r="CB350" s="510">
        <v>0.26498165511618427</v>
      </c>
      <c r="CC350" s="510">
        <v>1.8925581837782994</v>
      </c>
      <c r="CD350" s="514">
        <v>0</v>
      </c>
      <c r="CE350" s="514">
        <v>7.986397361912613E-2</v>
      </c>
      <c r="CF350" s="514">
        <v>2177.9310706147639</v>
      </c>
      <c r="CG350" s="514">
        <v>906.82982203846484</v>
      </c>
      <c r="CH350" s="514">
        <v>0</v>
      </c>
      <c r="CI350" s="514">
        <v>214.2706153423384</v>
      </c>
      <c r="CJ350" s="582">
        <v>0</v>
      </c>
      <c r="CK350" s="582">
        <v>0</v>
      </c>
    </row>
    <row r="351" spans="1:89" ht="12.75" customHeight="1">
      <c r="A351" s="560">
        <v>45707</v>
      </c>
      <c r="B351" s="512">
        <v>0.94380089528409528</v>
      </c>
      <c r="C351" s="513">
        <v>0.85479704532075718</v>
      </c>
      <c r="D351" s="513">
        <v>0.94380089528409528</v>
      </c>
      <c r="E351" s="513">
        <v>0.89478218348752092</v>
      </c>
      <c r="F351" s="510">
        <v>71.272999999999996</v>
      </c>
      <c r="G351" s="510">
        <v>1068.3109999999999</v>
      </c>
      <c r="H351" s="510">
        <v>2.0697739677016544</v>
      </c>
      <c r="I351" s="510">
        <v>2.3703078972321729</v>
      </c>
      <c r="J351" s="510">
        <v>856.1413157857753</v>
      </c>
      <c r="K351" s="511">
        <v>952.53611354745919</v>
      </c>
      <c r="L351" s="512">
        <v>0.92152220837028076</v>
      </c>
      <c r="M351" s="513">
        <v>0.81669433824418858</v>
      </c>
      <c r="N351" s="513">
        <v>0.92152220837028076</v>
      </c>
      <c r="O351" s="513">
        <v>0.91176491646722146</v>
      </c>
      <c r="P351" s="510">
        <v>67.590999999999994</v>
      </c>
      <c r="Q351" s="510">
        <v>1083.3149999999998</v>
      </c>
      <c r="R351" s="510">
        <v>2.2736458996020183</v>
      </c>
      <c r="S351" s="510">
        <v>2.2365046177704544</v>
      </c>
      <c r="T351" s="510">
        <v>0.13907176991019515</v>
      </c>
      <c r="U351" s="510">
        <v>0.17663375841745019</v>
      </c>
      <c r="V351" s="510">
        <v>408.92189788583244</v>
      </c>
      <c r="W351" s="510">
        <v>517.12908987690628</v>
      </c>
      <c r="X351" s="510">
        <v>390.54755810684458</v>
      </c>
      <c r="Y351" s="511">
        <v>474.35833529490475</v>
      </c>
      <c r="Z351" s="1026">
        <v>0.79182031090134941</v>
      </c>
      <c r="AA351" s="513">
        <v>0.81529163721894826</v>
      </c>
      <c r="AB351" s="513">
        <v>0.79182031090134941</v>
      </c>
      <c r="AC351" s="513">
        <v>0.85518844141969863</v>
      </c>
      <c r="AD351" s="510">
        <v>38.122999999999998</v>
      </c>
      <c r="AE351" s="510">
        <v>711.2</v>
      </c>
      <c r="AF351" s="510">
        <v>116.19181283683817</v>
      </c>
      <c r="AG351" s="510">
        <v>105.86596349279095</v>
      </c>
      <c r="AH351" s="510">
        <v>1.600083938829578</v>
      </c>
      <c r="AI351" s="510">
        <v>1.4810179977502806</v>
      </c>
      <c r="AJ351" s="510">
        <v>886.08871285051498</v>
      </c>
      <c r="AK351" s="510">
        <v>889.25525871766024</v>
      </c>
      <c r="AL351" s="576">
        <v>0</v>
      </c>
      <c r="AM351" s="577">
        <v>0</v>
      </c>
      <c r="AN351" s="513">
        <v>0.92496759883991475</v>
      </c>
      <c r="AO351" s="513">
        <v>0.91471853651848978</v>
      </c>
      <c r="AP351" s="513">
        <v>0.92496759883991475</v>
      </c>
      <c r="AQ351" s="513">
        <v>0.93392484572762202</v>
      </c>
      <c r="AR351" s="510">
        <v>50.02</v>
      </c>
      <c r="AS351" s="510">
        <v>902.21499999999992</v>
      </c>
      <c r="AT351" s="514">
        <v>105.38623589006833</v>
      </c>
      <c r="AU351" s="514">
        <v>105.68593791445976</v>
      </c>
      <c r="AV351" s="510">
        <v>1.5873650539784085</v>
      </c>
      <c r="AW351" s="510">
        <v>1.7535731505239884</v>
      </c>
      <c r="AX351" s="510">
        <v>0.15393842463014792</v>
      </c>
      <c r="AY351" s="510">
        <v>1.762329378252412E-2</v>
      </c>
      <c r="AZ351" s="510">
        <v>843.26989204318147</v>
      </c>
      <c r="BA351" s="510">
        <v>923.1816584738674</v>
      </c>
      <c r="BB351" s="576">
        <v>410.32586965213471</v>
      </c>
      <c r="BC351" s="576">
        <v>47.986898909904959</v>
      </c>
      <c r="BD351" s="510">
        <v>0</v>
      </c>
      <c r="BE351" s="510">
        <v>0</v>
      </c>
      <c r="BF351" s="512">
        <v>0.96249379958211934</v>
      </c>
      <c r="BG351" s="513">
        <v>0.88325791350019511</v>
      </c>
      <c r="BH351" s="513">
        <v>0.96249379958211934</v>
      </c>
      <c r="BI351" s="513">
        <v>0.91031878568165381</v>
      </c>
      <c r="BJ351" s="510">
        <v>50.043999999999997</v>
      </c>
      <c r="BK351" s="510">
        <v>875.34000000000015</v>
      </c>
      <c r="BL351" s="510">
        <v>2.3878986491887142</v>
      </c>
      <c r="BM351" s="510">
        <v>2.4989147074279705</v>
      </c>
      <c r="BN351" s="514">
        <v>0</v>
      </c>
      <c r="BO351" s="514">
        <v>0</v>
      </c>
      <c r="BP351" s="514">
        <v>924.06948145588319</v>
      </c>
      <c r="BQ351" s="514">
        <v>1056.0071159448894</v>
      </c>
      <c r="BR351" s="514">
        <v>0</v>
      </c>
      <c r="BS351" s="515">
        <v>0</v>
      </c>
      <c r="BT351" s="1021">
        <v>0</v>
      </c>
      <c r="BU351" s="513">
        <v>0.76754046040215851</v>
      </c>
      <c r="BV351" s="513" t="e">
        <v>#DIV/0!</v>
      </c>
      <c r="BW351" s="513">
        <v>0.88762835263764162</v>
      </c>
      <c r="BX351" s="510">
        <v>0</v>
      </c>
      <c r="BY351" s="510">
        <v>756.91199999999992</v>
      </c>
      <c r="BZ351" s="514">
        <v>0</v>
      </c>
      <c r="CA351" s="514">
        <v>78.64016991200134</v>
      </c>
      <c r="CB351" s="510">
        <v>0</v>
      </c>
      <c r="CC351" s="510">
        <v>1.8925581837782994</v>
      </c>
      <c r="CD351" s="514">
        <v>0</v>
      </c>
      <c r="CE351" s="514">
        <v>7.986397361912613E-2</v>
      </c>
      <c r="CF351" s="514">
        <v>0</v>
      </c>
      <c r="CG351" s="514">
        <v>916.11114783330243</v>
      </c>
      <c r="CH351" s="514">
        <v>0</v>
      </c>
      <c r="CI351" s="514">
        <v>214.2706153423384</v>
      </c>
      <c r="CJ351" s="582">
        <v>0</v>
      </c>
      <c r="CK351" s="582">
        <v>0</v>
      </c>
    </row>
    <row r="352" spans="1:89" ht="12.75" customHeight="1">
      <c r="A352" s="560">
        <v>45708</v>
      </c>
      <c r="B352" s="512">
        <v>0.72684081130319245</v>
      </c>
      <c r="C352" s="513">
        <v>0.8473813095809074</v>
      </c>
      <c r="D352" s="513">
        <v>0.72684081130319245</v>
      </c>
      <c r="E352" s="513">
        <v>0.88462135706028311</v>
      </c>
      <c r="F352" s="510">
        <v>55.884999999999998</v>
      </c>
      <c r="G352" s="510">
        <v>1124.1959999999999</v>
      </c>
      <c r="H352" s="510">
        <v>2.5544600518922791</v>
      </c>
      <c r="I352" s="510">
        <v>2.379462300168298</v>
      </c>
      <c r="J352" s="510">
        <v>1057.5665026393319</v>
      </c>
      <c r="K352" s="511">
        <v>957.75728787506682</v>
      </c>
      <c r="L352" s="512">
        <v>0.99823063500258113</v>
      </c>
      <c r="M352" s="513">
        <v>0.82409788143528362</v>
      </c>
      <c r="N352" s="513">
        <v>0.99823063500258113</v>
      </c>
      <c r="O352" s="513">
        <v>0.91568311561596027</v>
      </c>
      <c r="P352" s="510">
        <v>56.296999999999997</v>
      </c>
      <c r="Q352" s="510">
        <v>1139.6119999999999</v>
      </c>
      <c r="R352" s="510">
        <v>2.1685347354210704</v>
      </c>
      <c r="S352" s="510">
        <v>2.2331468956100844</v>
      </c>
      <c r="T352" s="510">
        <v>0.18295823933779778</v>
      </c>
      <c r="U352" s="510">
        <v>0.17694618870282172</v>
      </c>
      <c r="V352" s="510">
        <v>603.68261186207189</v>
      </c>
      <c r="W352" s="510">
        <v>521.40484656181218</v>
      </c>
      <c r="X352" s="510">
        <v>527.18617333072586</v>
      </c>
      <c r="Y352" s="511">
        <v>476.96803824459511</v>
      </c>
      <c r="Z352" s="1026">
        <v>0.90803716843067583</v>
      </c>
      <c r="AA352" s="513">
        <v>0.82004028778385185</v>
      </c>
      <c r="AB352" s="513">
        <v>0.90803716843067583</v>
      </c>
      <c r="AC352" s="513">
        <v>0.8580196626182327</v>
      </c>
      <c r="AD352" s="510">
        <v>42.744999999999997</v>
      </c>
      <c r="AE352" s="510">
        <v>753.94500000000005</v>
      </c>
      <c r="AF352" s="510">
        <v>94.72987845994696</v>
      </c>
      <c r="AG352" s="510">
        <v>105.23460184873348</v>
      </c>
      <c r="AH352" s="510">
        <v>1.408351854018014</v>
      </c>
      <c r="AI352" s="510">
        <v>1.4768981822281462</v>
      </c>
      <c r="AJ352" s="510">
        <v>856.01871563926443</v>
      </c>
      <c r="AK352" s="510">
        <v>887.37090901856288</v>
      </c>
      <c r="AL352" s="576">
        <v>0</v>
      </c>
      <c r="AM352" s="577">
        <v>0</v>
      </c>
      <c r="AN352" s="513">
        <v>0.91337314293282501</v>
      </c>
      <c r="AO352" s="513">
        <v>0.91464860664975722</v>
      </c>
      <c r="AP352" s="513">
        <v>0.91337314293282501</v>
      </c>
      <c r="AQ352" s="513">
        <v>0.93283538418314482</v>
      </c>
      <c r="AR352" s="510">
        <v>49.393000000000001</v>
      </c>
      <c r="AS352" s="510">
        <v>951.60799999999995</v>
      </c>
      <c r="AT352" s="514">
        <v>102.64149464963796</v>
      </c>
      <c r="AU352" s="514">
        <v>105.52791676900981</v>
      </c>
      <c r="AV352" s="510">
        <v>1.6824246350697465</v>
      </c>
      <c r="AW352" s="510">
        <v>1.7498802027725704</v>
      </c>
      <c r="AX352" s="510">
        <v>0.1700645840503715</v>
      </c>
      <c r="AY352" s="510">
        <v>2.5535724794243007E-2</v>
      </c>
      <c r="AZ352" s="510">
        <v>874.62838863806678</v>
      </c>
      <c r="BA352" s="510">
        <v>920.66151188304434</v>
      </c>
      <c r="BB352" s="576">
        <v>471.01816046808051</v>
      </c>
      <c r="BC352" s="576">
        <v>69.944241746601321</v>
      </c>
      <c r="BD352" s="510">
        <v>0</v>
      </c>
      <c r="BE352" s="510">
        <v>0</v>
      </c>
      <c r="BF352" s="512">
        <v>0.75546042261028601</v>
      </c>
      <c r="BG352" s="513">
        <v>0.87656096522067195</v>
      </c>
      <c r="BH352" s="513">
        <v>0.75546042261028601</v>
      </c>
      <c r="BI352" s="513">
        <v>0.90196855349745353</v>
      </c>
      <c r="BJ352" s="510">
        <v>41.402999999999999</v>
      </c>
      <c r="BK352" s="510">
        <v>916.74300000000017</v>
      </c>
      <c r="BL352" s="510">
        <v>2.7510083810351911</v>
      </c>
      <c r="BM352" s="510">
        <v>2.5103000513775395</v>
      </c>
      <c r="BN352" s="514">
        <v>0</v>
      </c>
      <c r="BO352" s="514">
        <v>0</v>
      </c>
      <c r="BP352" s="514">
        <v>1004.8437079334489</v>
      </c>
      <c r="BQ352" s="514">
        <v>1053.6964153647948</v>
      </c>
      <c r="BR352" s="514">
        <v>0</v>
      </c>
      <c r="BS352" s="515">
        <v>0</v>
      </c>
      <c r="BT352" s="1021">
        <v>0</v>
      </c>
      <c r="BU352" s="513">
        <v>0.72856276463859426</v>
      </c>
      <c r="BV352" s="513" t="e">
        <v>#DIV/0!</v>
      </c>
      <c r="BW352" s="513">
        <v>0.88762835263764162</v>
      </c>
      <c r="BX352" s="510">
        <v>0</v>
      </c>
      <c r="BY352" s="510">
        <v>756.91199999999992</v>
      </c>
      <c r="BZ352" s="514">
        <v>0</v>
      </c>
      <c r="CA352" s="514">
        <v>78.64016991200134</v>
      </c>
      <c r="CB352" s="510">
        <v>0</v>
      </c>
      <c r="CC352" s="510">
        <v>1.9024668653687618</v>
      </c>
      <c r="CD352" s="514">
        <v>0</v>
      </c>
      <c r="CE352" s="514">
        <v>7.986397361912613E-2</v>
      </c>
      <c r="CF352" s="514">
        <v>0</v>
      </c>
      <c r="CG352" s="514">
        <v>928.87126520550839</v>
      </c>
      <c r="CH352" s="514">
        <v>0</v>
      </c>
      <c r="CI352" s="514">
        <v>214.2706153423384</v>
      </c>
      <c r="CJ352" s="582">
        <v>0</v>
      </c>
      <c r="CK352" s="582">
        <v>0</v>
      </c>
    </row>
    <row r="353" spans="1:89" ht="12.75" customHeight="1">
      <c r="A353" s="560">
        <v>45709</v>
      </c>
      <c r="B353" s="512">
        <v>0.54663993240772257</v>
      </c>
      <c r="C353" s="513">
        <v>0.83041900266159629</v>
      </c>
      <c r="D353" s="513">
        <v>0.54663993240772257</v>
      </c>
      <c r="E353" s="513">
        <v>0.8647701027455228</v>
      </c>
      <c r="F353" s="510">
        <v>43.347999999999999</v>
      </c>
      <c r="G353" s="510">
        <v>1167.5439999999999</v>
      </c>
      <c r="H353" s="510">
        <v>3.2487773369013566</v>
      </c>
      <c r="I353" s="510">
        <v>2.4117378017445166</v>
      </c>
      <c r="J353" s="510">
        <v>1226.4731014118336</v>
      </c>
      <c r="K353" s="511">
        <v>967.73403657592257</v>
      </c>
      <c r="L353" s="512">
        <v>0.92398493185177499</v>
      </c>
      <c r="M353" s="513">
        <v>0.82831767495628694</v>
      </c>
      <c r="N353" s="513">
        <v>0.92398493185177499</v>
      </c>
      <c r="O353" s="513">
        <v>0.91607098663205477</v>
      </c>
      <c r="P353" s="510">
        <v>56.36</v>
      </c>
      <c r="Q353" s="510">
        <v>1195.9719999999998</v>
      </c>
      <c r="R353" s="510">
        <v>2.311905606813343</v>
      </c>
      <c r="S353" s="510">
        <v>2.2368583879890163</v>
      </c>
      <c r="T353" s="510">
        <v>0.2448545067423705</v>
      </c>
      <c r="U353" s="510">
        <v>0.18014635794149034</v>
      </c>
      <c r="V353" s="510">
        <v>562.33090844569824</v>
      </c>
      <c r="W353" s="510">
        <v>523.33348105139532</v>
      </c>
      <c r="X353" s="510">
        <v>622.01916252661908</v>
      </c>
      <c r="Y353" s="511">
        <v>483.80355058479614</v>
      </c>
      <c r="Z353" s="1026">
        <v>0.87085622033192278</v>
      </c>
      <c r="AA353" s="513">
        <v>0.82249930782927516</v>
      </c>
      <c r="AB353" s="513">
        <v>0.87085622033192278</v>
      </c>
      <c r="AC353" s="513">
        <v>0.85866814855033202</v>
      </c>
      <c r="AD353" s="510">
        <v>40.715000000000003</v>
      </c>
      <c r="AE353" s="510">
        <v>794.66000000000008</v>
      </c>
      <c r="AF353" s="510">
        <v>107.48654490686472</v>
      </c>
      <c r="AG353" s="510">
        <v>105.34998183717106</v>
      </c>
      <c r="AH353" s="510">
        <v>1.4613778705636742</v>
      </c>
      <c r="AI353" s="510">
        <v>1.4761029874411693</v>
      </c>
      <c r="AJ353" s="510">
        <v>874.21539972981589</v>
      </c>
      <c r="AK353" s="510">
        <v>886.6968766516494</v>
      </c>
      <c r="AL353" s="576">
        <v>0</v>
      </c>
      <c r="AM353" s="577">
        <v>0</v>
      </c>
      <c r="AN353" s="513">
        <v>0.80923152021878142</v>
      </c>
      <c r="AO353" s="513">
        <v>0.90961983784589606</v>
      </c>
      <c r="AP353" s="513">
        <v>0.80923152021878142</v>
      </c>
      <c r="AQ353" s="513">
        <v>0.92682749801863717</v>
      </c>
      <c r="AR353" s="510">
        <v>42.174999999999997</v>
      </c>
      <c r="AS353" s="510">
        <v>993.7829999999999</v>
      </c>
      <c r="AT353" s="514">
        <v>116.48335089785425</v>
      </c>
      <c r="AU353" s="514">
        <v>105.99285271013983</v>
      </c>
      <c r="AV353" s="510">
        <v>1.8589211618257264</v>
      </c>
      <c r="AW353" s="510">
        <v>1.7545077748361566</v>
      </c>
      <c r="AX353" s="510">
        <v>0.19917012448132781</v>
      </c>
      <c r="AY353" s="510">
        <v>3.2904567697374577E-2</v>
      </c>
      <c r="AZ353" s="510">
        <v>999.9687018375804</v>
      </c>
      <c r="BA353" s="510">
        <v>924.02721720939098</v>
      </c>
      <c r="BB353" s="576">
        <v>520.68761114404754</v>
      </c>
      <c r="BC353" s="576">
        <v>89.073268510328717</v>
      </c>
      <c r="BD353" s="510">
        <v>0</v>
      </c>
      <c r="BE353" s="510">
        <v>0</v>
      </c>
      <c r="BF353" s="512">
        <v>0.89397693145442725</v>
      </c>
      <c r="BG353" s="513">
        <v>0.87737081245409509</v>
      </c>
      <c r="BH353" s="513">
        <v>0.89397693145442725</v>
      </c>
      <c r="BI353" s="513">
        <v>0.90158668417447385</v>
      </c>
      <c r="BJ353" s="510">
        <v>45.595999999999997</v>
      </c>
      <c r="BK353" s="510">
        <v>962.33900000000017</v>
      </c>
      <c r="BL353" s="510">
        <v>2.4760943942451097</v>
      </c>
      <c r="BM353" s="510">
        <v>2.5086793739004651</v>
      </c>
      <c r="BN353" s="514">
        <v>0</v>
      </c>
      <c r="BO353" s="514">
        <v>0</v>
      </c>
      <c r="BP353" s="514">
        <v>988.93347158300537</v>
      </c>
      <c r="BQ353" s="514">
        <v>1050.6279216378707</v>
      </c>
      <c r="BR353" s="514">
        <v>0</v>
      </c>
      <c r="BS353" s="515">
        <v>0</v>
      </c>
      <c r="BT353" s="1021">
        <v>0</v>
      </c>
      <c r="BU353" s="513">
        <v>0.69335252471076647</v>
      </c>
      <c r="BV353" s="513" t="e">
        <v>#DIV/0!</v>
      </c>
      <c r="BW353" s="513">
        <v>0.88762835263764162</v>
      </c>
      <c r="BX353" s="510">
        <v>0</v>
      </c>
      <c r="BY353" s="510">
        <v>756.91199999999992</v>
      </c>
      <c r="BZ353" s="514">
        <v>0</v>
      </c>
      <c r="CA353" s="514">
        <v>78.64016991200134</v>
      </c>
      <c r="CB353" s="510">
        <v>0</v>
      </c>
      <c r="CC353" s="510">
        <v>1.9284936690130428</v>
      </c>
      <c r="CD353" s="514">
        <v>0</v>
      </c>
      <c r="CE353" s="514">
        <v>7.986397361912613E-2</v>
      </c>
      <c r="CF353" s="514">
        <v>0</v>
      </c>
      <c r="CG353" s="514">
        <v>940.6276112929022</v>
      </c>
      <c r="CH353" s="514">
        <v>0</v>
      </c>
      <c r="CI353" s="514">
        <v>214.2706153423384</v>
      </c>
      <c r="CJ353" s="582">
        <v>0</v>
      </c>
      <c r="CK353" s="582">
        <v>0</v>
      </c>
    </row>
    <row r="354" spans="1:89" ht="12.75" customHeight="1">
      <c r="A354" s="560">
        <v>45710</v>
      </c>
      <c r="B354" s="512">
        <v>0.88206867432936686</v>
      </c>
      <c r="C354" s="513">
        <v>0.83315101299401118</v>
      </c>
      <c r="D354" s="513">
        <v>0.88206867432936686</v>
      </c>
      <c r="E354" s="513">
        <v>0.86572088087120047</v>
      </c>
      <c r="F354" s="510">
        <v>69.262</v>
      </c>
      <c r="G354" s="510">
        <v>1236.8059999999998</v>
      </c>
      <c r="H354" s="510">
        <v>2.0332649937916893</v>
      </c>
      <c r="I354" s="510">
        <v>2.3905430601080524</v>
      </c>
      <c r="J354" s="510">
        <v>824.30683491670447</v>
      </c>
      <c r="K354" s="511">
        <v>959.70201308855223</v>
      </c>
      <c r="L354" s="512">
        <v>0.95809307999108007</v>
      </c>
      <c r="M354" s="513">
        <v>0.83303931971512435</v>
      </c>
      <c r="N354" s="513">
        <v>1.00642941695701</v>
      </c>
      <c r="O354" s="513">
        <v>0.91952554290952582</v>
      </c>
      <c r="P354" s="510">
        <v>52.231000000000002</v>
      </c>
      <c r="Q354" s="510">
        <v>1248.2029999999997</v>
      </c>
      <c r="R354" s="510">
        <v>2.3097394267772011</v>
      </c>
      <c r="S354" s="510">
        <v>2.2399080918728762</v>
      </c>
      <c r="T354" s="510">
        <v>0.32164806341061825</v>
      </c>
      <c r="U354" s="510">
        <v>0.18606749062452191</v>
      </c>
      <c r="V354" s="510">
        <v>643.7787903735632</v>
      </c>
      <c r="W354" s="510">
        <v>528.37350975762831</v>
      </c>
      <c r="X354" s="510">
        <v>541.97698684689169</v>
      </c>
      <c r="Y354" s="511">
        <v>486.23781548353895</v>
      </c>
      <c r="Z354" s="1026">
        <v>0.72650595777496751</v>
      </c>
      <c r="AA354" s="513">
        <v>0.8182854438878332</v>
      </c>
      <c r="AB354" s="513">
        <v>0.72650595777496751</v>
      </c>
      <c r="AC354" s="513">
        <v>0.85262311291726522</v>
      </c>
      <c r="AD354" s="510">
        <v>32.226999999999997</v>
      </c>
      <c r="AE354" s="510">
        <v>826.88700000000006</v>
      </c>
      <c r="AF354" s="510">
        <v>134.73936940133723</v>
      </c>
      <c r="AG354" s="510">
        <v>106.49540048933319</v>
      </c>
      <c r="AH354" s="510">
        <v>1.7593942967077298</v>
      </c>
      <c r="AI354" s="510">
        <v>1.4871439507453856</v>
      </c>
      <c r="AJ354" s="510">
        <v>1191.5797312812408</v>
      </c>
      <c r="AK354" s="510">
        <v>898.57934639194991</v>
      </c>
      <c r="AL354" s="576">
        <v>0</v>
      </c>
      <c r="AM354" s="577">
        <v>0</v>
      </c>
      <c r="AN354" s="513">
        <v>0.92220508894415754</v>
      </c>
      <c r="AO354" s="513">
        <v>0.91020777638333727</v>
      </c>
      <c r="AP354" s="513">
        <v>0.92220508894415754</v>
      </c>
      <c r="AQ354" s="513">
        <v>0.92660766457327393</v>
      </c>
      <c r="AR354" s="510">
        <v>49.375</v>
      </c>
      <c r="AS354" s="510">
        <v>1043.1579999999999</v>
      </c>
      <c r="AT354" s="514">
        <v>103.85325250234138</v>
      </c>
      <c r="AU354" s="514">
        <v>105.89158064947399</v>
      </c>
      <c r="AV354" s="510">
        <v>1.5939240506329115</v>
      </c>
      <c r="AW354" s="510">
        <v>1.7469069882031296</v>
      </c>
      <c r="AX354" s="510">
        <v>0.20658227848101265</v>
      </c>
      <c r="AY354" s="510">
        <v>4.1125121985355999E-2</v>
      </c>
      <c r="AZ354" s="510">
        <v>878.19827848101295</v>
      </c>
      <c r="BA354" s="510">
        <v>921.85803109404344</v>
      </c>
      <c r="BB354" s="576">
        <v>630.07594936707028</v>
      </c>
      <c r="BC354" s="576">
        <v>114.68013474468788</v>
      </c>
      <c r="BD354" s="510">
        <v>0</v>
      </c>
      <c r="BE354" s="510">
        <v>0</v>
      </c>
      <c r="BF354" s="512">
        <v>0.76782081830950533</v>
      </c>
      <c r="BG354" s="513">
        <v>0.87266157882616469</v>
      </c>
      <c r="BH354" s="513">
        <v>0.76782081830950533</v>
      </c>
      <c r="BI354" s="513">
        <v>0.89568477502949684</v>
      </c>
      <c r="BJ354" s="510">
        <v>37.829000000000001</v>
      </c>
      <c r="BK354" s="510">
        <v>1000.1680000000001</v>
      </c>
      <c r="BL354" s="510">
        <v>3.0717174654365698</v>
      </c>
      <c r="BM354" s="510">
        <v>2.529974964206013</v>
      </c>
      <c r="BN354" s="514">
        <v>0</v>
      </c>
      <c r="BO354" s="514">
        <v>0</v>
      </c>
      <c r="BP354" s="514">
        <v>1290.2265131525135</v>
      </c>
      <c r="BQ354" s="514">
        <v>1059.6901742978312</v>
      </c>
      <c r="BR354" s="514">
        <v>0</v>
      </c>
      <c r="BS354" s="515">
        <v>0</v>
      </c>
      <c r="BT354" s="1021">
        <v>0</v>
      </c>
      <c r="BU354" s="513">
        <v>0.66138869697180347</v>
      </c>
      <c r="BV354" s="513" t="e">
        <v>#DIV/0!</v>
      </c>
      <c r="BW354" s="513">
        <v>0.88762835263764162</v>
      </c>
      <c r="BX354" s="510">
        <v>0</v>
      </c>
      <c r="BY354" s="510">
        <v>756.91199999999992</v>
      </c>
      <c r="BZ354" s="514">
        <v>0</v>
      </c>
      <c r="CA354" s="514">
        <v>78.64016991200134</v>
      </c>
      <c r="CB354" s="510">
        <v>0</v>
      </c>
      <c r="CC354" s="510">
        <v>1.9432906335214666</v>
      </c>
      <c r="CD354" s="514">
        <v>0</v>
      </c>
      <c r="CE354" s="514">
        <v>7.986397361912613E-2</v>
      </c>
      <c r="CF354" s="514">
        <v>0</v>
      </c>
      <c r="CG354" s="514">
        <v>951.53172066618924</v>
      </c>
      <c r="CH354" s="514">
        <v>0</v>
      </c>
      <c r="CI354" s="514">
        <v>214.2706153423384</v>
      </c>
      <c r="CJ354" s="582">
        <v>0</v>
      </c>
      <c r="CK354" s="582">
        <v>0</v>
      </c>
    </row>
    <row r="355" spans="1:89" ht="12.75" customHeight="1">
      <c r="A355" s="560">
        <v>45711</v>
      </c>
      <c r="B355" s="512">
        <v>0.92436782033090026</v>
      </c>
      <c r="C355" s="513">
        <v>0.8377966046231563</v>
      </c>
      <c r="D355" s="513">
        <v>0.92436782033090026</v>
      </c>
      <c r="E355" s="513">
        <v>0.86881831362707751</v>
      </c>
      <c r="F355" s="510">
        <v>73.635999999999996</v>
      </c>
      <c r="G355" s="510">
        <v>1310.4419999999998</v>
      </c>
      <c r="H355" s="510">
        <v>1.9508800043457002</v>
      </c>
      <c r="I355" s="510">
        <v>2.365837633409186</v>
      </c>
      <c r="J355" s="510">
        <v>797.38660437827502</v>
      </c>
      <c r="K355" s="511">
        <v>950.58122984458566</v>
      </c>
      <c r="L355" s="512">
        <v>0.90532734569937978</v>
      </c>
      <c r="M355" s="513">
        <v>0.83559276035633401</v>
      </c>
      <c r="N355" s="513">
        <v>0.90532734569937978</v>
      </c>
      <c r="O355" s="513">
        <v>0.91897397226041067</v>
      </c>
      <c r="P355" s="510">
        <v>49.670999999999999</v>
      </c>
      <c r="Q355" s="510">
        <v>1297.8739999999998</v>
      </c>
      <c r="R355" s="510">
        <v>2.4465180890257896</v>
      </c>
      <c r="S355" s="510">
        <v>2.2478152732853882</v>
      </c>
      <c r="T355" s="510">
        <v>0.33822552394757505</v>
      </c>
      <c r="U355" s="510">
        <v>0.19189073823807251</v>
      </c>
      <c r="V355" s="510">
        <v>673.46822089346517</v>
      </c>
      <c r="W355" s="510">
        <v>533.92643661865498</v>
      </c>
      <c r="X355" s="510">
        <v>612.65124519337246</v>
      </c>
      <c r="Y355" s="511">
        <v>491.07579009980918</v>
      </c>
      <c r="Z355" s="1026">
        <v>0.87321663250905035</v>
      </c>
      <c r="AA355" s="513">
        <v>0.82065809485138219</v>
      </c>
      <c r="AB355" s="513">
        <v>0.87321663250905035</v>
      </c>
      <c r="AC355" s="513">
        <v>0.85354826101360781</v>
      </c>
      <c r="AD355" s="510">
        <v>39.834000000000003</v>
      </c>
      <c r="AE355" s="510">
        <v>866.721</v>
      </c>
      <c r="AF355" s="510">
        <v>102.29537608102919</v>
      </c>
      <c r="AG355" s="510">
        <v>106.30236977670435</v>
      </c>
      <c r="AH355" s="510">
        <v>1.4460009037505648</v>
      </c>
      <c r="AI355" s="510">
        <v>1.4852530399055748</v>
      </c>
      <c r="AJ355" s="510">
        <v>890.82894010142093</v>
      </c>
      <c r="AK355" s="510">
        <v>898.22314216454936</v>
      </c>
      <c r="AL355" s="576">
        <v>0</v>
      </c>
      <c r="AM355" s="577">
        <v>0</v>
      </c>
      <c r="AN355" s="513">
        <v>0.94090766421776362</v>
      </c>
      <c r="AO355" s="513">
        <v>0.91159109055870191</v>
      </c>
      <c r="AP355" s="513">
        <v>0.94090766421776362</v>
      </c>
      <c r="AQ355" s="513">
        <v>0.92726308951783487</v>
      </c>
      <c r="AR355" s="510">
        <v>50.881999999999998</v>
      </c>
      <c r="AS355" s="510">
        <v>1094.04</v>
      </c>
      <c r="AT355" s="514">
        <v>96.71722788389377</v>
      </c>
      <c r="AU355" s="514">
        <v>105.4648966000624</v>
      </c>
      <c r="AV355" s="510">
        <v>1.532958610117527</v>
      </c>
      <c r="AW355" s="510">
        <v>1.7369566012211621</v>
      </c>
      <c r="AX355" s="510">
        <v>0.21815180220903266</v>
      </c>
      <c r="AY355" s="510">
        <v>4.9358341559723587E-2</v>
      </c>
      <c r="AZ355" s="510">
        <v>829.67021736566983</v>
      </c>
      <c r="BA355" s="510">
        <v>917.57052758582881</v>
      </c>
      <c r="BB355" s="576">
        <v>536.53551354115223</v>
      </c>
      <c r="BC355" s="576">
        <v>134.29993418887793</v>
      </c>
      <c r="BD355" s="510">
        <v>0</v>
      </c>
      <c r="BE355" s="510">
        <v>0</v>
      </c>
      <c r="BF355" s="512">
        <v>0.80968411974169929</v>
      </c>
      <c r="BG355" s="513">
        <v>0.86990104083767172</v>
      </c>
      <c r="BH355" s="513">
        <v>0.80968411974169929</v>
      </c>
      <c r="BI355" s="513">
        <v>0.89182005765893779</v>
      </c>
      <c r="BJ355" s="510">
        <v>42.542000000000002</v>
      </c>
      <c r="BK355" s="510">
        <v>1042.71</v>
      </c>
      <c r="BL355" s="510">
        <v>2.9030134925485402</v>
      </c>
      <c r="BM355" s="510">
        <v>2.5451947329554718</v>
      </c>
      <c r="BN355" s="514">
        <v>0</v>
      </c>
      <c r="BO355" s="514">
        <v>0</v>
      </c>
      <c r="BP355" s="514">
        <v>1148.4541117621538</v>
      </c>
      <c r="BQ355" s="514">
        <v>1063.3116945936058</v>
      </c>
      <c r="BR355" s="514">
        <v>0</v>
      </c>
      <c r="BS355" s="515">
        <v>0</v>
      </c>
      <c r="BT355" s="1021">
        <v>0</v>
      </c>
      <c r="BU355" s="513">
        <v>0.63224208486647515</v>
      </c>
      <c r="BV355" s="513" t="e">
        <v>#DIV/0!</v>
      </c>
      <c r="BW355" s="513">
        <v>0.88762835263764162</v>
      </c>
      <c r="BX355" s="510">
        <v>0</v>
      </c>
      <c r="BY355" s="510">
        <v>756.91199999999992</v>
      </c>
      <c r="BZ355" s="514">
        <v>0</v>
      </c>
      <c r="CA355" s="514">
        <v>78.64016991200134</v>
      </c>
      <c r="CB355" s="510">
        <v>0</v>
      </c>
      <c r="CC355" s="510">
        <v>1.9579554822753507</v>
      </c>
      <c r="CD355" s="514">
        <v>0</v>
      </c>
      <c r="CE355" s="514">
        <v>7.986397361912613E-2</v>
      </c>
      <c r="CF355" s="514">
        <v>0</v>
      </c>
      <c r="CG355" s="514">
        <v>961.66438493550243</v>
      </c>
      <c r="CH355" s="514">
        <v>0</v>
      </c>
      <c r="CI355" s="514">
        <v>214.2706153423384</v>
      </c>
      <c r="CJ355" s="582">
        <v>0</v>
      </c>
      <c r="CK355" s="582">
        <v>0</v>
      </c>
    </row>
    <row r="356" spans="1:89" ht="12.75" customHeight="1">
      <c r="A356" s="560">
        <v>45712</v>
      </c>
      <c r="B356" s="512">
        <v>0.85682992099448174</v>
      </c>
      <c r="C356" s="513">
        <v>0.83871442755126158</v>
      </c>
      <c r="D356" s="513">
        <v>0.85682992099448174</v>
      </c>
      <c r="E356" s="513">
        <v>0.86821987309171089</v>
      </c>
      <c r="F356" s="510">
        <v>67.902000000000001</v>
      </c>
      <c r="G356" s="510">
        <v>1378.3439999999998</v>
      </c>
      <c r="H356" s="510">
        <v>2.1694059085152131</v>
      </c>
      <c r="I356" s="510">
        <v>2.356160726204779</v>
      </c>
      <c r="J356" s="510">
        <v>871.15755058762647</v>
      </c>
      <c r="K356" s="511">
        <v>946.66854428212378</v>
      </c>
      <c r="L356" s="512">
        <v>0.89130680424614139</v>
      </c>
      <c r="M356" s="513">
        <v>0.8375603672597649</v>
      </c>
      <c r="N356" s="513">
        <v>0.89130680424614139</v>
      </c>
      <c r="O356" s="513">
        <v>0.91790314577907017</v>
      </c>
      <c r="P356" s="510">
        <v>50.682000000000002</v>
      </c>
      <c r="Q356" s="510">
        <v>1348.5559999999998</v>
      </c>
      <c r="R356" s="510">
        <v>2.4595122528708417</v>
      </c>
      <c r="S356" s="510">
        <v>2.2557713584011339</v>
      </c>
      <c r="T356" s="510">
        <v>0.32555937019060022</v>
      </c>
      <c r="U356" s="510">
        <v>0.19691432910461271</v>
      </c>
      <c r="V356" s="510">
        <v>668.46237322914124</v>
      </c>
      <c r="W356" s="510">
        <v>538.98262289441413</v>
      </c>
      <c r="X356" s="510">
        <v>604.17899846099215</v>
      </c>
      <c r="Y356" s="511">
        <v>495.32648254874084</v>
      </c>
      <c r="Z356" s="1026">
        <v>0.76920761458585896</v>
      </c>
      <c r="AA356" s="513">
        <v>0.81873564204969151</v>
      </c>
      <c r="AB356" s="513">
        <v>0.76920761458585896</v>
      </c>
      <c r="AC356" s="513">
        <v>0.85027546356193118</v>
      </c>
      <c r="AD356" s="510">
        <v>31.533000000000001</v>
      </c>
      <c r="AE356" s="510">
        <v>898.25400000000002</v>
      </c>
      <c r="AF356" s="510">
        <v>102.04919918737563</v>
      </c>
      <c r="AG356" s="510">
        <v>106.15306320173411</v>
      </c>
      <c r="AH356" s="510">
        <v>1.8583705958836774</v>
      </c>
      <c r="AI356" s="510">
        <v>1.4983512458614152</v>
      </c>
      <c r="AJ356" s="510">
        <v>1106.0209938794164</v>
      </c>
      <c r="AK356" s="510">
        <v>905.51783793893492</v>
      </c>
      <c r="AL356" s="576">
        <v>0</v>
      </c>
      <c r="AM356" s="577">
        <v>0</v>
      </c>
      <c r="AN356" s="513">
        <v>0.85806370494541628</v>
      </c>
      <c r="AO356" s="513">
        <v>0.90928317904580269</v>
      </c>
      <c r="AP356" s="513">
        <v>0.85806370494541628</v>
      </c>
      <c r="AQ356" s="513">
        <v>0.92423041047037846</v>
      </c>
      <c r="AR356" s="510">
        <v>46.402000000000001</v>
      </c>
      <c r="AS356" s="510">
        <v>1140.442</v>
      </c>
      <c r="AT356" s="514">
        <v>93.596883798639794</v>
      </c>
      <c r="AU356" s="514">
        <v>104.98201405977397</v>
      </c>
      <c r="AV356" s="510">
        <v>1.6874272660661178</v>
      </c>
      <c r="AW356" s="510">
        <v>1.7349413648392467</v>
      </c>
      <c r="AX356" s="510">
        <v>0.18318175940692211</v>
      </c>
      <c r="AY356" s="510">
        <v>5.4803313101411552E-2</v>
      </c>
      <c r="AZ356" s="510">
        <v>932.20464635144981</v>
      </c>
      <c r="BA356" s="510">
        <v>918.16595670801325</v>
      </c>
      <c r="BB356" s="576">
        <v>560.32067583294224</v>
      </c>
      <c r="BC356" s="576">
        <v>151.63375252752894</v>
      </c>
      <c r="BD356" s="510">
        <v>0</v>
      </c>
      <c r="BE356" s="510">
        <v>0</v>
      </c>
      <c r="BF356" s="512">
        <v>0.94793774112388229</v>
      </c>
      <c r="BG356" s="513">
        <v>0.87317374913509505</v>
      </c>
      <c r="BH356" s="513">
        <v>0.94793774112388229</v>
      </c>
      <c r="BI356" s="513">
        <v>0.89423027848906755</v>
      </c>
      <c r="BJ356" s="510">
        <v>49.738</v>
      </c>
      <c r="BK356" s="510">
        <v>1092.4480000000001</v>
      </c>
      <c r="BL356" s="510">
        <v>2.5071373999758735</v>
      </c>
      <c r="BM356" s="510">
        <v>2.5434620229063531</v>
      </c>
      <c r="BN356" s="514">
        <v>0</v>
      </c>
      <c r="BO356" s="514">
        <v>0</v>
      </c>
      <c r="BP356" s="514">
        <v>983.39795222210819</v>
      </c>
      <c r="BQ356" s="514">
        <v>1059.6733065714084</v>
      </c>
      <c r="BR356" s="514">
        <v>0</v>
      </c>
      <c r="BS356" s="515">
        <v>0</v>
      </c>
      <c r="BT356" s="1021">
        <v>0</v>
      </c>
      <c r="BU356" s="513">
        <v>0.60555595518992755</v>
      </c>
      <c r="BV356" s="513" t="e">
        <v>#DIV/0!</v>
      </c>
      <c r="BW356" s="513">
        <v>0.88762835263764162</v>
      </c>
      <c r="BX356" s="510">
        <v>0</v>
      </c>
      <c r="BY356" s="510">
        <v>756.91199999999992</v>
      </c>
      <c r="BZ356" s="514">
        <v>0</v>
      </c>
      <c r="CA356" s="514">
        <v>78.64016991200134</v>
      </c>
      <c r="CB356" s="510">
        <v>0</v>
      </c>
      <c r="CC356" s="510">
        <v>1.9798866975289071</v>
      </c>
      <c r="CD356" s="514">
        <v>0</v>
      </c>
      <c r="CE356" s="514">
        <v>7.986397361912613E-2</v>
      </c>
      <c r="CF356" s="514">
        <v>0</v>
      </c>
      <c r="CG356" s="514">
        <v>974.80695983506291</v>
      </c>
      <c r="CH356" s="514">
        <v>0</v>
      </c>
      <c r="CI356" s="514">
        <v>214.2706153423384</v>
      </c>
      <c r="CJ356" s="582">
        <v>0</v>
      </c>
      <c r="CK356" s="582">
        <v>0</v>
      </c>
    </row>
    <row r="357" spans="1:89" ht="12.75" customHeight="1">
      <c r="A357" s="560">
        <v>45713</v>
      </c>
      <c r="B357" s="512">
        <v>0.97044098916758081</v>
      </c>
      <c r="C357" s="513">
        <v>0.84477804021852321</v>
      </c>
      <c r="D357" s="513">
        <v>0.97044098916758081</v>
      </c>
      <c r="E357" s="513">
        <v>0.87308295526363267</v>
      </c>
      <c r="F357" s="510">
        <v>76.954999999999998</v>
      </c>
      <c r="G357" s="510">
        <v>1455.2989999999998</v>
      </c>
      <c r="H357" s="510">
        <v>1.9119095575336236</v>
      </c>
      <c r="I357" s="510">
        <v>2.3326690941174286</v>
      </c>
      <c r="J357" s="510">
        <v>768.21519069587009</v>
      </c>
      <c r="K357" s="511">
        <v>937.23207945583704</v>
      </c>
      <c r="L357" s="512">
        <v>0.97168697069526178</v>
      </c>
      <c r="M357" s="513">
        <v>0.84197228734638252</v>
      </c>
      <c r="N357" s="513">
        <v>0.97168697069526178</v>
      </c>
      <c r="O357" s="513">
        <v>0.91983590143967986</v>
      </c>
      <c r="P357" s="510">
        <v>53.213000000000001</v>
      </c>
      <c r="Q357" s="510">
        <v>1401.7689999999998</v>
      </c>
      <c r="R357" s="510">
        <v>2.294552083137579</v>
      </c>
      <c r="S357" s="510">
        <v>2.2572435258591108</v>
      </c>
      <c r="T357" s="510">
        <v>0.30255764568808374</v>
      </c>
      <c r="U357" s="510">
        <v>0.20092468873259442</v>
      </c>
      <c r="V357" s="510">
        <v>646.27647379400514</v>
      </c>
      <c r="W357" s="510">
        <v>543.05563898188643</v>
      </c>
      <c r="X357" s="510">
        <v>583.89867137729505</v>
      </c>
      <c r="Y357" s="511">
        <v>498.688799652439</v>
      </c>
      <c r="Z357" s="1026">
        <v>0.61038780050629216</v>
      </c>
      <c r="AA357" s="513">
        <v>0.81077112627042891</v>
      </c>
      <c r="AB357" s="513">
        <v>0.61038780050629216</v>
      </c>
      <c r="AC357" s="513">
        <v>0.84076601876471058</v>
      </c>
      <c r="AD357" s="510">
        <v>26.617000000000001</v>
      </c>
      <c r="AE357" s="510">
        <v>924.87099999999998</v>
      </c>
      <c r="AF357" s="510">
        <v>145.7020342812863</v>
      </c>
      <c r="AG357" s="510">
        <v>107.29124891976879</v>
      </c>
      <c r="AH357" s="510">
        <v>2.3518803772025398</v>
      </c>
      <c r="AI357" s="510">
        <v>1.5229150876176241</v>
      </c>
      <c r="AJ357" s="510">
        <v>1393.8325130555795</v>
      </c>
      <c r="AK357" s="510">
        <v>919.57111856680592</v>
      </c>
      <c r="AL357" s="576">
        <v>0</v>
      </c>
      <c r="AM357" s="577">
        <v>0</v>
      </c>
      <c r="AN357" s="513">
        <v>0.82351588183311342</v>
      </c>
      <c r="AO357" s="513">
        <v>0.905740624789932</v>
      </c>
      <c r="AP357" s="513">
        <v>0.82351588183311342</v>
      </c>
      <c r="AQ357" s="513">
        <v>0.92000495790324444</v>
      </c>
      <c r="AR357" s="510">
        <v>44.5</v>
      </c>
      <c r="AS357" s="510">
        <v>1184.942</v>
      </c>
      <c r="AT357" s="514">
        <v>105.99660569741582</v>
      </c>
      <c r="AU357" s="514">
        <v>105.02011662333832</v>
      </c>
      <c r="AV357" s="510">
        <v>1.7505617977528092</v>
      </c>
      <c r="AW357" s="510">
        <v>1.7355279836481448</v>
      </c>
      <c r="AX357" s="510">
        <v>0.21123595505617979</v>
      </c>
      <c r="AY357" s="510">
        <v>6.067807538259256E-2</v>
      </c>
      <c r="AZ357" s="510">
        <v>971.90202247191019</v>
      </c>
      <c r="BA357" s="510">
        <v>920.18399212788472</v>
      </c>
      <c r="BB357" s="576">
        <v>606.74157303369054</v>
      </c>
      <c r="BC357" s="576">
        <v>168.72513591382483</v>
      </c>
      <c r="BD357" s="510">
        <v>0</v>
      </c>
      <c r="BE357" s="510">
        <v>0</v>
      </c>
      <c r="BF357" s="512">
        <v>0.7343886173732932</v>
      </c>
      <c r="BG357" s="513">
        <v>0.86789935182582278</v>
      </c>
      <c r="BH357" s="513">
        <v>0.7343886173732932</v>
      </c>
      <c r="BI357" s="513">
        <v>0.88801485463844043</v>
      </c>
      <c r="BJ357" s="510">
        <v>36.298000000000002</v>
      </c>
      <c r="BK357" s="510">
        <v>1128.7460000000001</v>
      </c>
      <c r="BL357" s="510">
        <v>3.0910793983139566</v>
      </c>
      <c r="BM357" s="510">
        <v>2.5610721987054657</v>
      </c>
      <c r="BN357" s="514">
        <v>0</v>
      </c>
      <c r="BO357" s="514">
        <v>0</v>
      </c>
      <c r="BP357" s="514">
        <v>1404.3150950771844</v>
      </c>
      <c r="BQ357" s="514">
        <v>1070.7562319055248</v>
      </c>
      <c r="BR357" s="514">
        <v>0</v>
      </c>
      <c r="BS357" s="515">
        <v>0</v>
      </c>
      <c r="BT357" s="1021">
        <v>0</v>
      </c>
      <c r="BU357" s="513">
        <v>0.58103136451382298</v>
      </c>
      <c r="BV357" s="513" t="e">
        <v>#DIV/0!</v>
      </c>
      <c r="BW357" s="513">
        <v>0.88762835263764162</v>
      </c>
      <c r="BX357" s="510">
        <v>0</v>
      </c>
      <c r="BY357" s="510">
        <v>756.91199999999992</v>
      </c>
      <c r="BZ357" s="514">
        <v>0</v>
      </c>
      <c r="CA357" s="514">
        <v>78.64016991200134</v>
      </c>
      <c r="CB357" s="510">
        <v>0</v>
      </c>
      <c r="CC357" s="510">
        <v>1.9842465174287103</v>
      </c>
      <c r="CD357" s="514">
        <v>0</v>
      </c>
      <c r="CE357" s="514">
        <v>7.986397361912613E-2</v>
      </c>
      <c r="CF357" s="514">
        <v>0</v>
      </c>
      <c r="CG357" s="514">
        <v>983.4880095196869</v>
      </c>
      <c r="CH357" s="514">
        <v>0</v>
      </c>
      <c r="CI357" s="514">
        <v>214.2706153423384</v>
      </c>
      <c r="CJ357" s="582">
        <v>0</v>
      </c>
      <c r="CK357" s="582">
        <v>0</v>
      </c>
    </row>
    <row r="358" spans="1:89" ht="12.75" customHeight="1">
      <c r="A358" s="560">
        <v>45714</v>
      </c>
      <c r="B358" s="512">
        <v>0.88853790676786648</v>
      </c>
      <c r="C358" s="513">
        <v>0.84663317931770576</v>
      </c>
      <c r="D358" s="513">
        <v>1.014801187272226</v>
      </c>
      <c r="E358" s="513">
        <v>0.87854164332439189</v>
      </c>
      <c r="F358" s="510">
        <v>67.763999999999996</v>
      </c>
      <c r="G358" s="510">
        <v>1523.0629999999996</v>
      </c>
      <c r="H358" s="510">
        <v>2.0277433445487283</v>
      </c>
      <c r="I358" s="510">
        <v>2.3191023614912845</v>
      </c>
      <c r="J358" s="510">
        <v>806.90307537926185</v>
      </c>
      <c r="K358" s="511">
        <v>931.43349158898923</v>
      </c>
      <c r="L358" s="512">
        <v>0.91800510309872685</v>
      </c>
      <c r="M358" s="513">
        <v>0.84430824632183288</v>
      </c>
      <c r="N358" s="513">
        <v>0.91800510309872685</v>
      </c>
      <c r="O358" s="513">
        <v>0.91977462619686923</v>
      </c>
      <c r="P358" s="510">
        <v>48.444000000000003</v>
      </c>
      <c r="Q358" s="510">
        <v>1450.2129999999997</v>
      </c>
      <c r="R358" s="510">
        <v>2.5433903063330856</v>
      </c>
      <c r="S358" s="510">
        <v>2.2668021869890835</v>
      </c>
      <c r="T358" s="510">
        <v>0.30344315085459495</v>
      </c>
      <c r="U358" s="510">
        <v>0.20434929213846528</v>
      </c>
      <c r="V358" s="510">
        <v>700.33770952028908</v>
      </c>
      <c r="W358" s="510">
        <v>548.30960693360271</v>
      </c>
      <c r="X358" s="510">
        <v>555.01197258690445</v>
      </c>
      <c r="Y358" s="511">
        <v>500.57026105820302</v>
      </c>
      <c r="Z358" s="1026">
        <v>0.87994758338231438</v>
      </c>
      <c r="AA358" s="513">
        <v>0.81332324490094898</v>
      </c>
      <c r="AB358" s="513">
        <v>0.87994758338231438</v>
      </c>
      <c r="AC358" s="513">
        <v>0.84226297409642847</v>
      </c>
      <c r="AD358" s="510">
        <v>38.451000000000001</v>
      </c>
      <c r="AE358" s="510">
        <v>963.322</v>
      </c>
      <c r="AF358" s="510">
        <v>103.48317535816365</v>
      </c>
      <c r="AG358" s="510">
        <v>107.13924965418855</v>
      </c>
      <c r="AH358" s="510">
        <v>1.6176432342461835</v>
      </c>
      <c r="AI358" s="510">
        <v>1.5266961618233568</v>
      </c>
      <c r="AJ358" s="510">
        <v>912.7861434032784</v>
      </c>
      <c r="AK358" s="510">
        <v>919.30029626646115</v>
      </c>
      <c r="AL358" s="576">
        <v>0</v>
      </c>
      <c r="AM358" s="577">
        <v>0</v>
      </c>
      <c r="AN358" s="513">
        <v>0.86771172256161466</v>
      </c>
      <c r="AO358" s="513">
        <v>0.90424342999879781</v>
      </c>
      <c r="AP358" s="513">
        <v>0.86771172256161466</v>
      </c>
      <c r="AQ358" s="513">
        <v>0.91791504994736084</v>
      </c>
      <c r="AR358" s="510">
        <v>46.524000000000001</v>
      </c>
      <c r="AS358" s="510">
        <v>1231.4659999999999</v>
      </c>
      <c r="AT358" s="514">
        <v>105.25682280765305</v>
      </c>
      <c r="AU358" s="514">
        <v>105.02905923200075</v>
      </c>
      <c r="AV358" s="510">
        <v>1.7259908864242111</v>
      </c>
      <c r="AW358" s="510">
        <v>1.7351676781981804</v>
      </c>
      <c r="AX358" s="510">
        <v>0.21924168171266442</v>
      </c>
      <c r="AY358" s="510">
        <v>6.6668507291309714E-2</v>
      </c>
      <c r="AZ358" s="510">
        <v>866.16670965523315</v>
      </c>
      <c r="BA358" s="510">
        <v>918.14325365052707</v>
      </c>
      <c r="BB358" s="576">
        <v>589.15828389648266</v>
      </c>
      <c r="BC358" s="576">
        <v>184.60883207494106</v>
      </c>
      <c r="BD358" s="510">
        <v>0</v>
      </c>
      <c r="BE358" s="510">
        <v>0</v>
      </c>
      <c r="BF358" s="512">
        <v>0.90909757235666866</v>
      </c>
      <c r="BG358" s="513">
        <v>0.86939471557003223</v>
      </c>
      <c r="BH358" s="513">
        <v>0.90909757235666866</v>
      </c>
      <c r="BI358" s="513">
        <v>0.8887971678212222</v>
      </c>
      <c r="BJ358" s="510">
        <v>44.530999999999999</v>
      </c>
      <c r="BK358" s="510">
        <v>1173.277</v>
      </c>
      <c r="BL358" s="510">
        <v>2.5106105858839909</v>
      </c>
      <c r="BM358" s="510">
        <v>2.559156959524477</v>
      </c>
      <c r="BN358" s="514">
        <v>0</v>
      </c>
      <c r="BO358" s="514">
        <v>0</v>
      </c>
      <c r="BP358" s="514">
        <v>985.13149019477646</v>
      </c>
      <c r="BQ358" s="514">
        <v>1067.506398001748</v>
      </c>
      <c r="BR358" s="514">
        <v>0</v>
      </c>
      <c r="BS358" s="515">
        <v>0</v>
      </c>
      <c r="BT358" s="1021">
        <v>0</v>
      </c>
      <c r="BU358" s="513">
        <v>0.55841591244476363</v>
      </c>
      <c r="BV358" s="513" t="e">
        <v>#DIV/0!</v>
      </c>
      <c r="BW358" s="513">
        <v>0.88762835263764162</v>
      </c>
      <c r="BX358" s="510">
        <v>0</v>
      </c>
      <c r="BY358" s="510">
        <v>756.91199999999992</v>
      </c>
      <c r="BZ358" s="514">
        <v>0</v>
      </c>
      <c r="CA358" s="514">
        <v>78.64016991200134</v>
      </c>
      <c r="CB358" s="510">
        <v>0</v>
      </c>
      <c r="CC358" s="510">
        <v>2.0030069545733191</v>
      </c>
      <c r="CD358" s="514">
        <v>0</v>
      </c>
      <c r="CE358" s="514">
        <v>7.986397361912613E-2</v>
      </c>
      <c r="CF358" s="514">
        <v>0</v>
      </c>
      <c r="CG358" s="514">
        <v>997.93366451014504</v>
      </c>
      <c r="CH358" s="514">
        <v>0</v>
      </c>
      <c r="CI358" s="514">
        <v>214.2706153423384</v>
      </c>
      <c r="CJ358" s="582">
        <v>0</v>
      </c>
      <c r="CK358" s="582">
        <v>0</v>
      </c>
    </row>
    <row r="359" spans="1:89" ht="12.75" customHeight="1">
      <c r="A359" s="560">
        <v>45715</v>
      </c>
      <c r="B359" s="512">
        <v>0.57652915863044829</v>
      </c>
      <c r="C359" s="513">
        <v>0.83574931428084287</v>
      </c>
      <c r="D359" s="513">
        <v>0.8029032770095218</v>
      </c>
      <c r="E359" s="513">
        <v>0.87624706528371787</v>
      </c>
      <c r="F359" s="510">
        <v>43.546999999999997</v>
      </c>
      <c r="G359" s="510">
        <v>1566.6099999999997</v>
      </c>
      <c r="H359" s="510">
        <v>2.409350816359336</v>
      </c>
      <c r="I359" s="510">
        <v>2.3216109944402246</v>
      </c>
      <c r="J359" s="510">
        <v>985.54159873236335</v>
      </c>
      <c r="K359" s="511">
        <v>932.9375326341584</v>
      </c>
      <c r="L359" s="512">
        <v>0.77659005806387371</v>
      </c>
      <c r="M359" s="513">
        <v>0.8423023889223834</v>
      </c>
      <c r="N359" s="513">
        <v>0.88173790668419139</v>
      </c>
      <c r="O359" s="513">
        <v>0.91869231501833692</v>
      </c>
      <c r="P359" s="510">
        <v>40.716999999999999</v>
      </c>
      <c r="Q359" s="510">
        <v>1490.9299999999998</v>
      </c>
      <c r="R359" s="510">
        <v>2.5215020753002428</v>
      </c>
      <c r="S359" s="510">
        <v>2.2737579899794085</v>
      </c>
      <c r="T359" s="510">
        <v>0.32664489034064398</v>
      </c>
      <c r="U359" s="510">
        <v>0.20768916045689612</v>
      </c>
      <c r="V359" s="510">
        <v>764.88125353042392</v>
      </c>
      <c r="W359" s="510">
        <v>554.22413527127298</v>
      </c>
      <c r="X359" s="510">
        <v>623.20406709728127</v>
      </c>
      <c r="Y359" s="511">
        <v>503.91936576499216</v>
      </c>
      <c r="Z359" s="1026">
        <v>0.89660779613887009</v>
      </c>
      <c r="AA359" s="513">
        <v>0.81628652770210375</v>
      </c>
      <c r="AB359" s="513">
        <v>0.89660779613887009</v>
      </c>
      <c r="AC359" s="513">
        <v>0.84426284457374778</v>
      </c>
      <c r="AD359" s="510">
        <v>39.179000000000002</v>
      </c>
      <c r="AE359" s="510">
        <v>1002.501</v>
      </c>
      <c r="AF359" s="510">
        <v>100.36012441705958</v>
      </c>
      <c r="AG359" s="510">
        <v>106.874312913312</v>
      </c>
      <c r="AH359" s="510">
        <v>1.5901375737001964</v>
      </c>
      <c r="AI359" s="510">
        <v>1.5291755319944813</v>
      </c>
      <c r="AJ359" s="510">
        <v>967.54332678220931</v>
      </c>
      <c r="AK359" s="510">
        <v>921.18569457786077</v>
      </c>
      <c r="AL359" s="576">
        <v>0</v>
      </c>
      <c r="AM359" s="577">
        <v>0</v>
      </c>
      <c r="AN359" s="513">
        <v>0.49167839618378512</v>
      </c>
      <c r="AO359" s="513">
        <v>0.88917018089259947</v>
      </c>
      <c r="AP359" s="513">
        <v>0.67174278036494373</v>
      </c>
      <c r="AQ359" s="513">
        <v>0.91116905857644936</v>
      </c>
      <c r="AR359" s="510">
        <v>25.391999999999999</v>
      </c>
      <c r="AS359" s="510">
        <v>1256.8579999999999</v>
      </c>
      <c r="AT359" s="514">
        <v>147.48945741809558</v>
      </c>
      <c r="AU359" s="514">
        <v>105.88687644821874</v>
      </c>
      <c r="AV359" s="510">
        <v>2.4062696912413362</v>
      </c>
      <c r="AW359" s="510">
        <v>1.7487257908212386</v>
      </c>
      <c r="AX359" s="510">
        <v>0.26780088216761183</v>
      </c>
      <c r="AY359" s="510">
        <v>7.0731936304658113E-2</v>
      </c>
      <c r="AZ359" s="510">
        <v>1372.7701638311278</v>
      </c>
      <c r="BA359" s="510">
        <v>927.32797181543174</v>
      </c>
      <c r="BB359" s="576">
        <v>795.52614996851912</v>
      </c>
      <c r="BC359" s="576">
        <v>196.95104777150641</v>
      </c>
      <c r="BD359" s="510">
        <v>0</v>
      </c>
      <c r="BE359" s="510">
        <v>0</v>
      </c>
      <c r="BF359" s="512">
        <v>0.44913349136447472</v>
      </c>
      <c r="BG359" s="513">
        <v>0.85471763087451569</v>
      </c>
      <c r="BH359" s="513">
        <v>0.68079181848930903</v>
      </c>
      <c r="BI359" s="513">
        <v>0.88384143605279086</v>
      </c>
      <c r="BJ359" s="510">
        <v>21.934000000000001</v>
      </c>
      <c r="BK359" s="510">
        <v>1195.211</v>
      </c>
      <c r="BL359" s="510">
        <v>3.5652411780796935</v>
      </c>
      <c r="BM359" s="510">
        <v>2.5776201858918633</v>
      </c>
      <c r="BN359" s="514">
        <v>0</v>
      </c>
      <c r="BO359" s="514">
        <v>0</v>
      </c>
      <c r="BP359" s="514">
        <v>1513.0012556168567</v>
      </c>
      <c r="BQ359" s="514">
        <v>1075.6819286879029</v>
      </c>
      <c r="BR359" s="514">
        <v>0</v>
      </c>
      <c r="BS359" s="515">
        <v>0</v>
      </c>
      <c r="BT359" s="1021">
        <v>0</v>
      </c>
      <c r="BU359" s="513">
        <v>0.53749502301808894</v>
      </c>
      <c r="BV359" s="513" t="e">
        <v>#DIV/0!</v>
      </c>
      <c r="BW359" s="513">
        <v>0.88762835263764162</v>
      </c>
      <c r="BX359" s="510">
        <v>0</v>
      </c>
      <c r="BY359" s="510">
        <v>756.91199999999992</v>
      </c>
      <c r="BZ359" s="514">
        <v>0</v>
      </c>
      <c r="CA359" s="514">
        <v>78.642730820936251</v>
      </c>
      <c r="CB359" s="510">
        <v>0</v>
      </c>
      <c r="CC359" s="510">
        <v>2.0146331409727947</v>
      </c>
      <c r="CD359" s="514">
        <v>0</v>
      </c>
      <c r="CE359" s="514">
        <v>7.986397361912613E-2</v>
      </c>
      <c r="CF359" s="514">
        <v>0</v>
      </c>
      <c r="CG359" s="514">
        <v>1008.1541134649763</v>
      </c>
      <c r="CH359" s="514">
        <v>0</v>
      </c>
      <c r="CI359" s="514">
        <v>214.2706153423384</v>
      </c>
      <c r="CJ359" s="582">
        <v>0</v>
      </c>
      <c r="CK359" s="582">
        <v>0</v>
      </c>
    </row>
    <row r="360" spans="1:89" ht="12.75" customHeight="1">
      <c r="A360" s="560">
        <v>45716</v>
      </c>
      <c r="B360" s="512">
        <v>0.88548804980110984</v>
      </c>
      <c r="C360" s="513">
        <v>0.83769523903512089</v>
      </c>
      <c r="D360" s="513">
        <v>0.88548804980110984</v>
      </c>
      <c r="E360" s="513">
        <v>0.8766254011798259</v>
      </c>
      <c r="F360" s="510">
        <v>67.581999999999994</v>
      </c>
      <c r="G360" s="510">
        <v>1634.1919999999996</v>
      </c>
      <c r="H360" s="510">
        <v>2.061318102453316</v>
      </c>
      <c r="I360" s="510">
        <v>2.3108465835103833</v>
      </c>
      <c r="J360" s="510">
        <v>753.7264360332988</v>
      </c>
      <c r="K360" s="511">
        <v>925.52625884841029</v>
      </c>
      <c r="L360" s="512">
        <v>0.97111493904882673</v>
      </c>
      <c r="M360" s="513">
        <v>0.84617170172403267</v>
      </c>
      <c r="N360" s="513">
        <v>0.97111493904882673</v>
      </c>
      <c r="O360" s="513">
        <v>0.9204051477742291</v>
      </c>
      <c r="P360" s="510">
        <v>53.232999999999997</v>
      </c>
      <c r="Q360" s="510">
        <v>1544.1629999999998</v>
      </c>
      <c r="R360" s="510">
        <v>2.3633084740668382</v>
      </c>
      <c r="S360" s="510">
        <v>2.2768451258060192</v>
      </c>
      <c r="T360" s="510">
        <v>0.29305130276332353</v>
      </c>
      <c r="U360" s="510">
        <v>0.21063190867803475</v>
      </c>
      <c r="V360" s="510">
        <v>633.83634211863023</v>
      </c>
      <c r="W360" s="510">
        <v>556.96866198710893</v>
      </c>
      <c r="X360" s="510">
        <v>554.16752766141303</v>
      </c>
      <c r="Y360" s="511">
        <v>505.65160543284605</v>
      </c>
      <c r="Z360" s="1026">
        <v>0.76075545057778793</v>
      </c>
      <c r="AA360" s="513">
        <v>0.81429519491858005</v>
      </c>
      <c r="AB360" s="513">
        <v>0.76075545057778793</v>
      </c>
      <c r="AC360" s="513">
        <v>0.84116945725970971</v>
      </c>
      <c r="AD360" s="510">
        <v>34.75</v>
      </c>
      <c r="AE360" s="510">
        <v>1037.251</v>
      </c>
      <c r="AF360" s="510">
        <v>119.45351454575675</v>
      </c>
      <c r="AG360" s="510">
        <v>107.29574153254443</v>
      </c>
      <c r="AH360" s="510">
        <v>1.7553956834532374</v>
      </c>
      <c r="AI360" s="510">
        <v>1.536754363215846</v>
      </c>
      <c r="AJ360" s="510">
        <v>1097.2184172661816</v>
      </c>
      <c r="AK360" s="510">
        <v>927.08314573810958</v>
      </c>
      <c r="AL360" s="576">
        <v>0</v>
      </c>
      <c r="AM360" s="577">
        <v>0</v>
      </c>
      <c r="AN360" s="513">
        <v>0.7279153065457723</v>
      </c>
      <c r="AO360" s="513">
        <v>0.88342597272628431</v>
      </c>
      <c r="AP360" s="513">
        <v>0.7279153065457723</v>
      </c>
      <c r="AQ360" s="513">
        <v>0.90448559347378232</v>
      </c>
      <c r="AR360" s="510">
        <v>38.006</v>
      </c>
      <c r="AS360" s="510">
        <v>1294.864</v>
      </c>
      <c r="AT360" s="514">
        <v>130.19919834229589</v>
      </c>
      <c r="AU360" s="514">
        <v>106.60047579603155</v>
      </c>
      <c r="AV360" s="510">
        <v>2.0838814923959377</v>
      </c>
      <c r="AW360" s="510">
        <v>1.7585630614489243</v>
      </c>
      <c r="AX360" s="510">
        <v>0.15523864652949534</v>
      </c>
      <c r="AY360" s="510">
        <v>7.321232191179923E-2</v>
      </c>
      <c r="AZ360" s="510">
        <v>1112.149134347206</v>
      </c>
      <c r="BA360" s="510">
        <v>932.75272152133323</v>
      </c>
      <c r="BB360" s="576">
        <v>473.60943008996071</v>
      </c>
      <c r="BC360" s="576">
        <v>205.07134339976946</v>
      </c>
      <c r="BD360" s="510">
        <v>0</v>
      </c>
      <c r="BE360" s="510">
        <v>0</v>
      </c>
      <c r="BF360" s="512">
        <v>0.91844632488135114</v>
      </c>
      <c r="BG360" s="513">
        <v>0.85694754288718977</v>
      </c>
      <c r="BH360" s="513">
        <v>0.91844632488135114</v>
      </c>
      <c r="BI360" s="513">
        <v>0.88509205317544382</v>
      </c>
      <c r="BJ360" s="510">
        <v>46.569000000000003</v>
      </c>
      <c r="BK360" s="510">
        <v>1241.78</v>
      </c>
      <c r="BL360" s="510">
        <v>2.6004423543559017</v>
      </c>
      <c r="BM360" s="510">
        <v>2.5784760585610975</v>
      </c>
      <c r="BN360" s="514">
        <v>0</v>
      </c>
      <c r="BO360" s="514">
        <v>0</v>
      </c>
      <c r="BP360" s="514">
        <v>1050.1438218364901</v>
      </c>
      <c r="BQ360" s="514">
        <v>1074.7242034080921</v>
      </c>
      <c r="BR360" s="514">
        <v>0</v>
      </c>
      <c r="BS360" s="515">
        <v>0</v>
      </c>
      <c r="BT360" s="1021">
        <v>0.25235941523104272</v>
      </c>
      <c r="BU360" s="513">
        <v>0.52741321849552625</v>
      </c>
      <c r="BV360" s="513">
        <v>0.44863896041074258</v>
      </c>
      <c r="BW360" s="513">
        <v>0.87317352495084033</v>
      </c>
      <c r="BX360" s="510">
        <v>13.026</v>
      </c>
      <c r="BY360" s="510">
        <v>769.93799999999987</v>
      </c>
      <c r="BZ360" s="514">
        <v>147.52338686762295</v>
      </c>
      <c r="CA360" s="514">
        <v>79.808070660850817</v>
      </c>
      <c r="CB360" s="510">
        <v>4.1992937202518048</v>
      </c>
      <c r="CC360" s="510">
        <v>2.0515937646927416</v>
      </c>
      <c r="CD360" s="514">
        <v>0</v>
      </c>
      <c r="CE360" s="514">
        <v>7.8512815317597004E-2</v>
      </c>
      <c r="CF360" s="514">
        <v>1777.2817719098296</v>
      </c>
      <c r="CG360" s="514">
        <v>1021.1664039077168</v>
      </c>
      <c r="CH360" s="514">
        <v>0</v>
      </c>
      <c r="CI360" s="514">
        <v>210.64553249742193</v>
      </c>
      <c r="CJ360" s="582">
        <v>0</v>
      </c>
      <c r="CK360" s="582">
        <v>0</v>
      </c>
    </row>
    <row r="361" spans="1:89" ht="12.75" customHeight="1">
      <c r="A361" s="560"/>
      <c r="B361" s="512"/>
      <c r="C361" s="513"/>
      <c r="D361" s="513"/>
      <c r="E361" s="513"/>
      <c r="F361" s="510"/>
      <c r="G361" s="510"/>
      <c r="H361" s="510"/>
      <c r="I361" s="510"/>
      <c r="J361" s="510"/>
      <c r="K361" s="511"/>
      <c r="L361" s="512"/>
      <c r="M361" s="513"/>
      <c r="N361" s="513"/>
      <c r="O361" s="513"/>
      <c r="P361" s="510"/>
      <c r="Q361" s="510"/>
      <c r="R361" s="510"/>
      <c r="S361" s="510"/>
      <c r="T361" s="510"/>
      <c r="U361" s="510"/>
      <c r="V361" s="510"/>
      <c r="W361" s="510"/>
      <c r="X361" s="510"/>
      <c r="Y361" s="511"/>
      <c r="Z361" s="1026"/>
      <c r="AA361" s="513"/>
      <c r="AB361" s="513"/>
      <c r="AC361" s="513"/>
      <c r="AD361" s="510"/>
      <c r="AE361" s="510"/>
      <c r="AF361" s="510"/>
      <c r="AG361" s="510"/>
      <c r="AH361" s="510"/>
      <c r="AI361" s="510"/>
      <c r="AJ361" s="510"/>
      <c r="AK361" s="510"/>
      <c r="AL361" s="576"/>
      <c r="AM361" s="577"/>
      <c r="AN361" s="513"/>
      <c r="AO361" s="513"/>
      <c r="AP361" s="513"/>
      <c r="AQ361" s="513"/>
      <c r="AR361" s="510"/>
      <c r="AS361" s="510"/>
      <c r="AT361" s="514"/>
      <c r="AU361" s="514"/>
      <c r="AV361" s="510"/>
      <c r="AW361" s="510"/>
      <c r="AX361" s="510"/>
      <c r="AY361" s="510"/>
      <c r="AZ361" s="510"/>
      <c r="BA361" s="510"/>
      <c r="BB361" s="510"/>
      <c r="BC361" s="510"/>
      <c r="BD361" s="510"/>
      <c r="BE361" s="510"/>
      <c r="BF361" s="512"/>
      <c r="BG361" s="513"/>
      <c r="BH361" s="513"/>
      <c r="BI361" s="513"/>
      <c r="BJ361" s="510"/>
      <c r="BK361" s="510"/>
      <c r="BL361" s="510"/>
      <c r="BM361" s="510"/>
      <c r="BN361" s="514"/>
      <c r="BO361" s="514"/>
      <c r="BP361" s="514"/>
      <c r="BQ361" s="514"/>
      <c r="BR361" s="514"/>
      <c r="BS361" s="515"/>
      <c r="BT361" s="1021"/>
      <c r="BU361" s="513"/>
      <c r="BV361" s="513"/>
      <c r="BW361" s="513"/>
      <c r="BX361" s="510"/>
      <c r="BY361" s="510"/>
      <c r="BZ361" s="514"/>
      <c r="CA361" s="514"/>
      <c r="CB361" s="510"/>
      <c r="CC361" s="510"/>
      <c r="CD361" s="514"/>
      <c r="CE361" s="514"/>
      <c r="CF361" s="514"/>
      <c r="CG361" s="514"/>
      <c r="CH361" s="514"/>
      <c r="CI361" s="514"/>
      <c r="CJ361" s="582"/>
      <c r="CK361" s="582"/>
    </row>
    <row r="362" spans="1:89" ht="13.5" thickBot="1">
      <c r="A362" s="592" t="s">
        <v>231</v>
      </c>
      <c r="B362" s="688">
        <f>+'[16]eff all'!$B$46:$C$46</f>
        <v>0.83769523903512089</v>
      </c>
      <c r="C362" s="654"/>
      <c r="D362" s="653">
        <f>+'[16]eff all'!$D$46:$E$46</f>
        <v>0.8766254011798259</v>
      </c>
      <c r="E362" s="654"/>
      <c r="F362" s="689">
        <f>+'[16]eff all'!$F$46:$G$46</f>
        <v>1634.1919999999996</v>
      </c>
      <c r="G362" s="690"/>
      <c r="H362" s="655">
        <f>+'[16]eff all'!$H$46:$I$46</f>
        <v>2.3108465835103833</v>
      </c>
      <c r="I362" s="656"/>
      <c r="J362" s="689">
        <f>+'[16]eff all'!$J$46:$K$46</f>
        <v>925.52625884841029</v>
      </c>
      <c r="K362" s="691"/>
      <c r="L362" s="688">
        <f>+'[16]eff all'!$L$46:$M$46</f>
        <v>0.84617170172403267</v>
      </c>
      <c r="M362" s="654"/>
      <c r="N362" s="653">
        <f>+'[16]eff all'!$N$46:$O$46</f>
        <v>0.9204051477742291</v>
      </c>
      <c r="O362" s="654"/>
      <c r="P362" s="689">
        <f>+'[16]eff all'!$P$46:$Q$46</f>
        <v>1544.1629999999998</v>
      </c>
      <c r="Q362" s="690"/>
      <c r="R362" s="655">
        <f>+'[16]eff all'!$R$46:$S$46</f>
        <v>2.2768451258060192</v>
      </c>
      <c r="S362" s="656"/>
      <c r="T362" s="655">
        <f>+'[16]eff all'!$T$46:$U$46</f>
        <v>0.21063190867803475</v>
      </c>
      <c r="U362" s="656"/>
      <c r="V362" s="689">
        <f>+'[16]eff all'!$V$46:$W$46</f>
        <v>556.96866198710893</v>
      </c>
      <c r="W362" s="690"/>
      <c r="X362" s="655">
        <f>+'[16]eff all'!$X$46:$Y$46</f>
        <v>505.65160543284605</v>
      </c>
      <c r="Y362" s="694"/>
      <c r="Z362" s="688">
        <f>+'[16]eff all'!$Z$46:$AA$46</f>
        <v>0.81429519491858005</v>
      </c>
      <c r="AA362" s="654"/>
      <c r="AB362" s="653">
        <f>+'[16]eff all'!$AB$46:$AC$46</f>
        <v>0.84116945725970971</v>
      </c>
      <c r="AC362" s="654"/>
      <c r="AD362" s="689">
        <f>+'[16]eff all'!$AD$46:$AE$46</f>
        <v>1037.251</v>
      </c>
      <c r="AE362" s="690"/>
      <c r="AF362" s="689">
        <f>+'[16]eff all'!$AF$46:$AG$46</f>
        <v>107.29574153254443</v>
      </c>
      <c r="AG362" s="690"/>
      <c r="AH362" s="655">
        <f>+'[16]eff all'!$AH$46:$AI$46</f>
        <v>1.536754363215846</v>
      </c>
      <c r="AI362" s="656"/>
      <c r="AJ362" s="655">
        <f>+'[16]eff all'!$AJ$46:$AK$46</f>
        <v>927.08314573810958</v>
      </c>
      <c r="AK362" s="656"/>
      <c r="AL362" s="689">
        <f>+'[16]eff all'!$AL$46:$AM$46</f>
        <v>0</v>
      </c>
      <c r="AM362" s="691"/>
      <c r="AN362" s="688">
        <f>+'[16]eff all'!$AN$46:$AO$46</f>
        <v>0.88342597272628431</v>
      </c>
      <c r="AO362" s="654"/>
      <c r="AP362" s="653">
        <f>+'[16]eff all'!$AP$46:$AQ$46</f>
        <v>0.90448559347378232</v>
      </c>
      <c r="AQ362" s="654"/>
      <c r="AR362" s="797">
        <f>+'[16]eff all'!$AR$46:$AS$46</f>
        <v>1294.864</v>
      </c>
      <c r="AS362" s="798"/>
      <c r="AT362" s="689">
        <f>+'[16]eff all'!$AT$46:$AU$46</f>
        <v>106.60047579603155</v>
      </c>
      <c r="AU362" s="690"/>
      <c r="AV362" s="655">
        <f>+'[16]eff all'!$AV$46:$AW$46</f>
        <v>1.7585630614489243</v>
      </c>
      <c r="AW362" s="656"/>
      <c r="AX362" s="655">
        <f>+'[16]eff all'!$AX$46:$AY$46</f>
        <v>7.321232191179923E-2</v>
      </c>
      <c r="AY362" s="656"/>
      <c r="AZ362" s="689">
        <f>+'[16]eff all'!$AZ$46:$BA$46</f>
        <v>932.75272152133323</v>
      </c>
      <c r="BA362" s="690"/>
      <c r="BB362" s="689">
        <f>+'[16]eff all'!$BB$46:$BC$46</f>
        <v>205.07134339976946</v>
      </c>
      <c r="BC362" s="691"/>
      <c r="BD362" s="792">
        <f>+'[16]eff all'!$BD$46:$BE$46</f>
        <v>0</v>
      </c>
      <c r="BE362" s="691"/>
      <c r="BF362" s="688">
        <f>+'[16]eff all'!$BF$46:$BG$46</f>
        <v>0.85694754288718977</v>
      </c>
      <c r="BG362" s="654"/>
      <c r="BH362" s="653">
        <f>+'[16]eff all'!$BH$46:$BI$46</f>
        <v>0.88509205317544382</v>
      </c>
      <c r="BI362" s="654"/>
      <c r="BJ362" s="689">
        <f>+'[16]eff all'!$BJ$46:$BK$46</f>
        <v>1241.78</v>
      </c>
      <c r="BK362" s="690"/>
      <c r="BL362" s="689">
        <f>+'[16]eff all'!$BL$46:$BM$46</f>
        <v>2.5784760585610975</v>
      </c>
      <c r="BM362" s="690"/>
      <c r="BN362" s="655">
        <f>+'[16]eff all'!$BN$46:$BO$46</f>
        <v>0</v>
      </c>
      <c r="BO362" s="656"/>
      <c r="BP362" s="689">
        <f>+'[16]eff all'!$BP$46:$BQ$46</f>
        <v>1074.7242034080921</v>
      </c>
      <c r="BQ362" s="690"/>
      <c r="BR362" s="655">
        <f>+'[16]eff all'!$BR$46:$BS$46</f>
        <v>0</v>
      </c>
      <c r="BS362" s="694"/>
      <c r="BT362" s="770">
        <f>+'[16]eff all'!$BT$46:$BU$46</f>
        <v>0.52741321849552625</v>
      </c>
      <c r="BU362" s="771"/>
      <c r="BV362" s="771">
        <f>+'[16]eff all'!$BV$46:$BW$46</f>
        <v>0.87317352495084033</v>
      </c>
      <c r="BW362" s="771"/>
      <c r="BX362" s="700">
        <f>+'[16]eff all'!$BX$46:$BY$46</f>
        <v>769.93799999999987</v>
      </c>
      <c r="BY362" s="700"/>
      <c r="BZ362" s="699">
        <f>+'[16]eff all'!$BZ$46:$CA$46</f>
        <v>79.808070660850817</v>
      </c>
      <c r="CA362" s="699"/>
      <c r="CB362" s="699">
        <f>+'[16]eff all'!$CB$46:$CC$46</f>
        <v>2.0515937646927416</v>
      </c>
      <c r="CC362" s="699"/>
      <c r="CD362" s="699">
        <f>+'[16]eff all'!$CD$46:$CE$46</f>
        <v>7.8512815317597004E-2</v>
      </c>
      <c r="CE362" s="699"/>
      <c r="CF362" s="700">
        <f>+'[16]eff all'!$CF$46:$CG$46</f>
        <v>1021.1664039077168</v>
      </c>
      <c r="CG362" s="700"/>
      <c r="CH362" s="700">
        <f>+'[16]eff all'!$CH$46:$CI$46</f>
        <v>210.64553249742193</v>
      </c>
      <c r="CI362" s="769"/>
      <c r="CJ362" s="690">
        <f>+'[16]eff all'!$CJ$46:$CK$46</f>
        <v>0</v>
      </c>
      <c r="CK362" s="769"/>
    </row>
    <row r="363" spans="1:89" ht="14.25" customHeight="1" thickTop="1">
      <c r="A363" s="559">
        <v>45658</v>
      </c>
      <c r="B363" s="518">
        <v>0.85819803747771606</v>
      </c>
      <c r="C363" s="519">
        <v>0.85819803747771606</v>
      </c>
      <c r="D363" s="519">
        <v>0.85819803747771606</v>
      </c>
      <c r="E363" s="519">
        <v>0.85819803747771606</v>
      </c>
      <c r="F363" s="520">
        <v>56.649000000000001</v>
      </c>
      <c r="G363" s="520">
        <v>56.649000000000001</v>
      </c>
      <c r="H363" s="520">
        <v>2.1824215784921184</v>
      </c>
      <c r="I363" s="520">
        <v>2.1824215784921184</v>
      </c>
      <c r="J363" s="520">
        <v>983.91498526007672</v>
      </c>
      <c r="K363" s="548">
        <v>983.91498526007672</v>
      </c>
      <c r="L363" s="518">
        <v>0.88645980366931731</v>
      </c>
      <c r="M363" s="519">
        <v>0.88645980366931731</v>
      </c>
      <c r="N363" s="519">
        <v>0.88645980366931731</v>
      </c>
      <c r="O363" s="519">
        <v>0.88645980366931731</v>
      </c>
      <c r="P363" s="520">
        <v>63.701999999999998</v>
      </c>
      <c r="Q363" s="520">
        <v>63.701999999999998</v>
      </c>
      <c r="R363" s="520">
        <v>2.3017173715110983</v>
      </c>
      <c r="S363" s="520">
        <v>2.3017173715110983</v>
      </c>
      <c r="T363" s="520">
        <v>0.17581865561520832</v>
      </c>
      <c r="U363" s="520">
        <v>0.17581865561520832</v>
      </c>
      <c r="V363" s="520">
        <v>568.47351731500089</v>
      </c>
      <c r="W363" s="520">
        <v>568.47351731500089</v>
      </c>
      <c r="X363" s="520">
        <v>391.997111550667</v>
      </c>
      <c r="Y363" s="548">
        <v>391.997111550667</v>
      </c>
      <c r="Z363" s="1025">
        <v>0.94257305293041049</v>
      </c>
      <c r="AA363" s="581">
        <v>0.94257305293041049</v>
      </c>
      <c r="AB363" s="581">
        <v>0.94257305293041049</v>
      </c>
      <c r="AC363" s="581">
        <v>0.94257305293041049</v>
      </c>
      <c r="AD363" s="576">
        <v>42.218000000000004</v>
      </c>
      <c r="AE363" s="576">
        <v>42.218000000000004</v>
      </c>
      <c r="AF363" s="576">
        <v>97.33690808928641</v>
      </c>
      <c r="AG363" s="576">
        <v>97.336908089286396</v>
      </c>
      <c r="AH363" s="576">
        <v>1.4519873039935571</v>
      </c>
      <c r="AI363" s="576">
        <v>1.4519873039935571</v>
      </c>
      <c r="AJ363" s="576">
        <v>904.50992467668675</v>
      </c>
      <c r="AK363" s="576">
        <v>904.50992467668675</v>
      </c>
      <c r="AL363" s="576">
        <v>0</v>
      </c>
      <c r="AM363" s="577">
        <v>0</v>
      </c>
      <c r="AN363" s="518">
        <v>0.7278764672089556</v>
      </c>
      <c r="AO363" s="519">
        <v>0.7278764672089556</v>
      </c>
      <c r="AP363" s="519">
        <v>0.7278764672089556</v>
      </c>
      <c r="AQ363" s="519">
        <v>0.7278764672089556</v>
      </c>
      <c r="AR363" s="520">
        <v>34.386000000000003</v>
      </c>
      <c r="AS363" s="520">
        <v>34.386000000000003</v>
      </c>
      <c r="AT363" s="521">
        <v>161.62306011668133</v>
      </c>
      <c r="AU363" s="521">
        <v>161.62306011668133</v>
      </c>
      <c r="AV363" s="520">
        <v>1.8815797126737626</v>
      </c>
      <c r="AW363" s="520">
        <v>1.8815797126737626</v>
      </c>
      <c r="AX363" s="520">
        <v>0</v>
      </c>
      <c r="AY363" s="520">
        <v>0</v>
      </c>
      <c r="AZ363" s="520">
        <v>1390.5833769557353</v>
      </c>
      <c r="BA363" s="520">
        <v>1390.5833769557353</v>
      </c>
      <c r="BB363" s="520">
        <v>0</v>
      </c>
      <c r="BC363" s="520">
        <v>0</v>
      </c>
      <c r="BD363" s="520">
        <v>67.323910893968474</v>
      </c>
      <c r="BE363" s="548">
        <v>67.323910893968474</v>
      </c>
      <c r="BF363" s="1025">
        <v>0.85335652734912704</v>
      </c>
      <c r="BG363" s="581">
        <v>0.85335652734912704</v>
      </c>
      <c r="BH363" s="581">
        <v>0.85335652734912704</v>
      </c>
      <c r="BI363" s="581">
        <v>0.85335652734912704</v>
      </c>
      <c r="BJ363" s="576">
        <v>43.817</v>
      </c>
      <c r="BK363" s="576">
        <v>43.817</v>
      </c>
      <c r="BL363" s="576">
        <v>2.8162585297943723</v>
      </c>
      <c r="BM363" s="576">
        <v>2.8162585297943723</v>
      </c>
      <c r="BN363" s="582">
        <v>0</v>
      </c>
      <c r="BO363" s="582">
        <v>0</v>
      </c>
      <c r="BP363" s="582">
        <v>1235.8866588039648</v>
      </c>
      <c r="BQ363" s="582">
        <v>1235.8866588039648</v>
      </c>
      <c r="BR363" s="582">
        <v>0</v>
      </c>
      <c r="BS363" s="1035">
        <v>0</v>
      </c>
      <c r="BT363" s="518">
        <v>0.94749207017384829</v>
      </c>
      <c r="BU363" s="519">
        <v>0.94749207017384829</v>
      </c>
      <c r="BV363" s="519">
        <v>0.94749207017384829</v>
      </c>
      <c r="BW363" s="519">
        <v>0.94749207017384829</v>
      </c>
      <c r="BX363" s="520">
        <v>45.273000000000003</v>
      </c>
      <c r="BY363" s="520">
        <v>45.273000000000003</v>
      </c>
      <c r="BZ363" s="521">
        <v>99.155343562704118</v>
      </c>
      <c r="CA363" s="521">
        <v>99.155343562704104</v>
      </c>
      <c r="CB363" s="520">
        <v>2.0475780266383938</v>
      </c>
      <c r="CC363" s="520">
        <v>2.0475780266383938</v>
      </c>
      <c r="CD363" s="521">
        <v>0</v>
      </c>
      <c r="CE363" s="521">
        <v>0</v>
      </c>
      <c r="CF363" s="521">
        <v>1060.8299487815234</v>
      </c>
      <c r="CG363" s="521">
        <v>1060.8299487815234</v>
      </c>
      <c r="CH363" s="521">
        <v>0</v>
      </c>
      <c r="CI363" s="521">
        <v>0</v>
      </c>
      <c r="CJ363" s="521">
        <v>51.134230115079632</v>
      </c>
      <c r="CK363" s="522">
        <v>51.134230115079632</v>
      </c>
    </row>
    <row r="364" spans="1:89" ht="14.25" customHeight="1">
      <c r="A364" s="560">
        <v>45659</v>
      </c>
      <c r="B364" s="512">
        <v>0.81342027341881318</v>
      </c>
      <c r="C364" s="513">
        <v>0.83293710444901792</v>
      </c>
      <c r="D364" s="513">
        <v>0.81342027341881318</v>
      </c>
      <c r="E364" s="513">
        <v>0.83293710444901792</v>
      </c>
      <c r="F364" s="510">
        <v>69.495999999999995</v>
      </c>
      <c r="G364" s="510">
        <v>126.145</v>
      </c>
      <c r="H364" s="510">
        <v>1.8554593070104757</v>
      </c>
      <c r="I364" s="510">
        <v>2.0022910143089305</v>
      </c>
      <c r="J364" s="510">
        <v>689.83135720042299</v>
      </c>
      <c r="K364" s="511">
        <v>821.89797455308315</v>
      </c>
      <c r="L364" s="512">
        <v>1.0121476605786515</v>
      </c>
      <c r="M364" s="513">
        <v>0.94914952786958628</v>
      </c>
      <c r="N364" s="513">
        <v>1.0121476605786515</v>
      </c>
      <c r="O364" s="513">
        <v>0.94914952786958628</v>
      </c>
      <c r="P364" s="510">
        <v>72.378</v>
      </c>
      <c r="Q364" s="510">
        <v>136.07999999999998</v>
      </c>
      <c r="R364" s="510">
        <v>2.047942745033021</v>
      </c>
      <c r="S364" s="510">
        <v>2.1667401528512644</v>
      </c>
      <c r="T364" s="510">
        <v>0.17684931885379537</v>
      </c>
      <c r="U364" s="510">
        <v>0.17636684303350972</v>
      </c>
      <c r="V364" s="510">
        <v>468.90077095249444</v>
      </c>
      <c r="W364" s="510">
        <v>515.51293356848794</v>
      </c>
      <c r="X364" s="510">
        <v>351.88869545992435</v>
      </c>
      <c r="Y364" s="511">
        <v>370.66431510875225</v>
      </c>
      <c r="Z364" s="1025">
        <v>0.92194340662793683</v>
      </c>
      <c r="AA364" s="581">
        <v>0.93226960710526796</v>
      </c>
      <c r="AB364" s="581">
        <v>0.92194340662793683</v>
      </c>
      <c r="AC364" s="581">
        <v>0.93226960710526796</v>
      </c>
      <c r="AD364" s="576">
        <v>41.203000000000003</v>
      </c>
      <c r="AE364" s="576">
        <v>83.421000000000006</v>
      </c>
      <c r="AF364" s="576">
        <v>93.833150240929584</v>
      </c>
      <c r="AG364" s="576">
        <v>95.606344626539055</v>
      </c>
      <c r="AH364" s="576">
        <v>1.4634856685192823</v>
      </c>
      <c r="AI364" s="576">
        <v>1.4576665348053846</v>
      </c>
      <c r="AJ364" s="576">
        <v>886.95968740139392</v>
      </c>
      <c r="AK364" s="576">
        <v>895.84157466345403</v>
      </c>
      <c r="AL364" s="576">
        <v>0</v>
      </c>
      <c r="AM364" s="577">
        <v>0</v>
      </c>
      <c r="AN364" s="512">
        <v>0.58986231708383519</v>
      </c>
      <c r="AO364" s="513">
        <v>0.65886939214639539</v>
      </c>
      <c r="AP364" s="513">
        <v>0.58986231708383519</v>
      </c>
      <c r="AQ364" s="513">
        <v>0.65886939214639539</v>
      </c>
      <c r="AR364" s="510">
        <v>27.866</v>
      </c>
      <c r="AS364" s="510">
        <v>62.252000000000002</v>
      </c>
      <c r="AT364" s="514">
        <v>183.65893088609471</v>
      </c>
      <c r="AU364" s="514">
        <v>171.48702552920579</v>
      </c>
      <c r="AV364" s="510">
        <v>2.2177564056556376</v>
      </c>
      <c r="AW364" s="510">
        <v>2.0320632268842767</v>
      </c>
      <c r="AX364" s="510">
        <v>0</v>
      </c>
      <c r="AY364" s="510">
        <v>0</v>
      </c>
      <c r="AZ364" s="510">
        <v>1700.4736955429555</v>
      </c>
      <c r="BA364" s="510">
        <v>1529.3002634453499</v>
      </c>
      <c r="BB364" s="510">
        <v>0</v>
      </c>
      <c r="BC364" s="510">
        <v>0</v>
      </c>
      <c r="BD364" s="510">
        <v>69.97775066389147</v>
      </c>
      <c r="BE364" s="511">
        <v>68.511855040801905</v>
      </c>
      <c r="BF364" s="1026">
        <v>0.85876217505284624</v>
      </c>
      <c r="BG364" s="513">
        <v>0.85615713889362954</v>
      </c>
      <c r="BH364" s="513">
        <v>0.85876217505284624</v>
      </c>
      <c r="BI364" s="513">
        <v>0.85615713889362954</v>
      </c>
      <c r="BJ364" s="510">
        <v>47.405000000000001</v>
      </c>
      <c r="BK364" s="510">
        <v>91.222000000000008</v>
      </c>
      <c r="BL364" s="510">
        <v>2.5967724923531272</v>
      </c>
      <c r="BM364" s="510">
        <v>2.7021990309355197</v>
      </c>
      <c r="BN364" s="514">
        <v>0</v>
      </c>
      <c r="BO364" s="514">
        <v>0</v>
      </c>
      <c r="BP364" s="514">
        <v>956.83996823496886</v>
      </c>
      <c r="BQ364" s="514">
        <v>1090.8754951984392</v>
      </c>
      <c r="BR364" s="514">
        <v>0</v>
      </c>
      <c r="BS364" s="1031">
        <v>0</v>
      </c>
      <c r="BT364" s="512">
        <v>0.75541699825766251</v>
      </c>
      <c r="BU364" s="513">
        <v>0.85001220422612056</v>
      </c>
      <c r="BV364" s="513">
        <v>0.75541699825766251</v>
      </c>
      <c r="BW364" s="513">
        <v>0.85001220422612056</v>
      </c>
      <c r="BX364" s="510">
        <v>37.195999999999998</v>
      </c>
      <c r="BY364" s="510">
        <v>82.468999999999994</v>
      </c>
      <c r="BZ364" s="514">
        <v>113.8819481275154</v>
      </c>
      <c r="CA364" s="514">
        <v>105.79748525707072</v>
      </c>
      <c r="CB364" s="510">
        <v>2.4357457791160342</v>
      </c>
      <c r="CC364" s="510">
        <v>2.2226533606567318</v>
      </c>
      <c r="CD364" s="514">
        <v>0</v>
      </c>
      <c r="CE364" s="514">
        <v>0</v>
      </c>
      <c r="CF364" s="514">
        <v>1161.339695285023</v>
      </c>
      <c r="CG364" s="514">
        <v>1106.1628681929892</v>
      </c>
      <c r="CH364" s="514">
        <v>0</v>
      </c>
      <c r="CI364" s="514">
        <v>0</v>
      </c>
      <c r="CJ364" s="514">
        <v>23.645248517624804</v>
      </c>
      <c r="CK364" s="515">
        <v>51.716402527010153</v>
      </c>
    </row>
    <row r="365" spans="1:89" ht="12.75" customHeight="1">
      <c r="A365" s="560">
        <v>45660</v>
      </c>
      <c r="B365" s="512">
        <v>0.83190042317060309</v>
      </c>
      <c r="C365" s="513">
        <v>0.8325744422773832</v>
      </c>
      <c r="D365" s="513">
        <v>0.83190042317060309</v>
      </c>
      <c r="E365" s="513">
        <v>0.8325744422773832</v>
      </c>
      <c r="F365" s="510">
        <v>67.789000000000001</v>
      </c>
      <c r="G365" s="510">
        <v>193.934</v>
      </c>
      <c r="H365" s="510">
        <v>2.0587558453436401</v>
      </c>
      <c r="I365" s="510">
        <v>2.0220281126568831</v>
      </c>
      <c r="J365" s="510">
        <v>743.02798389119437</v>
      </c>
      <c r="K365" s="511">
        <v>794.32922540657569</v>
      </c>
      <c r="L365" s="512">
        <v>0.94567965227165163</v>
      </c>
      <c r="M365" s="513">
        <v>0.94804154323774392</v>
      </c>
      <c r="N365" s="513">
        <v>0.94567965227165163</v>
      </c>
      <c r="O365" s="513">
        <v>0.94804154323774392</v>
      </c>
      <c r="P365" s="510">
        <v>63.603000000000002</v>
      </c>
      <c r="Q365" s="510">
        <v>199.68299999999999</v>
      </c>
      <c r="R365" s="510">
        <v>2.0035218464537836</v>
      </c>
      <c r="S365" s="510">
        <v>2.1147518817325461</v>
      </c>
      <c r="T365" s="510">
        <v>0.22011540336147664</v>
      </c>
      <c r="U365" s="510">
        <v>0.1903016280805076</v>
      </c>
      <c r="V365" s="510">
        <v>395.38119271104136</v>
      </c>
      <c r="W365" s="510">
        <v>477.24858901358755</v>
      </c>
      <c r="X365" s="510">
        <v>438.3441032655914</v>
      </c>
      <c r="Y365" s="511">
        <v>392.22167134909034</v>
      </c>
      <c r="Z365" s="1025">
        <v>0.92860762950926745</v>
      </c>
      <c r="AA365" s="581">
        <v>0.93105062688240314</v>
      </c>
      <c r="AB365" s="581">
        <v>0.92860762950926745</v>
      </c>
      <c r="AC365" s="581">
        <v>0.93105062688240314</v>
      </c>
      <c r="AD365" s="576">
        <v>41.460999999999999</v>
      </c>
      <c r="AE365" s="576">
        <v>124.88200000000001</v>
      </c>
      <c r="AF365" s="576">
        <v>93.845735443521392</v>
      </c>
      <c r="AG365" s="576">
        <v>95.021819896497135</v>
      </c>
      <c r="AH365" s="576">
        <v>1.4302597621861508</v>
      </c>
      <c r="AI365" s="576">
        <v>1.4485674476706007</v>
      </c>
      <c r="AJ365" s="576">
        <v>921.62803598562948</v>
      </c>
      <c r="AK365" s="576">
        <v>904.40271616406028</v>
      </c>
      <c r="AL365" s="576">
        <v>0</v>
      </c>
      <c r="AM365" s="577">
        <v>0</v>
      </c>
      <c r="AN365" s="512">
        <v>0.77687995762914785</v>
      </c>
      <c r="AO365" s="513">
        <v>0.69820624730731295</v>
      </c>
      <c r="AP365" s="513">
        <v>0.77687995762914785</v>
      </c>
      <c r="AQ365" s="513">
        <v>0.69820624730731295</v>
      </c>
      <c r="AR365" s="510">
        <v>36.701000000000001</v>
      </c>
      <c r="AS365" s="510">
        <v>98.953000000000003</v>
      </c>
      <c r="AT365" s="514">
        <v>138.86650267871158</v>
      </c>
      <c r="AU365" s="514">
        <v>159.38829371575912</v>
      </c>
      <c r="AV365" s="510">
        <v>1.6348328383422794</v>
      </c>
      <c r="AW365" s="510">
        <v>1.8847331561448364</v>
      </c>
      <c r="AX365" s="510">
        <v>0</v>
      </c>
      <c r="AY365" s="510">
        <v>0</v>
      </c>
      <c r="AZ365" s="510">
        <v>1271.399144437481</v>
      </c>
      <c r="BA365" s="510">
        <v>1433.6464786312683</v>
      </c>
      <c r="BB365" s="510">
        <v>0</v>
      </c>
      <c r="BC365" s="510">
        <v>0</v>
      </c>
      <c r="BD365" s="510">
        <v>100.54221955805019</v>
      </c>
      <c r="BE365" s="511">
        <v>80.391701110628276</v>
      </c>
      <c r="BF365" s="1026">
        <v>0.82831341186355623</v>
      </c>
      <c r="BG365" s="513">
        <v>0.84629714390688249</v>
      </c>
      <c r="BH365" s="513">
        <v>0.82831341186355623</v>
      </c>
      <c r="BI365" s="513">
        <v>0.84629714390688249</v>
      </c>
      <c r="BJ365" s="510">
        <v>48.387999999999998</v>
      </c>
      <c r="BK365" s="510">
        <v>139.61000000000001</v>
      </c>
      <c r="BL365" s="510">
        <v>2.5626188311151528</v>
      </c>
      <c r="BM365" s="510">
        <v>2.6538213595014679</v>
      </c>
      <c r="BN365" s="514">
        <v>0</v>
      </c>
      <c r="BO365" s="514">
        <v>0</v>
      </c>
      <c r="BP365" s="514">
        <v>916.88849021876331</v>
      </c>
      <c r="BQ365" s="514">
        <v>1030.5726286634022</v>
      </c>
      <c r="BR365" s="514">
        <v>0</v>
      </c>
      <c r="BS365" s="1031">
        <v>0</v>
      </c>
      <c r="BT365" s="512">
        <v>0.54384348849917075</v>
      </c>
      <c r="BU365" s="513">
        <v>0.74975135919723124</v>
      </c>
      <c r="BV365" s="513">
        <v>0.54384348849917075</v>
      </c>
      <c r="BW365" s="513">
        <v>0.74975135919723124</v>
      </c>
      <c r="BX365" s="510">
        <v>25.692</v>
      </c>
      <c r="BY365" s="510">
        <v>108.161</v>
      </c>
      <c r="BZ365" s="514">
        <v>78.566185893070426</v>
      </c>
      <c r="CA365" s="514">
        <v>99.329104387257246</v>
      </c>
      <c r="CB365" s="510">
        <v>1.7826560797135294</v>
      </c>
      <c r="CC365" s="510">
        <v>2.1181387006407117</v>
      </c>
      <c r="CD365" s="514">
        <v>0</v>
      </c>
      <c r="CE365" s="514">
        <v>0</v>
      </c>
      <c r="CF365" s="514">
        <v>746.86477250871076</v>
      </c>
      <c r="CG365" s="514">
        <v>1020.8170718863676</v>
      </c>
      <c r="CH365" s="514">
        <v>0</v>
      </c>
      <c r="CI365" s="514">
        <v>0</v>
      </c>
      <c r="CJ365" s="514">
        <v>0</v>
      </c>
      <c r="CK365" s="515">
        <v>39.431957914590292</v>
      </c>
    </row>
    <row r="366" spans="1:89" ht="12.75" customHeight="1">
      <c r="A366" s="560">
        <v>45661</v>
      </c>
      <c r="B366" s="512">
        <v>0.19175217906701186</v>
      </c>
      <c r="C366" s="513">
        <v>0.68129152164517137</v>
      </c>
      <c r="D366" s="513">
        <v>0.19175217906701186</v>
      </c>
      <c r="E366" s="513">
        <v>0.68129152164517137</v>
      </c>
      <c r="F366" s="510">
        <v>13.803000000000001</v>
      </c>
      <c r="G366" s="510">
        <v>207.73699999999999</v>
      </c>
      <c r="H366" s="510">
        <v>0.89821053394189665</v>
      </c>
      <c r="I366" s="510">
        <v>1.9473565132836232</v>
      </c>
      <c r="J366" s="510">
        <v>1640.9479098745976</v>
      </c>
      <c r="K366" s="511">
        <v>850.58245762670083</v>
      </c>
      <c r="L366" s="512">
        <v>0.91470224953319312</v>
      </c>
      <c r="M366" s="513">
        <v>0.94003764101815146</v>
      </c>
      <c r="N366" s="513">
        <v>0.91470224953319312</v>
      </c>
      <c r="O366" s="513">
        <v>0.94003764101815146</v>
      </c>
      <c r="P366" s="510">
        <v>60.865000000000002</v>
      </c>
      <c r="Q366" s="510">
        <v>260.548</v>
      </c>
      <c r="R366" s="510">
        <v>2.0970837098496675</v>
      </c>
      <c r="S366" s="510">
        <v>2.1106245298371129</v>
      </c>
      <c r="T366" s="510">
        <v>0.27602070155261643</v>
      </c>
      <c r="U366" s="510">
        <v>0.21032592842777528</v>
      </c>
      <c r="V366" s="510">
        <v>488.43785426764305</v>
      </c>
      <c r="W366" s="510">
        <v>479.86244377235784</v>
      </c>
      <c r="X366" s="510">
        <v>464.79914565020948</v>
      </c>
      <c r="Y366" s="511">
        <v>409.17604433732134</v>
      </c>
      <c r="Z366" s="1025">
        <v>0.94243682110904292</v>
      </c>
      <c r="AA366" s="581">
        <v>0.93385115596003232</v>
      </c>
      <c r="AB366" s="581">
        <v>0.94243682110904292</v>
      </c>
      <c r="AC366" s="581">
        <v>0.93385115596003232</v>
      </c>
      <c r="AD366" s="576">
        <v>41.232999999999997</v>
      </c>
      <c r="AE366" s="576">
        <v>166.11500000000001</v>
      </c>
      <c r="AF366" s="576">
        <v>91.57665042480248</v>
      </c>
      <c r="AG366" s="576">
        <v>94.16666128453322</v>
      </c>
      <c r="AH366" s="576">
        <v>1.413916038124803</v>
      </c>
      <c r="AI366" s="576">
        <v>1.4399662884146525</v>
      </c>
      <c r="AJ366" s="576">
        <v>889.55884849514177</v>
      </c>
      <c r="AK366" s="576">
        <v>900.71817716642306</v>
      </c>
      <c r="AL366" s="576">
        <v>0</v>
      </c>
      <c r="AM366" s="577">
        <v>0</v>
      </c>
      <c r="AN366" s="512">
        <v>0.9171401243212316</v>
      </c>
      <c r="AO366" s="513">
        <v>0.75196462300176903</v>
      </c>
      <c r="AP366" s="513">
        <v>0.9171401243212316</v>
      </c>
      <c r="AQ366" s="513">
        <v>0.75196462300176903</v>
      </c>
      <c r="AR366" s="510">
        <v>42.304000000000002</v>
      </c>
      <c r="AS366" s="510">
        <v>141.25700000000001</v>
      </c>
      <c r="AT366" s="514">
        <v>121.47701498121036</v>
      </c>
      <c r="AU366" s="514">
        <v>148.03452904861803</v>
      </c>
      <c r="AV366" s="510">
        <v>1.5577723146747353</v>
      </c>
      <c r="AW366" s="510">
        <v>1.7868141047877273</v>
      </c>
      <c r="AX366" s="510">
        <v>0</v>
      </c>
      <c r="AY366" s="510">
        <v>0</v>
      </c>
      <c r="AZ366" s="510">
        <v>1088.5301626323767</v>
      </c>
      <c r="BA366" s="510">
        <v>1330.2901803096483</v>
      </c>
      <c r="BB366" s="510">
        <v>330.93797276851319</v>
      </c>
      <c r="BC366" s="510">
        <v>99.110132595193022</v>
      </c>
      <c r="BD366" s="510">
        <v>0</v>
      </c>
      <c r="BE366" s="511">
        <v>56.315793199629049</v>
      </c>
      <c r="BF366" s="1026">
        <v>1.0335876821953585</v>
      </c>
      <c r="BG366" s="513">
        <v>0.89427154096768802</v>
      </c>
      <c r="BH366" s="513">
        <v>1.0335876821953585</v>
      </c>
      <c r="BI366" s="513">
        <v>0.89427154096768802</v>
      </c>
      <c r="BJ366" s="510">
        <v>58.715000000000003</v>
      </c>
      <c r="BK366" s="510">
        <v>198.32500000000002</v>
      </c>
      <c r="BL366" s="510">
        <v>2.1221153027335431</v>
      </c>
      <c r="BM366" s="510">
        <v>2.4964074120761377</v>
      </c>
      <c r="BN366" s="514">
        <v>0</v>
      </c>
      <c r="BO366" s="514">
        <v>0</v>
      </c>
      <c r="BP366" s="514">
        <v>885.55263988406875</v>
      </c>
      <c r="BQ366" s="514">
        <v>987.63881476611937</v>
      </c>
      <c r="BR366" s="514">
        <v>0</v>
      </c>
      <c r="BS366" s="1031">
        <v>0</v>
      </c>
      <c r="BT366" s="512">
        <v>0.84623226520140205</v>
      </c>
      <c r="BU366" s="513">
        <v>0.77433528747903679</v>
      </c>
      <c r="BV366" s="513">
        <v>0.84623226520140205</v>
      </c>
      <c r="BW366" s="513">
        <v>0.77433528747903679</v>
      </c>
      <c r="BX366" s="510">
        <v>41.743000000000002</v>
      </c>
      <c r="BY366" s="510">
        <v>149.904</v>
      </c>
      <c r="BZ366" s="514">
        <v>86.602695811728822</v>
      </c>
      <c r="CA366" s="514">
        <v>95.785246497085652</v>
      </c>
      <c r="CB366" s="510">
        <v>1.9811704956519656</v>
      </c>
      <c r="CC366" s="510">
        <v>2.0799978653004589</v>
      </c>
      <c r="CD366" s="514">
        <v>0</v>
      </c>
      <c r="CE366" s="514">
        <v>0</v>
      </c>
      <c r="CF366" s="514">
        <v>868.70389644271995</v>
      </c>
      <c r="CG366" s="514">
        <v>978.45889410229131</v>
      </c>
      <c r="CH366" s="514">
        <v>0</v>
      </c>
      <c r="CI366" s="514">
        <v>0</v>
      </c>
      <c r="CJ366" s="514">
        <v>29.685665492581919</v>
      </c>
      <c r="CK366" s="515">
        <v>58.137207813000323</v>
      </c>
    </row>
    <row r="367" spans="1:89" ht="12.75" customHeight="1">
      <c r="A367" s="560">
        <v>45662</v>
      </c>
      <c r="B367" s="512">
        <v>0.96388594592104659</v>
      </c>
      <c r="C367" s="513">
        <v>0.72937671600350606</v>
      </c>
      <c r="D367" s="513">
        <v>0.96388594592104659</v>
      </c>
      <c r="E367" s="513">
        <v>0.72937671600350606</v>
      </c>
      <c r="F367" s="510">
        <v>60.264000000000003</v>
      </c>
      <c r="G367" s="510">
        <v>268.00099999999998</v>
      </c>
      <c r="H367" s="510">
        <v>1.840767290588079</v>
      </c>
      <c r="I367" s="510">
        <v>1.9233883455658751</v>
      </c>
      <c r="J367" s="510">
        <v>847.20005309969133</v>
      </c>
      <c r="K367" s="511">
        <v>849.82187379897005</v>
      </c>
      <c r="L367" s="512">
        <v>0.90102394427226873</v>
      </c>
      <c r="M367" s="513">
        <v>0.93326776576963055</v>
      </c>
      <c r="N367" s="513">
        <v>0.90102394427226873</v>
      </c>
      <c r="O367" s="513">
        <v>0.93326776576963055</v>
      </c>
      <c r="P367" s="510">
        <v>52.433999999999997</v>
      </c>
      <c r="Q367" s="510">
        <v>312.98199999999997</v>
      </c>
      <c r="R367" s="510">
        <v>2.3908151199603314</v>
      </c>
      <c r="S367" s="510">
        <v>2.1575649717875156</v>
      </c>
      <c r="T367" s="510">
        <v>0.25365221039783348</v>
      </c>
      <c r="U367" s="510">
        <v>0.21758439782479505</v>
      </c>
      <c r="V367" s="510">
        <v>625.98428500591217</v>
      </c>
      <c r="W367" s="510">
        <v>504.34229444504888</v>
      </c>
      <c r="X367" s="510">
        <v>437.3116680016783</v>
      </c>
      <c r="Y367" s="511">
        <v>413.88961665527216</v>
      </c>
      <c r="Z367" s="1025">
        <v>0.96240490678018431</v>
      </c>
      <c r="AA367" s="581">
        <v>0.93958019347889643</v>
      </c>
      <c r="AB367" s="581">
        <v>0.96240490678018431</v>
      </c>
      <c r="AC367" s="581">
        <v>0.93958019347889643</v>
      </c>
      <c r="AD367" s="576">
        <v>42.97</v>
      </c>
      <c r="AE367" s="576">
        <v>209.08500000000001</v>
      </c>
      <c r="AF367" s="576">
        <v>91.655939437540738</v>
      </c>
      <c r="AG367" s="576">
        <v>93.650671530293238</v>
      </c>
      <c r="AH367" s="576">
        <v>1.4033046311380033</v>
      </c>
      <c r="AI367" s="576">
        <v>1.4324317861156945</v>
      </c>
      <c r="AJ367" s="576">
        <v>867.00581801256681</v>
      </c>
      <c r="AK367" s="576">
        <v>893.78979840734792</v>
      </c>
      <c r="AL367" s="576">
        <v>0</v>
      </c>
      <c r="AM367" s="577">
        <v>0</v>
      </c>
      <c r="AN367" s="512">
        <v>0.69536826384708805</v>
      </c>
      <c r="AO367" s="513">
        <v>0.74011868270694503</v>
      </c>
      <c r="AP367" s="513">
        <v>0.69536826384708805</v>
      </c>
      <c r="AQ367" s="513">
        <v>0.74011868270694503</v>
      </c>
      <c r="AR367" s="510">
        <v>34.578000000000003</v>
      </c>
      <c r="AS367" s="510">
        <v>175.83500000000001</v>
      </c>
      <c r="AT367" s="514">
        <v>187.51239557677923</v>
      </c>
      <c r="AU367" s="514">
        <v>155.79786210978764</v>
      </c>
      <c r="AV367" s="510">
        <v>2.0967088900456936</v>
      </c>
      <c r="AW367" s="510">
        <v>1.847754997582961</v>
      </c>
      <c r="AX367" s="510">
        <v>0</v>
      </c>
      <c r="AY367" s="510">
        <v>0</v>
      </c>
      <c r="AZ367" s="510">
        <v>1472.4749840939319</v>
      </c>
      <c r="BA367" s="510">
        <v>1358.25086018142</v>
      </c>
      <c r="BB367" s="510">
        <v>417.31736942565556</v>
      </c>
      <c r="BC367" s="510">
        <v>161.68567122586231</v>
      </c>
      <c r="BD367" s="510">
        <v>0</v>
      </c>
      <c r="BE367" s="511">
        <v>45.241277333864133</v>
      </c>
      <c r="BF367" s="1026">
        <v>0.82113474268183695</v>
      </c>
      <c r="BG367" s="513">
        <v>0.88063917757887533</v>
      </c>
      <c r="BH367" s="513">
        <v>0.82113474268183695</v>
      </c>
      <c r="BI367" s="513">
        <v>0.88063917757887533</v>
      </c>
      <c r="BJ367" s="510">
        <v>41.72</v>
      </c>
      <c r="BK367" s="510">
        <v>240.04500000000002</v>
      </c>
      <c r="BL367" s="510">
        <v>2.8739213806327903</v>
      </c>
      <c r="BM367" s="510">
        <v>2.562019621321002</v>
      </c>
      <c r="BN367" s="514">
        <v>0</v>
      </c>
      <c r="BO367" s="514">
        <v>0</v>
      </c>
      <c r="BP367" s="514">
        <v>1257.7488117125774</v>
      </c>
      <c r="BQ367" s="514">
        <v>1034.5841336546871</v>
      </c>
      <c r="BR367" s="514">
        <v>0</v>
      </c>
      <c r="BS367" s="1031">
        <v>0</v>
      </c>
      <c r="BT367" s="512">
        <v>0.91209509576186132</v>
      </c>
      <c r="BU367" s="513">
        <v>0.80171559112401036</v>
      </c>
      <c r="BV367" s="513">
        <v>0.91209509576186132</v>
      </c>
      <c r="BW367" s="513">
        <v>0.80171559112401036</v>
      </c>
      <c r="BX367" s="510">
        <v>43.8</v>
      </c>
      <c r="BY367" s="510">
        <v>193.70400000000001</v>
      </c>
      <c r="BZ367" s="514">
        <v>89.49179607568496</v>
      </c>
      <c r="CA367" s="514">
        <v>94.362182809927148</v>
      </c>
      <c r="CB367" s="510">
        <v>1.8584474885844751</v>
      </c>
      <c r="CC367" s="510">
        <v>2.0299012926940074</v>
      </c>
      <c r="CD367" s="514">
        <v>0</v>
      </c>
      <c r="CE367" s="514">
        <v>0</v>
      </c>
      <c r="CF367" s="514">
        <v>927.22441952855013</v>
      </c>
      <c r="CG367" s="514">
        <v>966.87384688421707</v>
      </c>
      <c r="CH367" s="514">
        <v>0</v>
      </c>
      <c r="CI367" s="514">
        <v>0</v>
      </c>
      <c r="CJ367" s="514">
        <v>13.68066741006897</v>
      </c>
      <c r="CK367" s="515">
        <v>58.671994383182586</v>
      </c>
    </row>
    <row r="368" spans="1:89" ht="12.75" customHeight="1">
      <c r="A368" s="560">
        <v>45663</v>
      </c>
      <c r="B368" s="512">
        <v>0.72413105480802775</v>
      </c>
      <c r="C368" s="513">
        <v>0.72849610539178722</v>
      </c>
      <c r="D368" s="513">
        <v>0.72413105480802775</v>
      </c>
      <c r="E368" s="513">
        <v>0.72849610539178722</v>
      </c>
      <c r="F368" s="510">
        <v>53.677999999999997</v>
      </c>
      <c r="G368" s="510">
        <v>321.67899999999997</v>
      </c>
      <c r="H368" s="510">
        <v>2.8875330675509523</v>
      </c>
      <c r="I368" s="510">
        <v>2.0842734527277198</v>
      </c>
      <c r="J368" s="510">
        <v>987.21822720668956</v>
      </c>
      <c r="K368" s="511">
        <v>872.7489578119754</v>
      </c>
      <c r="L368" s="512">
        <v>0.73410678755224434</v>
      </c>
      <c r="M368" s="513">
        <v>0.90170482313125966</v>
      </c>
      <c r="N368" s="513">
        <v>0.86282901916342425</v>
      </c>
      <c r="O368" s="513">
        <v>0.92354005399779682</v>
      </c>
      <c r="P368" s="510">
        <v>46.363999999999997</v>
      </c>
      <c r="Q368" s="510">
        <v>359.34599999999995</v>
      </c>
      <c r="R368" s="510">
        <v>2.6250539211457165</v>
      </c>
      <c r="S368" s="510">
        <v>2.2178819299505217</v>
      </c>
      <c r="T368" s="510">
        <v>0.34078164092830648</v>
      </c>
      <c r="U368" s="510">
        <v>0.2334797103627145</v>
      </c>
      <c r="V368" s="510">
        <v>638.40716935552666</v>
      </c>
      <c r="W368" s="510">
        <v>521.63978449739238</v>
      </c>
      <c r="X368" s="510">
        <v>616.64222241394179</v>
      </c>
      <c r="Y368" s="511">
        <v>440.04942311866677</v>
      </c>
      <c r="Z368" s="1025">
        <v>0.86896218414879922</v>
      </c>
      <c r="AA368" s="581">
        <v>0.92774898107824488</v>
      </c>
      <c r="AB368" s="581">
        <v>0.86896218414879922</v>
      </c>
      <c r="AC368" s="581">
        <v>0.92774898107824488</v>
      </c>
      <c r="AD368" s="576">
        <v>38.917000000000002</v>
      </c>
      <c r="AE368" s="576">
        <v>248.00200000000001</v>
      </c>
      <c r="AF368" s="576">
        <v>97.619028215157442</v>
      </c>
      <c r="AG368" s="576">
        <v>94.273394480530968</v>
      </c>
      <c r="AH368" s="576">
        <v>1.5494513965619137</v>
      </c>
      <c r="AI368" s="576">
        <v>1.4507947516552286</v>
      </c>
      <c r="AJ368" s="576">
        <v>956.72174114139875</v>
      </c>
      <c r="AK368" s="576">
        <v>903.66521237732024</v>
      </c>
      <c r="AL368" s="576">
        <v>0</v>
      </c>
      <c r="AM368" s="577">
        <v>0</v>
      </c>
      <c r="AN368" s="512">
        <v>1.0236176710241249</v>
      </c>
      <c r="AO368" s="513">
        <v>0.79187545788583469</v>
      </c>
      <c r="AP368" s="513">
        <v>1.0236176710241249</v>
      </c>
      <c r="AQ368" s="513">
        <v>0.79187545788583469</v>
      </c>
      <c r="AR368" s="510">
        <v>54.313000000000002</v>
      </c>
      <c r="AS368" s="510">
        <v>230.14800000000002</v>
      </c>
      <c r="AT368" s="514">
        <v>123.08125409740683</v>
      </c>
      <c r="AU368" s="514">
        <v>148.07701669302782</v>
      </c>
      <c r="AV368" s="510">
        <v>1.3551083534328796</v>
      </c>
      <c r="AW368" s="510">
        <v>1.7314945165719449</v>
      </c>
      <c r="AX368" s="510">
        <v>0</v>
      </c>
      <c r="AY368" s="510">
        <v>0</v>
      </c>
      <c r="AZ368" s="510">
        <v>878.10910831660874</v>
      </c>
      <c r="BA368" s="510">
        <v>1244.9414289935171</v>
      </c>
      <c r="BB368" s="510">
        <v>297.82924898274365</v>
      </c>
      <c r="BC368" s="510">
        <v>193.81441507203735</v>
      </c>
      <c r="BD368" s="510">
        <v>0</v>
      </c>
      <c r="BE368" s="511">
        <v>34.564714879121262</v>
      </c>
      <c r="BF368" s="1026">
        <v>0.91704337254499058</v>
      </c>
      <c r="BG368" s="513">
        <v>0.8863601247567332</v>
      </c>
      <c r="BH368" s="513">
        <v>0.91704337254499058</v>
      </c>
      <c r="BI368" s="513">
        <v>0.8863601247567332</v>
      </c>
      <c r="BJ368" s="510">
        <v>46.606999999999999</v>
      </c>
      <c r="BK368" s="510">
        <v>286.65200000000004</v>
      </c>
      <c r="BL368" s="510">
        <v>2.4245285043019291</v>
      </c>
      <c r="BM368" s="510">
        <v>2.5396648200605609</v>
      </c>
      <c r="BN368" s="514">
        <v>0</v>
      </c>
      <c r="BO368" s="514">
        <v>0</v>
      </c>
      <c r="BP368" s="514">
        <v>1045.8181174501765</v>
      </c>
      <c r="BQ368" s="514">
        <v>1036.4106769293069</v>
      </c>
      <c r="BR368" s="514">
        <v>0</v>
      </c>
      <c r="BS368" s="1031">
        <v>0</v>
      </c>
      <c r="BT368" s="512">
        <v>0.91749409315308394</v>
      </c>
      <c r="BU368" s="513">
        <v>0.82019949441601481</v>
      </c>
      <c r="BV368" s="513">
        <v>0.91749409315308394</v>
      </c>
      <c r="BW368" s="513">
        <v>0.82019949441601481</v>
      </c>
      <c r="BX368" s="510">
        <v>42.113999999999997</v>
      </c>
      <c r="BY368" s="510">
        <v>235.81800000000001</v>
      </c>
      <c r="BZ368" s="514">
        <v>92.583181962251544</v>
      </c>
      <c r="CA368" s="514">
        <v>94.044476605570352</v>
      </c>
      <c r="CB368" s="510">
        <v>1.8901078026309541</v>
      </c>
      <c r="CC368" s="510">
        <v>2.0049360099737936</v>
      </c>
      <c r="CD368" s="514">
        <v>0</v>
      </c>
      <c r="CE368" s="514">
        <v>0</v>
      </c>
      <c r="CF368" s="514">
        <v>956.35145082394206</v>
      </c>
      <c r="CG368" s="514">
        <v>964.99468504041204</v>
      </c>
      <c r="CH368" s="514">
        <v>256.06686612527511</v>
      </c>
      <c r="CI368" s="514">
        <v>45.730181750332186</v>
      </c>
      <c r="CJ368" s="514">
        <v>0</v>
      </c>
      <c r="CK368" s="515">
        <v>48.193946178832832</v>
      </c>
    </row>
    <row r="369" spans="1:89" ht="12.75" customHeight="1">
      <c r="A369" s="560">
        <v>45664</v>
      </c>
      <c r="B369" s="512">
        <v>0.83426571461218246</v>
      </c>
      <c r="C369" s="513">
        <v>0.74400294493784391</v>
      </c>
      <c r="D369" s="513">
        <v>0.83426571461218246</v>
      </c>
      <c r="E369" s="513">
        <v>0.74400294493784391</v>
      </c>
      <c r="F369" s="510">
        <v>63.286999999999999</v>
      </c>
      <c r="G369" s="510">
        <v>384.96599999999995</v>
      </c>
      <c r="H369" s="510">
        <v>2.4958838308025344</v>
      </c>
      <c r="I369" s="510">
        <v>2.1519406908662071</v>
      </c>
      <c r="J369" s="510">
        <v>832.29244552591786</v>
      </c>
      <c r="K369" s="511">
        <v>866.09805541267872</v>
      </c>
      <c r="L369" s="512">
        <v>0.93803685496036304</v>
      </c>
      <c r="M369" s="513">
        <v>0.9069899234224974</v>
      </c>
      <c r="N369" s="513">
        <v>0.93803685496036304</v>
      </c>
      <c r="O369" s="513">
        <v>0.92569233975119813</v>
      </c>
      <c r="P369" s="510">
        <v>63.636000000000003</v>
      </c>
      <c r="Q369" s="510">
        <v>422.98199999999997</v>
      </c>
      <c r="R369" s="510">
        <v>2.2890502231441321</v>
      </c>
      <c r="S369" s="510">
        <v>2.2285889234057241</v>
      </c>
      <c r="T369" s="510">
        <v>0.264001508580049</v>
      </c>
      <c r="U369" s="510">
        <v>0.23807159642727113</v>
      </c>
      <c r="V369" s="510">
        <v>465.86381922182693</v>
      </c>
      <c r="W369" s="510">
        <v>513.2485070286682</v>
      </c>
      <c r="X369" s="510">
        <v>501.7600100572003</v>
      </c>
      <c r="Y369" s="511">
        <v>449.33354138001243</v>
      </c>
      <c r="Z369" s="1025">
        <v>0.91133748205853882</v>
      </c>
      <c r="AA369" s="581">
        <v>0.92541054637914544</v>
      </c>
      <c r="AB369" s="581">
        <v>0.91133748205853882</v>
      </c>
      <c r="AC369" s="581">
        <v>0.92541054637914544</v>
      </c>
      <c r="AD369" s="576">
        <v>40.479999999999997</v>
      </c>
      <c r="AE369" s="576">
        <v>288.48200000000003</v>
      </c>
      <c r="AF369" s="576">
        <v>86.981975826609172</v>
      </c>
      <c r="AG369" s="576">
        <v>93.25025741440291</v>
      </c>
      <c r="AH369" s="576">
        <v>1.4624505928853757</v>
      </c>
      <c r="AI369" s="576">
        <v>1.4524303076101801</v>
      </c>
      <c r="AJ369" s="576">
        <v>886.98468379446194</v>
      </c>
      <c r="AK369" s="576">
        <v>901.32458870917424</v>
      </c>
      <c r="AL369" s="576">
        <v>0</v>
      </c>
      <c r="AM369" s="577">
        <v>0</v>
      </c>
      <c r="AN369" s="512">
        <v>0.70871934162478645</v>
      </c>
      <c r="AO369" s="513">
        <v>0.78044039800023457</v>
      </c>
      <c r="AP369" s="513">
        <v>0.70871934162478645</v>
      </c>
      <c r="AQ369" s="513">
        <v>0.78044039800023457</v>
      </c>
      <c r="AR369" s="510">
        <v>32.841000000000001</v>
      </c>
      <c r="AS369" s="510">
        <v>262.98900000000003</v>
      </c>
      <c r="AT369" s="514">
        <v>160.82753250385173</v>
      </c>
      <c r="AU369" s="514">
        <v>149.66924940900932</v>
      </c>
      <c r="AV369" s="510">
        <v>1.9914131725586919</v>
      </c>
      <c r="AW369" s="510">
        <v>1.7639521044606425</v>
      </c>
      <c r="AX369" s="510">
        <v>0</v>
      </c>
      <c r="AY369" s="510">
        <v>0</v>
      </c>
      <c r="AZ369" s="510">
        <v>1349.38461070004</v>
      </c>
      <c r="BA369" s="510">
        <v>1257.9838700477962</v>
      </c>
      <c r="BB369" s="510">
        <v>458.26862763011451</v>
      </c>
      <c r="BC369" s="510">
        <v>226.8383848754124</v>
      </c>
      <c r="BD369" s="510">
        <v>0</v>
      </c>
      <c r="BE369" s="511">
        <v>30.248413431740484</v>
      </c>
      <c r="BF369" s="1026">
        <v>1.035783899816257</v>
      </c>
      <c r="BG369" s="513">
        <v>0.90640186207418971</v>
      </c>
      <c r="BH369" s="513">
        <v>1.035783899816257</v>
      </c>
      <c r="BI369" s="513">
        <v>0.90640186207418971</v>
      </c>
      <c r="BJ369" s="510">
        <v>51.889000000000003</v>
      </c>
      <c r="BK369" s="510">
        <v>338.54100000000005</v>
      </c>
      <c r="BL369" s="510">
        <v>2.2143421534429262</v>
      </c>
      <c r="BM369" s="510">
        <v>2.4898018260712877</v>
      </c>
      <c r="BN369" s="514">
        <v>0</v>
      </c>
      <c r="BO369" s="514">
        <v>0</v>
      </c>
      <c r="BP369" s="514">
        <v>992.34892976059905</v>
      </c>
      <c r="BQ369" s="514">
        <v>1029.6572260951773</v>
      </c>
      <c r="BR369" s="514">
        <v>0</v>
      </c>
      <c r="BS369" s="1031">
        <v>0</v>
      </c>
      <c r="BT369" s="512">
        <v>0.95416720747408579</v>
      </c>
      <c r="BU369" s="513">
        <v>0.83842222635048835</v>
      </c>
      <c r="BV369" s="513">
        <v>0.95416720747408579</v>
      </c>
      <c r="BW369" s="513">
        <v>0.83842222635048835</v>
      </c>
      <c r="BX369" s="510">
        <v>43.191000000000003</v>
      </c>
      <c r="BY369" s="510">
        <v>279.00900000000001</v>
      </c>
      <c r="BZ369" s="514">
        <v>90.718728984739101</v>
      </c>
      <c r="CA369" s="514">
        <v>93.529646024867489</v>
      </c>
      <c r="CB369" s="510">
        <v>1.8198235743557682</v>
      </c>
      <c r="CC369" s="510">
        <v>1.9762803350429559</v>
      </c>
      <c r="CD369" s="514">
        <v>0</v>
      </c>
      <c r="CE369" s="514">
        <v>0</v>
      </c>
      <c r="CF369" s="514">
        <v>966.48460058004912</v>
      </c>
      <c r="CG369" s="514">
        <v>965.22532613827082</v>
      </c>
      <c r="CH369" s="514">
        <v>348.45222384294397</v>
      </c>
      <c r="CI369" s="514">
        <v>92.591995240298445</v>
      </c>
      <c r="CJ369" s="514">
        <v>0</v>
      </c>
      <c r="CK369" s="515">
        <v>40.733453042733387</v>
      </c>
    </row>
    <row r="370" spans="1:89">
      <c r="A370" s="560">
        <v>45665</v>
      </c>
      <c r="B370" s="512">
        <v>0.86548879801474965</v>
      </c>
      <c r="C370" s="513">
        <v>0.75947822216758332</v>
      </c>
      <c r="D370" s="513">
        <v>0.86548879801474965</v>
      </c>
      <c r="E370" s="513">
        <v>0.75947822216758332</v>
      </c>
      <c r="F370" s="510">
        <v>65.373000000000005</v>
      </c>
      <c r="G370" s="510">
        <v>450.33899999999994</v>
      </c>
      <c r="H370" s="510">
        <v>2.4599758310005657</v>
      </c>
      <c r="I370" s="510">
        <v>2.1966562967009304</v>
      </c>
      <c r="J370" s="510">
        <v>821.78972970495727</v>
      </c>
      <c r="K370" s="511">
        <v>859.66608266217099</v>
      </c>
      <c r="L370" s="512">
        <v>0.98193455051118272</v>
      </c>
      <c r="M370" s="513">
        <v>0.91650739496060751</v>
      </c>
      <c r="N370" s="513">
        <v>0.98193455051118272</v>
      </c>
      <c r="O370" s="513">
        <v>0.93296296732516681</v>
      </c>
      <c r="P370" s="510">
        <v>66.614000000000004</v>
      </c>
      <c r="Q370" s="510">
        <v>489.596</v>
      </c>
      <c r="R370" s="510">
        <v>2.30076260245594</v>
      </c>
      <c r="S370" s="510">
        <v>2.2384088105294975</v>
      </c>
      <c r="T370" s="510">
        <v>0.21617077491218062</v>
      </c>
      <c r="U370" s="510">
        <v>0.23509178996560429</v>
      </c>
      <c r="V370" s="510">
        <v>496.73657189179181</v>
      </c>
      <c r="W370" s="510">
        <v>511.00190769532418</v>
      </c>
      <c r="X370" s="510">
        <v>414.47743717536855</v>
      </c>
      <c r="Y370" s="511">
        <v>444.59105058047942</v>
      </c>
      <c r="Z370" s="1025">
        <v>0.33802923659366652</v>
      </c>
      <c r="AA370" s="581">
        <v>0.85360446809060164</v>
      </c>
      <c r="AB370" s="581">
        <v>0.33802923659366652</v>
      </c>
      <c r="AC370" s="581">
        <v>0.85360446809060164</v>
      </c>
      <c r="AD370" s="576">
        <v>14.676</v>
      </c>
      <c r="AE370" s="576">
        <v>303.15800000000002</v>
      </c>
      <c r="AF370" s="576">
        <v>85.158475230481756</v>
      </c>
      <c r="AG370" s="576">
        <v>92.858531003319499</v>
      </c>
      <c r="AH370" s="576">
        <v>2.343962932679204</v>
      </c>
      <c r="AI370" s="576">
        <v>1.4955897584757782</v>
      </c>
      <c r="AJ370" s="576">
        <v>1415.0817661488268</v>
      </c>
      <c r="AK370" s="576">
        <v>926.19577909868838</v>
      </c>
      <c r="AL370" s="576">
        <v>0</v>
      </c>
      <c r="AM370" s="577">
        <v>0</v>
      </c>
      <c r="AN370" s="512">
        <v>0.84973136574912</v>
      </c>
      <c r="AO370" s="513">
        <v>0.7889264624559893</v>
      </c>
      <c r="AP370" s="513">
        <v>0.84973136574912</v>
      </c>
      <c r="AQ370" s="513">
        <v>0.7889264624559893</v>
      </c>
      <c r="AR370" s="510">
        <v>39.962000000000003</v>
      </c>
      <c r="AS370" s="510">
        <v>302.95100000000002</v>
      </c>
      <c r="AT370" s="514">
        <v>147.83099895438758</v>
      </c>
      <c r="AU370" s="514">
        <v>149.42676740806664</v>
      </c>
      <c r="AV370" s="510">
        <v>1.7116260447425053</v>
      </c>
      <c r="AW370" s="510">
        <v>1.7570498199378775</v>
      </c>
      <c r="AX370" s="510">
        <v>0</v>
      </c>
      <c r="AY370" s="510">
        <v>0</v>
      </c>
      <c r="AZ370" s="510">
        <v>1178.5631349782291</v>
      </c>
      <c r="BA370" s="510">
        <v>1247.5075507260249</v>
      </c>
      <c r="BB370" s="510">
        <v>378.10920374355237</v>
      </c>
      <c r="BC370" s="510">
        <v>246.79238556730189</v>
      </c>
      <c r="BD370" s="510">
        <v>0</v>
      </c>
      <c r="BE370" s="511">
        <v>26.258371815904223</v>
      </c>
      <c r="BF370" s="1026">
        <v>0.92897591767487675</v>
      </c>
      <c r="BG370" s="513">
        <v>0.90923683582152781</v>
      </c>
      <c r="BH370" s="513">
        <v>0.92897591767487675</v>
      </c>
      <c r="BI370" s="513">
        <v>0.90923683582152781</v>
      </c>
      <c r="BJ370" s="510">
        <v>49.832999999999998</v>
      </c>
      <c r="BK370" s="510">
        <v>388.37400000000002</v>
      </c>
      <c r="BL370" s="510">
        <v>2.2475066722854335</v>
      </c>
      <c r="BM370" s="510">
        <v>2.4587124781782506</v>
      </c>
      <c r="BN370" s="514">
        <v>0</v>
      </c>
      <c r="BO370" s="514">
        <v>0</v>
      </c>
      <c r="BP370" s="514">
        <v>1016.1957791943745</v>
      </c>
      <c r="BQ370" s="514">
        <v>1027.9299624693742</v>
      </c>
      <c r="BR370" s="514">
        <v>0</v>
      </c>
      <c r="BS370" s="1031" t="s">
        <v>0</v>
      </c>
      <c r="BT370" s="512">
        <v>0.98134012926781888</v>
      </c>
      <c r="BU370" s="513">
        <v>0.85553469772559476</v>
      </c>
      <c r="BV370" s="513">
        <v>0.98134012926781888</v>
      </c>
      <c r="BW370" s="513">
        <v>0.85553469772559476</v>
      </c>
      <c r="BX370" s="510">
        <v>44.420999999999999</v>
      </c>
      <c r="BY370" s="510">
        <v>323.43</v>
      </c>
      <c r="BZ370" s="514">
        <v>97.985003428608366</v>
      </c>
      <c r="CA370" s="514">
        <v>94.141560291421541</v>
      </c>
      <c r="CB370" s="510">
        <v>1.8144571261340356</v>
      </c>
      <c r="CC370" s="510">
        <v>1.9540549732554189</v>
      </c>
      <c r="CD370" s="514">
        <v>0</v>
      </c>
      <c r="CE370" s="514">
        <v>0</v>
      </c>
      <c r="CF370" s="514">
        <v>902.34676696622137</v>
      </c>
      <c r="CG370" s="514">
        <v>956.58936634177201</v>
      </c>
      <c r="CH370" s="514">
        <v>340.15443146259292</v>
      </c>
      <c r="CI370" s="514">
        <v>126.59308041925694</v>
      </c>
      <c r="CJ370" s="514">
        <v>0</v>
      </c>
      <c r="CK370" s="515">
        <v>35.138979068113656</v>
      </c>
    </row>
    <row r="371" spans="1:89">
      <c r="A371" s="560">
        <v>45666</v>
      </c>
      <c r="B371" s="512">
        <v>0.72432128954898523</v>
      </c>
      <c r="C371" s="513">
        <v>0.75576914061136991</v>
      </c>
      <c r="D371" s="513">
        <v>0.71838869970120811</v>
      </c>
      <c r="E371" s="513">
        <v>0.7551112537987611</v>
      </c>
      <c r="F371" s="510">
        <v>50.655999999999999</v>
      </c>
      <c r="G371" s="510">
        <v>500.99499999999995</v>
      </c>
      <c r="H371" s="510">
        <v>2.6777084649399874</v>
      </c>
      <c r="I371" s="510">
        <v>2.2452958612361402</v>
      </c>
      <c r="J371" s="510">
        <v>969.56048641817461</v>
      </c>
      <c r="K371" s="511">
        <v>870.77759259074139</v>
      </c>
      <c r="L371" s="512">
        <v>0.95181937522228921</v>
      </c>
      <c r="M371" s="513">
        <v>0.92048646690600011</v>
      </c>
      <c r="N371" s="513">
        <v>0.95181937522228921</v>
      </c>
      <c r="O371" s="513">
        <v>0.93512155325517921</v>
      </c>
      <c r="P371" s="510">
        <v>64.570999999999998</v>
      </c>
      <c r="Q371" s="510">
        <v>554.16700000000003</v>
      </c>
      <c r="R371" s="510">
        <v>2.3767945362469223</v>
      </c>
      <c r="S371" s="510">
        <v>2.2545333807318007</v>
      </c>
      <c r="T371" s="510">
        <v>0.2601787180003407</v>
      </c>
      <c r="U371" s="510">
        <v>0.23801489442713117</v>
      </c>
      <c r="V371" s="510">
        <v>517.53790401263302</v>
      </c>
      <c r="W371" s="510">
        <v>511.76347563099142</v>
      </c>
      <c r="X371" s="510">
        <v>470.48984838394949</v>
      </c>
      <c r="Y371" s="511">
        <v>447.60875331804385</v>
      </c>
      <c r="Z371" s="1025">
        <v>0.92402093739510882</v>
      </c>
      <c r="AA371" s="581">
        <v>0.86145702322099527</v>
      </c>
      <c r="AB371" s="581">
        <v>0.92402093739510882</v>
      </c>
      <c r="AC371" s="581">
        <v>0.86145702322099527</v>
      </c>
      <c r="AD371" s="576">
        <v>41.189</v>
      </c>
      <c r="AE371" s="576">
        <v>344.34700000000004</v>
      </c>
      <c r="AF371" s="576">
        <v>88.773809057808947</v>
      </c>
      <c r="AG371" s="576">
        <v>92.369937775518366</v>
      </c>
      <c r="AH371" s="576">
        <v>1.434849110199325</v>
      </c>
      <c r="AI371" s="576">
        <v>1.4883242775456151</v>
      </c>
      <c r="AJ371" s="576">
        <v>848.23520842943503</v>
      </c>
      <c r="AK371" s="576">
        <v>916.87054047225649</v>
      </c>
      <c r="AL371" s="576">
        <v>0</v>
      </c>
      <c r="AM371" s="577">
        <v>0</v>
      </c>
      <c r="AN371" s="512">
        <v>1.0380740447874481</v>
      </c>
      <c r="AO371" s="513">
        <v>0.81561339039690905</v>
      </c>
      <c r="AP371" s="513">
        <v>1.0380740447874481</v>
      </c>
      <c r="AQ371" s="513">
        <v>0.81561339039690905</v>
      </c>
      <c r="AR371" s="510">
        <v>47.82</v>
      </c>
      <c r="AS371" s="510">
        <v>350.77100000000002</v>
      </c>
      <c r="AT371" s="514">
        <v>113.22489337059173</v>
      </c>
      <c r="AU371" s="514">
        <v>144.49142892092817</v>
      </c>
      <c r="AV371" s="510">
        <v>1.4303638644918446</v>
      </c>
      <c r="AW371" s="510">
        <v>1.7125132921478683</v>
      </c>
      <c r="AX371" s="510">
        <v>0</v>
      </c>
      <c r="AY371" s="510">
        <v>0</v>
      </c>
      <c r="AZ371" s="510">
        <v>1026.9335006273539</v>
      </c>
      <c r="BA371" s="510">
        <v>1217.4370743305462</v>
      </c>
      <c r="BB371" s="510">
        <v>331.24215809284141</v>
      </c>
      <c r="BC371" s="510">
        <v>258.30527609180734</v>
      </c>
      <c r="BD371" s="510">
        <v>0</v>
      </c>
      <c r="BE371" s="511">
        <v>22.678613682430989</v>
      </c>
      <c r="BF371" s="1026">
        <v>0.34435958249174753</v>
      </c>
      <c r="BG371" s="513">
        <v>0.85119670883577325</v>
      </c>
      <c r="BH371" s="513">
        <v>0.34435958249174753</v>
      </c>
      <c r="BI371" s="513">
        <v>0.85119670883577325</v>
      </c>
      <c r="BJ371" s="510">
        <v>16.844000000000001</v>
      </c>
      <c r="BK371" s="510">
        <v>405.21800000000002</v>
      </c>
      <c r="BL371" s="510">
        <v>3.7223937307052957</v>
      </c>
      <c r="BM371" s="510">
        <v>2.5112408629429095</v>
      </c>
      <c r="BN371" s="514">
        <v>0</v>
      </c>
      <c r="BO371" s="514">
        <v>0</v>
      </c>
      <c r="BP371" s="514">
        <v>1350.1116556233412</v>
      </c>
      <c r="BQ371" s="514">
        <v>1041.3223301319297</v>
      </c>
      <c r="BR371" s="514">
        <v>0</v>
      </c>
      <c r="BS371" s="1031">
        <v>0</v>
      </c>
      <c r="BT371" s="512">
        <v>0.90485676441735752</v>
      </c>
      <c r="BU371" s="513">
        <v>0.86118645026134555</v>
      </c>
      <c r="BV371" s="513">
        <v>0.90485676441735752</v>
      </c>
      <c r="BW371" s="513">
        <v>0.86118645026134555</v>
      </c>
      <c r="BX371" s="510">
        <v>44.271000000000001</v>
      </c>
      <c r="BY371" s="510">
        <v>367.70100000000002</v>
      </c>
      <c r="BZ371" s="514">
        <v>93.833009819886868</v>
      </c>
      <c r="CA371" s="514">
        <v>94.104410982811245</v>
      </c>
      <c r="CB371" s="510">
        <v>1.985498407535407</v>
      </c>
      <c r="CC371" s="510">
        <v>1.9578407456058049</v>
      </c>
      <c r="CD371" s="514">
        <v>0</v>
      </c>
      <c r="CE371" s="514">
        <v>0</v>
      </c>
      <c r="CF371" s="514">
        <v>975.64069645320126</v>
      </c>
      <c r="CG371" s="514">
        <v>958.8831361040601</v>
      </c>
      <c r="CH371" s="514">
        <v>292.74242732262059</v>
      </c>
      <c r="CI371" s="514">
        <v>146.5973712336926</v>
      </c>
      <c r="CJ371" s="514">
        <v>0</v>
      </c>
      <c r="CK371" s="515">
        <v>30.908265139338756</v>
      </c>
    </row>
    <row r="372" spans="1:89">
      <c r="A372" s="560">
        <v>45667</v>
      </c>
      <c r="B372" s="512">
        <v>0.95216197402160263</v>
      </c>
      <c r="C372" s="513">
        <v>0.77280017044227711</v>
      </c>
      <c r="D372" s="513">
        <v>0.96285644610120535</v>
      </c>
      <c r="E372" s="513">
        <v>0.77292963713089347</v>
      </c>
      <c r="F372" s="510">
        <v>59.933</v>
      </c>
      <c r="G372" s="510">
        <v>560.928</v>
      </c>
      <c r="H372" s="510">
        <v>2.1158460280646723</v>
      </c>
      <c r="I372" s="510">
        <v>2.2314646443037254</v>
      </c>
      <c r="J372" s="510">
        <v>879.75659486426764</v>
      </c>
      <c r="K372" s="511">
        <v>871.73696445889425</v>
      </c>
      <c r="L372" s="512">
        <v>0.89331368226016583</v>
      </c>
      <c r="M372" s="513">
        <v>0.91773463260814003</v>
      </c>
      <c r="N372" s="513">
        <v>0.89331368226016583</v>
      </c>
      <c r="O372" s="513">
        <v>0.93082719643376144</v>
      </c>
      <c r="P372" s="510">
        <v>60.601999999999997</v>
      </c>
      <c r="Q372" s="510">
        <v>614.76900000000001</v>
      </c>
      <c r="R372" s="510">
        <v>2.4837299099039636</v>
      </c>
      <c r="S372" s="510">
        <v>2.2771268557783491</v>
      </c>
      <c r="T372" s="510">
        <v>0.21946470413517707</v>
      </c>
      <c r="U372" s="510">
        <v>0.23618627484469779</v>
      </c>
      <c r="V372" s="510">
        <v>557.60585459226513</v>
      </c>
      <c r="W372" s="510">
        <v>516.28247357950715</v>
      </c>
      <c r="X372" s="510">
        <v>401.8019207286888</v>
      </c>
      <c r="Y372" s="511">
        <v>443.09325941939233</v>
      </c>
      <c r="Z372" s="1025">
        <v>0.86656256346893312</v>
      </c>
      <c r="AA372" s="581">
        <v>0.861944726121181</v>
      </c>
      <c r="AB372" s="581">
        <v>0.86656256346893312</v>
      </c>
      <c r="AC372" s="581">
        <v>0.861944726121181</v>
      </c>
      <c r="AD372" s="576">
        <v>36.582999999999998</v>
      </c>
      <c r="AE372" s="576">
        <v>380.93000000000006</v>
      </c>
      <c r="AF372" s="576">
        <v>95.303688870867447</v>
      </c>
      <c r="AG372" s="576">
        <v>92.651683545925422</v>
      </c>
      <c r="AH372" s="576">
        <v>1.5827023480851763</v>
      </c>
      <c r="AI372" s="576">
        <v>1.4973879715433278</v>
      </c>
      <c r="AJ372" s="576">
        <v>999.91854139902034</v>
      </c>
      <c r="AK372" s="576">
        <v>924.84613971070928</v>
      </c>
      <c r="AL372" s="576">
        <v>0</v>
      </c>
      <c r="AM372" s="577">
        <v>0</v>
      </c>
      <c r="AN372" s="512">
        <v>0.94314665154638699</v>
      </c>
      <c r="AO372" s="513">
        <v>0.83140183139493584</v>
      </c>
      <c r="AP372" s="513">
        <v>0.94314665154638699</v>
      </c>
      <c r="AQ372" s="513">
        <v>0.83140183139493584</v>
      </c>
      <c r="AR372" s="510">
        <v>57.31</v>
      </c>
      <c r="AS372" s="510">
        <v>408.08100000000002</v>
      </c>
      <c r="AT372" s="514">
        <v>110.17783197361459</v>
      </c>
      <c r="AU372" s="514">
        <v>139.67250267576961</v>
      </c>
      <c r="AV372" s="510">
        <v>1.3069272378293493</v>
      </c>
      <c r="AW372" s="510">
        <v>1.6555536768435675</v>
      </c>
      <c r="AX372" s="510">
        <v>0.19577735124760073</v>
      </c>
      <c r="AY372" s="510">
        <v>2.7494541524844329E-2</v>
      </c>
      <c r="AZ372" s="510">
        <v>718.72308497644246</v>
      </c>
      <c r="BA372" s="510">
        <v>1147.3987762233478</v>
      </c>
      <c r="BB372" s="510">
        <v>519.28110277438259</v>
      </c>
      <c r="BC372" s="510">
        <v>294.9561484117105</v>
      </c>
      <c r="BD372" s="510">
        <v>0</v>
      </c>
      <c r="BE372" s="511">
        <v>19.493678950992575</v>
      </c>
      <c r="BF372" s="1026">
        <v>0.97239062110343444</v>
      </c>
      <c r="BG372" s="513">
        <v>0.86317770184684683</v>
      </c>
      <c r="BH372" s="513">
        <v>0.97239062110343444</v>
      </c>
      <c r="BI372" s="513">
        <v>0.86317770184684683</v>
      </c>
      <c r="BJ372" s="510">
        <v>50.783000000000001</v>
      </c>
      <c r="BK372" s="510">
        <v>456.00100000000003</v>
      </c>
      <c r="BL372" s="510">
        <v>2.3255813953488369</v>
      </c>
      <c r="BM372" s="510">
        <v>2.4905647136738733</v>
      </c>
      <c r="BN372" s="514">
        <v>0</v>
      </c>
      <c r="BO372" s="514">
        <v>0</v>
      </c>
      <c r="BP372" s="514">
        <v>829.95822595428149</v>
      </c>
      <c r="BQ372" s="514">
        <v>1017.783558720346</v>
      </c>
      <c r="BR372" s="514">
        <v>0</v>
      </c>
      <c r="BS372" s="1031">
        <v>0</v>
      </c>
      <c r="BT372" s="512">
        <v>0.96326854177031995</v>
      </c>
      <c r="BU372" s="513">
        <v>0.87216091322406109</v>
      </c>
      <c r="BV372" s="513">
        <v>0.96326854177031995</v>
      </c>
      <c r="BW372" s="513">
        <v>0.87216091322406109</v>
      </c>
      <c r="BX372" s="510">
        <v>49.542000000000002</v>
      </c>
      <c r="BY372" s="510">
        <v>417.24300000000005</v>
      </c>
      <c r="BZ372" s="514">
        <v>81.874240031270546</v>
      </c>
      <c r="CA372" s="514">
        <v>92.652242511965156</v>
      </c>
      <c r="CB372" s="510">
        <v>1.871139639094102</v>
      </c>
      <c r="CC372" s="510">
        <v>1.9475461541595667</v>
      </c>
      <c r="CD372" s="514">
        <v>0.15098300431956724</v>
      </c>
      <c r="CE372" s="514">
        <v>1.7927203092682201E-2</v>
      </c>
      <c r="CF372" s="514">
        <v>817.73629266812634</v>
      </c>
      <c r="CG372" s="514">
        <v>942.12384495357207</v>
      </c>
      <c r="CH372" s="514">
        <v>400.46828953211235</v>
      </c>
      <c r="CI372" s="514">
        <v>176.7411316666784</v>
      </c>
      <c r="CJ372" s="514">
        <v>0</v>
      </c>
      <c r="CK372" s="515">
        <v>27.238323950311926</v>
      </c>
    </row>
    <row r="373" spans="1:89">
      <c r="A373" s="560">
        <v>45668</v>
      </c>
      <c r="B373" s="512">
        <v>0.81322163596153463</v>
      </c>
      <c r="C373" s="513">
        <v>0.77606495195753233</v>
      </c>
      <c r="D373" s="513">
        <v>0.81322163596153463</v>
      </c>
      <c r="E373" s="513">
        <v>0.77618446296815513</v>
      </c>
      <c r="F373" s="510">
        <v>51.863999999999997</v>
      </c>
      <c r="G373" s="510">
        <v>612.79200000000003</v>
      </c>
      <c r="H373" s="510">
        <v>2.4556918093475244</v>
      </c>
      <c r="I373" s="510">
        <v>2.250442238149323</v>
      </c>
      <c r="J373" s="510">
        <v>1036.988971155341</v>
      </c>
      <c r="K373" s="511">
        <v>885.72316218227274</v>
      </c>
      <c r="L373" s="512">
        <v>0.79854595737896383</v>
      </c>
      <c r="M373" s="513">
        <v>0.90677417610143307</v>
      </c>
      <c r="N373" s="513">
        <v>0.79854595737896383</v>
      </c>
      <c r="O373" s="513">
        <v>0.91850538752807342</v>
      </c>
      <c r="P373" s="510">
        <v>54.173000000000002</v>
      </c>
      <c r="Q373" s="510">
        <v>668.94200000000001</v>
      </c>
      <c r="R373" s="510">
        <v>2.9444741845568823</v>
      </c>
      <c r="S373" s="510">
        <v>2.3311707143519169</v>
      </c>
      <c r="T373" s="510">
        <v>0.27135288797002194</v>
      </c>
      <c r="U373" s="510">
        <v>0.23903417635609664</v>
      </c>
      <c r="V373" s="510">
        <v>623.01017111843896</v>
      </c>
      <c r="W373" s="510">
        <v>524.9256138798271</v>
      </c>
      <c r="X373" s="510">
        <v>537.42639322171556</v>
      </c>
      <c r="Y373" s="511">
        <v>450.73264946736845</v>
      </c>
      <c r="Z373" s="1025">
        <v>0.95829557804096654</v>
      </c>
      <c r="AA373" s="581">
        <v>0.87054583178332912</v>
      </c>
      <c r="AB373" s="581">
        <v>0.95829557804096654</v>
      </c>
      <c r="AC373" s="581">
        <v>0.87054583178332912</v>
      </c>
      <c r="AD373" s="576">
        <v>41.512</v>
      </c>
      <c r="AE373" s="576">
        <v>422.44200000000006</v>
      </c>
      <c r="AF373" s="576">
        <v>79.078978481409621</v>
      </c>
      <c r="AG373" s="576">
        <v>91.317938007749333</v>
      </c>
      <c r="AH373" s="576">
        <v>1.4020042397379071</v>
      </c>
      <c r="AI373" s="576">
        <v>1.488014922758627</v>
      </c>
      <c r="AJ373" s="576">
        <v>854.89545191751779</v>
      </c>
      <c r="AK373" s="576">
        <v>917.97231335899471</v>
      </c>
      <c r="AL373" s="576">
        <v>0</v>
      </c>
      <c r="AM373" s="577">
        <v>0</v>
      </c>
      <c r="AN373" s="512">
        <v>0.8046391837768494</v>
      </c>
      <c r="AO373" s="513">
        <v>0.8282433351058921</v>
      </c>
      <c r="AP373" s="513">
        <v>0.8046391837768494</v>
      </c>
      <c r="AQ373" s="513">
        <v>0.8282433351058921</v>
      </c>
      <c r="AR373" s="510">
        <v>52.847999999999999</v>
      </c>
      <c r="AS373" s="510">
        <v>460.92900000000003</v>
      </c>
      <c r="AT373" s="514">
        <v>126.51508024344413</v>
      </c>
      <c r="AU373" s="514">
        <v>138.16393311146894</v>
      </c>
      <c r="AV373" s="510">
        <v>1.369966696942174</v>
      </c>
      <c r="AW373" s="510">
        <v>1.622809586725938</v>
      </c>
      <c r="AX373" s="510">
        <v>0.1945201332122313</v>
      </c>
      <c r="AY373" s="510">
        <v>4.6644927960705442E-2</v>
      </c>
      <c r="AZ373" s="510">
        <v>723.36550105964284</v>
      </c>
      <c r="BA373" s="510">
        <v>1098.7810704034675</v>
      </c>
      <c r="BB373" s="510">
        <v>524.52316076295085</v>
      </c>
      <c r="BC373" s="510">
        <v>321.27724660413998</v>
      </c>
      <c r="BD373" s="510">
        <v>0</v>
      </c>
      <c r="BE373" s="511">
        <v>17.258623345461011</v>
      </c>
      <c r="BF373" s="1026">
        <v>0.94793712570402255</v>
      </c>
      <c r="BG373" s="513">
        <v>0.8706725997289797</v>
      </c>
      <c r="BH373" s="513">
        <v>0.94793712570402255</v>
      </c>
      <c r="BI373" s="513">
        <v>0.8706725997289797</v>
      </c>
      <c r="BJ373" s="510">
        <v>48.576999999999998</v>
      </c>
      <c r="BK373" s="510">
        <v>504.57800000000003</v>
      </c>
      <c r="BL373" s="510">
        <v>2.3200279967886037</v>
      </c>
      <c r="BM373" s="510">
        <v>2.4741467126985324</v>
      </c>
      <c r="BN373" s="514">
        <v>0</v>
      </c>
      <c r="BO373" s="514">
        <v>0</v>
      </c>
      <c r="BP373" s="514">
        <v>886.27583178629698</v>
      </c>
      <c r="BQ373" s="514">
        <v>1005.1229773012686</v>
      </c>
      <c r="BR373" s="514">
        <v>0</v>
      </c>
      <c r="BS373" s="1031">
        <v>0</v>
      </c>
      <c r="BT373" s="512">
        <v>0.90762893109381071</v>
      </c>
      <c r="BU373" s="513">
        <v>0.87574652840265688</v>
      </c>
      <c r="BV373" s="513">
        <v>0.90762893109381071</v>
      </c>
      <c r="BW373" s="513">
        <v>0.87574652840265688</v>
      </c>
      <c r="BX373" s="510">
        <v>48.832999999999998</v>
      </c>
      <c r="BY373" s="510">
        <v>466.07600000000002</v>
      </c>
      <c r="BZ373" s="514">
        <v>82.571303925095506</v>
      </c>
      <c r="CA373" s="514">
        <v>91.596014613483788</v>
      </c>
      <c r="CB373" s="510">
        <v>1.9269756107550222</v>
      </c>
      <c r="CC373" s="510">
        <v>1.9453908804572648</v>
      </c>
      <c r="CD373" s="514">
        <v>0.17232199537198206</v>
      </c>
      <c r="CE373" s="514">
        <v>3.4103880053896786E-2</v>
      </c>
      <c r="CF373" s="514">
        <v>848.45573524699012</v>
      </c>
      <c r="CG373" s="514">
        <v>932.30979144877574</v>
      </c>
      <c r="CH373" s="514">
        <v>464.44003030738128</v>
      </c>
      <c r="CI373" s="514">
        <v>206.88471408096589</v>
      </c>
      <c r="CJ373" s="514">
        <v>0</v>
      </c>
      <c r="CK373" s="515">
        <v>24.384435156498082</v>
      </c>
    </row>
    <row r="374" spans="1:89">
      <c r="A374" s="560">
        <v>45669</v>
      </c>
      <c r="B374" s="512">
        <v>0.88091554228988989</v>
      </c>
      <c r="C374" s="513">
        <v>0.78392427518947638</v>
      </c>
      <c r="D374" s="513">
        <v>0.88091554228988989</v>
      </c>
      <c r="E374" s="513">
        <v>0.78403594626563688</v>
      </c>
      <c r="F374" s="510">
        <v>56.363999999999997</v>
      </c>
      <c r="G374" s="510">
        <v>669.15600000000006</v>
      </c>
      <c r="H374" s="510">
        <v>2.2467000212901853</v>
      </c>
      <c r="I374" s="510">
        <v>2.2501270256860884</v>
      </c>
      <c r="J374" s="510">
        <v>941.34731388825924</v>
      </c>
      <c r="K374" s="511">
        <v>890.40846678502032</v>
      </c>
      <c r="L374" s="512">
        <v>0.78341788139919177</v>
      </c>
      <c r="M374" s="513">
        <v>0.89743960304805692</v>
      </c>
      <c r="N374" s="513">
        <v>0.78341788139919177</v>
      </c>
      <c r="O374" s="513">
        <v>0.908160972626745</v>
      </c>
      <c r="P374" s="510">
        <v>47.314</v>
      </c>
      <c r="Q374" s="510">
        <v>716.25599999999997</v>
      </c>
      <c r="R374" s="510">
        <v>2.9079130912626288</v>
      </c>
      <c r="S374" s="510">
        <v>2.3692688089174818</v>
      </c>
      <c r="T374" s="510">
        <v>0.30012258528131208</v>
      </c>
      <c r="U374" s="510">
        <v>0.24306951704418531</v>
      </c>
      <c r="V374" s="510">
        <v>706.88485437716952</v>
      </c>
      <c r="W374" s="510">
        <v>536.9453659026949</v>
      </c>
      <c r="X374" s="510">
        <v>504.99640698313442</v>
      </c>
      <c r="Y374" s="511">
        <v>454.31717151409612</v>
      </c>
      <c r="Z374" s="1025">
        <v>0.92479164566874505</v>
      </c>
      <c r="AA374" s="581">
        <v>0.87513459462332754</v>
      </c>
      <c r="AB374" s="581">
        <v>0.92479164566874505</v>
      </c>
      <c r="AC374" s="581">
        <v>0.87513459462332754</v>
      </c>
      <c r="AD374" s="576">
        <v>41.47</v>
      </c>
      <c r="AE374" s="576">
        <v>463.91200000000003</v>
      </c>
      <c r="AF374" s="576">
        <v>69.189424296856686</v>
      </c>
      <c r="AG374" s="576">
        <v>89.339826935841927</v>
      </c>
      <c r="AH374" s="576">
        <v>1.4854111405835544</v>
      </c>
      <c r="AI374" s="576">
        <v>1.4877821655831278</v>
      </c>
      <c r="AJ374" s="576">
        <v>869.73957077404032</v>
      </c>
      <c r="AK374" s="576">
        <v>913.66069426960269</v>
      </c>
      <c r="AL374" s="576">
        <v>0</v>
      </c>
      <c r="AM374" s="577">
        <v>0</v>
      </c>
      <c r="AN374" s="512">
        <v>0.66806855295571421</v>
      </c>
      <c r="AO374" s="513">
        <v>0.81461470925957991</v>
      </c>
      <c r="AP374" s="513">
        <v>0.66806855295571421</v>
      </c>
      <c r="AQ374" s="513">
        <v>0.81461470925957991</v>
      </c>
      <c r="AR374" s="510">
        <v>34.576000000000001</v>
      </c>
      <c r="AS374" s="510">
        <v>495.50500000000005</v>
      </c>
      <c r="AT374" s="514">
        <v>157.65398892926825</v>
      </c>
      <c r="AU374" s="514">
        <v>139.52393587623666</v>
      </c>
      <c r="AV374" s="510">
        <v>1.9261915779731604</v>
      </c>
      <c r="AW374" s="510">
        <v>1.6439793745774509</v>
      </c>
      <c r="AX374" s="510">
        <v>0.19666820916242481</v>
      </c>
      <c r="AY374" s="510">
        <v>5.7113449914733452E-2</v>
      </c>
      <c r="AZ374" s="510">
        <v>1159.1306108283206</v>
      </c>
      <c r="BA374" s="510">
        <v>1102.9922200583239</v>
      </c>
      <c r="BB374" s="510">
        <v>609.39669134659016</v>
      </c>
      <c r="BC374" s="510">
        <v>341.38202439934884</v>
      </c>
      <c r="BD374" s="510">
        <v>0</v>
      </c>
      <c r="BE374" s="511">
        <v>16.054328412427722</v>
      </c>
      <c r="BF374" s="1026">
        <v>0.9295480373019398</v>
      </c>
      <c r="BG374" s="513">
        <v>0.87542032323088559</v>
      </c>
      <c r="BH374" s="513">
        <v>0.9295480373019398</v>
      </c>
      <c r="BI374" s="513">
        <v>0.87542032323088559</v>
      </c>
      <c r="BJ374" s="510">
        <v>47.250999999999998</v>
      </c>
      <c r="BK374" s="510">
        <v>551.82900000000006</v>
      </c>
      <c r="BL374" s="510">
        <v>2.3597384182345347</v>
      </c>
      <c r="BM374" s="510">
        <v>2.4643503694079141</v>
      </c>
      <c r="BN374" s="514">
        <v>0</v>
      </c>
      <c r="BO374" s="514">
        <v>0</v>
      </c>
      <c r="BP374" s="514">
        <v>1012.0463298456093</v>
      </c>
      <c r="BQ374" s="514">
        <v>1005.7157974159645</v>
      </c>
      <c r="BR374" s="514">
        <v>0</v>
      </c>
      <c r="BS374" s="1031">
        <v>0</v>
      </c>
      <c r="BT374" s="512">
        <v>0.96212927582040142</v>
      </c>
      <c r="BU374" s="513">
        <v>0.88375091387520699</v>
      </c>
      <c r="BV374" s="513">
        <v>0.96212927582040142</v>
      </c>
      <c r="BW374" s="513">
        <v>0.88375091387520699</v>
      </c>
      <c r="BX374" s="510">
        <v>52.292999999999999</v>
      </c>
      <c r="BY374" s="510">
        <v>518.36900000000003</v>
      </c>
      <c r="BZ374" s="514">
        <v>80.100018227888555</v>
      </c>
      <c r="CA374" s="514">
        <v>90.436299933416251</v>
      </c>
      <c r="CB374" s="510">
        <v>1.7860899164324098</v>
      </c>
      <c r="CC374" s="510">
        <v>1.9293206190956638</v>
      </c>
      <c r="CD374" s="514">
        <v>0.13003652496510049</v>
      </c>
      <c r="CE374" s="514">
        <v>4.3781553295046578E-2</v>
      </c>
      <c r="CF374" s="514">
        <v>793.68383662182021</v>
      </c>
      <c r="CG374" s="514">
        <v>918.32522243371898</v>
      </c>
      <c r="CH374" s="514">
        <v>329.67127531409091</v>
      </c>
      <c r="CI374" s="514">
        <v>219.27140704787519</v>
      </c>
      <c r="CJ374" s="514">
        <v>0</v>
      </c>
      <c r="CK374" s="515">
        <v>21.924536382383977</v>
      </c>
    </row>
    <row r="375" spans="1:89">
      <c r="A375" s="560">
        <v>45670</v>
      </c>
      <c r="B375" s="512">
        <v>0.45839878448258403</v>
      </c>
      <c r="C375" s="513">
        <v>0.76147446423439513</v>
      </c>
      <c r="D375" s="513">
        <v>0.45839878448258403</v>
      </c>
      <c r="E375" s="513">
        <v>0.76157545548526917</v>
      </c>
      <c r="F375" s="510">
        <v>28.984000000000002</v>
      </c>
      <c r="G375" s="510">
        <v>698.1400000000001</v>
      </c>
      <c r="H375" s="510">
        <v>3.3911123378415677</v>
      </c>
      <c r="I375" s="510">
        <v>2.2974962041997307</v>
      </c>
      <c r="J375" s="510">
        <v>1384.7702180514366</v>
      </c>
      <c r="K375" s="511">
        <v>910.93240324290241</v>
      </c>
      <c r="L375" s="512">
        <v>0.8003342138245404</v>
      </c>
      <c r="M375" s="513">
        <v>0.89160906286108843</v>
      </c>
      <c r="N375" s="513">
        <v>0.8003342138245404</v>
      </c>
      <c r="O375" s="513">
        <v>0.90161403505347559</v>
      </c>
      <c r="P375" s="510">
        <v>40.802999999999997</v>
      </c>
      <c r="Q375" s="510">
        <v>757.05899999999997</v>
      </c>
      <c r="R375" s="510">
        <v>2.9209371859912263</v>
      </c>
      <c r="S375" s="510">
        <v>2.3990019271945782</v>
      </c>
      <c r="T375" s="510">
        <v>0.29409602235129773</v>
      </c>
      <c r="U375" s="510">
        <v>0.24581967851911146</v>
      </c>
      <c r="V375" s="510">
        <v>770.34703330637581</v>
      </c>
      <c r="W375" s="510">
        <v>549.52495115968588</v>
      </c>
      <c r="X375" s="510">
        <v>539.76423302208173</v>
      </c>
      <c r="Y375" s="511">
        <v>458.92248820765678</v>
      </c>
      <c r="Z375" s="1025">
        <v>0.93799339763970957</v>
      </c>
      <c r="AA375" s="581">
        <v>0.88003722425886566</v>
      </c>
      <c r="AB375" s="581">
        <v>0.93799339763970957</v>
      </c>
      <c r="AC375" s="581">
        <v>0.88003722425886566</v>
      </c>
      <c r="AD375" s="576">
        <v>42.061999999999998</v>
      </c>
      <c r="AE375" s="576">
        <v>505.97400000000005</v>
      </c>
      <c r="AF375" s="576">
        <v>86.959094350827399</v>
      </c>
      <c r="AG375" s="576">
        <v>89.14191484156261</v>
      </c>
      <c r="AH375" s="576">
        <v>1.4145784793875709</v>
      </c>
      <c r="AI375" s="576">
        <v>1.4816966879721092</v>
      </c>
      <c r="AJ375" s="576">
        <v>850.08273501022734</v>
      </c>
      <c r="AK375" s="576">
        <v>908.3754105942204</v>
      </c>
      <c r="AL375" s="576">
        <v>0</v>
      </c>
      <c r="AM375" s="577">
        <v>0</v>
      </c>
      <c r="AN375" s="512">
        <v>0.65982451403187736</v>
      </c>
      <c r="AO375" s="513">
        <v>0.80263876399605394</v>
      </c>
      <c r="AP375" s="513">
        <v>0.65982451403187736</v>
      </c>
      <c r="AQ375" s="513">
        <v>0.80263876399605394</v>
      </c>
      <c r="AR375" s="510">
        <v>33.655999999999999</v>
      </c>
      <c r="AS375" s="510">
        <v>529.16100000000006</v>
      </c>
      <c r="AT375" s="514">
        <v>157.79358598234481</v>
      </c>
      <c r="AU375" s="514">
        <v>140.68593259173758</v>
      </c>
      <c r="AV375" s="510">
        <v>2.1660328024720705</v>
      </c>
      <c r="AW375" s="510">
        <v>1.6771833147189603</v>
      </c>
      <c r="AX375" s="510">
        <v>0.26444021868314715</v>
      </c>
      <c r="AY375" s="510">
        <v>7.0299965416952492E-2</v>
      </c>
      <c r="AZ375" s="510">
        <v>1284.0557404326121</v>
      </c>
      <c r="BA375" s="510">
        <v>1114.5083254434849</v>
      </c>
      <c r="BB375" s="510">
        <v>710.12598050868019</v>
      </c>
      <c r="BC375" s="510">
        <v>364.83508799779179</v>
      </c>
      <c r="BD375" s="510">
        <v>0</v>
      </c>
      <c r="BE375" s="511">
        <v>15.033231851931642</v>
      </c>
      <c r="BF375" s="1026">
        <v>0.96169299704779432</v>
      </c>
      <c r="BG375" s="513">
        <v>0.88185821147995913</v>
      </c>
      <c r="BH375" s="513">
        <v>0.96169299704779432</v>
      </c>
      <c r="BI375" s="513">
        <v>0.88185821147995913</v>
      </c>
      <c r="BJ375" s="510">
        <v>48.884999999999998</v>
      </c>
      <c r="BK375" s="510">
        <v>600.71400000000006</v>
      </c>
      <c r="BL375" s="510">
        <v>2.3156387439909993</v>
      </c>
      <c r="BM375" s="510">
        <v>2.4522484909624214</v>
      </c>
      <c r="BN375" s="514">
        <v>0</v>
      </c>
      <c r="BO375" s="514">
        <v>0</v>
      </c>
      <c r="BP375" s="514">
        <v>962.31624331821718</v>
      </c>
      <c r="BQ375" s="514">
        <v>1002.1840215591204</v>
      </c>
      <c r="BR375" s="514">
        <v>0</v>
      </c>
      <c r="BS375" s="1031">
        <v>0</v>
      </c>
      <c r="BT375" s="512">
        <v>0.87128888776892977</v>
      </c>
      <c r="BU375" s="513">
        <v>0.88268912002135902</v>
      </c>
      <c r="BV375" s="513">
        <v>0.87128888776892977</v>
      </c>
      <c r="BW375" s="513">
        <v>0.88268912002135902</v>
      </c>
      <c r="BX375" s="510">
        <v>47.598999999999997</v>
      </c>
      <c r="BY375" s="510">
        <v>565.96800000000007</v>
      </c>
      <c r="BZ375" s="514">
        <v>86.191425105437148</v>
      </c>
      <c r="CA375" s="514">
        <v>90.079297776161809</v>
      </c>
      <c r="CB375" s="510">
        <v>1.8697871804029498</v>
      </c>
      <c r="CC375" s="510">
        <v>1.9243137421196959</v>
      </c>
      <c r="CD375" s="514">
        <v>0.18697871804029498</v>
      </c>
      <c r="CE375" s="514">
        <v>5.5824710937720852E-2</v>
      </c>
      <c r="CF375" s="514">
        <v>870.72670529611105</v>
      </c>
      <c r="CG375" s="514">
        <v>914.32209537135304</v>
      </c>
      <c r="CH375" s="514">
        <v>502.11138889472761</v>
      </c>
      <c r="CI375" s="514">
        <v>243.05879484352494</v>
      </c>
      <c r="CJ375" s="514">
        <v>0</v>
      </c>
      <c r="CK375" s="515">
        <v>20.08064060158878</v>
      </c>
    </row>
    <row r="376" spans="1:89">
      <c r="A376" s="560">
        <v>45671</v>
      </c>
      <c r="B376" s="512">
        <v>0.84270332024564343</v>
      </c>
      <c r="C376" s="513">
        <v>0.76654521311791668</v>
      </c>
      <c r="D376" s="513">
        <v>0.84270332024564343</v>
      </c>
      <c r="E376" s="513">
        <v>0.76664052968493901</v>
      </c>
      <c r="F376" s="510">
        <v>51.442</v>
      </c>
      <c r="G376" s="510">
        <v>749.58200000000011</v>
      </c>
      <c r="H376" s="510">
        <v>2.3915477625286732</v>
      </c>
      <c r="I376" s="510">
        <v>2.303950735209757</v>
      </c>
      <c r="J376" s="510">
        <v>990.64460946304132</v>
      </c>
      <c r="K376" s="511">
        <v>916.40285919352073</v>
      </c>
      <c r="L376" s="512">
        <v>0.92374922922497693</v>
      </c>
      <c r="M376" s="513">
        <v>0.89342955967569648</v>
      </c>
      <c r="N376" s="513">
        <v>0.92374922922497693</v>
      </c>
      <c r="O376" s="513">
        <v>0.90288108979600379</v>
      </c>
      <c r="P376" s="510">
        <v>47.094999999999999</v>
      </c>
      <c r="Q376" s="510">
        <v>804.154</v>
      </c>
      <c r="R376" s="510">
        <v>2.7852213610786705</v>
      </c>
      <c r="S376" s="510">
        <v>2.4216207343369556</v>
      </c>
      <c r="T376" s="510">
        <v>0.25268075167215204</v>
      </c>
      <c r="U376" s="510">
        <v>0.24622149488779513</v>
      </c>
      <c r="V376" s="510">
        <v>717.08058180269961</v>
      </c>
      <c r="W376" s="510">
        <v>559.33778853304068</v>
      </c>
      <c r="X376" s="510">
        <v>487.35534557808683</v>
      </c>
      <c r="Y376" s="511">
        <v>460.58764863446606</v>
      </c>
      <c r="Z376" s="1025">
        <v>0.90193388254334206</v>
      </c>
      <c r="AA376" s="581">
        <v>0.88162147656321377</v>
      </c>
      <c r="AB376" s="581">
        <v>0.90193388254334206</v>
      </c>
      <c r="AC376" s="581">
        <v>0.88162147656321377</v>
      </c>
      <c r="AD376" s="576">
        <v>40.445</v>
      </c>
      <c r="AE376" s="576">
        <v>546.4190000000001</v>
      </c>
      <c r="AF376" s="576">
        <v>99.007529873442436</v>
      </c>
      <c r="AG376" s="576">
        <v>89.872150795957268</v>
      </c>
      <c r="AH376" s="576">
        <v>1.4884410928421314</v>
      </c>
      <c r="AI376" s="576">
        <v>1.4821958972876126</v>
      </c>
      <c r="AJ376" s="576">
        <v>869.34701446408246</v>
      </c>
      <c r="AK376" s="576">
        <v>905.48659545147564</v>
      </c>
      <c r="AL376" s="576">
        <v>0</v>
      </c>
      <c r="AM376" s="577">
        <v>0</v>
      </c>
      <c r="AN376" s="512">
        <v>0.73600660590307887</v>
      </c>
      <c r="AO376" s="513">
        <v>0.79786388062524383</v>
      </c>
      <c r="AP376" s="513">
        <v>1.1215338756618345</v>
      </c>
      <c r="AQ376" s="513">
        <v>0.81801422398842039</v>
      </c>
      <c r="AR376" s="510">
        <v>37.456000000000003</v>
      </c>
      <c r="AS376" s="510">
        <v>566.61700000000008</v>
      </c>
      <c r="AT376" s="514">
        <v>86.602215853209472</v>
      </c>
      <c r="AU376" s="514">
        <v>137.11074918891291</v>
      </c>
      <c r="AV376" s="510">
        <v>1.3268902178556172</v>
      </c>
      <c r="AW376" s="510">
        <v>1.654027323571301</v>
      </c>
      <c r="AX376" s="510">
        <v>0.11853908586074327</v>
      </c>
      <c r="AY376" s="510">
        <v>7.348879401782861E-2</v>
      </c>
      <c r="AZ376" s="510">
        <v>884.52424177701721</v>
      </c>
      <c r="BA376" s="510">
        <v>1099.3053155835416</v>
      </c>
      <c r="BB376" s="510">
        <v>342.80222127295497</v>
      </c>
      <c r="BC376" s="510">
        <v>363.3786137726176</v>
      </c>
      <c r="BD376" s="510">
        <v>0</v>
      </c>
      <c r="BE376" s="511">
        <v>14.039465812003519</v>
      </c>
      <c r="BF376" s="1026">
        <v>0.9735752220701297</v>
      </c>
      <c r="BG376" s="513">
        <v>0.88822710679847072</v>
      </c>
      <c r="BH376" s="513">
        <v>0.9735752220701297</v>
      </c>
      <c r="BI376" s="513">
        <v>0.88822710679847072</v>
      </c>
      <c r="BJ376" s="510">
        <v>49.488999999999997</v>
      </c>
      <c r="BK376" s="510">
        <v>650.20300000000009</v>
      </c>
      <c r="BL376" s="510">
        <v>2.3439552223726485</v>
      </c>
      <c r="BM376" s="510">
        <v>2.4440059489113399</v>
      </c>
      <c r="BN376" s="514">
        <v>0</v>
      </c>
      <c r="BO376" s="514">
        <v>0</v>
      </c>
      <c r="BP376" s="514">
        <v>1009.2695574796251</v>
      </c>
      <c r="BQ376" s="514">
        <v>1002.7233240341471</v>
      </c>
      <c r="BR376" s="514">
        <v>0</v>
      </c>
      <c r="BS376" s="1031">
        <v>0</v>
      </c>
      <c r="BT376" s="512">
        <v>0.83460330003961991</v>
      </c>
      <c r="BU376" s="513">
        <v>0.87903824351942794</v>
      </c>
      <c r="BV376" s="513">
        <v>0.83460330003961991</v>
      </c>
      <c r="BW376" s="513">
        <v>0.87903824351942794</v>
      </c>
      <c r="BX376" s="510">
        <v>43.968000000000004</v>
      </c>
      <c r="BY376" s="510">
        <v>609.93600000000004</v>
      </c>
      <c r="BZ376" s="514">
        <v>78.372176520897128</v>
      </c>
      <c r="CA376" s="514">
        <v>89.2353752869966</v>
      </c>
      <c r="CB376" s="510">
        <v>1.8740902474526928</v>
      </c>
      <c r="CC376" s="510">
        <v>1.9206933186432678</v>
      </c>
      <c r="CD376" s="514">
        <v>0.15147379912663755</v>
      </c>
      <c r="CE376" s="514">
        <v>6.2719695181133753E-2</v>
      </c>
      <c r="CF376" s="514">
        <v>845.03454489381272</v>
      </c>
      <c r="CG376" s="514">
        <v>909.3274155698715</v>
      </c>
      <c r="CH376" s="514">
        <v>438.04585152837745</v>
      </c>
      <c r="CI376" s="514">
        <v>257.1146808845516</v>
      </c>
      <c r="CJ376" s="514">
        <v>0</v>
      </c>
      <c r="CK376" s="515">
        <v>18.633102489441512</v>
      </c>
    </row>
    <row r="377" spans="1:89">
      <c r="A377" s="560">
        <v>45672</v>
      </c>
      <c r="B377" s="512">
        <v>0.89363041424343292</v>
      </c>
      <c r="C377" s="513">
        <v>0.77424815066972552</v>
      </c>
      <c r="D377" s="513">
        <v>0.89363041424343292</v>
      </c>
      <c r="E377" s="513">
        <v>0.77433858896100571</v>
      </c>
      <c r="F377" s="510">
        <v>56.384</v>
      </c>
      <c r="G377" s="510">
        <v>805.96600000000012</v>
      </c>
      <c r="H377" s="510">
        <v>2.2299056469920542</v>
      </c>
      <c r="I377" s="510">
        <v>2.2987706677452895</v>
      </c>
      <c r="J377" s="510">
        <v>880.90337684451754</v>
      </c>
      <c r="K377" s="511">
        <v>913.91937625160233</v>
      </c>
      <c r="L377" s="512">
        <v>0.96483343500977159</v>
      </c>
      <c r="M377" s="513">
        <v>0.89735874571953833</v>
      </c>
      <c r="N377" s="513">
        <v>0.96483343500977159</v>
      </c>
      <c r="O377" s="513">
        <v>0.90632424069979889</v>
      </c>
      <c r="P377" s="510">
        <v>50.57</v>
      </c>
      <c r="Q377" s="510">
        <v>854.72400000000005</v>
      </c>
      <c r="R377" s="510">
        <v>2.5583152066442554</v>
      </c>
      <c r="S377" s="510">
        <v>2.4297083034991411</v>
      </c>
      <c r="T377" s="510">
        <v>0.26695669369191222</v>
      </c>
      <c r="U377" s="510">
        <v>0.24744829910006036</v>
      </c>
      <c r="V377" s="510">
        <v>677.88688946017419</v>
      </c>
      <c r="W377" s="510">
        <v>566.35178139375967</v>
      </c>
      <c r="X377" s="510">
        <v>513.2806011469246</v>
      </c>
      <c r="Y377" s="511">
        <v>463.70524286202374</v>
      </c>
      <c r="Z377" s="1025">
        <v>0.90265843386792843</v>
      </c>
      <c r="AA377" s="581">
        <v>0.88322484359561204</v>
      </c>
      <c r="AB377" s="581">
        <v>0.90265843386792843</v>
      </c>
      <c r="AC377" s="581">
        <v>0.88322484359561204</v>
      </c>
      <c r="AD377" s="576">
        <v>46.158000000000001</v>
      </c>
      <c r="AE377" s="576">
        <v>592.57700000000011</v>
      </c>
      <c r="AF377" s="576">
        <v>99.825480922705168</v>
      </c>
      <c r="AG377" s="576">
        <v>90.647452253810712</v>
      </c>
      <c r="AH377" s="576">
        <v>1.3562112743186447</v>
      </c>
      <c r="AI377" s="576">
        <v>1.4723824920643223</v>
      </c>
      <c r="AJ377" s="576">
        <v>802.56856882881323</v>
      </c>
      <c r="AK377" s="576">
        <v>897.46993217759075</v>
      </c>
      <c r="AL377" s="576">
        <v>0</v>
      </c>
      <c r="AM377" s="577">
        <v>0</v>
      </c>
      <c r="AN377" s="512">
        <v>0</v>
      </c>
      <c r="AO377" s="513">
        <v>0.74385308895992797</v>
      </c>
      <c r="AP377" s="513" t="e">
        <v>#DIV/0!</v>
      </c>
      <c r="AQ377" s="513">
        <v>0.81801422398842039</v>
      </c>
      <c r="AR377" s="510">
        <v>0</v>
      </c>
      <c r="AS377" s="510">
        <v>566.61700000000008</v>
      </c>
      <c r="AT377" s="514">
        <v>0</v>
      </c>
      <c r="AU377" s="514">
        <v>137.11074918891291</v>
      </c>
      <c r="AV377" s="510">
        <v>0</v>
      </c>
      <c r="AW377" s="510">
        <v>1.6773234830582207</v>
      </c>
      <c r="AX377" s="510">
        <v>0</v>
      </c>
      <c r="AY377" s="510">
        <v>7.348879401782861E-2</v>
      </c>
      <c r="AZ377" s="510">
        <v>0</v>
      </c>
      <c r="BA377" s="510">
        <v>1114.8977881002509</v>
      </c>
      <c r="BB377" s="510">
        <v>0</v>
      </c>
      <c r="BC377" s="510">
        <v>363.3786137726176</v>
      </c>
      <c r="BD377" s="510">
        <v>0</v>
      </c>
      <c r="BE377" s="511">
        <v>14.039465812003519</v>
      </c>
      <c r="BF377" s="1026">
        <v>0.71177282041907008</v>
      </c>
      <c r="BG377" s="513">
        <v>0.87676961075924031</v>
      </c>
      <c r="BH377" s="513">
        <v>0.71177282041907008</v>
      </c>
      <c r="BI377" s="513">
        <v>0.87676961075924031</v>
      </c>
      <c r="BJ377" s="510">
        <v>36.180999999999997</v>
      </c>
      <c r="BK377" s="510">
        <v>686.38400000000013</v>
      </c>
      <c r="BL377" s="510">
        <v>2.6035764627843347</v>
      </c>
      <c r="BM377" s="510">
        <v>2.452417305764703</v>
      </c>
      <c r="BN377" s="514">
        <v>0</v>
      </c>
      <c r="BO377" s="514">
        <v>0</v>
      </c>
      <c r="BP377" s="514">
        <v>960.34260480588625</v>
      </c>
      <c r="BQ377" s="514">
        <v>1000.4893313967929</v>
      </c>
      <c r="BR377" s="514">
        <v>0</v>
      </c>
      <c r="BS377" s="1031">
        <v>0</v>
      </c>
      <c r="BT377" s="512">
        <v>0.92733049902859754</v>
      </c>
      <c r="BU377" s="513">
        <v>0.8825133848066965</v>
      </c>
      <c r="BV377" s="513">
        <v>0.92733049902859754</v>
      </c>
      <c r="BW377" s="513">
        <v>0.8825133848066965</v>
      </c>
      <c r="BX377" s="510">
        <v>49.893000000000001</v>
      </c>
      <c r="BY377" s="510">
        <v>659.82900000000006</v>
      </c>
      <c r="BZ377" s="514">
        <v>80.737888111955087</v>
      </c>
      <c r="CA377" s="514">
        <v>88.592837405781395</v>
      </c>
      <c r="CB377" s="510">
        <v>1.8720060930391038</v>
      </c>
      <c r="CC377" s="576">
        <v>1.9170118318534048</v>
      </c>
      <c r="CD377" s="514">
        <v>0.18840318281121601</v>
      </c>
      <c r="CE377" s="514">
        <v>7.2223257844077765E-2</v>
      </c>
      <c r="CF377" s="514">
        <v>815.92055429654999</v>
      </c>
      <c r="CG377" s="514">
        <v>902.26445148446464</v>
      </c>
      <c r="CH377" s="514">
        <v>513.29845870163058</v>
      </c>
      <c r="CI377" s="514">
        <v>276.48602895598748</v>
      </c>
      <c r="CJ377" s="514">
        <v>0</v>
      </c>
      <c r="CK377" s="515">
        <v>17.224159592864208</v>
      </c>
    </row>
    <row r="378" spans="1:89">
      <c r="A378" s="560">
        <v>45673</v>
      </c>
      <c r="B378" s="512">
        <v>0.83385657297975058</v>
      </c>
      <c r="C378" s="513">
        <v>0.77787325993118639</v>
      </c>
      <c r="D378" s="513">
        <v>0.83385657297975058</v>
      </c>
      <c r="E378" s="513">
        <v>0.77795859526620637</v>
      </c>
      <c r="F378" s="510">
        <v>56.207000000000001</v>
      </c>
      <c r="G378" s="510">
        <v>862.17300000000012</v>
      </c>
      <c r="H378" s="510">
        <v>2.3722490081306602</v>
      </c>
      <c r="I378" s="510">
        <v>2.3035608862722445</v>
      </c>
      <c r="J378" s="510">
        <v>877.7266888465565</v>
      </c>
      <c r="K378" s="511">
        <v>911.55989343205772</v>
      </c>
      <c r="L378" s="512">
        <v>0.89550018576878376</v>
      </c>
      <c r="M378" s="513">
        <v>0.89725180490665557</v>
      </c>
      <c r="N378" s="513">
        <v>0.89550018576878376</v>
      </c>
      <c r="O378" s="513">
        <v>0.90569556771865223</v>
      </c>
      <c r="P378" s="510">
        <v>52.075000000000003</v>
      </c>
      <c r="Q378" s="510">
        <v>906.79900000000009</v>
      </c>
      <c r="R378" s="510">
        <v>2.7631493038886226</v>
      </c>
      <c r="S378" s="510">
        <v>2.4488569131637772</v>
      </c>
      <c r="T378" s="510">
        <v>0.26884301488238116</v>
      </c>
      <c r="U378" s="510">
        <v>0.248676939432002</v>
      </c>
      <c r="V378" s="510">
        <v>609.71137782045776</v>
      </c>
      <c r="W378" s="510">
        <v>568.84180507477413</v>
      </c>
      <c r="X378" s="510">
        <v>519.51992318770999</v>
      </c>
      <c r="Y378" s="511">
        <v>466.91052813247518</v>
      </c>
      <c r="Z378" s="1025">
        <v>0.81872715512623784</v>
      </c>
      <c r="AA378" s="581">
        <v>0.87897597746811884</v>
      </c>
      <c r="AB378" s="581">
        <v>0.81872715512623784</v>
      </c>
      <c r="AC378" s="581">
        <v>0.87897597746811884</v>
      </c>
      <c r="AD378" s="576">
        <v>38.738</v>
      </c>
      <c r="AE378" s="576">
        <v>631.31500000000005</v>
      </c>
      <c r="AF378" s="576">
        <v>111.21937675319538</v>
      </c>
      <c r="AG378" s="576">
        <v>91.909762212004594</v>
      </c>
      <c r="AH378" s="576">
        <v>1.5720997470184315</v>
      </c>
      <c r="AI378" s="576">
        <v>1.4785012236363781</v>
      </c>
      <c r="AJ378" s="576">
        <v>946.31318085600219</v>
      </c>
      <c r="AK378" s="576">
        <v>900.46699349769926</v>
      </c>
      <c r="AL378" s="576">
        <v>0</v>
      </c>
      <c r="AM378" s="577">
        <v>0</v>
      </c>
      <c r="AN378" s="512">
        <v>0</v>
      </c>
      <c r="AO378" s="513">
        <v>0.69669111135424455</v>
      </c>
      <c r="AP378" s="513" t="e">
        <v>#DIV/0!</v>
      </c>
      <c r="AQ378" s="513">
        <v>0.81801422398842039</v>
      </c>
      <c r="AR378" s="510">
        <v>0</v>
      </c>
      <c r="AS378" s="510">
        <v>566.61700000000008</v>
      </c>
      <c r="AT378" s="514">
        <v>0</v>
      </c>
      <c r="AU378" s="514">
        <v>137.11074918891291</v>
      </c>
      <c r="AV378" s="510">
        <v>0</v>
      </c>
      <c r="AW378" s="510">
        <v>1.6983253238077922</v>
      </c>
      <c r="AX378" s="510">
        <v>0</v>
      </c>
      <c r="AY378" s="510">
        <v>7.348879401782861E-2</v>
      </c>
      <c r="AZ378" s="510">
        <v>0</v>
      </c>
      <c r="BA378" s="510">
        <v>1132.2080347042177</v>
      </c>
      <c r="BB378" s="510">
        <v>0</v>
      </c>
      <c r="BC378" s="510">
        <v>363.3786137726176</v>
      </c>
      <c r="BD378" s="510">
        <v>0</v>
      </c>
      <c r="BE378" s="511">
        <v>14.039465812003519</v>
      </c>
      <c r="BF378" s="1026">
        <v>0.97591625647022562</v>
      </c>
      <c r="BG378" s="513">
        <v>0.88281485329760268</v>
      </c>
      <c r="BH378" s="513">
        <v>0.97591625647022562</v>
      </c>
      <c r="BI378" s="513">
        <v>0.88281485329760268</v>
      </c>
      <c r="BJ378" s="510">
        <v>49.607999999999997</v>
      </c>
      <c r="BK378" s="510">
        <v>735.99200000000008</v>
      </c>
      <c r="BL378" s="510">
        <v>2.3544589582325433</v>
      </c>
      <c r="BM378" s="510">
        <v>2.4458146284198738</v>
      </c>
      <c r="BN378" s="514">
        <v>0</v>
      </c>
      <c r="BO378" s="514">
        <v>0</v>
      </c>
      <c r="BP378" s="514">
        <v>1012.6090874953131</v>
      </c>
      <c r="BQ378" s="514">
        <v>1001.3062381845506</v>
      </c>
      <c r="BR378" s="514">
        <v>0</v>
      </c>
      <c r="BS378" s="1031">
        <v>0</v>
      </c>
      <c r="BT378" s="512">
        <v>0.94517342847897035</v>
      </c>
      <c r="BU378" s="513">
        <v>0.88671974862452207</v>
      </c>
      <c r="BV378" s="513">
        <v>0.94517342847897035</v>
      </c>
      <c r="BW378" s="513">
        <v>0.88671974862452207</v>
      </c>
      <c r="BX378" s="510">
        <v>50.853000000000002</v>
      </c>
      <c r="BY378" s="510">
        <v>710.68200000000002</v>
      </c>
      <c r="BZ378" s="514">
        <v>75.700229747207018</v>
      </c>
      <c r="CA378" s="514">
        <v>87.670304152847621</v>
      </c>
      <c r="CB378" s="510">
        <v>1.8347000176980708</v>
      </c>
      <c r="CC378" s="510">
        <v>1.9111219926774567</v>
      </c>
      <c r="CD378" s="514">
        <v>0.18484651839616148</v>
      </c>
      <c r="CE378" s="514">
        <v>8.0282038942874584E-2</v>
      </c>
      <c r="CF378" s="514">
        <v>836.94842757619563</v>
      </c>
      <c r="CG378" s="514">
        <v>897.590749654663</v>
      </c>
      <c r="CH378" s="514">
        <v>554.53955518847283</v>
      </c>
      <c r="CI378" s="514">
        <v>296.38220751334597</v>
      </c>
      <c r="CJ378" s="514">
        <v>0</v>
      </c>
      <c r="CK378" s="515">
        <v>15.991681230142316</v>
      </c>
    </row>
    <row r="379" spans="1:89">
      <c r="A379" s="560">
        <v>45674</v>
      </c>
      <c r="B379" s="512">
        <v>0.94837107382346408</v>
      </c>
      <c r="C379" s="513">
        <v>0.78710929763890314</v>
      </c>
      <c r="D379" s="513">
        <v>0.94837107382346408</v>
      </c>
      <c r="E379" s="513">
        <v>0.78719096812509359</v>
      </c>
      <c r="F379" s="510">
        <v>60.203000000000003</v>
      </c>
      <c r="G379" s="510">
        <v>922.37600000000009</v>
      </c>
      <c r="H379" s="510">
        <v>2.1207581017557264</v>
      </c>
      <c r="I379" s="510">
        <v>2.2916294439577785</v>
      </c>
      <c r="J379" s="510">
        <v>824.15361360731481</v>
      </c>
      <c r="K379" s="511">
        <v>905.85493117773945</v>
      </c>
      <c r="L379" s="512">
        <v>0.96164811723757682</v>
      </c>
      <c r="M379" s="513">
        <v>0.90132149705763964</v>
      </c>
      <c r="N379" s="513">
        <v>0.96164811723757682</v>
      </c>
      <c r="O379" s="513">
        <v>0.90926278965401885</v>
      </c>
      <c r="P379" s="510">
        <v>65.563999999999993</v>
      </c>
      <c r="Q379" s="510">
        <v>972.36300000000006</v>
      </c>
      <c r="R379" s="510">
        <v>2.1918583368921971</v>
      </c>
      <c r="S379" s="510">
        <v>2.431528143296279</v>
      </c>
      <c r="T379" s="510">
        <v>0.19217863461655788</v>
      </c>
      <c r="U379" s="510">
        <v>0.24486740034328741</v>
      </c>
      <c r="V379" s="510">
        <v>493.04313342686766</v>
      </c>
      <c r="W379" s="510">
        <v>563.73089062417978</v>
      </c>
      <c r="X379" s="510">
        <v>388.82618510158011</v>
      </c>
      <c r="Y379" s="511">
        <v>461.64549658923715</v>
      </c>
      <c r="Z379" s="1025">
        <v>0.91631953615877615</v>
      </c>
      <c r="AA379" s="581">
        <v>0.88111780932070438</v>
      </c>
      <c r="AB379" s="581">
        <v>0.91631953615877615</v>
      </c>
      <c r="AC379" s="581">
        <v>0.88111780932070438</v>
      </c>
      <c r="AD379" s="576">
        <v>40.043999999999997</v>
      </c>
      <c r="AE379" s="576">
        <v>671.35900000000004</v>
      </c>
      <c r="AF379" s="576">
        <v>106.45811372725666</v>
      </c>
      <c r="AG379" s="576">
        <v>92.777515810417299</v>
      </c>
      <c r="AH379" s="576">
        <v>1.5058435720707222</v>
      </c>
      <c r="AI379" s="576">
        <v>1.4801320902825463</v>
      </c>
      <c r="AJ379" s="576">
        <v>885.43901708121052</v>
      </c>
      <c r="AK379" s="576">
        <v>899.57063210592264</v>
      </c>
      <c r="AL379" s="576">
        <v>0</v>
      </c>
      <c r="AM379" s="577">
        <v>0</v>
      </c>
      <c r="AN379" s="512">
        <v>0</v>
      </c>
      <c r="AO379" s="513">
        <v>0.6551529258245733</v>
      </c>
      <c r="AP379" s="513" t="e">
        <v>#DIV/0!</v>
      </c>
      <c r="AQ379" s="513">
        <v>0.81801422398842039</v>
      </c>
      <c r="AR379" s="510">
        <v>0</v>
      </c>
      <c r="AS379" s="510">
        <v>566.61700000000008</v>
      </c>
      <c r="AT379" s="514">
        <v>0</v>
      </c>
      <c r="AU379" s="514">
        <v>137.11074918891291</v>
      </c>
      <c r="AV379" s="510">
        <v>0</v>
      </c>
      <c r="AW379" s="510">
        <v>1.7205625669543976</v>
      </c>
      <c r="AX379" s="510">
        <v>0</v>
      </c>
      <c r="AY379" s="510">
        <v>7.348879401782861E-2</v>
      </c>
      <c r="AZ379" s="510">
        <v>0</v>
      </c>
      <c r="BA379" s="510">
        <v>1149.8152014500092</v>
      </c>
      <c r="BB379" s="510">
        <v>0</v>
      </c>
      <c r="BC379" s="510">
        <v>363.3786137726176</v>
      </c>
      <c r="BD379" s="510">
        <v>0</v>
      </c>
      <c r="BE379" s="511">
        <v>14.039465812003519</v>
      </c>
      <c r="BF379" s="1026">
        <v>0.92457088013198807</v>
      </c>
      <c r="BG379" s="513">
        <v>0.88521451846050847</v>
      </c>
      <c r="BH379" s="513">
        <v>0.92457088013198807</v>
      </c>
      <c r="BI379" s="513">
        <v>0.88521451846050847</v>
      </c>
      <c r="BJ379" s="510">
        <v>46.997999999999998</v>
      </c>
      <c r="BK379" s="510">
        <v>782.99000000000012</v>
      </c>
      <c r="BL379" s="510">
        <v>2.5511723903144818</v>
      </c>
      <c r="BM379" s="510">
        <v>2.4521385969169467</v>
      </c>
      <c r="BN379" s="514">
        <v>0</v>
      </c>
      <c r="BO379" s="514">
        <v>0</v>
      </c>
      <c r="BP379" s="514">
        <v>1000.2352187264277</v>
      </c>
      <c r="BQ379" s="514">
        <v>1001.2419515748967</v>
      </c>
      <c r="BR379" s="514">
        <v>0</v>
      </c>
      <c r="BS379" s="1031">
        <v>0</v>
      </c>
      <c r="BT379" s="512">
        <v>0.90709067319055958</v>
      </c>
      <c r="BU379" s="513">
        <v>0.88799819401075264</v>
      </c>
      <c r="BV379" s="513">
        <v>0.90709067319055958</v>
      </c>
      <c r="BW379" s="513">
        <v>0.88799819401075264</v>
      </c>
      <c r="BX379" s="510">
        <v>48.680999999999997</v>
      </c>
      <c r="BY379" s="510">
        <v>759.36300000000006</v>
      </c>
      <c r="BZ379" s="514">
        <v>79.722916413092051</v>
      </c>
      <c r="CA379" s="514">
        <v>87.160815564966683</v>
      </c>
      <c r="CB379" s="510">
        <v>1.8323370514163639</v>
      </c>
      <c r="CC379" s="510">
        <v>1.9060712728958353</v>
      </c>
      <c r="CD379" s="514">
        <v>0.17460610915963107</v>
      </c>
      <c r="CE379" s="514">
        <v>8.6328936226811134E-2</v>
      </c>
      <c r="CF379" s="514">
        <v>790.46229926040667</v>
      </c>
      <c r="CG379" s="514">
        <v>890.7229932672135</v>
      </c>
      <c r="CH379" s="514">
        <v>517.65575892033007</v>
      </c>
      <c r="CI379" s="514">
        <v>310.56754147884521</v>
      </c>
      <c r="CJ379" s="514">
        <v>0</v>
      </c>
      <c r="CK379" s="515">
        <v>14.966491651555318</v>
      </c>
    </row>
    <row r="380" spans="1:89">
      <c r="A380" s="560">
        <v>45675</v>
      </c>
      <c r="B380" s="512">
        <v>0.87582010616289885</v>
      </c>
      <c r="C380" s="513">
        <v>0.79274143963188159</v>
      </c>
      <c r="D380" s="513">
        <v>0.87582010616289885</v>
      </c>
      <c r="E380" s="513">
        <v>0.79281847173911879</v>
      </c>
      <c r="F380" s="510">
        <v>69.578000000000003</v>
      </c>
      <c r="G380" s="510">
        <v>991.95400000000006</v>
      </c>
      <c r="H380" s="510">
        <v>2.3437724568110609</v>
      </c>
      <c r="I380" s="510">
        <v>2.2952868782221754</v>
      </c>
      <c r="J380" s="510">
        <v>702.98283940325871</v>
      </c>
      <c r="K380" s="511">
        <v>891.62500277230447</v>
      </c>
      <c r="L380" s="512">
        <v>0.93672182211041333</v>
      </c>
      <c r="M380" s="513">
        <v>0.90347667509820184</v>
      </c>
      <c r="N380" s="513">
        <v>0.93672182211041333</v>
      </c>
      <c r="O380" s="513">
        <v>0.9109483252581938</v>
      </c>
      <c r="P380" s="510">
        <v>65.510999999999996</v>
      </c>
      <c r="Q380" s="510">
        <v>1037.874</v>
      </c>
      <c r="R380" s="510">
        <v>2.2464166323212895</v>
      </c>
      <c r="S380" s="510">
        <v>2.4198438346080544</v>
      </c>
      <c r="T380" s="510">
        <v>0.18164888339362856</v>
      </c>
      <c r="U380" s="510">
        <v>0.24087702360787533</v>
      </c>
      <c r="V380" s="510">
        <v>501.16484254553228</v>
      </c>
      <c r="W380" s="510">
        <v>559.78169797104442</v>
      </c>
      <c r="X380" s="510">
        <v>436.15576010135709</v>
      </c>
      <c r="Y380" s="511">
        <v>460.03657476726499</v>
      </c>
      <c r="Z380" s="1025">
        <v>0.83813685713749653</v>
      </c>
      <c r="AA380" s="581">
        <v>0.87878656683850331</v>
      </c>
      <c r="AB380" s="581">
        <v>0.83813685713749653</v>
      </c>
      <c r="AC380" s="581">
        <v>0.87878656683850331</v>
      </c>
      <c r="AD380" s="576">
        <v>36.624000000000002</v>
      </c>
      <c r="AE380" s="576">
        <v>707.98300000000006</v>
      </c>
      <c r="AF380" s="576">
        <v>111.57995898455526</v>
      </c>
      <c r="AG380" s="576">
        <v>93.750167242456826</v>
      </c>
      <c r="AH380" s="576">
        <v>1.6901485364788116</v>
      </c>
      <c r="AI380" s="576">
        <v>1.4909962527348821</v>
      </c>
      <c r="AJ380" s="576">
        <v>1022.88499344692</v>
      </c>
      <c r="AK380" s="576">
        <v>905.94969088240816</v>
      </c>
      <c r="AL380" s="576">
        <v>0</v>
      </c>
      <c r="AM380" s="577">
        <v>0</v>
      </c>
      <c r="AN380" s="512">
        <v>0</v>
      </c>
      <c r="AO380" s="513">
        <v>0.61828922521274654</v>
      </c>
      <c r="AP380" s="513" t="e">
        <v>#DIV/0!</v>
      </c>
      <c r="AQ380" s="513">
        <v>0.81801422398842039</v>
      </c>
      <c r="AR380" s="510">
        <v>0</v>
      </c>
      <c r="AS380" s="510">
        <v>566.61700000000008</v>
      </c>
      <c r="AT380" s="514">
        <v>0</v>
      </c>
      <c r="AU380" s="514">
        <v>137.11074918891291</v>
      </c>
      <c r="AV380" s="510">
        <v>0</v>
      </c>
      <c r="AW380" s="510">
        <v>1.7472119615189801</v>
      </c>
      <c r="AX380" s="510">
        <v>0</v>
      </c>
      <c r="AY380" s="510">
        <v>7.348879401782861E-2</v>
      </c>
      <c r="AZ380" s="510">
        <v>0</v>
      </c>
      <c r="BA380" s="510">
        <v>1167.5205297405473</v>
      </c>
      <c r="BB380" s="510">
        <v>0</v>
      </c>
      <c r="BC380" s="510">
        <v>363.3786137726176</v>
      </c>
      <c r="BD380" s="510">
        <v>0</v>
      </c>
      <c r="BE380" s="511">
        <v>14.039465812003519</v>
      </c>
      <c r="BF380" s="1026">
        <v>0.96592259701435412</v>
      </c>
      <c r="BG380" s="513">
        <v>0.88960064300550723</v>
      </c>
      <c r="BH380" s="513">
        <v>0.96592259701435412</v>
      </c>
      <c r="BI380" s="513">
        <v>0.88960064300550723</v>
      </c>
      <c r="BJ380" s="510">
        <v>49.1</v>
      </c>
      <c r="BK380" s="510">
        <v>832.09000000000015</v>
      </c>
      <c r="BL380" s="510">
        <v>2.5458248472505089</v>
      </c>
      <c r="BM380" s="510">
        <v>2.4576668389236738</v>
      </c>
      <c r="BN380" s="514">
        <v>0</v>
      </c>
      <c r="BO380" s="514">
        <v>0</v>
      </c>
      <c r="BP380" s="514">
        <v>1048.6012825838066</v>
      </c>
      <c r="BQ380" s="514">
        <v>1004.0365328732388</v>
      </c>
      <c r="BR380" s="514">
        <v>0</v>
      </c>
      <c r="BS380" s="1031">
        <v>0</v>
      </c>
      <c r="BT380" s="512">
        <v>0.9195799765485918</v>
      </c>
      <c r="BU380" s="513">
        <v>0.88986760601573001</v>
      </c>
      <c r="BV380" s="513">
        <v>0.9195799765485918</v>
      </c>
      <c r="BW380" s="513">
        <v>0.88986760601573001</v>
      </c>
      <c r="BX380" s="510">
        <v>49.475999999999999</v>
      </c>
      <c r="BY380" s="510">
        <v>808.83900000000006</v>
      </c>
      <c r="BZ380" s="514">
        <v>77.72446402598527</v>
      </c>
      <c r="CA380" s="514">
        <v>86.583601893589986</v>
      </c>
      <c r="CB380" s="510">
        <v>1.8938475220308837</v>
      </c>
      <c r="CC380" s="510">
        <v>1.9053235563567041</v>
      </c>
      <c r="CD380" s="514">
        <v>0.17180046891422104</v>
      </c>
      <c r="CE380" s="514">
        <v>9.1557157852180701E-2</v>
      </c>
      <c r="CF380" s="514">
        <v>869.51445195923668</v>
      </c>
      <c r="CG380" s="514">
        <v>889.42568466840282</v>
      </c>
      <c r="CH380" s="514">
        <v>537.63440860212847</v>
      </c>
      <c r="CI380" s="514">
        <v>324.45703038552699</v>
      </c>
      <c r="CJ380" s="514">
        <v>0</v>
      </c>
      <c r="CK380" s="515">
        <v>14.051003969887702</v>
      </c>
    </row>
    <row r="381" spans="1:89">
      <c r="A381" s="560">
        <v>45676</v>
      </c>
      <c r="B381" s="512">
        <v>0.73413171315382997</v>
      </c>
      <c r="C381" s="513">
        <v>0.78956817074331509</v>
      </c>
      <c r="D381" s="513">
        <v>0.73413171315382997</v>
      </c>
      <c r="E381" s="513">
        <v>0.78964074011139307</v>
      </c>
      <c r="F381" s="510">
        <v>52.582999999999998</v>
      </c>
      <c r="G381" s="510">
        <v>1044.537</v>
      </c>
      <c r="H381" s="510">
        <v>2.9026111100545808</v>
      </c>
      <c r="I381" s="510">
        <v>2.3258601657959459</v>
      </c>
      <c r="J381" s="510">
        <v>987.47237700394192</v>
      </c>
      <c r="K381" s="511">
        <v>896.45005203262008</v>
      </c>
      <c r="L381" s="512">
        <v>0.98314968546759784</v>
      </c>
      <c r="M381" s="513">
        <v>0.90804882853059932</v>
      </c>
      <c r="N381" s="513">
        <v>0.98314968546759784</v>
      </c>
      <c r="O381" s="513">
        <v>0.9151239906188845</v>
      </c>
      <c r="P381" s="510">
        <v>68.757999999999996</v>
      </c>
      <c r="Q381" s="510">
        <v>1106.6320000000001</v>
      </c>
      <c r="R381" s="510">
        <v>2.2368887983943688</v>
      </c>
      <c r="S381" s="510">
        <v>2.4084763498615618</v>
      </c>
      <c r="T381" s="510">
        <v>0.22397393757817274</v>
      </c>
      <c r="U381" s="510">
        <v>0.23982678975485977</v>
      </c>
      <c r="V381" s="510">
        <v>461.72794438466633</v>
      </c>
      <c r="W381" s="510">
        <v>553.68935653406072</v>
      </c>
      <c r="X381" s="510">
        <v>361.84880304837259</v>
      </c>
      <c r="Y381" s="511">
        <v>453.9359064259848</v>
      </c>
      <c r="Z381" s="1025">
        <v>0.92790739188532256</v>
      </c>
      <c r="AA381" s="581">
        <v>0.88135701199994021</v>
      </c>
      <c r="AB381" s="581">
        <v>0.92790739188532256</v>
      </c>
      <c r="AC381" s="581">
        <v>0.88135701199994021</v>
      </c>
      <c r="AD381" s="576">
        <v>41.279000000000003</v>
      </c>
      <c r="AE381" s="576">
        <v>749.26200000000006</v>
      </c>
      <c r="AF381" s="576">
        <v>98.94881316640847</v>
      </c>
      <c r="AG381" s="576">
        <v>94.036575608415319</v>
      </c>
      <c r="AH381" s="576">
        <v>1.44383342619734</v>
      </c>
      <c r="AI381" s="576">
        <v>1.4883979168835466</v>
      </c>
      <c r="AJ381" s="576">
        <v>909.52445553429993</v>
      </c>
      <c r="AK381" s="576">
        <v>906.14663495546347</v>
      </c>
      <c r="AL381" s="576">
        <v>0</v>
      </c>
      <c r="AM381" s="577">
        <v>0</v>
      </c>
      <c r="AN381" s="512">
        <v>0</v>
      </c>
      <c r="AO381" s="513">
        <v>0.5853529805922485</v>
      </c>
      <c r="AP381" s="513" t="e">
        <v>#DIV/0!</v>
      </c>
      <c r="AQ381" s="513">
        <v>0.81801422398842039</v>
      </c>
      <c r="AR381" s="510">
        <v>0</v>
      </c>
      <c r="AS381" s="510">
        <v>566.61700000000008</v>
      </c>
      <c r="AT381" s="514">
        <v>0</v>
      </c>
      <c r="AU381" s="514">
        <v>137.11074918891291</v>
      </c>
      <c r="AV381" s="510">
        <v>0</v>
      </c>
      <c r="AW381" s="510">
        <v>1.7722729815730907</v>
      </c>
      <c r="AX381" s="510">
        <v>0</v>
      </c>
      <c r="AY381" s="510">
        <v>7.348879401782861E-2</v>
      </c>
      <c r="AZ381" s="510">
        <v>0</v>
      </c>
      <c r="BA381" s="510">
        <v>1183.1823612775468</v>
      </c>
      <c r="BB381" s="510">
        <v>0</v>
      </c>
      <c r="BC381" s="510">
        <v>363.3786137726176</v>
      </c>
      <c r="BD381" s="510">
        <v>0</v>
      </c>
      <c r="BE381" s="511">
        <v>14.039465812003519</v>
      </c>
      <c r="BF381" s="1026">
        <v>0.98114915689396942</v>
      </c>
      <c r="BG381" s="513">
        <v>0.89431945074095198</v>
      </c>
      <c r="BH381" s="513">
        <v>0.98114915689396942</v>
      </c>
      <c r="BI381" s="513">
        <v>0.89431945074095198</v>
      </c>
      <c r="BJ381" s="510">
        <v>49.874000000000002</v>
      </c>
      <c r="BK381" s="510">
        <v>881.96400000000017</v>
      </c>
      <c r="BL381" s="510">
        <v>2.4762401251152903</v>
      </c>
      <c r="BM381" s="510">
        <v>2.4587171358468143</v>
      </c>
      <c r="BN381" s="514">
        <v>0</v>
      </c>
      <c r="BO381" s="514">
        <v>0</v>
      </c>
      <c r="BP381" s="514">
        <v>974.95153329493337</v>
      </c>
      <c r="BQ381" s="514">
        <v>1002.3918112417794</v>
      </c>
      <c r="BR381" s="514">
        <v>0</v>
      </c>
      <c r="BS381" s="1031">
        <v>0</v>
      </c>
      <c r="BT381" s="512">
        <v>0.64350093088136318</v>
      </c>
      <c r="BU381" s="513">
        <v>0.876325011619279</v>
      </c>
      <c r="BV381" s="513">
        <v>0.64350093088136318</v>
      </c>
      <c r="BW381" s="513">
        <v>0.876325011619279</v>
      </c>
      <c r="BX381" s="510">
        <v>34.021999999999998</v>
      </c>
      <c r="BY381" s="510">
        <v>842.8610000000001</v>
      </c>
      <c r="BZ381" s="514">
        <v>87.457878469926072</v>
      </c>
      <c r="CA381" s="514">
        <v>86.618891980188025</v>
      </c>
      <c r="CB381" s="510">
        <v>2.1280348010111108</v>
      </c>
      <c r="CC381" s="510">
        <v>1.9143132734816302</v>
      </c>
      <c r="CD381" s="514">
        <v>0.27629181118100055</v>
      </c>
      <c r="CE381" s="514">
        <v>9.9013953664957785E-2</v>
      </c>
      <c r="CF381" s="514">
        <v>1000.1774507215406</v>
      </c>
      <c r="CG381" s="514">
        <v>893.89616863273363</v>
      </c>
      <c r="CH381" s="514">
        <v>720.41620128153568</v>
      </c>
      <c r="CI381" s="514">
        <v>340.43988273273959</v>
      </c>
      <c r="CJ381" s="514">
        <v>0</v>
      </c>
      <c r="CK381" s="515">
        <v>13.483836599391832</v>
      </c>
    </row>
    <row r="382" spans="1:89">
      <c r="A382" s="560">
        <v>45677</v>
      </c>
      <c r="B382" s="512">
        <v>0.92975206133262067</v>
      </c>
      <c r="C382" s="513">
        <v>0.79652825435720798</v>
      </c>
      <c r="D382" s="513">
        <v>0.92975206133262067</v>
      </c>
      <c r="E382" s="513">
        <v>0.79659782830442105</v>
      </c>
      <c r="F382" s="510">
        <v>64.259</v>
      </c>
      <c r="G382" s="510">
        <v>1108.796</v>
      </c>
      <c r="H382" s="510">
        <v>2.3096219984749218</v>
      </c>
      <c r="I382" s="510">
        <v>2.3249191014397597</v>
      </c>
      <c r="J382" s="510">
        <v>944.39129149225414</v>
      </c>
      <c r="K382" s="511">
        <v>899.22843155999624</v>
      </c>
      <c r="L382" s="512">
        <v>0.95611085281948094</v>
      </c>
      <c r="M382" s="513">
        <v>0.91065725065720804</v>
      </c>
      <c r="N382" s="513">
        <v>0.95611085281948094</v>
      </c>
      <c r="O382" s="513">
        <v>0.91736481394837333</v>
      </c>
      <c r="P382" s="510">
        <v>66.867000000000004</v>
      </c>
      <c r="Q382" s="510">
        <v>1173.499</v>
      </c>
      <c r="R382" s="510">
        <v>2.3710948599458623</v>
      </c>
      <c r="S382" s="510">
        <v>2.4063463198519983</v>
      </c>
      <c r="T382" s="510">
        <v>0.15702813046794381</v>
      </c>
      <c r="U382" s="510">
        <v>0.23510884968798437</v>
      </c>
      <c r="V382" s="510">
        <v>513.92555371109563</v>
      </c>
      <c r="W382" s="510">
        <v>551.42358025017541</v>
      </c>
      <c r="X382" s="510">
        <v>375.910389280213</v>
      </c>
      <c r="Y382" s="511">
        <v>449.48994417549608</v>
      </c>
      <c r="Z382" s="1025">
        <v>0.95433948580646111</v>
      </c>
      <c r="AA382" s="581">
        <v>0.88501382148184249</v>
      </c>
      <c r="AB382" s="581">
        <v>0.95433948580646111</v>
      </c>
      <c r="AC382" s="581">
        <v>0.88501382148184249</v>
      </c>
      <c r="AD382" s="576">
        <v>42.795000000000002</v>
      </c>
      <c r="AE382" s="576">
        <v>792.05700000000002</v>
      </c>
      <c r="AF382" s="576">
        <v>96.233823181821364</v>
      </c>
      <c r="AG382" s="576">
        <v>94.155293339467391</v>
      </c>
      <c r="AH382" s="576">
        <v>1.4183899988316393</v>
      </c>
      <c r="AI382" s="576">
        <v>1.484615374903574</v>
      </c>
      <c r="AJ382" s="576">
        <v>870.79425166491842</v>
      </c>
      <c r="AK382" s="576">
        <v>904.2365385319498</v>
      </c>
      <c r="AL382" s="576">
        <v>0</v>
      </c>
      <c r="AM382" s="577">
        <v>0</v>
      </c>
      <c r="AN382" s="512">
        <v>0</v>
      </c>
      <c r="AO382" s="513">
        <v>0.5557482893582576</v>
      </c>
      <c r="AP382" s="513" t="e">
        <v>#DIV/0!</v>
      </c>
      <c r="AQ382" s="513">
        <v>0.81801422398842039</v>
      </c>
      <c r="AR382" s="510">
        <v>0</v>
      </c>
      <c r="AS382" s="510">
        <v>566.61700000000008</v>
      </c>
      <c r="AT382" s="514">
        <v>0</v>
      </c>
      <c r="AU382" s="514">
        <v>137.11074918891291</v>
      </c>
      <c r="AV382" s="510">
        <v>0</v>
      </c>
      <c r="AW382" s="510">
        <v>1.7994518343078303</v>
      </c>
      <c r="AX382" s="510">
        <v>0</v>
      </c>
      <c r="AY382" s="510">
        <v>7.348879401782861E-2</v>
      </c>
      <c r="AZ382" s="510">
        <v>0</v>
      </c>
      <c r="BA382" s="510">
        <v>1202.3057550338231</v>
      </c>
      <c r="BB382" s="510">
        <v>0</v>
      </c>
      <c r="BC382" s="510">
        <v>363.3786137726176</v>
      </c>
      <c r="BD382" s="510">
        <v>0</v>
      </c>
      <c r="BE382" s="511">
        <v>14.039465812003519</v>
      </c>
      <c r="BF382" s="1026">
        <v>0.97646708809377769</v>
      </c>
      <c r="BG382" s="513">
        <v>0.89834614328884921</v>
      </c>
      <c r="BH382" s="513">
        <v>0.97646708809377769</v>
      </c>
      <c r="BI382" s="513">
        <v>0.89834614328884921</v>
      </c>
      <c r="BJ382" s="510">
        <v>49.636000000000003</v>
      </c>
      <c r="BK382" s="510">
        <v>931.60000000000014</v>
      </c>
      <c r="BL382" s="510">
        <v>2.4558787976468692</v>
      </c>
      <c r="BM382" s="510">
        <v>2.4585659081150704</v>
      </c>
      <c r="BN382" s="514">
        <v>0</v>
      </c>
      <c r="BO382" s="514">
        <v>0</v>
      </c>
      <c r="BP382" s="514">
        <v>927.12634326250293</v>
      </c>
      <c r="BQ382" s="514">
        <v>998.38163866919524</v>
      </c>
      <c r="BR382" s="514">
        <v>0</v>
      </c>
      <c r="BS382" s="1031">
        <v>0</v>
      </c>
      <c r="BT382" s="512">
        <v>0.87620517271755849</v>
      </c>
      <c r="BU382" s="513">
        <v>0.87631865713316226</v>
      </c>
      <c r="BV382" s="513">
        <v>0.87620517271755849</v>
      </c>
      <c r="BW382" s="513">
        <v>0.87631865713316226</v>
      </c>
      <c r="BX382" s="510">
        <v>47.189</v>
      </c>
      <c r="BY382" s="510">
        <v>890.05000000000007</v>
      </c>
      <c r="BZ382" s="514">
        <v>78.613099174255765</v>
      </c>
      <c r="CA382" s="514">
        <v>86.194437897025139</v>
      </c>
      <c r="CB382" s="510">
        <v>1.835173451439954</v>
      </c>
      <c r="CC382" s="510">
        <v>1.9101174091343185</v>
      </c>
      <c r="CD382" s="514">
        <v>0.15257793129754815</v>
      </c>
      <c r="CE382" s="514">
        <v>0.10185382843660468</v>
      </c>
      <c r="CF382" s="514">
        <v>720.46593116664405</v>
      </c>
      <c r="CG382" s="514">
        <v>884.70118017614425</v>
      </c>
      <c r="CH382" s="514">
        <v>500.11655258640786</v>
      </c>
      <c r="CI382" s="514">
        <v>348.9056794562099</v>
      </c>
      <c r="CJ382" s="514">
        <v>0</v>
      </c>
      <c r="CK382" s="515">
        <v>12.768945564855905</v>
      </c>
    </row>
    <row r="383" spans="1:89" ht="13.5" customHeight="1">
      <c r="A383" s="560">
        <v>45678</v>
      </c>
      <c r="B383" s="512">
        <v>0.71135250182172349</v>
      </c>
      <c r="C383" s="513">
        <v>0.79237154472663163</v>
      </c>
      <c r="D383" s="513">
        <v>0.71135250182172349</v>
      </c>
      <c r="E383" s="513">
        <v>0.7924373777206174</v>
      </c>
      <c r="F383" s="510">
        <v>50.804000000000002</v>
      </c>
      <c r="G383" s="510">
        <v>1159.6000000000001</v>
      </c>
      <c r="H383" s="510">
        <v>2.6026297141957322</v>
      </c>
      <c r="I383" s="510">
        <v>2.3370860641600548</v>
      </c>
      <c r="J383" s="510">
        <v>898.77647429337298</v>
      </c>
      <c r="K383" s="511">
        <v>899.20863056226108</v>
      </c>
      <c r="L383" s="512">
        <v>0.97389842966467266</v>
      </c>
      <c r="M383" s="513">
        <v>0.91391279116070501</v>
      </c>
      <c r="N383" s="513">
        <v>0.97389842966467266</v>
      </c>
      <c r="O383" s="513">
        <v>0.92029538595203231</v>
      </c>
      <c r="P383" s="510">
        <v>68.111000000000004</v>
      </c>
      <c r="Q383" s="510">
        <v>1241.6100000000001</v>
      </c>
      <c r="R383" s="510">
        <v>2.3487395574870429</v>
      </c>
      <c r="S383" s="510">
        <v>2.4031861856782726</v>
      </c>
      <c r="T383" s="510">
        <v>0.24665619356638427</v>
      </c>
      <c r="U383" s="510">
        <v>0.23574230233326082</v>
      </c>
      <c r="V383" s="510">
        <v>469.32154864851151</v>
      </c>
      <c r="W383" s="510">
        <v>546.91970908739393</v>
      </c>
      <c r="X383" s="510">
        <v>419.46234822569039</v>
      </c>
      <c r="Y383" s="511">
        <v>447.84272033891511</v>
      </c>
      <c r="Z383" s="1025">
        <v>0.83859537688743135</v>
      </c>
      <c r="AA383" s="581">
        <v>0.88280301007964279</v>
      </c>
      <c r="AB383" s="581">
        <v>0.83859537688743135</v>
      </c>
      <c r="AC383" s="581">
        <v>0.88280301007964279</v>
      </c>
      <c r="AD383" s="576">
        <v>37.533000000000001</v>
      </c>
      <c r="AE383" s="576">
        <v>829.59</v>
      </c>
      <c r="AF383" s="576">
        <v>106.37808072283964</v>
      </c>
      <c r="AG383" s="576">
        <v>94.708286840908002</v>
      </c>
      <c r="AH383" s="576">
        <v>1.5453067966855834</v>
      </c>
      <c r="AI383" s="576">
        <v>1.487361226630022</v>
      </c>
      <c r="AJ383" s="576">
        <v>931.4853595502625</v>
      </c>
      <c r="AK383" s="576">
        <v>905.46935233067006</v>
      </c>
      <c r="AL383" s="576">
        <v>0</v>
      </c>
      <c r="AM383" s="577">
        <v>0</v>
      </c>
      <c r="AN383" s="512">
        <v>0.27004521318404817</v>
      </c>
      <c r="AO383" s="513">
        <v>0.54245275447139607</v>
      </c>
      <c r="AP383" s="513">
        <v>0.38693045471147208</v>
      </c>
      <c r="AQ383" s="513">
        <v>0.79743220424324002</v>
      </c>
      <c r="AR383" s="510">
        <v>13.438000000000001</v>
      </c>
      <c r="AS383" s="510">
        <v>580.05500000000006</v>
      </c>
      <c r="AT383" s="514">
        <v>228.2577585506624</v>
      </c>
      <c r="AU383" s="514">
        <v>139.22233086962112</v>
      </c>
      <c r="AV383" s="510">
        <v>4.286352135734484</v>
      </c>
      <c r="AW383" s="510">
        <v>1.8570652782925756</v>
      </c>
      <c r="AX383" s="510">
        <v>0.25301384134543831</v>
      </c>
      <c r="AY383" s="510">
        <v>7.7647809259466766E-2</v>
      </c>
      <c r="AZ383" s="510">
        <v>2013.0555142134274</v>
      </c>
      <c r="BA383" s="510">
        <v>1221.0882071527697</v>
      </c>
      <c r="BB383" s="510">
        <v>695.78806369996801</v>
      </c>
      <c r="BC383" s="510">
        <v>371.07946660230397</v>
      </c>
      <c r="BD383" s="510">
        <v>0</v>
      </c>
      <c r="BE383" s="511">
        <v>13.714216755307683</v>
      </c>
      <c r="BF383" s="1026">
        <v>0.69739345102404904</v>
      </c>
      <c r="BG383" s="513">
        <v>0.88916523261888913</v>
      </c>
      <c r="BH383" s="513">
        <v>0.69739345102404904</v>
      </c>
      <c r="BI383" s="513">
        <v>0.88916523261888913</v>
      </c>
      <c r="BJ383" s="510">
        <v>34.622999999999998</v>
      </c>
      <c r="BK383" s="510">
        <v>966.22300000000018</v>
      </c>
      <c r="BL383" s="510">
        <v>3.1250902579210353</v>
      </c>
      <c r="BM383" s="510">
        <v>2.4824497036398423</v>
      </c>
      <c r="BN383" s="514">
        <v>0</v>
      </c>
      <c r="BO383" s="514">
        <v>0</v>
      </c>
      <c r="BP383" s="514">
        <v>1246.8669238020475</v>
      </c>
      <c r="BQ383" s="514">
        <v>1007.2856970771968</v>
      </c>
      <c r="BR383" s="514">
        <v>0</v>
      </c>
      <c r="BS383" s="1031">
        <v>0</v>
      </c>
      <c r="BT383" s="512">
        <v>0.85087845617888547</v>
      </c>
      <c r="BU383" s="513">
        <v>0.87504451652837489</v>
      </c>
      <c r="BV383" s="513">
        <v>0.85087845617888547</v>
      </c>
      <c r="BW383" s="513">
        <v>0.87504451652837489</v>
      </c>
      <c r="BX383" s="510">
        <v>45.564999999999998</v>
      </c>
      <c r="BY383" s="510">
        <v>935.61500000000001</v>
      </c>
      <c r="BZ383" s="514">
        <v>86.07448122080234</v>
      </c>
      <c r="CA383" s="514">
        <v>86.188595936440834</v>
      </c>
      <c r="CB383" s="510">
        <v>1.9752002633600352</v>
      </c>
      <c r="CC383" s="510">
        <v>1.9132869823591974</v>
      </c>
      <c r="CD383" s="514">
        <v>0.22385602984747063</v>
      </c>
      <c r="CE383" s="514">
        <v>0.10779540729894241</v>
      </c>
      <c r="CF383" s="514">
        <v>867.64065614398862</v>
      </c>
      <c r="CG383" s="514">
        <v>883.87032263588992</v>
      </c>
      <c r="CH383" s="514">
        <v>615.60408208055549</v>
      </c>
      <c r="CI383" s="514">
        <v>361.89404829978162</v>
      </c>
      <c r="CJ383" s="514">
        <v>0</v>
      </c>
      <c r="CK383" s="515">
        <v>12.147090416464039</v>
      </c>
    </row>
    <row r="384" spans="1:89" ht="13.5" customHeight="1">
      <c r="A384" s="560">
        <v>45679</v>
      </c>
      <c r="B384" s="512">
        <v>0.92670333674195327</v>
      </c>
      <c r="C384" s="513">
        <v>0.79915716748494015</v>
      </c>
      <c r="D384" s="513">
        <v>0.92670333674195327</v>
      </c>
      <c r="E384" s="513">
        <v>0.79922021002788701</v>
      </c>
      <c r="F384" s="510">
        <v>72.150999999999996</v>
      </c>
      <c r="G384" s="510">
        <v>1231.7510000000002</v>
      </c>
      <c r="H384" s="510">
        <v>2.0793474795914122</v>
      </c>
      <c r="I384" s="510">
        <v>2.321988778576189</v>
      </c>
      <c r="J384" s="510">
        <v>693.84263558371708</v>
      </c>
      <c r="K384" s="511">
        <v>887.17911980586882</v>
      </c>
      <c r="L384" s="512">
        <v>0.97720963062394384</v>
      </c>
      <c r="M384" s="513">
        <v>0.9170469448934726</v>
      </c>
      <c r="N384" s="513">
        <v>0.97720963062394384</v>
      </c>
      <c r="O384" s="513">
        <v>0.92313220464564583</v>
      </c>
      <c r="P384" s="510">
        <v>69.161000000000001</v>
      </c>
      <c r="Q384" s="510">
        <v>1310.7710000000002</v>
      </c>
      <c r="R384" s="510">
        <v>2.3058081866948137</v>
      </c>
      <c r="S384" s="510">
        <v>2.3980481716485946</v>
      </c>
      <c r="T384" s="510">
        <v>0.22845245152614913</v>
      </c>
      <c r="U384" s="510">
        <v>0.23535766354305973</v>
      </c>
      <c r="V384" s="510">
        <v>494.73633984472309</v>
      </c>
      <c r="W384" s="510">
        <v>544.16632653606166</v>
      </c>
      <c r="X384" s="510">
        <v>442.61939532395428</v>
      </c>
      <c r="Y384" s="511">
        <v>447.56711889414731</v>
      </c>
      <c r="Z384" s="1025">
        <v>0.84540995579001477</v>
      </c>
      <c r="AA384" s="581">
        <v>0.88110302538745788</v>
      </c>
      <c r="AB384" s="581">
        <v>0.84540995579001477</v>
      </c>
      <c r="AC384" s="581">
        <v>0.88110302538745788</v>
      </c>
      <c r="AD384" s="576">
        <v>37.838000000000001</v>
      </c>
      <c r="AE384" s="576">
        <v>867.428</v>
      </c>
      <c r="AF384" s="576">
        <v>101.31485520754791</v>
      </c>
      <c r="AG384" s="576">
        <v>94.996471374790843</v>
      </c>
      <c r="AH384" s="576">
        <v>1.5513504942121676</v>
      </c>
      <c r="AI384" s="576">
        <v>1.4901524968066515</v>
      </c>
      <c r="AJ384" s="576">
        <v>982.11956234472814</v>
      </c>
      <c r="AK384" s="576">
        <v>908.81290435632741</v>
      </c>
      <c r="AL384" s="576">
        <v>0</v>
      </c>
      <c r="AM384" s="577">
        <v>0</v>
      </c>
      <c r="AN384" s="512">
        <v>0.73819796859443843</v>
      </c>
      <c r="AO384" s="513">
        <v>0.55136427111305886</v>
      </c>
      <c r="AP384" s="513">
        <v>0.73819796859443843</v>
      </c>
      <c r="AQ384" s="513">
        <v>0.7935509734591194</v>
      </c>
      <c r="AR384" s="510">
        <v>37.651000000000003</v>
      </c>
      <c r="AS384" s="510">
        <v>617.70600000000002</v>
      </c>
      <c r="AT384" s="514">
        <v>105.60692979540593</v>
      </c>
      <c r="AU384" s="514">
        <v>137.17337316831134</v>
      </c>
      <c r="AV384" s="510">
        <v>1.9096438341611113</v>
      </c>
      <c r="AW384" s="510">
        <v>1.8602700961298742</v>
      </c>
      <c r="AX384" s="510">
        <v>0.21035297867254518</v>
      </c>
      <c r="AY384" s="510">
        <v>8.5736580185395636E-2</v>
      </c>
      <c r="AZ384" s="510">
        <v>933.34679025789671</v>
      </c>
      <c r="BA384" s="510">
        <v>1203.5495203219652</v>
      </c>
      <c r="BB384" s="510">
        <v>514.88672279621233</v>
      </c>
      <c r="BC384" s="510">
        <v>379.84494241597076</v>
      </c>
      <c r="BD384" s="510">
        <v>0</v>
      </c>
      <c r="BE384" s="511">
        <v>12.878294852243625</v>
      </c>
      <c r="BF384" s="1026">
        <v>0.80696764988426983</v>
      </c>
      <c r="BG384" s="513">
        <v>0.88555560754813767</v>
      </c>
      <c r="BH384" s="513">
        <v>0.80696764988426983</v>
      </c>
      <c r="BI384" s="513">
        <v>0.88555560754813767</v>
      </c>
      <c r="BJ384" s="510">
        <v>40.277000000000001</v>
      </c>
      <c r="BK384" s="510">
        <v>1006.5000000000002</v>
      </c>
      <c r="BL384" s="510">
        <v>2.8651587754798022</v>
      </c>
      <c r="BM384" s="510">
        <v>2.4977645305514153</v>
      </c>
      <c r="BN384" s="514">
        <v>0</v>
      </c>
      <c r="BO384" s="514">
        <v>0</v>
      </c>
      <c r="BP384" s="514">
        <v>1201.0302335236306</v>
      </c>
      <c r="BQ384" s="514">
        <v>1015.0387509216609</v>
      </c>
      <c r="BR384" s="514">
        <v>0</v>
      </c>
      <c r="BS384" s="1031">
        <v>0</v>
      </c>
      <c r="BT384" s="512">
        <v>0.61690265721806525</v>
      </c>
      <c r="BU384" s="513">
        <v>0.86301224433873813</v>
      </c>
      <c r="BV384" s="513">
        <v>0.62268064331104866</v>
      </c>
      <c r="BW384" s="513">
        <v>0.86338567087592821</v>
      </c>
      <c r="BX384" s="510">
        <v>32.247999999999998</v>
      </c>
      <c r="BY384" s="510">
        <v>967.86300000000006</v>
      </c>
      <c r="BZ384" s="514">
        <v>78.617030356300305</v>
      </c>
      <c r="CA384" s="514">
        <v>85.936320721014283</v>
      </c>
      <c r="CB384" s="510">
        <v>1.9474075911684445</v>
      </c>
      <c r="CC384" s="510">
        <v>1.9144238389110857</v>
      </c>
      <c r="CD384" s="514">
        <v>0.16373108409823867</v>
      </c>
      <c r="CE384" s="514">
        <v>0.10965911497804957</v>
      </c>
      <c r="CF384" s="514">
        <v>968.44564885790112</v>
      </c>
      <c r="CG384" s="514">
        <v>886.68826806825746</v>
      </c>
      <c r="CH384" s="514">
        <v>400.7690399404654</v>
      </c>
      <c r="CI384" s="514">
        <v>363.18931501669169</v>
      </c>
      <c r="CJ384" s="514">
        <v>0</v>
      </c>
      <c r="CK384" s="515">
        <v>11.742364363551452</v>
      </c>
    </row>
    <row r="385" spans="1:89" ht="13.5" customHeight="1">
      <c r="A385" s="560">
        <v>45680</v>
      </c>
      <c r="B385" s="512">
        <v>0.92523593788628211</v>
      </c>
      <c r="C385" s="513">
        <v>0.80523113264262358</v>
      </c>
      <c r="D385" s="513">
        <v>0.92523593788628211</v>
      </c>
      <c r="E385" s="513">
        <v>0.80529159389002158</v>
      </c>
      <c r="F385" s="510">
        <v>72.180000000000007</v>
      </c>
      <c r="G385" s="510">
        <v>1303.9310000000003</v>
      </c>
      <c r="H385" s="510">
        <v>2.1279855915766142</v>
      </c>
      <c r="I385" s="510">
        <v>2.3112495983299723</v>
      </c>
      <c r="J385" s="510">
        <v>701.18841784426047</v>
      </c>
      <c r="K385" s="511">
        <v>876.88347619620777</v>
      </c>
      <c r="L385" s="512">
        <v>0.95609335737894041</v>
      </c>
      <c r="M385" s="513">
        <v>0.9189306150021701</v>
      </c>
      <c r="N385" s="513">
        <v>0.95609335737894041</v>
      </c>
      <c r="O385" s="513">
        <v>0.92473234998213849</v>
      </c>
      <c r="P385" s="510">
        <v>69.268000000000001</v>
      </c>
      <c r="Q385" s="510">
        <v>1380.0390000000002</v>
      </c>
      <c r="R385" s="510">
        <v>2.3146907662990124</v>
      </c>
      <c r="S385" s="510">
        <v>2.3938642313731711</v>
      </c>
      <c r="T385" s="510">
        <v>0.22665588727839694</v>
      </c>
      <c r="U385" s="510">
        <v>0.23492089716305115</v>
      </c>
      <c r="V385" s="510">
        <v>482.10241381301074</v>
      </c>
      <c r="W385" s="510">
        <v>541.05116594531</v>
      </c>
      <c r="X385" s="510">
        <v>425.89651787261073</v>
      </c>
      <c r="Y385" s="511">
        <v>446.47941108910715</v>
      </c>
      <c r="Z385" s="1025">
        <v>0.92337204794885441</v>
      </c>
      <c r="AA385" s="581">
        <v>0.88293676506519747</v>
      </c>
      <c r="AB385" s="581">
        <v>0.92337204794885441</v>
      </c>
      <c r="AC385" s="581">
        <v>0.88293676506519747</v>
      </c>
      <c r="AD385" s="576">
        <v>41.225000000000001</v>
      </c>
      <c r="AE385" s="576">
        <v>908.65300000000002</v>
      </c>
      <c r="AF385" s="576">
        <v>98.903374346213099</v>
      </c>
      <c r="AG385" s="576">
        <v>95.17372504037813</v>
      </c>
      <c r="AH385" s="576">
        <v>1.411764705882353</v>
      </c>
      <c r="AI385" s="576">
        <v>1.4865960933381612</v>
      </c>
      <c r="AJ385" s="576">
        <v>901.43796240145105</v>
      </c>
      <c r="AK385" s="576">
        <v>908.47830800096415</v>
      </c>
      <c r="AL385" s="576">
        <v>0</v>
      </c>
      <c r="AM385" s="577">
        <v>0</v>
      </c>
      <c r="AN385" s="512">
        <v>0.96731818658470792</v>
      </c>
      <c r="AO385" s="513">
        <v>0.56967052108082261</v>
      </c>
      <c r="AP385" s="513">
        <v>0.96731818658470792</v>
      </c>
      <c r="AQ385" s="513">
        <v>0.80434895959192942</v>
      </c>
      <c r="AR385" s="510">
        <v>49.89</v>
      </c>
      <c r="AS385" s="510">
        <v>667.596</v>
      </c>
      <c r="AT385" s="514">
        <v>87.33436402168104</v>
      </c>
      <c r="AU385" s="514">
        <v>133.44886288615658</v>
      </c>
      <c r="AV385" s="510">
        <v>1.5193425536179594</v>
      </c>
      <c r="AW385" s="510">
        <v>1.834792299534449</v>
      </c>
      <c r="AX385" s="510">
        <v>0.19081980356784925</v>
      </c>
      <c r="AY385" s="510">
        <v>9.3589536186555952E-2</v>
      </c>
      <c r="AZ385" s="510">
        <v>729.03948687111586</v>
      </c>
      <c r="BA385" s="510">
        <v>1168.0889939424439</v>
      </c>
      <c r="BB385" s="510">
        <v>550.01002204850283</v>
      </c>
      <c r="BC385" s="510">
        <v>392.56151924217556</v>
      </c>
      <c r="BD385" s="510">
        <v>0</v>
      </c>
      <c r="BE385" s="511">
        <v>11.915889250384964</v>
      </c>
      <c r="BF385" s="1026">
        <v>0.99083776157132786</v>
      </c>
      <c r="BG385" s="513">
        <v>0.89002604832402987</v>
      </c>
      <c r="BH385" s="513">
        <v>0.99083776157132786</v>
      </c>
      <c r="BI385" s="513">
        <v>0.89002604832402987</v>
      </c>
      <c r="BJ385" s="510">
        <v>49.939</v>
      </c>
      <c r="BK385" s="510">
        <v>1056.4390000000003</v>
      </c>
      <c r="BL385" s="510">
        <v>2.4049340195037945</v>
      </c>
      <c r="BM385" s="510">
        <v>2.4933763331342358</v>
      </c>
      <c r="BN385" s="514">
        <v>0</v>
      </c>
      <c r="BO385" s="514">
        <v>0</v>
      </c>
      <c r="BP385" s="514">
        <v>999.22357514118301</v>
      </c>
      <c r="BQ385" s="514">
        <v>1014.2911506690184</v>
      </c>
      <c r="BR385" s="514">
        <v>0</v>
      </c>
      <c r="BS385" s="1031">
        <v>0</v>
      </c>
      <c r="BT385" s="512">
        <v>0.34139713291394003</v>
      </c>
      <c r="BU385" s="513">
        <v>0.83919341994745456</v>
      </c>
      <c r="BV385" s="513">
        <v>0.34139713291394003</v>
      </c>
      <c r="BW385" s="513">
        <v>0.83953995182944452</v>
      </c>
      <c r="BX385" s="510">
        <v>18.32</v>
      </c>
      <c r="BY385" s="510">
        <v>986.18300000000011</v>
      </c>
      <c r="BZ385" s="514">
        <v>121.97581722356416</v>
      </c>
      <c r="CA385" s="514">
        <v>86.605814695182062</v>
      </c>
      <c r="CB385" s="510">
        <v>2.8329694323144103</v>
      </c>
      <c r="CC385" s="510">
        <v>1.9314873608650729</v>
      </c>
      <c r="CD385" s="514">
        <v>0.22270742358078602</v>
      </c>
      <c r="CE385" s="514">
        <v>0.11175917654228475</v>
      </c>
      <c r="CF385" s="514">
        <v>1162.9428974358036</v>
      </c>
      <c r="CG385" s="514">
        <v>891.82016023230142</v>
      </c>
      <c r="CH385" s="514">
        <v>641.92139737990806</v>
      </c>
      <c r="CI385" s="514">
        <v>368.36723001714711</v>
      </c>
      <c r="CJ385" s="514">
        <v>0</v>
      </c>
      <c r="CK385" s="515">
        <v>11.524230289915765</v>
      </c>
    </row>
    <row r="386" spans="1:89" ht="13.5" customHeight="1">
      <c r="A386" s="560">
        <v>45681</v>
      </c>
      <c r="B386" s="512">
        <v>0.96939741174619476</v>
      </c>
      <c r="C386" s="513">
        <v>0.81284774370640389</v>
      </c>
      <c r="D386" s="513">
        <v>0.96939741174619476</v>
      </c>
      <c r="E386" s="513">
        <v>0.81290594497262203</v>
      </c>
      <c r="F386" s="510">
        <v>76.373999999999995</v>
      </c>
      <c r="G386" s="510">
        <v>1380.3050000000003</v>
      </c>
      <c r="H386" s="510">
        <v>1.9600518501060571</v>
      </c>
      <c r="I386" s="510">
        <v>2.2918173881859438</v>
      </c>
      <c r="J386" s="510">
        <v>676.64938329797747</v>
      </c>
      <c r="K386" s="511">
        <v>865.80427369313099</v>
      </c>
      <c r="L386" s="512">
        <v>0.97504462173883666</v>
      </c>
      <c r="M386" s="513">
        <v>0.92151307441758745</v>
      </c>
      <c r="N386" s="513">
        <v>0.97504462173883666</v>
      </c>
      <c r="O386" s="513">
        <v>0.92706174591099721</v>
      </c>
      <c r="P386" s="510">
        <v>70.641000000000005</v>
      </c>
      <c r="Q386" s="510">
        <v>1450.6800000000003</v>
      </c>
      <c r="R386" s="510">
        <v>2.2370861114650129</v>
      </c>
      <c r="S386" s="510">
        <v>2.3862299059751289</v>
      </c>
      <c r="T386" s="510">
        <v>0.16845741141829815</v>
      </c>
      <c r="U386" s="510">
        <v>0.23168445142967428</v>
      </c>
      <c r="V386" s="510">
        <v>479.81101626533444</v>
      </c>
      <c r="W386" s="510">
        <v>538.06907105633161</v>
      </c>
      <c r="X386" s="510">
        <v>335.35765348735151</v>
      </c>
      <c r="Y386" s="511">
        <v>441.06832657788095</v>
      </c>
      <c r="Z386" s="1025">
        <v>0.94106756610716824</v>
      </c>
      <c r="AA386" s="581">
        <v>0.88535581159511323</v>
      </c>
      <c r="AB386" s="581">
        <v>0.94106756610716824</v>
      </c>
      <c r="AC386" s="581">
        <v>0.88535581159511323</v>
      </c>
      <c r="AD386" s="576">
        <v>42.052</v>
      </c>
      <c r="AE386" s="576">
        <v>950.70500000000004</v>
      </c>
      <c r="AF386" s="576">
        <v>95.69946666299019</v>
      </c>
      <c r="AG386" s="576">
        <v>95.196979874121581</v>
      </c>
      <c r="AH386" s="576">
        <v>1.4030248264054028</v>
      </c>
      <c r="AI386" s="576">
        <v>1.4828995324522329</v>
      </c>
      <c r="AJ386" s="576">
        <v>834.40549795492154</v>
      </c>
      <c r="AK386" s="576">
        <v>905.20188702068526</v>
      </c>
      <c r="AL386" s="576">
        <v>0</v>
      </c>
      <c r="AM386" s="577">
        <v>0</v>
      </c>
      <c r="AN386" s="512">
        <v>0.98393971362187282</v>
      </c>
      <c r="AO386" s="513">
        <v>0.58869122032770382</v>
      </c>
      <c r="AP386" s="513">
        <v>0.98393971362187282</v>
      </c>
      <c r="AQ386" s="513">
        <v>0.81577539737606442</v>
      </c>
      <c r="AR386" s="510">
        <v>55.49</v>
      </c>
      <c r="AS386" s="510">
        <v>723.08600000000001</v>
      </c>
      <c r="AT386" s="514">
        <v>78.534139646430475</v>
      </c>
      <c r="AU386" s="514">
        <v>129.23467813832244</v>
      </c>
      <c r="AV386" s="510">
        <v>1.4525139664804467</v>
      </c>
      <c r="AW386" s="510">
        <v>1.8054560591686188</v>
      </c>
      <c r="AX386" s="510">
        <v>0.19030455938006849</v>
      </c>
      <c r="AY386" s="510">
        <v>0.10101149794077054</v>
      </c>
      <c r="AZ386" s="510">
        <v>653.06217336457019</v>
      </c>
      <c r="BA386" s="510">
        <v>1128.5655648152499</v>
      </c>
      <c r="BB386" s="510">
        <v>544.9630564065543</v>
      </c>
      <c r="BC386" s="510">
        <v>404.25689337091183</v>
      </c>
      <c r="BD386" s="510">
        <v>0</v>
      </c>
      <c r="BE386" s="511">
        <v>11.001457641276419</v>
      </c>
      <c r="BF386" s="1026">
        <v>0.97066476679003133</v>
      </c>
      <c r="BG386" s="513">
        <v>0.89329424404091751</v>
      </c>
      <c r="BH386" s="513">
        <v>0.97066476679003133</v>
      </c>
      <c r="BI386" s="513">
        <v>0.89329424404091751</v>
      </c>
      <c r="BJ386" s="510">
        <v>48.667999999999999</v>
      </c>
      <c r="BK386" s="510">
        <v>1105.1070000000002</v>
      </c>
      <c r="BL386" s="510">
        <v>2.4163721541875565</v>
      </c>
      <c r="BM386" s="510">
        <v>2.4899851326613618</v>
      </c>
      <c r="BN386" s="514">
        <v>0</v>
      </c>
      <c r="BO386" s="514">
        <v>0</v>
      </c>
      <c r="BP386" s="514">
        <v>1013.9335453175618</v>
      </c>
      <c r="BQ386" s="514">
        <v>1014.2754020245479</v>
      </c>
      <c r="BR386" s="514">
        <v>0</v>
      </c>
      <c r="BS386" s="1031">
        <v>0</v>
      </c>
      <c r="BT386" s="512">
        <v>0.76719090934516587</v>
      </c>
      <c r="BU386" s="513">
        <v>0.83615011501733127</v>
      </c>
      <c r="BV386" s="513">
        <v>0.93268189064003471</v>
      </c>
      <c r="BW386" s="513">
        <v>0.84280399081165902</v>
      </c>
      <c r="BX386" s="510">
        <v>39.787999999999997</v>
      </c>
      <c r="BY386" s="510">
        <v>1025.971</v>
      </c>
      <c r="BZ386" s="514">
        <v>77.656243563574677</v>
      </c>
      <c r="CA386" s="514">
        <v>86.25874295905659</v>
      </c>
      <c r="CB386" s="510">
        <v>1.9302302201668846</v>
      </c>
      <c r="CC386" s="510">
        <v>1.9314386079138692</v>
      </c>
      <c r="CD386" s="514">
        <v>0.17693777018196444</v>
      </c>
      <c r="CE386" s="514">
        <v>0.1142868560612337</v>
      </c>
      <c r="CF386" s="514">
        <v>903.26611582602436</v>
      </c>
      <c r="CG386" s="514">
        <v>892.26404381299039</v>
      </c>
      <c r="CH386" s="514">
        <v>506.68543279380219</v>
      </c>
      <c r="CI386" s="514">
        <v>373.73132378985372</v>
      </c>
      <c r="CJ386" s="514">
        <v>0</v>
      </c>
      <c r="CK386" s="515">
        <v>11.077311152069601</v>
      </c>
    </row>
    <row r="387" spans="1:89" ht="13.5" customHeight="1">
      <c r="A387" s="560">
        <v>45682</v>
      </c>
      <c r="B387" s="512">
        <v>0.86964792433973448</v>
      </c>
      <c r="C387" s="513">
        <v>0.81511455451144788</v>
      </c>
      <c r="D387" s="513">
        <v>0.86964792433973448</v>
      </c>
      <c r="E387" s="513">
        <v>0.8151705887215166</v>
      </c>
      <c r="F387" s="510">
        <v>61.384999999999998</v>
      </c>
      <c r="G387" s="510">
        <v>1441.6900000000003</v>
      </c>
      <c r="H387" s="510">
        <v>2.1403437321821297</v>
      </c>
      <c r="I387" s="510">
        <v>2.2853678668784552</v>
      </c>
      <c r="J387" s="510">
        <v>870.76497515681126</v>
      </c>
      <c r="K387" s="511">
        <v>866.01549292843674</v>
      </c>
      <c r="L387" s="512">
        <v>0.86281393673496509</v>
      </c>
      <c r="M387" s="513">
        <v>0.91893049746325084</v>
      </c>
      <c r="N387" s="513">
        <v>0.86281393673496509</v>
      </c>
      <c r="O387" s="513">
        <v>0.92421877775074257</v>
      </c>
      <c r="P387" s="510">
        <v>62.51</v>
      </c>
      <c r="Q387" s="510">
        <v>1513.1900000000003</v>
      </c>
      <c r="R387" s="510">
        <v>2.1735562310030394</v>
      </c>
      <c r="S387" s="510">
        <v>2.3774443394418414</v>
      </c>
      <c r="T387" s="510">
        <v>0.21916493361062231</v>
      </c>
      <c r="U387" s="510">
        <v>0.23116726914663716</v>
      </c>
      <c r="V387" s="510">
        <v>482.47592385219053</v>
      </c>
      <c r="W387" s="510">
        <v>535.77251369623093</v>
      </c>
      <c r="X387" s="510">
        <v>435.30635098384255</v>
      </c>
      <c r="Y387" s="511">
        <v>440.8302989049626</v>
      </c>
      <c r="Z387" s="1025">
        <v>0.94943342933076491</v>
      </c>
      <c r="AA387" s="581">
        <v>0.88792443723077885</v>
      </c>
      <c r="AB387" s="581">
        <v>0.94943342933076491</v>
      </c>
      <c r="AC387" s="581">
        <v>0.88792443723077885</v>
      </c>
      <c r="AD387" s="576">
        <v>42.575000000000003</v>
      </c>
      <c r="AE387" s="576">
        <v>993.28000000000009</v>
      </c>
      <c r="AF387" s="576">
        <v>126.53029882188979</v>
      </c>
      <c r="AG387" s="576">
        <v>96.540021165802912</v>
      </c>
      <c r="AH387" s="576">
        <v>1.3505578391074573</v>
      </c>
      <c r="AI387" s="576">
        <v>1.4772269652061856</v>
      </c>
      <c r="AJ387" s="576">
        <v>940.80516735171932</v>
      </c>
      <c r="AK387" s="576">
        <v>906.72795183634014</v>
      </c>
      <c r="AL387" s="576">
        <v>0</v>
      </c>
      <c r="AM387" s="577">
        <v>0</v>
      </c>
      <c r="AN387" s="512">
        <v>1.019780264688696</v>
      </c>
      <c r="AO387" s="513">
        <v>0.60838707831394556</v>
      </c>
      <c r="AP387" s="513">
        <v>1.0276550157673732</v>
      </c>
      <c r="AQ387" s="513">
        <v>0.82886297026861977</v>
      </c>
      <c r="AR387" s="510">
        <v>59.969000000000001</v>
      </c>
      <c r="AS387" s="510">
        <v>783.05500000000006</v>
      </c>
      <c r="AT387" s="514">
        <v>44.518693835999862</v>
      </c>
      <c r="AU387" s="514">
        <v>122.74684157176455</v>
      </c>
      <c r="AV387" s="510">
        <v>1.3540329170071204</v>
      </c>
      <c r="AW387" s="510">
        <v>1.7708845483395164</v>
      </c>
      <c r="AX387" s="510">
        <v>0.18009304807483867</v>
      </c>
      <c r="AY387" s="510">
        <v>0.10706783048444872</v>
      </c>
      <c r="AZ387" s="510">
        <v>586.04912538144606</v>
      </c>
      <c r="BA387" s="510">
        <v>1087.0178212258395</v>
      </c>
      <c r="BB387" s="510">
        <v>510.26363621203529</v>
      </c>
      <c r="BC387" s="510">
        <v>412.37524822649573</v>
      </c>
      <c r="BD387" s="510">
        <v>0</v>
      </c>
      <c r="BE387" s="511">
        <v>10.158928810875352</v>
      </c>
      <c r="BF387" s="1026">
        <v>0.96625703050008205</v>
      </c>
      <c r="BG387" s="513">
        <v>0.89617391439466543</v>
      </c>
      <c r="BH387" s="513">
        <v>0.96625703050008205</v>
      </c>
      <c r="BI387" s="513">
        <v>0.89617391439466543</v>
      </c>
      <c r="BJ387" s="510">
        <v>49.116999999999997</v>
      </c>
      <c r="BK387" s="510">
        <v>1154.2240000000002</v>
      </c>
      <c r="BL387" s="510">
        <v>2.3779953987417799</v>
      </c>
      <c r="BM387" s="510">
        <v>2.4852195067855112</v>
      </c>
      <c r="BN387" s="514">
        <v>0</v>
      </c>
      <c r="BO387" s="514">
        <v>0</v>
      </c>
      <c r="BP387" s="514">
        <v>1044.5623935077913</v>
      </c>
      <c r="BQ387" s="514">
        <v>1015.564238646107</v>
      </c>
      <c r="BR387" s="514">
        <v>0</v>
      </c>
      <c r="BS387" s="1031">
        <v>0</v>
      </c>
      <c r="BT387" s="512">
        <v>0.38506018444290047</v>
      </c>
      <c r="BU387" s="513">
        <v>0.82010111204571357</v>
      </c>
      <c r="BV387" s="513">
        <v>0.45599232368238213</v>
      </c>
      <c r="BW387" s="513">
        <v>0.83102782967695599</v>
      </c>
      <c r="BX387" s="510">
        <v>17.43</v>
      </c>
      <c r="BY387" s="510">
        <v>1043.4010000000001</v>
      </c>
      <c r="BZ387" s="514">
        <v>175.57263207154142</v>
      </c>
      <c r="CA387" s="514">
        <v>87.750730303548892</v>
      </c>
      <c r="CB387" s="510">
        <v>3.1210556511761331</v>
      </c>
      <c r="CC387" s="510">
        <v>1.9513111449960276</v>
      </c>
      <c r="CD387" s="514">
        <v>0</v>
      </c>
      <c r="CE387" s="514">
        <v>0.11237769563188074</v>
      </c>
      <c r="CF387" s="514">
        <v>1467.501945959667</v>
      </c>
      <c r="CG387" s="514">
        <v>901.87338541264046</v>
      </c>
      <c r="CH387" s="514">
        <v>0</v>
      </c>
      <c r="CI387" s="514">
        <v>367.4881469348793</v>
      </c>
      <c r="CJ387" s="514">
        <v>0</v>
      </c>
      <c r="CK387" s="515">
        <v>10.892264814773993</v>
      </c>
    </row>
    <row r="388" spans="1:89" ht="13.5" customHeight="1">
      <c r="A388" s="560">
        <v>45683</v>
      </c>
      <c r="B388" s="512">
        <v>0.97459429424715771</v>
      </c>
      <c r="C388" s="513">
        <v>0.82073374188822934</v>
      </c>
      <c r="D388" s="513">
        <v>0.97459429424715771</v>
      </c>
      <c r="E388" s="513">
        <v>0.82078817430429285</v>
      </c>
      <c r="F388" s="510">
        <v>62.954000000000001</v>
      </c>
      <c r="G388" s="510">
        <v>1504.6440000000002</v>
      </c>
      <c r="H388" s="510">
        <v>2.0143120373606123</v>
      </c>
      <c r="I388" s="510">
        <v>2.2740269459087998</v>
      </c>
      <c r="J388" s="510">
        <v>874.31083012994702</v>
      </c>
      <c r="K388" s="511">
        <v>866.36256815565582</v>
      </c>
      <c r="L388" s="512">
        <v>0.96537685648782723</v>
      </c>
      <c r="M388" s="513">
        <v>0.92096214848875024</v>
      </c>
      <c r="N388" s="513">
        <v>0.96537685648782723</v>
      </c>
      <c r="O388" s="513">
        <v>0.92602901436017326</v>
      </c>
      <c r="P388" s="510">
        <v>72.715999999999994</v>
      </c>
      <c r="Q388" s="510">
        <v>1585.9060000000002</v>
      </c>
      <c r="R388" s="510">
        <v>2.2901837284779143</v>
      </c>
      <c r="S388" s="510">
        <v>2.3734433188347861</v>
      </c>
      <c r="T388" s="510">
        <v>0.23103581055063538</v>
      </c>
      <c r="U388" s="510">
        <v>0.23116124158682794</v>
      </c>
      <c r="V388" s="510">
        <v>462.44829198526651</v>
      </c>
      <c r="W388" s="510">
        <v>532.41049595625475</v>
      </c>
      <c r="X388" s="510">
        <v>419.44001320204632</v>
      </c>
      <c r="Y388" s="511">
        <v>439.84952449893018</v>
      </c>
      <c r="Z388" s="1025">
        <v>0.91587154298566087</v>
      </c>
      <c r="AA388" s="581">
        <v>0.88900155198854092</v>
      </c>
      <c r="AB388" s="581">
        <v>0.91587154298566087</v>
      </c>
      <c r="AC388" s="581">
        <v>0.88900155198854092</v>
      </c>
      <c r="AD388" s="576">
        <v>41.07</v>
      </c>
      <c r="AE388" s="576">
        <v>1034.3500000000001</v>
      </c>
      <c r="AF388" s="576">
        <v>98.572610122462052</v>
      </c>
      <c r="AG388" s="576">
        <v>96.620727337263247</v>
      </c>
      <c r="AH388" s="576">
        <v>1.4049184319454591</v>
      </c>
      <c r="AI388" s="576">
        <v>1.4743558756707111</v>
      </c>
      <c r="AJ388" s="576">
        <v>781.06306306307192</v>
      </c>
      <c r="AK388" s="576">
        <v>901.73828974718447</v>
      </c>
      <c r="AL388" s="576">
        <v>0</v>
      </c>
      <c r="AM388" s="577">
        <v>0</v>
      </c>
      <c r="AN388" s="512">
        <v>0.95538186114059453</v>
      </c>
      <c r="AO388" s="513">
        <v>0.62354810063065147</v>
      </c>
      <c r="AP388" s="513">
        <v>0.95538186114059453</v>
      </c>
      <c r="AQ388" s="513">
        <v>0.83627677241416865</v>
      </c>
      <c r="AR388" s="510">
        <v>56.182000000000002</v>
      </c>
      <c r="AS388" s="510">
        <v>839.23700000000008</v>
      </c>
      <c r="AT388" s="514">
        <v>87.900380672341697</v>
      </c>
      <c r="AU388" s="514">
        <v>120.41407518247121</v>
      </c>
      <c r="AV388" s="510">
        <v>1.4346231889217185</v>
      </c>
      <c r="AW388" s="510">
        <v>1.7483738205060071</v>
      </c>
      <c r="AX388" s="510">
        <v>0.18511266953828628</v>
      </c>
      <c r="AY388" s="510">
        <v>0.11229247518877265</v>
      </c>
      <c r="AZ388" s="510">
        <v>643.76953472642572</v>
      </c>
      <c r="BA388" s="510">
        <v>1057.3449454683237</v>
      </c>
      <c r="BB388" s="510">
        <v>582.21494428822882</v>
      </c>
      <c r="BC388" s="510">
        <v>423.74502077482271</v>
      </c>
      <c r="BD388" s="510">
        <v>0</v>
      </c>
      <c r="BE388" s="511">
        <v>9.4788480488824955</v>
      </c>
      <c r="BF388" s="1026">
        <v>0.97430310671553777</v>
      </c>
      <c r="BG388" s="513">
        <v>0.89914041005347145</v>
      </c>
      <c r="BH388" s="513">
        <v>0.97430310671553777</v>
      </c>
      <c r="BI388" s="513">
        <v>0.89914041005347145</v>
      </c>
      <c r="BJ388" s="510">
        <v>49.526000000000003</v>
      </c>
      <c r="BK388" s="510">
        <v>1203.7500000000002</v>
      </c>
      <c r="BL388" s="510">
        <v>2.4350846020272177</v>
      </c>
      <c r="BM388" s="510">
        <v>2.4831568016614742</v>
      </c>
      <c r="BN388" s="514">
        <v>0</v>
      </c>
      <c r="BO388" s="514">
        <v>0</v>
      </c>
      <c r="BP388" s="514">
        <v>1023.1054787886553</v>
      </c>
      <c r="BQ388" s="514">
        <v>1015.8745086019119</v>
      </c>
      <c r="BR388" s="514">
        <v>0</v>
      </c>
      <c r="BS388" s="1031">
        <v>0</v>
      </c>
      <c r="BT388" s="512">
        <v>0.87731556809475997</v>
      </c>
      <c r="BU388" s="513">
        <v>0.82219879026124321</v>
      </c>
      <c r="BV388" s="513">
        <v>0.87731556809475997</v>
      </c>
      <c r="BW388" s="513">
        <v>0.83274666839195144</v>
      </c>
      <c r="BX388" s="510">
        <v>42.481000000000002</v>
      </c>
      <c r="BY388" s="510">
        <v>1085.8820000000001</v>
      </c>
      <c r="BZ388" s="514">
        <v>91.551604607635952</v>
      </c>
      <c r="CA388" s="514">
        <v>87.899425043227723</v>
      </c>
      <c r="CB388" s="510">
        <v>2.0550363692003484</v>
      </c>
      <c r="CC388" s="510">
        <v>1.9553689995782235</v>
      </c>
      <c r="CD388" s="514">
        <v>0</v>
      </c>
      <c r="CE388" s="514">
        <v>0.10798134603944075</v>
      </c>
      <c r="CF388" s="514">
        <v>1014.2055991505159</v>
      </c>
      <c r="CG388" s="514">
        <v>906.2679556990978</v>
      </c>
      <c r="CH388" s="514">
        <v>0</v>
      </c>
      <c r="CI388" s="514">
        <v>353.11157197559226</v>
      </c>
      <c r="CJ388" s="514">
        <v>0</v>
      </c>
      <c r="CK388" s="515">
        <v>10.466146413698725</v>
      </c>
    </row>
    <row r="389" spans="1:89" ht="13.5" customHeight="1">
      <c r="A389" s="560">
        <v>45684</v>
      </c>
      <c r="B389" s="512">
        <v>0.83333747525203583</v>
      </c>
      <c r="C389" s="513">
        <v>0.82122750972801895</v>
      </c>
      <c r="D389" s="513">
        <v>0.83333747525203583</v>
      </c>
      <c r="E389" s="513">
        <v>0.82127984101115803</v>
      </c>
      <c r="F389" s="510">
        <v>62.292000000000002</v>
      </c>
      <c r="G389" s="510">
        <v>1566.9360000000001</v>
      </c>
      <c r="H389" s="510">
        <v>2.2853175367623448</v>
      </c>
      <c r="I389" s="510">
        <v>2.27447579224678</v>
      </c>
      <c r="J389" s="510">
        <v>899.35908302829921</v>
      </c>
      <c r="K389" s="511">
        <v>867.67431216080138</v>
      </c>
      <c r="L389" s="512">
        <v>0.9703587258680042</v>
      </c>
      <c r="M389" s="513">
        <v>0.92293426137522938</v>
      </c>
      <c r="N389" s="513">
        <v>0.9703587258680042</v>
      </c>
      <c r="O389" s="513">
        <v>0.92780818354564287</v>
      </c>
      <c r="P389" s="510">
        <v>69.486000000000004</v>
      </c>
      <c r="Q389" s="510">
        <v>1655.3920000000003</v>
      </c>
      <c r="R389" s="510">
        <v>2.3636272054802405</v>
      </c>
      <c r="S389" s="510">
        <v>2.3730312820165858</v>
      </c>
      <c r="T389" s="510">
        <v>0.230262211092882</v>
      </c>
      <c r="U389" s="510">
        <v>0.23112350428176523</v>
      </c>
      <c r="V389" s="510">
        <v>448.60475491465252</v>
      </c>
      <c r="W389" s="510">
        <v>528.89270335968752</v>
      </c>
      <c r="X389" s="510">
        <v>493.62461503035735</v>
      </c>
      <c r="Y389" s="511">
        <v>442.10676383599764</v>
      </c>
      <c r="Z389" s="1025">
        <v>0.93683378429090847</v>
      </c>
      <c r="AA389" s="581">
        <v>0.89077664886968322</v>
      </c>
      <c r="AB389" s="581">
        <v>0.93683378429090847</v>
      </c>
      <c r="AC389" s="581">
        <v>0.89077664886968322</v>
      </c>
      <c r="AD389" s="576">
        <v>42.01</v>
      </c>
      <c r="AE389" s="576">
        <v>1076.3600000000001</v>
      </c>
      <c r="AF389" s="576">
        <v>93.601351575289542</v>
      </c>
      <c r="AG389" s="576">
        <v>96.502882029224565</v>
      </c>
      <c r="AH389" s="576">
        <v>1.3520590335634373</v>
      </c>
      <c r="AI389" s="576">
        <v>1.4695826675090118</v>
      </c>
      <c r="AJ389" s="576">
        <v>829.38586050939386</v>
      </c>
      <c r="AK389" s="576">
        <v>898.91439667025884</v>
      </c>
      <c r="AL389" s="576">
        <v>0</v>
      </c>
      <c r="AM389" s="577">
        <v>0</v>
      </c>
      <c r="AN389" s="512">
        <v>0.63320006947528606</v>
      </c>
      <c r="AO389" s="513">
        <v>0.62390301786476488</v>
      </c>
      <c r="AP389" s="513">
        <v>0.90132421534763174</v>
      </c>
      <c r="AQ389" s="513">
        <v>0.83853519667491749</v>
      </c>
      <c r="AR389" s="510">
        <v>32.533999999999999</v>
      </c>
      <c r="AS389" s="510">
        <v>871.77100000000007</v>
      </c>
      <c r="AT389" s="514">
        <v>101.73793655068734</v>
      </c>
      <c r="AU389" s="514">
        <v>119.71709226580334</v>
      </c>
      <c r="AV389" s="510">
        <v>1.6628757607426079</v>
      </c>
      <c r="AW389" s="510">
        <v>1.7451830813367268</v>
      </c>
      <c r="AX389" s="510">
        <v>0</v>
      </c>
      <c r="AY389" s="510">
        <v>0.10810178361060416</v>
      </c>
      <c r="AZ389" s="510">
        <v>922.18909448576699</v>
      </c>
      <c r="BA389" s="510">
        <v>1052.3010056540074</v>
      </c>
      <c r="BB389" s="510">
        <v>0</v>
      </c>
      <c r="BC389" s="510">
        <v>407.93109658385043</v>
      </c>
      <c r="BD389" s="510">
        <v>0</v>
      </c>
      <c r="BE389" s="511">
        <v>9.1251028079621808</v>
      </c>
      <c r="BF389" s="1026">
        <v>0.9485320557564989</v>
      </c>
      <c r="BG389" s="513">
        <v>0.90094716582815604</v>
      </c>
      <c r="BH389" s="513">
        <v>0.9485320557564989</v>
      </c>
      <c r="BI389" s="513">
        <v>0.90094716582815604</v>
      </c>
      <c r="BJ389" s="510">
        <v>48.216000000000001</v>
      </c>
      <c r="BK389" s="510">
        <v>1251.9660000000001</v>
      </c>
      <c r="BL389" s="510">
        <v>2.4908743985399036</v>
      </c>
      <c r="BM389" s="510">
        <v>2.4834540235118201</v>
      </c>
      <c r="BN389" s="514">
        <v>0</v>
      </c>
      <c r="BO389" s="514">
        <v>0</v>
      </c>
      <c r="BP389" s="514">
        <v>1084.5448791736628</v>
      </c>
      <c r="BQ389" s="514">
        <v>1018.5191575680079</v>
      </c>
      <c r="BR389" s="514">
        <v>0</v>
      </c>
      <c r="BS389" s="1031">
        <v>0</v>
      </c>
      <c r="BT389" s="512">
        <v>0.81299519187323677</v>
      </c>
      <c r="BU389" s="513">
        <v>0.82186765731372102</v>
      </c>
      <c r="BV389" s="513">
        <v>0.81299519187323677</v>
      </c>
      <c r="BW389" s="513">
        <v>0.83202725260493471</v>
      </c>
      <c r="BX389" s="510">
        <v>40.073</v>
      </c>
      <c r="BY389" s="510">
        <v>1125.9550000000002</v>
      </c>
      <c r="BZ389" s="514">
        <v>96.794978977915946</v>
      </c>
      <c r="CA389" s="514">
        <v>88.216019874126616</v>
      </c>
      <c r="CB389" s="510">
        <v>2.1435879519876226</v>
      </c>
      <c r="CC389" s="510">
        <v>1.9620677558161741</v>
      </c>
      <c r="CD389" s="514">
        <v>0</v>
      </c>
      <c r="CE389" s="514">
        <v>0.10413826485072671</v>
      </c>
      <c r="CF389" s="514">
        <v>1094.6296535263803</v>
      </c>
      <c r="CG389" s="514">
        <v>912.97179227962943</v>
      </c>
      <c r="CH389" s="514">
        <v>0</v>
      </c>
      <c r="CI389" s="514">
        <v>340.54424910409386</v>
      </c>
      <c r="CJ389" s="514">
        <v>0</v>
      </c>
      <c r="CK389" s="515">
        <v>10.093653831636255</v>
      </c>
    </row>
    <row r="390" spans="1:89" ht="13.5" customHeight="1">
      <c r="A390" s="560">
        <v>45685</v>
      </c>
      <c r="B390" s="512">
        <v>0.78601153878370023</v>
      </c>
      <c r="C390" s="513">
        <v>0.82006348254859363</v>
      </c>
      <c r="D390" s="513">
        <v>0.78601153878370023</v>
      </c>
      <c r="E390" s="513">
        <v>0.82011401224553937</v>
      </c>
      <c r="F390" s="510">
        <v>51.267000000000003</v>
      </c>
      <c r="G390" s="510">
        <v>1618.2030000000002</v>
      </c>
      <c r="H390" s="510">
        <v>2.5611797062437827</v>
      </c>
      <c r="I390" s="510">
        <v>2.2835589848739621</v>
      </c>
      <c r="J390" s="510">
        <v>1031.0291610588247</v>
      </c>
      <c r="K390" s="511">
        <v>872.84962887845347</v>
      </c>
      <c r="L390" s="512">
        <v>0.93647476194593704</v>
      </c>
      <c r="M390" s="513">
        <v>0.92343742803006157</v>
      </c>
      <c r="N390" s="513">
        <v>0.93647476194593704</v>
      </c>
      <c r="O390" s="513">
        <v>0.92813187185641921</v>
      </c>
      <c r="P390" s="510">
        <v>64.825999999999993</v>
      </c>
      <c r="Q390" s="510">
        <v>1720.2180000000003</v>
      </c>
      <c r="R390" s="510">
        <v>2.44455928176966</v>
      </c>
      <c r="S390" s="510">
        <v>2.3757267974175367</v>
      </c>
      <c r="T390" s="510">
        <v>0.24835714065344155</v>
      </c>
      <c r="U390" s="510">
        <v>0.23177294970753701</v>
      </c>
      <c r="V390" s="510">
        <v>478.83704069355173</v>
      </c>
      <c r="W390" s="510">
        <v>527.00636779756985</v>
      </c>
      <c r="X390" s="510">
        <v>499.79946317836146</v>
      </c>
      <c r="Y390" s="511">
        <v>444.28089928137024</v>
      </c>
      <c r="Z390" s="1025">
        <v>0.8940593077756015</v>
      </c>
      <c r="AA390" s="581">
        <v>0.89089509241197273</v>
      </c>
      <c r="AB390" s="581">
        <v>0.8940593077756015</v>
      </c>
      <c r="AC390" s="581">
        <v>0.89089509241197273</v>
      </c>
      <c r="AD390" s="576">
        <v>40.439</v>
      </c>
      <c r="AE390" s="576">
        <v>1116.7990000000002</v>
      </c>
      <c r="AF390" s="576">
        <v>96.215342325561025</v>
      </c>
      <c r="AG390" s="576">
        <v>96.492470291681414</v>
      </c>
      <c r="AH390" s="576">
        <v>1.3773832191696136</v>
      </c>
      <c r="AI390" s="576">
        <v>1.466244149573916</v>
      </c>
      <c r="AJ390" s="576">
        <v>920.89468087737521</v>
      </c>
      <c r="AK390" s="576">
        <v>899.7102970185324</v>
      </c>
      <c r="AL390" s="576">
        <v>0</v>
      </c>
      <c r="AM390" s="577">
        <v>0</v>
      </c>
      <c r="AN390" s="512">
        <v>0.89267362843459974</v>
      </c>
      <c r="AO390" s="513">
        <v>0.63244193262424586</v>
      </c>
      <c r="AP390" s="513">
        <v>0.89267362843459974</v>
      </c>
      <c r="AQ390" s="513">
        <v>0.84082190055955242</v>
      </c>
      <c r="AR390" s="510">
        <v>40.927999999999997</v>
      </c>
      <c r="AS390" s="510">
        <v>912.69900000000007</v>
      </c>
      <c r="AT390" s="514">
        <v>124.79720579342987</v>
      </c>
      <c r="AU390" s="514">
        <v>119.94489889916078</v>
      </c>
      <c r="AV390" s="510">
        <v>1.9326622361219703</v>
      </c>
      <c r="AW390" s="510">
        <v>1.7535901759506689</v>
      </c>
      <c r="AX390" s="510">
        <v>0</v>
      </c>
      <c r="AY390" s="510">
        <v>0.10325419442773576</v>
      </c>
      <c r="AZ390" s="510">
        <v>1152.0245308835035</v>
      </c>
      <c r="BA390" s="510">
        <v>1056.7728900765746</v>
      </c>
      <c r="BB390" s="510">
        <v>0</v>
      </c>
      <c r="BC390" s="510">
        <v>389.63831449360617</v>
      </c>
      <c r="BD390" s="510">
        <v>0</v>
      </c>
      <c r="BE390" s="511">
        <v>8.7159074349813004</v>
      </c>
      <c r="BF390" s="1026">
        <v>0.88862911669522171</v>
      </c>
      <c r="BG390" s="513">
        <v>0.90051247049077388</v>
      </c>
      <c r="BH390" s="513">
        <v>0.88862911669522171</v>
      </c>
      <c r="BI390" s="513">
        <v>0.90051247049077388</v>
      </c>
      <c r="BJ390" s="510">
        <v>45.170999999999999</v>
      </c>
      <c r="BK390" s="510">
        <v>1297.1370000000002</v>
      </c>
      <c r="BL390" s="510">
        <v>2.6964202696420267</v>
      </c>
      <c r="BM390" s="510">
        <v>2.4908702781587446</v>
      </c>
      <c r="BN390" s="514">
        <v>0</v>
      </c>
      <c r="BO390" s="514">
        <v>0</v>
      </c>
      <c r="BP390" s="514">
        <v>1113.2880250396822</v>
      </c>
      <c r="BQ390" s="514">
        <v>1021.8193521600696</v>
      </c>
      <c r="BR390" s="514">
        <v>0</v>
      </c>
      <c r="BS390" s="1031">
        <v>0</v>
      </c>
      <c r="BT390" s="512">
        <v>0.96151399455988495</v>
      </c>
      <c r="BU390" s="513">
        <v>0.82646286361653498</v>
      </c>
      <c r="BV390" s="513">
        <v>0.96151399455988495</v>
      </c>
      <c r="BW390" s="513">
        <v>0.83633906451064777</v>
      </c>
      <c r="BX390" s="510">
        <v>44.820999999999998</v>
      </c>
      <c r="BY390" s="510">
        <v>1170.7760000000001</v>
      </c>
      <c r="BZ390" s="514">
        <v>83.921548671005581</v>
      </c>
      <c r="CA390" s="514">
        <v>88.051613964033578</v>
      </c>
      <c r="CB390" s="510">
        <v>1.8138818857232102</v>
      </c>
      <c r="CC390" s="510">
        <v>1.956394733065933</v>
      </c>
      <c r="CD390" s="514">
        <v>0</v>
      </c>
      <c r="CE390" s="514">
        <v>0.10015152343403008</v>
      </c>
      <c r="CF390" s="514">
        <v>947.81144153258253</v>
      </c>
      <c r="CG390" s="514">
        <v>914.30556399955435</v>
      </c>
      <c r="CH390" s="514">
        <v>0</v>
      </c>
      <c r="CI390" s="514">
        <v>327.50714056318208</v>
      </c>
      <c r="CJ390" s="514">
        <v>0</v>
      </c>
      <c r="CK390" s="515">
        <v>9.7072369095369222</v>
      </c>
    </row>
    <row r="391" spans="1:89" ht="13.5" customHeight="1">
      <c r="A391" s="560">
        <v>45686</v>
      </c>
      <c r="B391" s="512">
        <v>0.90418761250319768</v>
      </c>
      <c r="C391" s="513">
        <v>0.82276411784848791</v>
      </c>
      <c r="D391" s="513">
        <v>0.90418761250319768</v>
      </c>
      <c r="E391" s="513">
        <v>0.822813186356953</v>
      </c>
      <c r="F391" s="510">
        <v>59.177999999999997</v>
      </c>
      <c r="G391" s="510">
        <v>1677.3810000000003</v>
      </c>
      <c r="H391" s="510">
        <v>2.2282774003852786</v>
      </c>
      <c r="I391" s="510">
        <v>2.2816086506285691</v>
      </c>
      <c r="J391" s="510">
        <v>878.21203825741043</v>
      </c>
      <c r="K391" s="511">
        <v>873.03881467597228</v>
      </c>
      <c r="L391" s="512">
        <v>0.97907594161117284</v>
      </c>
      <c r="M391" s="513">
        <v>0.92543088488921676</v>
      </c>
      <c r="N391" s="513">
        <v>0.97907594161117284</v>
      </c>
      <c r="O391" s="513">
        <v>0.9299660777162615</v>
      </c>
      <c r="P391" s="510">
        <v>67.775000000000006</v>
      </c>
      <c r="Q391" s="510">
        <v>1787.9930000000004</v>
      </c>
      <c r="R391" s="510">
        <v>2.3502176318701586</v>
      </c>
      <c r="S391" s="510">
        <v>2.3747598564423904</v>
      </c>
      <c r="T391" s="510">
        <v>0.21689413500553298</v>
      </c>
      <c r="U391" s="510">
        <v>0.23120895887176285</v>
      </c>
      <c r="V391" s="510">
        <v>457.86646993729516</v>
      </c>
      <c r="W391" s="510">
        <v>524.38557645359901</v>
      </c>
      <c r="X391" s="510">
        <v>427.8863887864203</v>
      </c>
      <c r="Y391" s="511">
        <v>443.65945504260912</v>
      </c>
      <c r="Z391" s="1025">
        <v>0.92595108343989252</v>
      </c>
      <c r="AA391" s="581">
        <v>0.8921106431003416</v>
      </c>
      <c r="AB391" s="581">
        <v>0.92595108343989252</v>
      </c>
      <c r="AC391" s="581">
        <v>0.8921106431003416</v>
      </c>
      <c r="AD391" s="576">
        <v>41.694000000000003</v>
      </c>
      <c r="AE391" s="576">
        <v>1158.4930000000002</v>
      </c>
      <c r="AF391" s="576">
        <v>95.332590724031917</v>
      </c>
      <c r="AG391" s="576">
        <v>96.450726389306894</v>
      </c>
      <c r="AH391" s="576">
        <v>1.3647047536815848</v>
      </c>
      <c r="AI391" s="576">
        <v>1.4625897610084826</v>
      </c>
      <c r="AJ391" s="576">
        <v>890.55019906940606</v>
      </c>
      <c r="AK391" s="576">
        <v>899.38062638272288</v>
      </c>
      <c r="AL391" s="576">
        <v>0</v>
      </c>
      <c r="AM391" s="577">
        <v>0</v>
      </c>
      <c r="AN391" s="512">
        <v>0.85891257474914473</v>
      </c>
      <c r="AO391" s="513">
        <v>0.63966894564250432</v>
      </c>
      <c r="AP391" s="513">
        <v>0.85891257474914473</v>
      </c>
      <c r="AQ391" s="513">
        <v>0.84158142639742683</v>
      </c>
      <c r="AR391" s="510">
        <v>40.859000000000002</v>
      </c>
      <c r="AS391" s="510">
        <v>953.55800000000011</v>
      </c>
      <c r="AT391" s="514">
        <v>130.45702286892279</v>
      </c>
      <c r="AU391" s="514">
        <v>120.39533282481659</v>
      </c>
      <c r="AV391" s="510">
        <v>2.0191389901857608</v>
      </c>
      <c r="AW391" s="510">
        <v>1.7649686752143021</v>
      </c>
      <c r="AX391" s="510">
        <v>0</v>
      </c>
      <c r="AY391" s="510">
        <v>9.8829856180746217E-2</v>
      </c>
      <c r="AZ391" s="510">
        <v>1202.1978021978036</v>
      </c>
      <c r="BA391" s="510">
        <v>1063.0042011078506</v>
      </c>
      <c r="BB391" s="510">
        <v>0</v>
      </c>
      <c r="BC391" s="510">
        <v>372.94270511075348</v>
      </c>
      <c r="BD391" s="510">
        <v>0</v>
      </c>
      <c r="BE391" s="511">
        <v>8.3424395789244059</v>
      </c>
      <c r="BF391" s="1026">
        <v>0.89451994118603084</v>
      </c>
      <c r="BG391" s="513">
        <v>0.90030658186717083</v>
      </c>
      <c r="BH391" s="513">
        <v>0.89451994118603084</v>
      </c>
      <c r="BI391" s="513">
        <v>0.90030658186717083</v>
      </c>
      <c r="BJ391" s="510">
        <v>45.844999999999999</v>
      </c>
      <c r="BK391" s="510">
        <v>1342.9820000000002</v>
      </c>
      <c r="BL391" s="510">
        <v>2.6873159559384887</v>
      </c>
      <c r="BM391" s="510">
        <v>2.4975762891833244</v>
      </c>
      <c r="BN391" s="514">
        <v>0</v>
      </c>
      <c r="BO391" s="514">
        <v>0</v>
      </c>
      <c r="BP391" s="514">
        <v>1125.2678040862222</v>
      </c>
      <c r="BQ391" s="514">
        <v>1025.3507429594654</v>
      </c>
      <c r="BR391" s="514">
        <v>0</v>
      </c>
      <c r="BS391" s="1031">
        <v>0</v>
      </c>
      <c r="BT391" s="512">
        <v>0.92183963011602388</v>
      </c>
      <c r="BU391" s="513">
        <v>0.82972162423763884</v>
      </c>
      <c r="BV391" s="513">
        <v>0.92183963011602388</v>
      </c>
      <c r="BW391" s="513">
        <v>0.83929408574878772</v>
      </c>
      <c r="BX391" s="510">
        <v>46.197000000000003</v>
      </c>
      <c r="BY391" s="510">
        <v>1216.973</v>
      </c>
      <c r="BZ391" s="514">
        <v>83.443934994716059</v>
      </c>
      <c r="CA391" s="514">
        <v>87.876703801404219</v>
      </c>
      <c r="CB391" s="510">
        <v>1.8637573868433013</v>
      </c>
      <c r="CC391" s="510">
        <v>1.9528781657440231</v>
      </c>
      <c r="CD391" s="514">
        <v>0</v>
      </c>
      <c r="CE391" s="514">
        <v>9.6349713592659827E-2</v>
      </c>
      <c r="CF391" s="514">
        <v>989.75923808187349</v>
      </c>
      <c r="CG391" s="514">
        <v>917.16982917354005</v>
      </c>
      <c r="CH391" s="514">
        <v>0</v>
      </c>
      <c r="CI391" s="514">
        <v>315.07477980201702</v>
      </c>
      <c r="CJ391" s="514">
        <v>0</v>
      </c>
      <c r="CK391" s="515">
        <v>9.3387445736265313</v>
      </c>
    </row>
    <row r="392" spans="1:89" ht="13.5" customHeight="1">
      <c r="A392" s="560">
        <v>45687</v>
      </c>
      <c r="B392" s="512">
        <v>1.0730546850681661</v>
      </c>
      <c r="C392" s="513">
        <v>0.8295134431957093</v>
      </c>
      <c r="D392" s="513">
        <v>1.0730546850681661</v>
      </c>
      <c r="E392" s="513">
        <v>0.82956158011337322</v>
      </c>
      <c r="F392" s="510">
        <v>60.627000000000002</v>
      </c>
      <c r="G392" s="510">
        <v>1738.0080000000003</v>
      </c>
      <c r="H392" s="510">
        <v>1.9719431936266019</v>
      </c>
      <c r="I392" s="510">
        <v>2.2708065785658063</v>
      </c>
      <c r="J392" s="510">
        <v>802.34001352532141</v>
      </c>
      <c r="K392" s="511">
        <v>870.57262567260727</v>
      </c>
      <c r="L392" s="512">
        <v>0.96072074453861556</v>
      </c>
      <c r="M392" s="513">
        <v>0.92643889044531536</v>
      </c>
      <c r="N392" s="513">
        <v>0.96072074453861556</v>
      </c>
      <c r="O392" s="513">
        <v>0.93084872329669643</v>
      </c>
      <c r="P392" s="510">
        <v>54.578000000000003</v>
      </c>
      <c r="Q392" s="510">
        <v>1842.5710000000004</v>
      </c>
      <c r="R392" s="510">
        <v>2.9126754369892627</v>
      </c>
      <c r="S392" s="510">
        <v>2.3906932215909178</v>
      </c>
      <c r="T392" s="510">
        <v>0.23635897247975374</v>
      </c>
      <c r="U392" s="510">
        <v>0.23136150520115636</v>
      </c>
      <c r="V392" s="510">
        <v>608.69416248304015</v>
      </c>
      <c r="W392" s="510">
        <v>526.88284467735537</v>
      </c>
      <c r="X392" s="510">
        <v>470.88570486276689</v>
      </c>
      <c r="Y392" s="511">
        <v>444.46591203269776</v>
      </c>
      <c r="Z392" s="1025">
        <v>0.90860246801976252</v>
      </c>
      <c r="AA392" s="581">
        <v>0.89264759298300134</v>
      </c>
      <c r="AB392" s="581">
        <v>0.90860246801976252</v>
      </c>
      <c r="AC392" s="581">
        <v>0.89264759298300134</v>
      </c>
      <c r="AD392" s="576">
        <v>39.709000000000003</v>
      </c>
      <c r="AE392" s="576">
        <v>1198.2020000000002</v>
      </c>
      <c r="AF392" s="576">
        <v>93.517859591081447</v>
      </c>
      <c r="AG392" s="576">
        <v>96.353529749933287</v>
      </c>
      <c r="AH392" s="576">
        <v>1.4152962804402025</v>
      </c>
      <c r="AI392" s="576">
        <v>1.4610224319438625</v>
      </c>
      <c r="AJ392" s="576">
        <v>937.55924349644113</v>
      </c>
      <c r="AK392" s="576">
        <v>900.64588441681781</v>
      </c>
      <c r="AL392" s="576">
        <v>0</v>
      </c>
      <c r="AM392" s="577">
        <v>0</v>
      </c>
      <c r="AN392" s="512">
        <v>0.87640002789765892</v>
      </c>
      <c r="AO392" s="513">
        <v>0.6474606904731991</v>
      </c>
      <c r="AP392" s="513">
        <v>0.87640002789765892</v>
      </c>
      <c r="AQ392" s="513">
        <v>0.84307368086285106</v>
      </c>
      <c r="AR392" s="510">
        <v>44.463999999999999</v>
      </c>
      <c r="AS392" s="510">
        <v>998.02200000000016</v>
      </c>
      <c r="AT392" s="514">
        <v>113.0862255401784</v>
      </c>
      <c r="AU392" s="514">
        <v>120.0696965700004</v>
      </c>
      <c r="AV392" s="510">
        <v>1.8194494422454122</v>
      </c>
      <c r="AW392" s="510">
        <v>1.7673959091082156</v>
      </c>
      <c r="AX392" s="510">
        <v>0</v>
      </c>
      <c r="AY392" s="510">
        <v>9.4426776163250903E-2</v>
      </c>
      <c r="AZ392" s="510">
        <v>1014.2933609211939</v>
      </c>
      <c r="BA392" s="510">
        <v>1060.8340297107677</v>
      </c>
      <c r="BB392" s="510">
        <v>0</v>
      </c>
      <c r="BC392" s="510">
        <v>356.3273154299203</v>
      </c>
      <c r="BD392" s="510">
        <v>0</v>
      </c>
      <c r="BE392" s="511">
        <v>7.970766175495128</v>
      </c>
      <c r="BF392" s="1026">
        <v>0.90106012300407012</v>
      </c>
      <c r="BG392" s="513">
        <v>0.90033191018786785</v>
      </c>
      <c r="BH392" s="513">
        <v>0.90106012300407012</v>
      </c>
      <c r="BI392" s="513">
        <v>0.90033191018786785</v>
      </c>
      <c r="BJ392" s="510">
        <v>46.75</v>
      </c>
      <c r="BK392" s="510">
        <v>1389.7320000000002</v>
      </c>
      <c r="BL392" s="510">
        <v>2.6139037433155079</v>
      </c>
      <c r="BM392" s="510">
        <v>2.5014894958164589</v>
      </c>
      <c r="BN392" s="514">
        <v>0</v>
      </c>
      <c r="BO392" s="514">
        <v>0</v>
      </c>
      <c r="BP392" s="514">
        <v>1049.1831016042811</v>
      </c>
      <c r="BQ392" s="514">
        <v>1026.1524534810949</v>
      </c>
      <c r="BR392" s="514">
        <v>0</v>
      </c>
      <c r="BS392" s="1031">
        <v>0</v>
      </c>
      <c r="BT392" s="512">
        <v>0.89599058444956281</v>
      </c>
      <c r="BU392" s="513">
        <v>0.83183586662311582</v>
      </c>
      <c r="BV392" s="513">
        <v>0.89599058444956281</v>
      </c>
      <c r="BW392" s="513">
        <v>0.84112312400447453</v>
      </c>
      <c r="BX392" s="510">
        <v>43.308999999999997</v>
      </c>
      <c r="BY392" s="510">
        <v>1260.2819999999999</v>
      </c>
      <c r="BZ392" s="514">
        <v>85.484157590322013</v>
      </c>
      <c r="CA392" s="514">
        <v>87.794485072694499</v>
      </c>
      <c r="CB392" s="510">
        <v>1.9557135930176177</v>
      </c>
      <c r="CC392" s="510">
        <v>1.9529756038727846</v>
      </c>
      <c r="CD392" s="514">
        <v>0</v>
      </c>
      <c r="CE392" s="514">
        <v>9.3038700862188004E-2</v>
      </c>
      <c r="CF392" s="514">
        <v>1026.32986215336</v>
      </c>
      <c r="CG392" s="514">
        <v>920.92106252315773</v>
      </c>
      <c r="CH392" s="514">
        <v>0</v>
      </c>
      <c r="CI392" s="514">
        <v>304.24738272862743</v>
      </c>
      <c r="CJ392" s="514">
        <v>0</v>
      </c>
      <c r="CK392" s="515">
        <v>9.0178229951709206</v>
      </c>
    </row>
    <row r="393" spans="1:89" ht="12.75" customHeight="1">
      <c r="A393" s="560">
        <v>45688</v>
      </c>
      <c r="B393" s="512">
        <v>0.98282153320520904</v>
      </c>
      <c r="C393" s="513">
        <v>0.83356468968646791</v>
      </c>
      <c r="D393" s="513">
        <v>0.98282153320520904</v>
      </c>
      <c r="E393" s="513">
        <v>0.83361178337123676</v>
      </c>
      <c r="F393" s="510">
        <v>55.893000000000001</v>
      </c>
      <c r="G393" s="510">
        <v>1793.9010000000003</v>
      </c>
      <c r="H393" s="510">
        <v>2.1000661979138711</v>
      </c>
      <c r="I393" s="510">
        <v>2.2654867799282119</v>
      </c>
      <c r="J393" s="510">
        <v>848.17834075827113</v>
      </c>
      <c r="K393" s="511">
        <v>869.87488161275269</v>
      </c>
      <c r="L393" s="512">
        <v>0.90321087385916765</v>
      </c>
      <c r="M393" s="513">
        <v>0.92571232966703221</v>
      </c>
      <c r="N393" s="513">
        <v>0.90321087385916765</v>
      </c>
      <c r="O393" s="513">
        <v>0.92998023945781472</v>
      </c>
      <c r="P393" s="510">
        <v>58.003999999999998</v>
      </c>
      <c r="Q393" s="510">
        <v>1900.5750000000003</v>
      </c>
      <c r="R393" s="510">
        <v>2.8472863940417907</v>
      </c>
      <c r="S393" s="510">
        <v>2.404628073083146</v>
      </c>
      <c r="T393" s="510">
        <v>0.26549893110819944</v>
      </c>
      <c r="U393" s="510">
        <v>0.23240335161727366</v>
      </c>
      <c r="V393" s="510">
        <v>547.02227432591644</v>
      </c>
      <c r="W393" s="510">
        <v>527.49748365626192</v>
      </c>
      <c r="X393" s="510">
        <v>499.96551961933056</v>
      </c>
      <c r="Y393" s="511">
        <v>446.15971482314541</v>
      </c>
      <c r="Z393" s="1025">
        <v>0.86557935368273886</v>
      </c>
      <c r="AA393" s="581">
        <v>0.89180765054163103</v>
      </c>
      <c r="AB393" s="581">
        <v>0.86557935368273886</v>
      </c>
      <c r="AC393" s="581">
        <v>0.89180765054163103</v>
      </c>
      <c r="AD393" s="576">
        <v>37.207999999999998</v>
      </c>
      <c r="AE393" s="576">
        <v>1235.4100000000003</v>
      </c>
      <c r="AF393" s="576">
        <v>97.66815995555271</v>
      </c>
      <c r="AG393" s="576">
        <v>96.393123699060041</v>
      </c>
      <c r="AH393" s="576">
        <v>1.4754891421199743</v>
      </c>
      <c r="AI393" s="576">
        <v>1.4614581394031132</v>
      </c>
      <c r="AJ393" s="576">
        <v>919.64953773382547</v>
      </c>
      <c r="AK393" s="576">
        <v>901.21823524174181</v>
      </c>
      <c r="AL393" s="576">
        <v>0</v>
      </c>
      <c r="AM393" s="577">
        <v>0</v>
      </c>
      <c r="AN393" s="512">
        <v>0.92821074030494077</v>
      </c>
      <c r="AO393" s="513">
        <v>0.65645764284355046</v>
      </c>
      <c r="AP393" s="513">
        <v>0.92821074030494077</v>
      </c>
      <c r="AQ393" s="513">
        <v>0.84659221514529037</v>
      </c>
      <c r="AR393" s="510">
        <v>47.369</v>
      </c>
      <c r="AS393" s="510">
        <v>1045.3910000000001</v>
      </c>
      <c r="AT393" s="514">
        <v>107.73848067363407</v>
      </c>
      <c r="AU393" s="514">
        <v>119.51094164883219</v>
      </c>
      <c r="AV393" s="510">
        <v>1.8028668538495642</v>
      </c>
      <c r="AW393" s="510">
        <v>1.7690031768017898</v>
      </c>
      <c r="AX393" s="510">
        <v>0</v>
      </c>
      <c r="AY393" s="510">
        <v>9.0148088131617746E-2</v>
      </c>
      <c r="AZ393" s="510">
        <v>953.33065929194231</v>
      </c>
      <c r="BA393" s="510">
        <v>1055.9628120004859</v>
      </c>
      <c r="BB393" s="510">
        <v>0</v>
      </c>
      <c r="BC393" s="510">
        <v>340.1813292825363</v>
      </c>
      <c r="BD393" s="510">
        <v>0</v>
      </c>
      <c r="BE393" s="511">
        <v>7.6095929656941745</v>
      </c>
      <c r="BF393" s="1026">
        <v>1.0381022479254407</v>
      </c>
      <c r="BG393" s="513">
        <v>0.90491767701928916</v>
      </c>
      <c r="BH393" s="513">
        <v>1.0381022479254407</v>
      </c>
      <c r="BI393" s="513">
        <v>0.90491767701928916</v>
      </c>
      <c r="BJ393" s="510">
        <v>55.173000000000002</v>
      </c>
      <c r="BK393" s="510">
        <v>1444.9050000000002</v>
      </c>
      <c r="BL393" s="510">
        <v>2.2492886013086109</v>
      </c>
      <c r="BM393" s="510">
        <v>2.4918593263916997</v>
      </c>
      <c r="BN393" s="514">
        <v>0</v>
      </c>
      <c r="BO393" s="514">
        <v>0</v>
      </c>
      <c r="BP393" s="514">
        <v>898.76352563754108</v>
      </c>
      <c r="BQ393" s="514">
        <v>1021.2881687593227</v>
      </c>
      <c r="BR393" s="514">
        <v>0</v>
      </c>
      <c r="BS393" s="1031">
        <v>0</v>
      </c>
      <c r="BT393" s="512">
        <v>0.87576932987944112</v>
      </c>
      <c r="BU393" s="513">
        <v>0.83316575545335458</v>
      </c>
      <c r="BV393" s="513">
        <v>0.87576932987944112</v>
      </c>
      <c r="BW393" s="513">
        <v>0.84218323358645453</v>
      </c>
      <c r="BX393" s="510">
        <v>41.417999999999999</v>
      </c>
      <c r="BY393" s="510">
        <v>1301.6999999999998</v>
      </c>
      <c r="BZ393" s="514">
        <v>89.610773416012904</v>
      </c>
      <c r="CA393" s="514">
        <v>87.852276445978333</v>
      </c>
      <c r="CB393" s="510">
        <v>1.9870587667197837</v>
      </c>
      <c r="CC393" s="510">
        <v>1.9540600752861652</v>
      </c>
      <c r="CD393" s="514">
        <v>0</v>
      </c>
      <c r="CE393" s="514">
        <v>9.0078359068909902E-2</v>
      </c>
      <c r="CF393" s="514">
        <v>1071.6953981360716</v>
      </c>
      <c r="CG393" s="514">
        <v>925.71845933687518</v>
      </c>
      <c r="CH393" s="514">
        <v>0</v>
      </c>
      <c r="CI393" s="514">
        <v>294.56672044249837</v>
      </c>
      <c r="CJ393" s="514">
        <v>0</v>
      </c>
      <c r="CK393" s="515">
        <v>8.7308903741261457</v>
      </c>
    </row>
    <row r="394" spans="1:89" ht="12.75" customHeight="1" thickBot="1">
      <c r="A394" s="560"/>
      <c r="B394" s="512"/>
      <c r="C394" s="513"/>
      <c r="D394" s="513"/>
      <c r="E394" s="513"/>
      <c r="F394" s="510"/>
      <c r="G394" s="510"/>
      <c r="H394" s="510"/>
      <c r="I394" s="510"/>
      <c r="J394" s="510"/>
      <c r="K394" s="511"/>
      <c r="L394" s="512"/>
      <c r="M394" s="513"/>
      <c r="N394" s="513"/>
      <c r="O394" s="513"/>
      <c r="P394" s="510"/>
      <c r="Q394" s="510"/>
      <c r="R394" s="510"/>
      <c r="S394" s="510"/>
      <c r="T394" s="510"/>
      <c r="U394" s="510"/>
      <c r="V394" s="510"/>
      <c r="W394" s="510"/>
      <c r="X394" s="510"/>
      <c r="Y394" s="511"/>
      <c r="Z394" s="1026"/>
      <c r="AA394" s="513"/>
      <c r="AB394" s="513"/>
      <c r="AC394" s="513"/>
      <c r="AD394" s="510"/>
      <c r="AE394" s="510"/>
      <c r="AF394" s="510"/>
      <c r="AG394" s="510"/>
      <c r="AH394" s="510"/>
      <c r="AI394" s="510"/>
      <c r="AJ394" s="510"/>
      <c r="AK394" s="569"/>
      <c r="AL394" s="510"/>
      <c r="AM394" s="569"/>
      <c r="AN394" s="512"/>
      <c r="AO394" s="513"/>
      <c r="AP394" s="513"/>
      <c r="AQ394" s="513"/>
      <c r="AR394" s="510"/>
      <c r="AS394" s="510"/>
      <c r="AT394" s="514"/>
      <c r="AU394" s="514"/>
      <c r="AV394" s="510"/>
      <c r="AW394" s="510"/>
      <c r="AX394" s="510"/>
      <c r="AY394" s="510"/>
      <c r="AZ394" s="510"/>
      <c r="BA394" s="510"/>
      <c r="BB394" s="510"/>
      <c r="BC394" s="510"/>
      <c r="BD394" s="510"/>
      <c r="BE394" s="511"/>
      <c r="BF394" s="1026"/>
      <c r="BG394" s="513"/>
      <c r="BH394" s="513"/>
      <c r="BI394" s="513"/>
      <c r="BJ394" s="510"/>
      <c r="BK394" s="510"/>
      <c r="BL394" s="510"/>
      <c r="BM394" s="510"/>
      <c r="BN394" s="514"/>
      <c r="BO394" s="514"/>
      <c r="BP394" s="514"/>
      <c r="BQ394" s="514"/>
      <c r="BR394" s="514"/>
      <c r="BS394" s="1031"/>
      <c r="BT394" s="1036"/>
      <c r="BU394" s="1037"/>
      <c r="BV394" s="1037"/>
      <c r="BW394" s="1037"/>
      <c r="BX394" s="1038"/>
      <c r="BY394" s="1038"/>
      <c r="BZ394" s="1038"/>
      <c r="CA394" s="1038"/>
      <c r="CB394" s="1038"/>
      <c r="CC394" s="1038"/>
      <c r="CD394" s="1038"/>
      <c r="CE394" s="1038"/>
      <c r="CF394" s="508"/>
      <c r="CG394" s="1039"/>
      <c r="CH394" s="1039"/>
      <c r="CI394" s="1039"/>
      <c r="CJ394" s="1039"/>
      <c r="CK394" s="1040"/>
    </row>
    <row r="395" spans="1:89" ht="13.5" thickBot="1">
      <c r="A395" s="593" t="s">
        <v>232</v>
      </c>
      <c r="B395" s="779">
        <f>+'[17]eff all'!$B$47:$C$47</f>
        <v>0.83356468968646791</v>
      </c>
      <c r="C395" s="773"/>
      <c r="D395" s="772">
        <f>+'[17]eff all'!$D$47:$E$47</f>
        <v>0.83361178337123676</v>
      </c>
      <c r="E395" s="773"/>
      <c r="F395" s="774">
        <f>+'[17]eff all'!$F$47:$G$47</f>
        <v>1793.9010000000003</v>
      </c>
      <c r="G395" s="775"/>
      <c r="H395" s="776">
        <f>+'[17]eff all'!$H$47:$I$47</f>
        <v>2.2654867799282119</v>
      </c>
      <c r="I395" s="777"/>
      <c r="J395" s="774">
        <f>+'[17]eff all'!$J$47:$K$47</f>
        <v>869.87488161275269</v>
      </c>
      <c r="K395" s="780"/>
      <c r="L395" s="779">
        <f>+'[17]eff all'!$L$47:$M$47</f>
        <v>0.92571232966703221</v>
      </c>
      <c r="M395" s="773"/>
      <c r="N395" s="772">
        <f>+'[17]eff all'!$N$47:$O$47</f>
        <v>0.92998023945781472</v>
      </c>
      <c r="O395" s="773"/>
      <c r="P395" s="774">
        <f>+'[17]eff all'!$P$47:$Q$47</f>
        <v>1900.5750000000003</v>
      </c>
      <c r="Q395" s="775"/>
      <c r="R395" s="776">
        <f>+'[17]eff all'!$R$47:$S$47</f>
        <v>2.404628073083146</v>
      </c>
      <c r="S395" s="777"/>
      <c r="T395" s="776">
        <f>+'[17]eff all'!$T$47:$U$47</f>
        <v>0.23240335161727366</v>
      </c>
      <c r="U395" s="777"/>
      <c r="V395" s="774">
        <f>+'[17]eff all'!$V$47:$W$47</f>
        <v>527.49748365626192</v>
      </c>
      <c r="W395" s="775"/>
      <c r="X395" s="776">
        <f>+'[17]eff all'!$X$47:$Y$47</f>
        <v>446.15971482314541</v>
      </c>
      <c r="Y395" s="778"/>
      <c r="Z395" s="779">
        <f>+'[17]eff all'!$Z$47:$AA$47</f>
        <v>0.89180765054163103</v>
      </c>
      <c r="AA395" s="773"/>
      <c r="AB395" s="772">
        <f>+'[17]eff all'!$AB$47:$AC$47</f>
        <v>0.89180765054163103</v>
      </c>
      <c r="AC395" s="773"/>
      <c r="AD395" s="776">
        <f>+'[17]eff all'!$AD$47:$AE$47</f>
        <v>1235.4100000000003</v>
      </c>
      <c r="AE395" s="777"/>
      <c r="AF395" s="774">
        <f>+'[17]eff all'!$AF$47:$AG$47</f>
        <v>96.393123699060041</v>
      </c>
      <c r="AG395" s="775"/>
      <c r="AH395" s="776">
        <f>+'[17]eff all'!$AH$47:$AI$47</f>
        <v>1.4614581394031132</v>
      </c>
      <c r="AI395" s="777"/>
      <c r="AJ395" s="776">
        <f>+'[17]eff all'!$AJ$47:$AK$47</f>
        <v>901.21823524174181</v>
      </c>
      <c r="AK395" s="777"/>
      <c r="AL395" s="774">
        <f>+'[17]eff all'!$AL$47:$AM$47</f>
        <v>0</v>
      </c>
      <c r="AM395" s="780"/>
      <c r="AN395" s="779">
        <f>+'[17]eff all'!$AN$47:$AO$47</f>
        <v>0.65645764284355046</v>
      </c>
      <c r="AO395" s="773"/>
      <c r="AP395" s="772">
        <f>+'[17]eff all'!$AP$47:$AQ$47</f>
        <v>0.84659221514529037</v>
      </c>
      <c r="AQ395" s="773"/>
      <c r="AR395" s="783">
        <f>+'[17]eff all'!$AR$47:$AS$47</f>
        <v>1045.3910000000001</v>
      </c>
      <c r="AS395" s="784"/>
      <c r="AT395" s="774">
        <f>+'[17]eff all'!$AT$47:$AU$47</f>
        <v>0</v>
      </c>
      <c r="AU395" s="775"/>
      <c r="AV395" s="776">
        <f>+'[17]eff all'!$AV$47:$AW$47</f>
        <v>1.7690031768017898</v>
      </c>
      <c r="AW395" s="777"/>
      <c r="AX395" s="776">
        <f>+'[17]eff all'!$AX$47:$AY$47</f>
        <v>9.0148088131617746E-2</v>
      </c>
      <c r="AY395" s="777"/>
      <c r="AZ395" s="774">
        <f>+'[17]eff all'!$AZ$47:$BA$47</f>
        <v>1055.9628120004859</v>
      </c>
      <c r="BA395" s="775"/>
      <c r="BB395" s="774">
        <f>+'[17]eff all'!$BB$47:$BC$47</f>
        <v>340.1813292825363</v>
      </c>
      <c r="BC395" s="780"/>
      <c r="BD395" s="793">
        <f>+'[17]eff all'!$BD$47:$BE$47</f>
        <v>7.6095929656941745</v>
      </c>
      <c r="BE395" s="780"/>
      <c r="BF395" s="779">
        <f>+'[17]eff all'!$BF$47:$BG$47</f>
        <v>0.90491767701928916</v>
      </c>
      <c r="BG395" s="773"/>
      <c r="BH395" s="772">
        <f>+'[17]eff all'!$BH$47:$BI$47</f>
        <v>0.90491767701928916</v>
      </c>
      <c r="BI395" s="773"/>
      <c r="BJ395" s="774">
        <f>+'[17]eff all'!$BJ$47:$BK$47</f>
        <v>1444.9050000000002</v>
      </c>
      <c r="BK395" s="775"/>
      <c r="BL395" s="774">
        <f>+'[17]eff all'!$BL$47:$BM$47</f>
        <v>2.4918593263916997</v>
      </c>
      <c r="BM395" s="775"/>
      <c r="BN395" s="776">
        <f>+'[17]eff all'!$BN$47:$BO$47</f>
        <v>0</v>
      </c>
      <c r="BO395" s="777"/>
      <c r="BP395" s="774">
        <f>+'[17]eff all'!$BP$47:$BQ$47</f>
        <v>1021.2881687593227</v>
      </c>
      <c r="BQ395" s="775"/>
      <c r="BR395" s="776">
        <f>+'[17]eff all'!$BR$47:$BS$47</f>
        <v>0</v>
      </c>
      <c r="BS395" s="778"/>
      <c r="BT395" s="781">
        <f>+'[17]eff all'!$BT$47:$BU$47</f>
        <v>0.83316575545335458</v>
      </c>
      <c r="BU395" s="782"/>
      <c r="BV395" s="782">
        <f>+'[17]eff all'!$BV$47:$BW$47</f>
        <v>0.84218323358645453</v>
      </c>
      <c r="BW395" s="782"/>
      <c r="BX395" s="810">
        <f>+'[17]eff all'!$BX$47:$BY$47</f>
        <v>1301.6999999999998</v>
      </c>
      <c r="BY395" s="810"/>
      <c r="BZ395" s="809">
        <f>+'[17]eff all'!$BZ$47:$CA$47</f>
        <v>87.852276445978333</v>
      </c>
      <c r="CA395" s="809"/>
      <c r="CB395" s="809">
        <f>+'[17]eff all'!$CB$47:$CC$47</f>
        <v>1.9540600752861652</v>
      </c>
      <c r="CC395" s="809"/>
      <c r="CD395" s="809">
        <f>+'[17]eff all'!$CD$47:$CE$47</f>
        <v>9.0078359068909902E-2</v>
      </c>
      <c r="CE395" s="809"/>
      <c r="CF395" s="810">
        <f>+'[17]eff all'!$CF$47:$CG$47</f>
        <v>925.71845933687518</v>
      </c>
      <c r="CG395" s="810"/>
      <c r="CH395" s="810">
        <f>+'[17]eff all'!$CH$47:$CI$47</f>
        <v>294.56672044249837</v>
      </c>
      <c r="CI395" s="799"/>
      <c r="CJ395" s="775">
        <f>+'[17]eff all'!$CJ$47:$CK$47</f>
        <v>8.7308903741261457</v>
      </c>
      <c r="CK395" s="799"/>
    </row>
    <row r="397" spans="1:89">
      <c r="B397" s="572"/>
    </row>
    <row r="398" spans="1:89">
      <c r="B398" s="572"/>
    </row>
  </sheetData>
  <mergeCells count="579">
    <mergeCell ref="CJ299:CK299"/>
    <mergeCell ref="CJ332:CK332"/>
    <mergeCell ref="CJ362:CK362"/>
    <mergeCell ref="CJ395:CK395"/>
    <mergeCell ref="BT1:CK1"/>
    <mergeCell ref="CJ2:CK2"/>
    <mergeCell ref="CJ36:CK36"/>
    <mergeCell ref="CJ69:CK69"/>
    <mergeCell ref="CJ102:CK102"/>
    <mergeCell ref="CJ135:CK135"/>
    <mergeCell ref="CJ168:CK168"/>
    <mergeCell ref="CJ201:CK201"/>
    <mergeCell ref="CJ234:CK234"/>
    <mergeCell ref="CJ267:CK267"/>
    <mergeCell ref="BZ395:CA395"/>
    <mergeCell ref="CB395:CC395"/>
    <mergeCell ref="CD395:CE395"/>
    <mergeCell ref="CF395:CG395"/>
    <mergeCell ref="CH395:CI395"/>
    <mergeCell ref="BX395:BY395"/>
    <mergeCell ref="BX362:BY362"/>
    <mergeCell ref="BZ362:CA362"/>
    <mergeCell ref="CB362:CC362"/>
    <mergeCell ref="CD362:CE362"/>
    <mergeCell ref="AL332:AM332"/>
    <mergeCell ref="AL362:AM362"/>
    <mergeCell ref="AL395:AM395"/>
    <mergeCell ref="Z1:AM1"/>
    <mergeCell ref="BD2:BE2"/>
    <mergeCell ref="BD36:BE36"/>
    <mergeCell ref="BD69:BE69"/>
    <mergeCell ref="BD102:BE102"/>
    <mergeCell ref="BD135:BE135"/>
    <mergeCell ref="BD168:BE168"/>
    <mergeCell ref="BD201:BE201"/>
    <mergeCell ref="BD234:BE234"/>
    <mergeCell ref="BD267:BE267"/>
    <mergeCell ref="BD299:BE299"/>
    <mergeCell ref="BD332:BE332"/>
    <mergeCell ref="BD362:BE362"/>
    <mergeCell ref="BD395:BE395"/>
    <mergeCell ref="AN1:BE1"/>
    <mergeCell ref="AF395:AG395"/>
    <mergeCell ref="AH395:AI395"/>
    <mergeCell ref="AJ395:AK395"/>
    <mergeCell ref="AP362:AQ362"/>
    <mergeCell ref="AR362:AS362"/>
    <mergeCell ref="AT362:AU362"/>
    <mergeCell ref="D168:E168"/>
    <mergeCell ref="N168:O168"/>
    <mergeCell ref="AB168:AC168"/>
    <mergeCell ref="T168:U168"/>
    <mergeCell ref="BN395:BO395"/>
    <mergeCell ref="BP395:BQ395"/>
    <mergeCell ref="BR395:BS395"/>
    <mergeCell ref="BT395:BU395"/>
    <mergeCell ref="BV395:BW395"/>
    <mergeCell ref="AZ395:BA395"/>
    <mergeCell ref="BB395:BC395"/>
    <mergeCell ref="BF395:BG395"/>
    <mergeCell ref="BH395:BI395"/>
    <mergeCell ref="BJ395:BK395"/>
    <mergeCell ref="BL395:BM395"/>
    <mergeCell ref="AN395:AO395"/>
    <mergeCell ref="AP395:AQ395"/>
    <mergeCell ref="AR395:AS395"/>
    <mergeCell ref="AT395:AU395"/>
    <mergeCell ref="AV395:AW395"/>
    <mergeCell ref="AX395:AY395"/>
    <mergeCell ref="Z395:AA395"/>
    <mergeCell ref="AB395:AC395"/>
    <mergeCell ref="AD395:AE395"/>
    <mergeCell ref="N395:O395"/>
    <mergeCell ref="P395:Q395"/>
    <mergeCell ref="R395:S395"/>
    <mergeCell ref="T395:U395"/>
    <mergeCell ref="V395:W395"/>
    <mergeCell ref="X395:Y395"/>
    <mergeCell ref="B395:C395"/>
    <mergeCell ref="D395:E395"/>
    <mergeCell ref="F395:G395"/>
    <mergeCell ref="H395:I395"/>
    <mergeCell ref="J395:K395"/>
    <mergeCell ref="L395:M395"/>
    <mergeCell ref="CH362:CI362"/>
    <mergeCell ref="BL362:BM362"/>
    <mergeCell ref="BN362:BO362"/>
    <mergeCell ref="BP362:BQ362"/>
    <mergeCell ref="BR362:BS362"/>
    <mergeCell ref="BT362:BU362"/>
    <mergeCell ref="BV362:BW362"/>
    <mergeCell ref="AX362:AY362"/>
    <mergeCell ref="AZ362:BA362"/>
    <mergeCell ref="BB362:BC362"/>
    <mergeCell ref="BF362:BG362"/>
    <mergeCell ref="BH362:BI362"/>
    <mergeCell ref="BJ362:BK362"/>
    <mergeCell ref="AF362:AG362"/>
    <mergeCell ref="AH362:AI362"/>
    <mergeCell ref="L362:M362"/>
    <mergeCell ref="N362:O362"/>
    <mergeCell ref="P362:Q362"/>
    <mergeCell ref="R362:S362"/>
    <mergeCell ref="T362:U362"/>
    <mergeCell ref="V362:W362"/>
    <mergeCell ref="CF362:CG362"/>
    <mergeCell ref="N332:O332"/>
    <mergeCell ref="P332:Q332"/>
    <mergeCell ref="R332:S332"/>
    <mergeCell ref="T332:U332"/>
    <mergeCell ref="V332:W332"/>
    <mergeCell ref="X332:Y332"/>
    <mergeCell ref="AJ362:AK362"/>
    <mergeCell ref="AN362:AO362"/>
    <mergeCell ref="CF332:CG332"/>
    <mergeCell ref="BZ332:CA332"/>
    <mergeCell ref="CB332:CC332"/>
    <mergeCell ref="CD332:CE332"/>
    <mergeCell ref="AX332:AY332"/>
    <mergeCell ref="Z332:AA332"/>
    <mergeCell ref="AB332:AC332"/>
    <mergeCell ref="AD332:AE332"/>
    <mergeCell ref="AF332:AG332"/>
    <mergeCell ref="AH332:AI332"/>
    <mergeCell ref="AJ332:AK332"/>
    <mergeCell ref="AV362:AW362"/>
    <mergeCell ref="X362:Y362"/>
    <mergeCell ref="Z362:AA362"/>
    <mergeCell ref="AB362:AC362"/>
    <mergeCell ref="AD362:AE362"/>
    <mergeCell ref="CH332:CI332"/>
    <mergeCell ref="B362:C362"/>
    <mergeCell ref="D362:E362"/>
    <mergeCell ref="F362:G362"/>
    <mergeCell ref="H362:I362"/>
    <mergeCell ref="J362:K362"/>
    <mergeCell ref="BN332:BO332"/>
    <mergeCell ref="BP332:BQ332"/>
    <mergeCell ref="BR332:BS332"/>
    <mergeCell ref="BT332:BU332"/>
    <mergeCell ref="BV332:BW332"/>
    <mergeCell ref="BX332:BY332"/>
    <mergeCell ref="AZ332:BA332"/>
    <mergeCell ref="BB332:BC332"/>
    <mergeCell ref="BF332:BG332"/>
    <mergeCell ref="BH332:BI332"/>
    <mergeCell ref="BJ332:BK332"/>
    <mergeCell ref="BL332:BM332"/>
    <mergeCell ref="AN332:AO332"/>
    <mergeCell ref="AP332:AQ332"/>
    <mergeCell ref="AR332:AS332"/>
    <mergeCell ref="AT332:AU332"/>
    <mergeCell ref="AV332:AW332"/>
    <mergeCell ref="B332:C332"/>
    <mergeCell ref="D332:E332"/>
    <mergeCell ref="F332:G332"/>
    <mergeCell ref="H332:I332"/>
    <mergeCell ref="J332:K332"/>
    <mergeCell ref="L332:M332"/>
    <mergeCell ref="BX299:BY299"/>
    <mergeCell ref="BZ299:CA299"/>
    <mergeCell ref="CB299:CC299"/>
    <mergeCell ref="AX299:AY299"/>
    <mergeCell ref="AZ299:BA299"/>
    <mergeCell ref="BB299:BC299"/>
    <mergeCell ref="BF299:BG299"/>
    <mergeCell ref="BH299:BI299"/>
    <mergeCell ref="BJ299:BK299"/>
    <mergeCell ref="AJ299:AK299"/>
    <mergeCell ref="AN299:AO299"/>
    <mergeCell ref="AP299:AQ299"/>
    <mergeCell ref="AR299:AS299"/>
    <mergeCell ref="AT299:AU299"/>
    <mergeCell ref="AV299:AW299"/>
    <mergeCell ref="Z299:AA299"/>
    <mergeCell ref="AB299:AC299"/>
    <mergeCell ref="AD299:AE299"/>
    <mergeCell ref="AF299:AG299"/>
    <mergeCell ref="N267:O267"/>
    <mergeCell ref="P267:Q267"/>
    <mergeCell ref="R267:S267"/>
    <mergeCell ref="T267:U267"/>
    <mergeCell ref="V267:W267"/>
    <mergeCell ref="X267:Y267"/>
    <mergeCell ref="CD299:CE299"/>
    <mergeCell ref="CF299:CG299"/>
    <mergeCell ref="CH299:CI299"/>
    <mergeCell ref="BL299:BM299"/>
    <mergeCell ref="BN299:BO299"/>
    <mergeCell ref="BP299:BQ299"/>
    <mergeCell ref="BR299:BS299"/>
    <mergeCell ref="BT299:BU299"/>
    <mergeCell ref="BV299:BW299"/>
    <mergeCell ref="AL267:AM267"/>
    <mergeCell ref="AL299:AM299"/>
    <mergeCell ref="R299:S299"/>
    <mergeCell ref="T299:U299"/>
    <mergeCell ref="V299:W299"/>
    <mergeCell ref="CB267:CC267"/>
    <mergeCell ref="AX267:AY267"/>
    <mergeCell ref="Z267:AA267"/>
    <mergeCell ref="AB267:AC267"/>
    <mergeCell ref="AD267:AE267"/>
    <mergeCell ref="AF267:AG267"/>
    <mergeCell ref="AH267:AI267"/>
    <mergeCell ref="AJ267:AK267"/>
    <mergeCell ref="BZ267:CA267"/>
    <mergeCell ref="B299:C299"/>
    <mergeCell ref="D299:E299"/>
    <mergeCell ref="F299:G299"/>
    <mergeCell ref="H299:I299"/>
    <mergeCell ref="J299:K299"/>
    <mergeCell ref="BN267:BO267"/>
    <mergeCell ref="BP267:BQ267"/>
    <mergeCell ref="BR267:BS267"/>
    <mergeCell ref="BT267:BU267"/>
    <mergeCell ref="AZ267:BA267"/>
    <mergeCell ref="BB267:BC267"/>
    <mergeCell ref="BF267:BG267"/>
    <mergeCell ref="BH267:BI267"/>
    <mergeCell ref="BJ267:BK267"/>
    <mergeCell ref="BL267:BM267"/>
    <mergeCell ref="AN267:AO267"/>
    <mergeCell ref="AP267:AQ267"/>
    <mergeCell ref="X299:Y299"/>
    <mergeCell ref="AV267:AW267"/>
    <mergeCell ref="AH299:AI299"/>
    <mergeCell ref="L299:M299"/>
    <mergeCell ref="N299:O299"/>
    <mergeCell ref="P299:Q299"/>
    <mergeCell ref="X234:Y234"/>
    <mergeCell ref="Z234:AA234"/>
    <mergeCell ref="AR267:AS267"/>
    <mergeCell ref="AT267:AU267"/>
    <mergeCell ref="CH234:CI234"/>
    <mergeCell ref="BV234:BW234"/>
    <mergeCell ref="BX234:BY234"/>
    <mergeCell ref="BZ234:CA234"/>
    <mergeCell ref="CB234:CC234"/>
    <mergeCell ref="CD234:CE234"/>
    <mergeCell ref="CF234:CG234"/>
    <mergeCell ref="AZ234:BA234"/>
    <mergeCell ref="AB234:AC234"/>
    <mergeCell ref="AD234:AE234"/>
    <mergeCell ref="AF234:AG234"/>
    <mergeCell ref="AH234:AI234"/>
    <mergeCell ref="AJ234:AK234"/>
    <mergeCell ref="AN234:AO234"/>
    <mergeCell ref="CD267:CE267"/>
    <mergeCell ref="CF267:CG267"/>
    <mergeCell ref="CH267:CI267"/>
    <mergeCell ref="BV267:BW267"/>
    <mergeCell ref="BX267:BY267"/>
    <mergeCell ref="AL234:AM234"/>
    <mergeCell ref="B267:C267"/>
    <mergeCell ref="D267:E267"/>
    <mergeCell ref="F267:G267"/>
    <mergeCell ref="H267:I267"/>
    <mergeCell ref="J267:K267"/>
    <mergeCell ref="L267:M267"/>
    <mergeCell ref="BP234:BQ234"/>
    <mergeCell ref="BR234:BS234"/>
    <mergeCell ref="BT234:BU234"/>
    <mergeCell ref="BB234:BC234"/>
    <mergeCell ref="BF234:BG234"/>
    <mergeCell ref="BH234:BI234"/>
    <mergeCell ref="BJ234:BK234"/>
    <mergeCell ref="BL234:BM234"/>
    <mergeCell ref="BN234:BO234"/>
    <mergeCell ref="AP234:AQ234"/>
    <mergeCell ref="AR234:AS234"/>
    <mergeCell ref="AT234:AU234"/>
    <mergeCell ref="AV234:AW234"/>
    <mergeCell ref="AX234:AY234"/>
    <mergeCell ref="P234:Q234"/>
    <mergeCell ref="R234:S234"/>
    <mergeCell ref="T234:U234"/>
    <mergeCell ref="V234:W234"/>
    <mergeCell ref="CD201:CE201"/>
    <mergeCell ref="CF201:CG201"/>
    <mergeCell ref="CH201:CI201"/>
    <mergeCell ref="B234:C234"/>
    <mergeCell ref="D234:E234"/>
    <mergeCell ref="F234:G234"/>
    <mergeCell ref="H234:I234"/>
    <mergeCell ref="J234:K234"/>
    <mergeCell ref="L234:M234"/>
    <mergeCell ref="N234:O234"/>
    <mergeCell ref="BR201:BS201"/>
    <mergeCell ref="BT201:BU201"/>
    <mergeCell ref="BV201:BW201"/>
    <mergeCell ref="BX201:BY201"/>
    <mergeCell ref="BZ201:CA201"/>
    <mergeCell ref="CB201:CC201"/>
    <mergeCell ref="BF201:BG201"/>
    <mergeCell ref="BH201:BI201"/>
    <mergeCell ref="BJ201:BK201"/>
    <mergeCell ref="BL201:BM201"/>
    <mergeCell ref="BN201:BO201"/>
    <mergeCell ref="BP201:BQ201"/>
    <mergeCell ref="AR201:AS201"/>
    <mergeCell ref="AT201:AU201"/>
    <mergeCell ref="AV201:AW201"/>
    <mergeCell ref="AX201:AY201"/>
    <mergeCell ref="AZ201:BA201"/>
    <mergeCell ref="BB201:BC201"/>
    <mergeCell ref="AD201:AE201"/>
    <mergeCell ref="AF201:AG201"/>
    <mergeCell ref="AH201:AI201"/>
    <mergeCell ref="AJ201:AK201"/>
    <mergeCell ref="AN201:AO201"/>
    <mergeCell ref="AP201:AQ201"/>
    <mergeCell ref="AL201:AM201"/>
    <mergeCell ref="R201:S201"/>
    <mergeCell ref="T201:U201"/>
    <mergeCell ref="V201:W201"/>
    <mergeCell ref="X201:Y201"/>
    <mergeCell ref="Z201:AA201"/>
    <mergeCell ref="AB201:AC201"/>
    <mergeCell ref="CF168:CG168"/>
    <mergeCell ref="CH168:CI168"/>
    <mergeCell ref="B201:C201"/>
    <mergeCell ref="D201:E201"/>
    <mergeCell ref="F201:G201"/>
    <mergeCell ref="H201:I201"/>
    <mergeCell ref="J201:K201"/>
    <mergeCell ref="L201:M201"/>
    <mergeCell ref="N201:O201"/>
    <mergeCell ref="P201:Q201"/>
    <mergeCell ref="BT168:BU168"/>
    <mergeCell ref="BV168:BW168"/>
    <mergeCell ref="BX168:BY168"/>
    <mergeCell ref="BZ168:CA168"/>
    <mergeCell ref="CB168:CC168"/>
    <mergeCell ref="CD168:CE168"/>
    <mergeCell ref="BH168:BI168"/>
    <mergeCell ref="BJ168:BK168"/>
    <mergeCell ref="R168:S168"/>
    <mergeCell ref="V168:W168"/>
    <mergeCell ref="X168:Y168"/>
    <mergeCell ref="Z168:AA168"/>
    <mergeCell ref="AD168:AE168"/>
    <mergeCell ref="BL168:BM168"/>
    <mergeCell ref="BN168:BO168"/>
    <mergeCell ref="BP168:BQ168"/>
    <mergeCell ref="BR168:BS168"/>
    <mergeCell ref="AT168:AU168"/>
    <mergeCell ref="AV168:AW168"/>
    <mergeCell ref="AX168:AY168"/>
    <mergeCell ref="AZ168:BA168"/>
    <mergeCell ref="BB168:BC168"/>
    <mergeCell ref="BF168:BG168"/>
    <mergeCell ref="AL168:AM168"/>
    <mergeCell ref="B168:C168"/>
    <mergeCell ref="F168:G168"/>
    <mergeCell ref="H168:I168"/>
    <mergeCell ref="J168:K168"/>
    <mergeCell ref="L168:M168"/>
    <mergeCell ref="BN135:BO135"/>
    <mergeCell ref="BP135:BQ135"/>
    <mergeCell ref="BR135:BS135"/>
    <mergeCell ref="BT135:BU135"/>
    <mergeCell ref="AZ135:BA135"/>
    <mergeCell ref="BB135:BC135"/>
    <mergeCell ref="BF135:BG135"/>
    <mergeCell ref="BH135:BI135"/>
    <mergeCell ref="BJ135:BK135"/>
    <mergeCell ref="BL135:BM135"/>
    <mergeCell ref="AN135:AO135"/>
    <mergeCell ref="AP135:AQ135"/>
    <mergeCell ref="AF168:AG168"/>
    <mergeCell ref="AH168:AI168"/>
    <mergeCell ref="AJ168:AK168"/>
    <mergeCell ref="AN168:AO168"/>
    <mergeCell ref="AP168:AQ168"/>
    <mergeCell ref="AR168:AS168"/>
    <mergeCell ref="P168:Q168"/>
    <mergeCell ref="AF135:AG135"/>
    <mergeCell ref="AH135:AI135"/>
    <mergeCell ref="AJ135:AK135"/>
    <mergeCell ref="AB135:AC135"/>
    <mergeCell ref="BZ135:CA135"/>
    <mergeCell ref="CB135:CC135"/>
    <mergeCell ref="CD135:CE135"/>
    <mergeCell ref="CF135:CG135"/>
    <mergeCell ref="CH135:CI135"/>
    <mergeCell ref="BV135:BW135"/>
    <mergeCell ref="BX135:BY135"/>
    <mergeCell ref="AL135:AM135"/>
    <mergeCell ref="B135:C135"/>
    <mergeCell ref="F135:G135"/>
    <mergeCell ref="H135:I135"/>
    <mergeCell ref="J135:K135"/>
    <mergeCell ref="L135:M135"/>
    <mergeCell ref="P135:Q135"/>
    <mergeCell ref="R135:S135"/>
    <mergeCell ref="V135:W135"/>
    <mergeCell ref="BT102:BU102"/>
    <mergeCell ref="BH102:BI102"/>
    <mergeCell ref="BJ102:BK102"/>
    <mergeCell ref="BL102:BM102"/>
    <mergeCell ref="BN102:BO102"/>
    <mergeCell ref="BP102:BQ102"/>
    <mergeCell ref="BR102:BS102"/>
    <mergeCell ref="AT102:AU102"/>
    <mergeCell ref="AV102:AW102"/>
    <mergeCell ref="AR135:AS135"/>
    <mergeCell ref="AT135:AU135"/>
    <mergeCell ref="AV135:AW135"/>
    <mergeCell ref="AX135:AY135"/>
    <mergeCell ref="X135:Y135"/>
    <mergeCell ref="Z135:AA135"/>
    <mergeCell ref="AD135:AE135"/>
    <mergeCell ref="B102:C102"/>
    <mergeCell ref="F102:G102"/>
    <mergeCell ref="H102:I102"/>
    <mergeCell ref="J102:K102"/>
    <mergeCell ref="L102:M102"/>
    <mergeCell ref="P102:Q102"/>
    <mergeCell ref="AX102:AY102"/>
    <mergeCell ref="AZ102:BA102"/>
    <mergeCell ref="BB102:BC102"/>
    <mergeCell ref="AF102:AG102"/>
    <mergeCell ref="AH102:AI102"/>
    <mergeCell ref="AJ102:AK102"/>
    <mergeCell ref="AN102:AO102"/>
    <mergeCell ref="AP102:AQ102"/>
    <mergeCell ref="AR102:AS102"/>
    <mergeCell ref="D102:E102"/>
    <mergeCell ref="N102:O102"/>
    <mergeCell ref="AB102:AC102"/>
    <mergeCell ref="AL102:AM102"/>
    <mergeCell ref="CH69:CI69"/>
    <mergeCell ref="BL69:BM69"/>
    <mergeCell ref="BN69:BO69"/>
    <mergeCell ref="BP69:BQ69"/>
    <mergeCell ref="BR69:BS69"/>
    <mergeCell ref="BT69:BU69"/>
    <mergeCell ref="BV69:BW69"/>
    <mergeCell ref="R102:S102"/>
    <mergeCell ref="T102:U102"/>
    <mergeCell ref="V102:W102"/>
    <mergeCell ref="X102:Y102"/>
    <mergeCell ref="Z102:AA102"/>
    <mergeCell ref="AD102:AE102"/>
    <mergeCell ref="BF102:BG102"/>
    <mergeCell ref="CF102:CG102"/>
    <mergeCell ref="CH102:CI102"/>
    <mergeCell ref="BV102:BW102"/>
    <mergeCell ref="BX102:BY102"/>
    <mergeCell ref="BZ102:CA102"/>
    <mergeCell ref="CB102:CC102"/>
    <mergeCell ref="CD102:CE102"/>
    <mergeCell ref="AL69:AM69"/>
    <mergeCell ref="V69:W69"/>
    <mergeCell ref="X69:Y69"/>
    <mergeCell ref="CB2:CC2"/>
    <mergeCell ref="CD2:CE2"/>
    <mergeCell ref="CF2:CG2"/>
    <mergeCell ref="AL2:AM2"/>
    <mergeCell ref="AL36:AM36"/>
    <mergeCell ref="CH36:CI36"/>
    <mergeCell ref="B69:C69"/>
    <mergeCell ref="F69:G69"/>
    <mergeCell ref="H69:I69"/>
    <mergeCell ref="J69:K69"/>
    <mergeCell ref="L69:M69"/>
    <mergeCell ref="P69:Q69"/>
    <mergeCell ref="R69:S69"/>
    <mergeCell ref="T69:U69"/>
    <mergeCell ref="BT36:BU36"/>
    <mergeCell ref="BV36:BW36"/>
    <mergeCell ref="BX36:BY36"/>
    <mergeCell ref="BZ36:CA36"/>
    <mergeCell ref="CB36:CC36"/>
    <mergeCell ref="CD36:CE36"/>
    <mergeCell ref="BH36:BI36"/>
    <mergeCell ref="BJ36:BK36"/>
    <mergeCell ref="AX69:AY69"/>
    <mergeCell ref="AZ69:BA69"/>
    <mergeCell ref="Z69:AA69"/>
    <mergeCell ref="AD69:AE69"/>
    <mergeCell ref="AF69:AG69"/>
    <mergeCell ref="AH69:AI69"/>
    <mergeCell ref="CF36:CG36"/>
    <mergeCell ref="AN69:AO69"/>
    <mergeCell ref="AP69:AQ69"/>
    <mergeCell ref="AR69:AS69"/>
    <mergeCell ref="AT69:AU69"/>
    <mergeCell ref="AV69:AW69"/>
    <mergeCell ref="BX69:BY69"/>
    <mergeCell ref="BZ69:CA69"/>
    <mergeCell ref="CB69:CC69"/>
    <mergeCell ref="CD69:CE69"/>
    <mergeCell ref="CF69:CG69"/>
    <mergeCell ref="BB69:BC69"/>
    <mergeCell ref="BF69:BG69"/>
    <mergeCell ref="BH69:BI69"/>
    <mergeCell ref="BJ69:BK69"/>
    <mergeCell ref="AJ69:AK69"/>
    <mergeCell ref="BR36:BS36"/>
    <mergeCell ref="AT36:AU36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T2:AU2"/>
    <mergeCell ref="AV2:AW2"/>
    <mergeCell ref="AX2:AY2"/>
    <mergeCell ref="AZ2:BA2"/>
    <mergeCell ref="AB2:AC2"/>
    <mergeCell ref="AD2:AE2"/>
    <mergeCell ref="AF2:AG2"/>
    <mergeCell ref="BV2:BW2"/>
    <mergeCell ref="BX2:BY2"/>
    <mergeCell ref="BT2:BU2"/>
    <mergeCell ref="AP2:AQ2"/>
    <mergeCell ref="BZ2:CA2"/>
    <mergeCell ref="BB2:BC2"/>
    <mergeCell ref="BF2:BG2"/>
    <mergeCell ref="BH2:BI2"/>
    <mergeCell ref="BJ2:BK2"/>
    <mergeCell ref="CH2:CI2"/>
    <mergeCell ref="D135:E135"/>
    <mergeCell ref="N135:O135"/>
    <mergeCell ref="T135:U135"/>
    <mergeCell ref="AR2:AS2"/>
    <mergeCell ref="AF36:AG36"/>
    <mergeCell ref="AH36:AI36"/>
    <mergeCell ref="AJ36:AK36"/>
    <mergeCell ref="AN36:AO36"/>
    <mergeCell ref="AP36:AQ36"/>
    <mergeCell ref="AR36:AS36"/>
    <mergeCell ref="X36:Y36"/>
    <mergeCell ref="Z36:AA36"/>
    <mergeCell ref="AD36:AE36"/>
    <mergeCell ref="BL36:BM36"/>
    <mergeCell ref="BL2:BM2"/>
    <mergeCell ref="BN2:BO2"/>
    <mergeCell ref="BN36:BO36"/>
    <mergeCell ref="BP36:BQ36"/>
    <mergeCell ref="D69:E69"/>
    <mergeCell ref="N69:O69"/>
    <mergeCell ref="AB69:AC69"/>
    <mergeCell ref="A1:A3"/>
    <mergeCell ref="B1:K1"/>
    <mergeCell ref="L1:Y1"/>
    <mergeCell ref="BF1:BS1"/>
    <mergeCell ref="T2:U2"/>
    <mergeCell ref="V2:W2"/>
    <mergeCell ref="X2:Y2"/>
    <mergeCell ref="Z2:AA2"/>
    <mergeCell ref="AH2:AI2"/>
    <mergeCell ref="AJ2:AK2"/>
    <mergeCell ref="AN2:AO2"/>
    <mergeCell ref="B36:C36"/>
    <mergeCell ref="F36:G36"/>
    <mergeCell ref="H36:I36"/>
    <mergeCell ref="J36:K36"/>
    <mergeCell ref="L36:M36"/>
    <mergeCell ref="P36:Q36"/>
    <mergeCell ref="BP2:BQ2"/>
    <mergeCell ref="BR2:BS2"/>
    <mergeCell ref="R36:S36"/>
    <mergeCell ref="T36:U36"/>
    <mergeCell ref="V36:W36"/>
    <mergeCell ref="AV36:AW36"/>
    <mergeCell ref="AX36:AY36"/>
    <mergeCell ref="AZ36:BA36"/>
    <mergeCell ref="BB36:BC36"/>
    <mergeCell ref="BF36:BG36"/>
    <mergeCell ref="D36:E36"/>
    <mergeCell ref="N36:O36"/>
    <mergeCell ref="AB36:AC36"/>
  </mergeCells>
  <pageMargins left="0.7" right="0.7" top="0.75" bottom="0.75" header="0.3" footer="0.3"/>
  <pageSetup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5536"/>
  <sheetViews>
    <sheetView zoomScaleNormal="100" workbookViewId="0">
      <pane xSplit="3" ySplit="8" topLeftCell="Q9" activePane="bottomRight" state="frozen"/>
      <selection pane="topRight" activeCell="E1" sqref="E1"/>
      <selection pane="bottomLeft" activeCell="A9" sqref="A9"/>
      <selection pane="bottomRight" activeCell="W47" sqref="W47"/>
    </sheetView>
  </sheetViews>
  <sheetFormatPr defaultRowHeight="12.75"/>
  <cols>
    <col min="1" max="1" width="7.5703125" style="293" customWidth="1"/>
    <col min="2" max="2" width="19.5703125" style="292" bestFit="1" customWidth="1"/>
    <col min="3" max="3" width="12.28515625" style="292" bestFit="1" customWidth="1"/>
    <col min="4" max="4" width="8.28515625" style="292" customWidth="1"/>
    <col min="5" max="5" width="8" style="292" customWidth="1"/>
    <col min="6" max="6" width="6.85546875" style="292" customWidth="1"/>
    <col min="7" max="11" width="8.7109375" style="292" customWidth="1"/>
    <col min="12" max="12" width="8.7109375" style="294" customWidth="1"/>
    <col min="13" max="15" width="8.7109375" style="295" customWidth="1"/>
    <col min="16" max="16" width="8.7109375" style="294" customWidth="1"/>
    <col min="17" max="17" width="8.7109375" style="295" customWidth="1"/>
    <col min="18" max="18" width="8.7109375" style="294" customWidth="1"/>
    <col min="19" max="19" width="8.7109375" style="296" customWidth="1"/>
    <col min="20" max="21" width="7.7109375" style="296" customWidth="1"/>
    <col min="22" max="23" width="7.7109375" style="297" customWidth="1"/>
    <col min="24" max="24" width="7.7109375" style="296" customWidth="1"/>
    <col min="25" max="25" width="7.7109375" style="297" customWidth="1"/>
    <col min="26" max="26" width="8.85546875" style="296" customWidth="1"/>
    <col min="27" max="27" width="11.140625" style="296" customWidth="1"/>
    <col min="28" max="31" width="7.5703125" style="297" customWidth="1"/>
    <col min="32" max="32" width="9.5703125" customWidth="1"/>
    <col min="34" max="34" width="8.7109375" style="294" customWidth="1"/>
    <col min="35" max="35" width="8.7109375" style="295" customWidth="1"/>
    <col min="36" max="37" width="8.7109375" style="292" customWidth="1"/>
  </cols>
  <sheetData>
    <row r="1" spans="1:37" ht="12.75" customHeight="1">
      <c r="A1" s="291"/>
    </row>
    <row r="2" spans="1:37">
      <c r="A2" s="291"/>
    </row>
    <row r="3" spans="1:37" ht="12.75" customHeight="1">
      <c r="A3" s="816" t="s">
        <v>201</v>
      </c>
      <c r="B3" s="816"/>
      <c r="C3" s="816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816"/>
      <c r="S3" s="816"/>
      <c r="T3" s="816"/>
      <c r="U3" s="816"/>
      <c r="V3" s="816"/>
      <c r="W3" s="816"/>
      <c r="X3" s="816"/>
      <c r="Y3" s="816"/>
      <c r="Z3" s="816"/>
      <c r="AA3" s="816"/>
      <c r="AB3" s="816"/>
      <c r="AC3" s="816"/>
      <c r="AD3" s="816"/>
      <c r="AE3" s="816"/>
      <c r="AH3"/>
      <c r="AI3"/>
      <c r="AJ3"/>
      <c r="AK3"/>
    </row>
    <row r="4" spans="1:37" ht="12.75" customHeight="1">
      <c r="A4" s="816"/>
      <c r="B4" s="816"/>
      <c r="C4" s="816"/>
      <c r="D4" s="816"/>
      <c r="E4" s="816"/>
      <c r="F4" s="816"/>
      <c r="G4" s="816"/>
      <c r="H4" s="816"/>
      <c r="I4" s="816"/>
      <c r="J4" s="816"/>
      <c r="K4" s="816"/>
      <c r="L4" s="816"/>
      <c r="M4" s="816"/>
      <c r="N4" s="816"/>
      <c r="O4" s="816"/>
      <c r="P4" s="816"/>
      <c r="Q4" s="816"/>
      <c r="R4" s="816"/>
      <c r="S4" s="816"/>
      <c r="T4" s="816"/>
      <c r="U4" s="816"/>
      <c r="V4" s="816"/>
      <c r="W4" s="816"/>
      <c r="X4" s="816"/>
      <c r="Y4" s="816"/>
      <c r="Z4" s="816"/>
      <c r="AA4" s="816"/>
      <c r="AB4" s="816"/>
      <c r="AC4" s="816"/>
      <c r="AD4" s="816"/>
      <c r="AE4" s="816"/>
      <c r="AH4"/>
      <c r="AI4"/>
      <c r="AJ4"/>
      <c r="AK4"/>
    </row>
    <row r="5" spans="1:37">
      <c r="H5" s="294"/>
      <c r="I5" s="295"/>
      <c r="J5" s="295"/>
      <c r="K5" s="295"/>
      <c r="AJ5" s="295"/>
      <c r="AK5" s="295"/>
    </row>
    <row r="6" spans="1:37" ht="22.7" customHeight="1">
      <c r="A6" s="819" t="s">
        <v>8</v>
      </c>
      <c r="B6" s="818" t="s">
        <v>9</v>
      </c>
      <c r="C6" s="818" t="s">
        <v>5</v>
      </c>
      <c r="D6" s="818" t="s">
        <v>197</v>
      </c>
      <c r="E6" s="818" t="s">
        <v>198</v>
      </c>
      <c r="F6" s="818" t="s">
        <v>194</v>
      </c>
      <c r="G6" s="818" t="s">
        <v>193</v>
      </c>
      <c r="H6" s="818" t="s">
        <v>195</v>
      </c>
      <c r="I6" s="818" t="s">
        <v>196</v>
      </c>
      <c r="J6" s="822" t="s">
        <v>200</v>
      </c>
      <c r="K6" s="823"/>
      <c r="L6" s="811" t="s">
        <v>199</v>
      </c>
      <c r="M6" s="811"/>
      <c r="N6" s="811" t="s">
        <v>202</v>
      </c>
      <c r="O6" s="811"/>
      <c r="P6" s="829" t="s">
        <v>31</v>
      </c>
      <c r="Q6" s="829"/>
      <c r="R6" s="817" t="s">
        <v>23</v>
      </c>
      <c r="S6" s="817"/>
      <c r="T6" s="817" t="s">
        <v>32</v>
      </c>
      <c r="U6" s="817"/>
      <c r="V6" s="817"/>
      <c r="W6" s="817"/>
      <c r="X6" s="817"/>
      <c r="Y6" s="817"/>
      <c r="Z6" s="817" t="s">
        <v>33</v>
      </c>
      <c r="AA6" s="817"/>
      <c r="AB6" s="817"/>
      <c r="AC6" s="817"/>
      <c r="AD6" s="817"/>
      <c r="AE6" s="817"/>
      <c r="AF6" s="824" t="s">
        <v>314</v>
      </c>
      <c r="AG6" s="825"/>
      <c r="AH6" s="811" t="s">
        <v>408</v>
      </c>
      <c r="AI6" s="811"/>
      <c r="AJ6" s="812" t="s">
        <v>409</v>
      </c>
      <c r="AK6" s="813"/>
    </row>
    <row r="7" spans="1:37" ht="22.7" customHeight="1">
      <c r="A7" s="820"/>
      <c r="B7" s="818"/>
      <c r="C7" s="818"/>
      <c r="D7" s="818"/>
      <c r="E7" s="818"/>
      <c r="F7" s="818"/>
      <c r="G7" s="818"/>
      <c r="H7" s="818"/>
      <c r="I7" s="818"/>
      <c r="J7" s="814"/>
      <c r="K7" s="815"/>
      <c r="L7" s="811"/>
      <c r="M7" s="811"/>
      <c r="N7" s="811"/>
      <c r="O7" s="811"/>
      <c r="P7" s="829"/>
      <c r="Q7" s="829"/>
      <c r="R7" s="817"/>
      <c r="S7" s="817"/>
      <c r="T7" s="817" t="s">
        <v>36</v>
      </c>
      <c r="U7" s="817"/>
      <c r="V7" s="828" t="s">
        <v>34</v>
      </c>
      <c r="W7" s="828"/>
      <c r="X7" s="817" t="s">
        <v>35</v>
      </c>
      <c r="Y7" s="817"/>
      <c r="Z7" s="817" t="s">
        <v>36</v>
      </c>
      <c r="AA7" s="817"/>
      <c r="AB7" s="817" t="s">
        <v>26</v>
      </c>
      <c r="AC7" s="817"/>
      <c r="AD7" s="817" t="s">
        <v>27</v>
      </c>
      <c r="AE7" s="817"/>
      <c r="AF7" s="826"/>
      <c r="AG7" s="827"/>
      <c r="AH7" s="811"/>
      <c r="AI7" s="811"/>
      <c r="AJ7" s="814"/>
      <c r="AK7" s="815"/>
    </row>
    <row r="8" spans="1:37" s="1" customFormat="1">
      <c r="A8" s="821"/>
      <c r="B8" s="818"/>
      <c r="C8" s="818"/>
      <c r="D8" s="818"/>
      <c r="E8" s="818"/>
      <c r="F8" s="818"/>
      <c r="G8" s="818"/>
      <c r="H8" s="818"/>
      <c r="I8" s="818"/>
      <c r="J8" s="457" t="s">
        <v>37</v>
      </c>
      <c r="K8" s="455" t="s">
        <v>38</v>
      </c>
      <c r="L8" s="298" t="s">
        <v>37</v>
      </c>
      <c r="M8" s="299" t="s">
        <v>38</v>
      </c>
      <c r="N8" s="298" t="s">
        <v>37</v>
      </c>
      <c r="O8" s="299" t="s">
        <v>38</v>
      </c>
      <c r="P8" s="298" t="s">
        <v>37</v>
      </c>
      <c r="Q8" s="299" t="s">
        <v>38</v>
      </c>
      <c r="R8" s="298" t="s">
        <v>37</v>
      </c>
      <c r="S8" s="300" t="s">
        <v>38</v>
      </c>
      <c r="T8" s="301" t="s">
        <v>37</v>
      </c>
      <c r="U8" s="300" t="s">
        <v>38</v>
      </c>
      <c r="V8" s="302" t="s">
        <v>37</v>
      </c>
      <c r="W8" s="303" t="s">
        <v>38</v>
      </c>
      <c r="X8" s="301" t="s">
        <v>37</v>
      </c>
      <c r="Y8" s="303" t="s">
        <v>38</v>
      </c>
      <c r="Z8" s="301" t="s">
        <v>37</v>
      </c>
      <c r="AA8" s="300" t="s">
        <v>38</v>
      </c>
      <c r="AB8" s="302" t="s">
        <v>37</v>
      </c>
      <c r="AC8" s="303" t="s">
        <v>38</v>
      </c>
      <c r="AD8" s="302" t="s">
        <v>37</v>
      </c>
      <c r="AE8" s="303" t="s">
        <v>38</v>
      </c>
      <c r="AF8" s="523" t="s">
        <v>333</v>
      </c>
      <c r="AG8" s="523" t="s">
        <v>334</v>
      </c>
      <c r="AH8" s="298" t="s">
        <v>37</v>
      </c>
      <c r="AI8" s="299" t="s">
        <v>38</v>
      </c>
      <c r="AJ8" s="457" t="s">
        <v>37</v>
      </c>
      <c r="AK8" s="455" t="s">
        <v>38</v>
      </c>
    </row>
    <row r="9" spans="1:37" s="430" customFormat="1" ht="12.75" customHeight="1">
      <c r="A9" s="444">
        <v>45992</v>
      </c>
      <c r="B9" s="454" t="s">
        <v>458</v>
      </c>
      <c r="C9" s="503" t="s">
        <v>459</v>
      </c>
      <c r="D9" s="424">
        <f>+'1'!F42</f>
        <v>1123.8263888888889</v>
      </c>
      <c r="E9" s="424">
        <f>+'1'!G42</f>
        <v>1101.0698958333332</v>
      </c>
      <c r="F9" s="50">
        <f t="shared" ref="F9:F39" si="0">1-(E9/D9)</f>
        <v>2.0249117906952385E-2</v>
      </c>
      <c r="G9" s="450">
        <f>+P9/N9</f>
        <v>0.87245398966748067</v>
      </c>
      <c r="H9" s="445">
        <f>+P9/L9</f>
        <v>0.79106825993437202</v>
      </c>
      <c r="I9" s="445">
        <f>+R9/P9</f>
        <v>0.72621359223300963</v>
      </c>
      <c r="J9" s="451">
        <f>+R9/L9</f>
        <v>0.57448452274845652</v>
      </c>
      <c r="K9" s="451">
        <f>+S9/M9</f>
        <v>0.57448452274845652</v>
      </c>
      <c r="L9" s="425">
        <f>+SUM(Efficiency1!K6:K8)</f>
        <v>72.263043400000001</v>
      </c>
      <c r="M9" s="426">
        <f>L9</f>
        <v>72.263043400000001</v>
      </c>
      <c r="N9" s="425">
        <f>+SUM(Efficiency1!C6:C8)</f>
        <v>65.52207987700001</v>
      </c>
      <c r="O9" s="426">
        <f>N9</f>
        <v>65.52207987700001</v>
      </c>
      <c r="P9" s="570">
        <f>'1'!I38</f>
        <v>57.165000000000006</v>
      </c>
      <c r="Q9" s="426">
        <f>P9</f>
        <v>57.165000000000006</v>
      </c>
      <c r="R9" s="14">
        <f>'1'!I40</f>
        <v>41.514000000000003</v>
      </c>
      <c r="S9" s="426">
        <f>R9</f>
        <v>41.514000000000003</v>
      </c>
      <c r="T9" s="562">
        <f t="shared" ref="T9:T39" si="1">+AF9+AG9</f>
        <v>140.02700000000002</v>
      </c>
      <c r="U9" s="428">
        <f>T9</f>
        <v>140.02700000000002</v>
      </c>
      <c r="V9" s="429">
        <f t="shared" ref="V9:V39" si="2">T9/(P9)</f>
        <v>2.4495233097174847</v>
      </c>
      <c r="W9" s="429">
        <f t="shared" ref="W9:W39" si="3">U9/(Q9)</f>
        <v>2.4495233097174847</v>
      </c>
      <c r="X9" s="425">
        <f t="shared" ref="X9:X39" si="4">IF(AND(R9&gt;0,T9&gt;0),T9/(R9),0)</f>
        <v>3.3730066965361085</v>
      </c>
      <c r="Y9" s="429">
        <f t="shared" ref="Y9:Y39" si="5">IF(AND(S9&gt;0,U9&gt;0),U9/(S9),0)</f>
        <v>3.3730066965361085</v>
      </c>
      <c r="Z9" s="428">
        <f>'1'!I46</f>
        <v>52346.659999998767</v>
      </c>
      <c r="AA9" s="428">
        <f>Z9</f>
        <v>52346.659999998767</v>
      </c>
      <c r="AB9" s="429">
        <f t="shared" ref="AB9:AB39" si="6">IF(AND(L9&gt;0,Z9&gt;0),(Z9/(P9*1000)*1000),0)</f>
        <v>915.71171171168999</v>
      </c>
      <c r="AC9" s="429">
        <f t="shared" ref="AC9:AC39" si="7">IF(AND(M9&gt;0,AA9&gt;0),(AA9/(Q9*1000)*1000),0)</f>
        <v>915.71171171168999</v>
      </c>
      <c r="AD9" s="429">
        <f t="shared" ref="AD9:AD39" si="8">IF(AND(R9&gt;0,Z9&gt;0),(Z9/(R9*1000)*1000),0)</f>
        <v>1260.9399238810706</v>
      </c>
      <c r="AE9" s="429">
        <f t="shared" ref="AE9:AE39" si="9">IF(AND(S9&gt;0,AA9&gt;0),(AA9/(S9*1000)*1000),0)</f>
        <v>1260.9399238810706</v>
      </c>
      <c r="AF9" s="505">
        <f>4.03</f>
        <v>4.03</v>
      </c>
      <c r="AG9" s="524">
        <v>135.99700000000001</v>
      </c>
      <c r="AH9" s="425">
        <f>+SUM(Efficiency2!K6:K8)</f>
        <v>72.263043400000001</v>
      </c>
      <c r="AI9" s="426">
        <f>AH9</f>
        <v>72.263043400000001</v>
      </c>
      <c r="AJ9" s="451">
        <f>+R9/AH9</f>
        <v>0.57448452274845652</v>
      </c>
      <c r="AK9" s="451">
        <f>+S9/AI9</f>
        <v>0.57448452274845652</v>
      </c>
    </row>
    <row r="10" spans="1:37" s="430" customFormat="1" ht="12.75" customHeight="1">
      <c r="A10" s="444">
        <f t="shared" ref="A10:A38" si="10">A9+1</f>
        <v>45993</v>
      </c>
      <c r="B10" s="454" t="s">
        <v>234</v>
      </c>
      <c r="C10" s="503" t="s">
        <v>481</v>
      </c>
      <c r="D10" s="424">
        <f>+'2'!F42</f>
        <v>1100</v>
      </c>
      <c r="E10" s="424">
        <f>+'2'!G42</f>
        <v>1096.1500000000001</v>
      </c>
      <c r="F10" s="50">
        <f t="shared" si="0"/>
        <v>3.4999999999999476E-3</v>
      </c>
      <c r="G10" s="450">
        <f t="shared" ref="G10:G41" si="11">+P10/N10</f>
        <v>0.62340526611063807</v>
      </c>
      <c r="H10" s="445">
        <f t="shared" ref="H10:H41" si="12">+P10/L10</f>
        <v>0.56474849789022807</v>
      </c>
      <c r="I10" s="445">
        <f t="shared" ref="I10:I41" si="13">+R10/P10</f>
        <v>0.98364596245282343</v>
      </c>
      <c r="J10" s="451">
        <f t="shared" ref="J10:J41" si="14">+R10/L10</f>
        <v>0.55551257975101975</v>
      </c>
      <c r="K10" s="451">
        <f t="shared" ref="K10:K39" si="15">+S10/M10</f>
        <v>0.56446973408948886</v>
      </c>
      <c r="L10" s="425">
        <f>+Efficiency1!K11</f>
        <v>80.795650064516138</v>
      </c>
      <c r="M10" s="426">
        <f t="shared" ref="M10:O38" si="16">M9+L10</f>
        <v>153.05869346451613</v>
      </c>
      <c r="N10" s="425">
        <f>+Efficiency1!C11</f>
        <v>73.193513899354855</v>
      </c>
      <c r="O10" s="426">
        <f t="shared" si="16"/>
        <v>138.71559377635486</v>
      </c>
      <c r="P10" s="570">
        <f>'2'!I38</f>
        <v>45.629222009999999</v>
      </c>
      <c r="Q10" s="426">
        <f t="shared" ref="Q10:Q38" si="17">Q9+P10</f>
        <v>102.79422201</v>
      </c>
      <c r="R10" s="14">
        <f>'2'!I40</f>
        <v>44.883000000000003</v>
      </c>
      <c r="S10" s="426">
        <f t="shared" ref="S10:S38" si="18">S9+R10</f>
        <v>86.397000000000006</v>
      </c>
      <c r="T10" s="562">
        <f t="shared" si="1"/>
        <v>138.376</v>
      </c>
      <c r="U10" s="427">
        <f t="shared" ref="U10:U38" si="19">T10+U9</f>
        <v>278.40300000000002</v>
      </c>
      <c r="V10" s="429">
        <f t="shared" si="2"/>
        <v>3.0326180001419667</v>
      </c>
      <c r="W10" s="429">
        <f t="shared" si="3"/>
        <v>2.7083526151199093</v>
      </c>
      <c r="X10" s="425">
        <f t="shared" si="4"/>
        <v>3.0830381213377001</v>
      </c>
      <c r="Y10" s="429">
        <f t="shared" si="5"/>
        <v>3.2223688322511199</v>
      </c>
      <c r="Z10" s="428">
        <f>'2'!I46</f>
        <v>28575.900000001115</v>
      </c>
      <c r="AA10" s="427">
        <f t="shared" ref="AA10:AA38" si="20">Z10+AA9</f>
        <v>80922.559999999881</v>
      </c>
      <c r="AB10" s="429">
        <f t="shared" si="6"/>
        <v>626.26314324926432</v>
      </c>
      <c r="AC10" s="429">
        <f t="shared" si="7"/>
        <v>787.22868287409767</v>
      </c>
      <c r="AD10" s="429">
        <f t="shared" si="8"/>
        <v>636.67535592543095</v>
      </c>
      <c r="AE10" s="429">
        <f t="shared" si="9"/>
        <v>936.63622579487571</v>
      </c>
      <c r="AF10" s="505">
        <f>3.08</f>
        <v>3.08</v>
      </c>
      <c r="AG10" s="524">
        <v>135.29599999999999</v>
      </c>
      <c r="AH10" s="425">
        <f>+Efficiency2!K11</f>
        <v>80.795650064516138</v>
      </c>
      <c r="AI10" s="426">
        <f t="shared" ref="AI10:AI38" si="21">AI9+AH10</f>
        <v>153.05869346451613</v>
      </c>
      <c r="AJ10" s="451">
        <f t="shared" ref="AJ10:AJ41" si="22">+R10/AH10</f>
        <v>0.55551257975101975</v>
      </c>
      <c r="AK10" s="451">
        <f t="shared" ref="AK10:AK39" si="23">+S10/AI10</f>
        <v>0.56446973408948886</v>
      </c>
    </row>
    <row r="11" spans="1:37" s="430" customFormat="1" ht="12.75" customHeight="1">
      <c r="A11" s="444">
        <f t="shared" si="10"/>
        <v>45994</v>
      </c>
      <c r="B11" s="454" t="s">
        <v>234</v>
      </c>
      <c r="C11" s="503" t="s">
        <v>481</v>
      </c>
      <c r="D11" s="424">
        <f>+'3'!F42</f>
        <v>1151.578947368421</v>
      </c>
      <c r="E11" s="424">
        <f>+'3'!G42</f>
        <v>1147.5484210526315</v>
      </c>
      <c r="F11" s="50">
        <f t="shared" si="0"/>
        <v>3.5000000000000586E-3</v>
      </c>
      <c r="G11" s="450">
        <f t="shared" si="11"/>
        <v>0.39334421332124619</v>
      </c>
      <c r="H11" s="445">
        <f>+P11/L11</f>
        <v>0.37304258754296321</v>
      </c>
      <c r="I11" s="445">
        <f t="shared" si="13"/>
        <v>0.78182766602549469</v>
      </c>
      <c r="J11" s="451">
        <f t="shared" si="14"/>
        <v>0.29165501554682627</v>
      </c>
      <c r="K11" s="451">
        <f t="shared" si="15"/>
        <v>0.46912956464987021</v>
      </c>
      <c r="L11" s="425">
        <f>+Efficiency1!K16</f>
        <v>82.223855999999998</v>
      </c>
      <c r="M11" s="426">
        <f t="shared" si="16"/>
        <v>235.28254946451614</v>
      </c>
      <c r="N11" s="425">
        <f>+Efficiency1!C16</f>
        <v>77.980046384842097</v>
      </c>
      <c r="O11" s="426">
        <f t="shared" si="16"/>
        <v>216.69564016119696</v>
      </c>
      <c r="P11" s="570">
        <f>'3'!I38</f>
        <v>30.673000000000002</v>
      </c>
      <c r="Q11" s="426">
        <f t="shared" si="17"/>
        <v>133.46722201</v>
      </c>
      <c r="R11" s="14">
        <f>'3'!I40</f>
        <v>23.981000000000002</v>
      </c>
      <c r="S11" s="426">
        <f t="shared" si="18"/>
        <v>110.37800000000001</v>
      </c>
      <c r="T11" s="562">
        <f t="shared" si="1"/>
        <v>67.695999999999998</v>
      </c>
      <c r="U11" s="427">
        <f t="shared" si="19"/>
        <v>346.09900000000005</v>
      </c>
      <c r="V11" s="429">
        <f t="shared" si="2"/>
        <v>2.2070224627522577</v>
      </c>
      <c r="W11" s="429">
        <f t="shared" si="3"/>
        <v>2.5931385608225863</v>
      </c>
      <c r="X11" s="425">
        <f t="shared" si="4"/>
        <v>2.8229014636587295</v>
      </c>
      <c r="Y11" s="429">
        <f t="shared" si="5"/>
        <v>3.1355795538966098</v>
      </c>
      <c r="Z11" s="428">
        <f>'3'!I46</f>
        <v>59765.199999999037</v>
      </c>
      <c r="AA11" s="427">
        <f t="shared" si="20"/>
        <v>140687.7599999989</v>
      </c>
      <c r="AB11" s="429">
        <f t="shared" si="6"/>
        <v>1948.4628174615798</v>
      </c>
      <c r="AC11" s="429">
        <f t="shared" si="7"/>
        <v>1054.099709885757</v>
      </c>
      <c r="AD11" s="429">
        <f t="shared" si="8"/>
        <v>2492.1896501396541</v>
      </c>
      <c r="AE11" s="429">
        <f t="shared" si="9"/>
        <v>1274.5996484806653</v>
      </c>
      <c r="AF11" s="505">
        <f>0.728</f>
        <v>0.72799999999999998</v>
      </c>
      <c r="AG11" s="524">
        <v>66.968000000000004</v>
      </c>
      <c r="AH11" s="425">
        <f>+Efficiency2!K16</f>
        <v>82.223855999999998</v>
      </c>
      <c r="AI11" s="426">
        <f t="shared" si="21"/>
        <v>235.28254946451614</v>
      </c>
      <c r="AJ11" s="451">
        <f t="shared" si="22"/>
        <v>0.29165501554682627</v>
      </c>
      <c r="AK11" s="451">
        <f t="shared" si="23"/>
        <v>0.46912956464987021</v>
      </c>
    </row>
    <row r="12" spans="1:37" s="430" customFormat="1" ht="12.75" customHeight="1">
      <c r="A12" s="444">
        <f t="shared" si="10"/>
        <v>45995</v>
      </c>
      <c r="B12" s="454" t="s">
        <v>234</v>
      </c>
      <c r="C12" s="503" t="s">
        <v>517</v>
      </c>
      <c r="D12" s="424">
        <f>+'4'!F42</f>
        <v>1200</v>
      </c>
      <c r="E12" s="424">
        <f>+'4'!G42</f>
        <v>1195.8</v>
      </c>
      <c r="F12" s="50">
        <f t="shared" si="0"/>
        <v>3.5000000000000586E-3</v>
      </c>
      <c r="G12" s="450">
        <f t="shared" si="11"/>
        <v>0.98486784990125842</v>
      </c>
      <c r="H12" s="445">
        <f t="shared" si="12"/>
        <v>0.97330989662142542</v>
      </c>
      <c r="I12" s="445">
        <f t="shared" si="13"/>
        <v>0.93372992266508026</v>
      </c>
      <c r="J12" s="451">
        <f t="shared" si="14"/>
        <v>0.90880857450148078</v>
      </c>
      <c r="K12" s="451">
        <f t="shared" si="15"/>
        <v>0.57830322354273</v>
      </c>
      <c r="L12" s="425">
        <f>+Efficiency1!K22</f>
        <v>77.719337142857157</v>
      </c>
      <c r="M12" s="426">
        <f t="shared" si="16"/>
        <v>313.00188660737331</v>
      </c>
      <c r="N12" s="425">
        <f>+Efficiency1!C22</f>
        <v>76.807258971428581</v>
      </c>
      <c r="O12" s="426">
        <f t="shared" si="16"/>
        <v>293.50289913262554</v>
      </c>
      <c r="P12" s="570">
        <f>'4'!I38</f>
        <v>75.64500000000001</v>
      </c>
      <c r="Q12" s="426">
        <f t="shared" si="17"/>
        <v>209.11222201000001</v>
      </c>
      <c r="R12" s="14">
        <f>'4'!I40</f>
        <v>70.632000000000005</v>
      </c>
      <c r="S12" s="426">
        <f t="shared" si="18"/>
        <v>181.01000000000002</v>
      </c>
      <c r="T12" s="562">
        <f t="shared" si="1"/>
        <v>151.94799999999998</v>
      </c>
      <c r="U12" s="427">
        <f t="shared" si="19"/>
        <v>498.04700000000003</v>
      </c>
      <c r="V12" s="429">
        <f t="shared" si="2"/>
        <v>2.0086985260096499</v>
      </c>
      <c r="W12" s="429">
        <f t="shared" si="3"/>
        <v>2.3817211409870764</v>
      </c>
      <c r="X12" s="425">
        <f t="shared" si="4"/>
        <v>2.1512628836787853</v>
      </c>
      <c r="Y12" s="429">
        <f t="shared" si="5"/>
        <v>2.7514888680183414</v>
      </c>
      <c r="Z12" s="428">
        <f>'4'!I46</f>
        <v>48995.159999999218</v>
      </c>
      <c r="AA12" s="427">
        <f t="shared" si="20"/>
        <v>189682.91999999812</v>
      </c>
      <c r="AB12" s="429">
        <f t="shared" si="6"/>
        <v>647.69859210786183</v>
      </c>
      <c r="AC12" s="429">
        <f t="shared" si="7"/>
        <v>907.08672203257095</v>
      </c>
      <c r="AD12" s="429">
        <f t="shared" si="8"/>
        <v>693.66802582397804</v>
      </c>
      <c r="AE12" s="429">
        <f t="shared" si="9"/>
        <v>1047.9140378984482</v>
      </c>
      <c r="AF12" s="505">
        <f>4.064</f>
        <v>4.0640000000000001</v>
      </c>
      <c r="AG12" s="524">
        <v>147.88399999999999</v>
      </c>
      <c r="AH12" s="425">
        <f>+Efficiency2!K22</f>
        <v>77.719337142857157</v>
      </c>
      <c r="AI12" s="426">
        <f t="shared" si="21"/>
        <v>313.00188660737331</v>
      </c>
      <c r="AJ12" s="451">
        <f t="shared" si="22"/>
        <v>0.90880857450148078</v>
      </c>
      <c r="AK12" s="451">
        <f t="shared" si="23"/>
        <v>0.57830322354273</v>
      </c>
    </row>
    <row r="13" spans="1:37" s="430" customFormat="1" ht="12.75" customHeight="1">
      <c r="A13" s="444">
        <f t="shared" si="10"/>
        <v>45996</v>
      </c>
      <c r="B13" s="454" t="s">
        <v>234</v>
      </c>
      <c r="C13" s="503" t="s">
        <v>518</v>
      </c>
      <c r="D13" s="424">
        <f>+'5'!F42</f>
        <v>1230.6944444444443</v>
      </c>
      <c r="E13" s="424">
        <f>+'5'!G42</f>
        <v>1226.3870138888888</v>
      </c>
      <c r="F13" s="50">
        <f t="shared" si="0"/>
        <v>3.5000000000000586E-3</v>
      </c>
      <c r="G13" s="450">
        <f t="shared" si="11"/>
        <v>1.0050538275200032</v>
      </c>
      <c r="H13" s="445">
        <f t="shared" si="12"/>
        <v>1.001536139123683</v>
      </c>
      <c r="I13" s="445">
        <f t="shared" si="13"/>
        <v>0.95930831678688999</v>
      </c>
      <c r="J13" s="451">
        <f t="shared" si="14"/>
        <v>0.96078194782398096</v>
      </c>
      <c r="K13" s="451">
        <f t="shared" si="15"/>
        <v>0.65573572100317512</v>
      </c>
      <c r="L13" s="425">
        <f>+SUM(Efficiency1!K26:K27)</f>
        <v>79.451950749999995</v>
      </c>
      <c r="M13" s="426">
        <f t="shared" si="16"/>
        <v>392.45383735737329</v>
      </c>
      <c r="N13" s="425">
        <f>+SUM(Efficiency1!C26:C27)</f>
        <v>79.173868922374993</v>
      </c>
      <c r="O13" s="426">
        <f t="shared" si="16"/>
        <v>372.67676805500054</v>
      </c>
      <c r="P13" s="570">
        <f>'5'!I38</f>
        <v>79.574000000000012</v>
      </c>
      <c r="Q13" s="426">
        <f t="shared" si="17"/>
        <v>288.68622201000005</v>
      </c>
      <c r="R13" s="14">
        <f>'5'!I40</f>
        <v>76.335999999999999</v>
      </c>
      <c r="S13" s="426">
        <f t="shared" si="18"/>
        <v>257.346</v>
      </c>
      <c r="T13" s="562">
        <f t="shared" si="1"/>
        <v>109.386</v>
      </c>
      <c r="U13" s="427">
        <f t="shared" si="19"/>
        <v>607.43299999999999</v>
      </c>
      <c r="V13" s="429">
        <f t="shared" si="2"/>
        <v>1.3746449845426896</v>
      </c>
      <c r="W13" s="429">
        <f t="shared" si="3"/>
        <v>2.1041288211494851</v>
      </c>
      <c r="X13" s="425">
        <f t="shared" si="4"/>
        <v>1.4329543072731084</v>
      </c>
      <c r="Y13" s="429">
        <f t="shared" si="5"/>
        <v>2.3603747483932138</v>
      </c>
      <c r="Z13" s="428">
        <f>'5'!I46</f>
        <v>55873.82000000008</v>
      </c>
      <c r="AA13" s="427">
        <f t="shared" si="20"/>
        <v>245556.73999999819</v>
      </c>
      <c r="AB13" s="429">
        <f t="shared" si="6"/>
        <v>702.16176137934599</v>
      </c>
      <c r="AC13" s="429">
        <f t="shared" si="7"/>
        <v>850.6008298223951</v>
      </c>
      <c r="AD13" s="429">
        <f t="shared" si="8"/>
        <v>731.94587088660762</v>
      </c>
      <c r="AE13" s="429">
        <f t="shared" si="9"/>
        <v>954.18906841372382</v>
      </c>
      <c r="AF13" s="505">
        <f>0.024</f>
        <v>2.4E-2</v>
      </c>
      <c r="AG13" s="524">
        <v>109.36199999999999</v>
      </c>
      <c r="AH13" s="425">
        <f>+SUM(Efficiency1!K26:K27)</f>
        <v>79.451950749999995</v>
      </c>
      <c r="AI13" s="426">
        <f t="shared" si="21"/>
        <v>392.45383735737329</v>
      </c>
      <c r="AJ13" s="451">
        <f t="shared" si="22"/>
        <v>0.96078194782398096</v>
      </c>
      <c r="AK13" s="451">
        <f t="shared" si="23"/>
        <v>0.65573572100317512</v>
      </c>
    </row>
    <row r="14" spans="1:37" s="430" customFormat="1" ht="12.75" customHeight="1">
      <c r="A14" s="444">
        <f t="shared" si="10"/>
        <v>45997</v>
      </c>
      <c r="B14" s="454" t="s">
        <v>234</v>
      </c>
      <c r="C14" s="503" t="s">
        <v>533</v>
      </c>
      <c r="D14" s="424">
        <f>+'6'!F42</f>
        <v>1270</v>
      </c>
      <c r="E14" s="424">
        <f>+'6'!G42</f>
        <v>1265.5550000000001</v>
      </c>
      <c r="F14" s="50">
        <f t="shared" si="0"/>
        <v>3.4999999999999476E-3</v>
      </c>
      <c r="G14" s="450">
        <f t="shared" si="11"/>
        <v>1.0153508253489172</v>
      </c>
      <c r="H14" s="445">
        <f t="shared" si="12"/>
        <v>1.0117970974601957</v>
      </c>
      <c r="I14" s="445">
        <f t="shared" si="13"/>
        <v>1.0425491925340118</v>
      </c>
      <c r="J14" s="451">
        <f t="shared" si="14"/>
        <v>1.0548482469653839</v>
      </c>
      <c r="K14" s="451">
        <f t="shared" si="15"/>
        <v>0.71494296473464114</v>
      </c>
      <c r="L14" s="425">
        <f>+Efficiency1!K31</f>
        <v>68.360544000000004</v>
      </c>
      <c r="M14" s="426">
        <f t="shared" si="16"/>
        <v>460.81438135737329</v>
      </c>
      <c r="N14" s="425">
        <f>+Efficiency1!C31</f>
        <v>68.121282095999987</v>
      </c>
      <c r="O14" s="426">
        <f t="shared" si="16"/>
        <v>440.79805015100055</v>
      </c>
      <c r="P14" s="570">
        <f>'6'!I38</f>
        <v>69.167000000000002</v>
      </c>
      <c r="Q14" s="426">
        <f t="shared" si="17"/>
        <v>357.85322201000008</v>
      </c>
      <c r="R14" s="14">
        <f>'6'!I40</f>
        <v>72.11</v>
      </c>
      <c r="S14" s="426">
        <f t="shared" si="18"/>
        <v>329.45600000000002</v>
      </c>
      <c r="T14" s="562">
        <f t="shared" si="1"/>
        <v>142.815</v>
      </c>
      <c r="U14" s="427">
        <f t="shared" si="19"/>
        <v>750.24800000000005</v>
      </c>
      <c r="V14" s="429">
        <f t="shared" si="2"/>
        <v>2.064785229950699</v>
      </c>
      <c r="W14" s="429">
        <f t="shared" si="3"/>
        <v>2.096524367689037</v>
      </c>
      <c r="X14" s="425">
        <f t="shared" si="4"/>
        <v>1.9805158785189294</v>
      </c>
      <c r="Y14" s="429">
        <f t="shared" si="5"/>
        <v>2.2772327715992424</v>
      </c>
      <c r="Z14" s="428">
        <f>'6'!I46</f>
        <v>54663.97999999977</v>
      </c>
      <c r="AA14" s="427">
        <f t="shared" si="20"/>
        <v>300220.71999999793</v>
      </c>
      <c r="AB14" s="429">
        <f t="shared" si="6"/>
        <v>790.31879364436463</v>
      </c>
      <c r="AC14" s="429">
        <f t="shared" si="7"/>
        <v>838.94932764251701</v>
      </c>
      <c r="AD14" s="429">
        <f t="shared" si="8"/>
        <v>758.06379142975686</v>
      </c>
      <c r="AE14" s="429">
        <f t="shared" si="9"/>
        <v>911.26195910834201</v>
      </c>
      <c r="AF14" s="505">
        <f>0.157</f>
        <v>0.157</v>
      </c>
      <c r="AG14" s="524">
        <v>142.65799999999999</v>
      </c>
      <c r="AH14" s="425">
        <f>+Efficiency2!K31</f>
        <v>68.360544000000004</v>
      </c>
      <c r="AI14" s="426">
        <f t="shared" si="21"/>
        <v>460.81438135737329</v>
      </c>
      <c r="AJ14" s="451">
        <f t="shared" si="22"/>
        <v>1.0548482469653839</v>
      </c>
      <c r="AK14" s="451">
        <f t="shared" si="23"/>
        <v>0.71494296473464114</v>
      </c>
    </row>
    <row r="15" spans="1:37" s="430" customFormat="1" ht="12.75" customHeight="1">
      <c r="A15" s="444">
        <f t="shared" si="10"/>
        <v>45998</v>
      </c>
      <c r="B15" s="454" t="s">
        <v>234</v>
      </c>
      <c r="C15" s="503" t="s">
        <v>534</v>
      </c>
      <c r="D15" s="424">
        <f>+'7'!F42</f>
        <v>1253.3333333333333</v>
      </c>
      <c r="E15" s="424">
        <f>+'7'!G42</f>
        <v>1248.9466666666667</v>
      </c>
      <c r="F15" s="50">
        <f t="shared" si="0"/>
        <v>3.4999999999999476E-3</v>
      </c>
      <c r="G15" s="450">
        <f t="shared" si="11"/>
        <v>1.0048115283085386</v>
      </c>
      <c r="H15" s="445">
        <f t="shared" si="12"/>
        <v>1.0012946879594586</v>
      </c>
      <c r="I15" s="445">
        <f t="shared" si="13"/>
        <v>1.0583848646506955</v>
      </c>
      <c r="J15" s="451">
        <f t="shared" si="14"/>
        <v>1.059755142791432</v>
      </c>
      <c r="K15" s="451">
        <f t="shared" si="15"/>
        <v>0.76073970990235729</v>
      </c>
      <c r="L15" s="425">
        <f>+SUM(Efficiency1!K35:K36)</f>
        <v>70.577624</v>
      </c>
      <c r="M15" s="426">
        <f t="shared" si="16"/>
        <v>531.39200535737325</v>
      </c>
      <c r="N15" s="425">
        <f>+SUM(Efficiency1!C35:C36)</f>
        <v>70.330602315999997</v>
      </c>
      <c r="O15" s="426">
        <f t="shared" si="16"/>
        <v>511.12865246700056</v>
      </c>
      <c r="P15" s="570">
        <f>'7'!I38</f>
        <v>70.668999999999997</v>
      </c>
      <c r="Q15" s="426">
        <f t="shared" si="17"/>
        <v>428.52222201000006</v>
      </c>
      <c r="R15" s="14">
        <f>'7'!I40</f>
        <v>74.795000000000002</v>
      </c>
      <c r="S15" s="426">
        <f t="shared" si="18"/>
        <v>404.25100000000003</v>
      </c>
      <c r="T15" s="562">
        <f t="shared" si="1"/>
        <v>143.47699999999998</v>
      </c>
      <c r="U15" s="427">
        <f t="shared" si="19"/>
        <v>893.72500000000002</v>
      </c>
      <c r="V15" s="429">
        <f t="shared" si="2"/>
        <v>2.0302678685137754</v>
      </c>
      <c r="W15" s="429">
        <f t="shared" si="3"/>
        <v>2.0855977918903443</v>
      </c>
      <c r="X15" s="425">
        <f t="shared" si="4"/>
        <v>1.9182699378300685</v>
      </c>
      <c r="Y15" s="429">
        <f t="shared" si="5"/>
        <v>2.2108170418873421</v>
      </c>
      <c r="Z15" s="428">
        <f>'7'!I46</f>
        <v>50713.579999999783</v>
      </c>
      <c r="AA15" s="427">
        <f t="shared" si="20"/>
        <v>350934.29999999772</v>
      </c>
      <c r="AB15" s="429">
        <f t="shared" si="6"/>
        <v>717.62130495690883</v>
      </c>
      <c r="AC15" s="429">
        <f t="shared" si="7"/>
        <v>818.940726933429</v>
      </c>
      <c r="AD15" s="429">
        <f t="shared" si="8"/>
        <v>678.03436058559771</v>
      </c>
      <c r="AE15" s="429">
        <f t="shared" si="9"/>
        <v>868.10991191115841</v>
      </c>
      <c r="AF15" s="505">
        <f>0.896</f>
        <v>0.89600000000000002</v>
      </c>
      <c r="AG15" s="524">
        <v>142.58099999999999</v>
      </c>
      <c r="AH15" s="425">
        <f>+SUM(Efficiency2!K35:K36)</f>
        <v>70.577624</v>
      </c>
      <c r="AI15" s="426">
        <f t="shared" si="21"/>
        <v>531.39200535737325</v>
      </c>
      <c r="AJ15" s="451">
        <f t="shared" si="22"/>
        <v>1.059755142791432</v>
      </c>
      <c r="AK15" s="451">
        <f t="shared" si="23"/>
        <v>0.76073970990235729</v>
      </c>
    </row>
    <row r="16" spans="1:37" s="430" customFormat="1" ht="12.75" customHeight="1">
      <c r="A16" s="444">
        <f t="shared" si="10"/>
        <v>45999</v>
      </c>
      <c r="B16" s="454" t="s">
        <v>234</v>
      </c>
      <c r="C16" s="431" t="s">
        <v>553</v>
      </c>
      <c r="D16" s="424">
        <f>+'8'!F42</f>
        <v>1045.1388888888889</v>
      </c>
      <c r="E16" s="424">
        <f>+'8'!G42</f>
        <v>1041.4809027777778</v>
      </c>
      <c r="F16" s="50">
        <f t="shared" si="0"/>
        <v>3.4999999999999476E-3</v>
      </c>
      <c r="G16" s="450">
        <f t="shared" si="11"/>
        <v>0.95974118191489544</v>
      </c>
      <c r="H16" s="445">
        <f t="shared" si="12"/>
        <v>0.95638208777819322</v>
      </c>
      <c r="I16" s="445">
        <f t="shared" si="13"/>
        <v>1.1480079253902749</v>
      </c>
      <c r="J16" s="451">
        <f t="shared" si="14"/>
        <v>1.0979342164706634</v>
      </c>
      <c r="K16" s="451">
        <f t="shared" si="15"/>
        <v>0.80622243755311951</v>
      </c>
      <c r="L16" s="425">
        <f>+SUM(Efficiency1!K40:K43)</f>
        <v>82.852869174999995</v>
      </c>
      <c r="M16" s="426">
        <f t="shared" si="16"/>
        <v>614.24487453237327</v>
      </c>
      <c r="N16" s="425">
        <f>+SUM(Efficiency1!C40:C43)</f>
        <v>82.56288413288749</v>
      </c>
      <c r="O16" s="426">
        <f t="shared" si="16"/>
        <v>593.69153659988808</v>
      </c>
      <c r="P16" s="570">
        <f>'8'!I38</f>
        <v>79.239000000000004</v>
      </c>
      <c r="Q16" s="426">
        <f t="shared" si="17"/>
        <v>507.7612220100001</v>
      </c>
      <c r="R16" s="14">
        <f>'8'!I40</f>
        <v>90.966999999999999</v>
      </c>
      <c r="S16" s="426">
        <f t="shared" si="18"/>
        <v>495.21800000000002</v>
      </c>
      <c r="T16" s="562">
        <f t="shared" si="1"/>
        <v>147.91</v>
      </c>
      <c r="U16" s="427">
        <f t="shared" si="19"/>
        <v>1041.635</v>
      </c>
      <c r="V16" s="429">
        <f t="shared" si="2"/>
        <v>1.8666313305316824</v>
      </c>
      <c r="W16" s="429">
        <f t="shared" si="3"/>
        <v>2.0514268416887602</v>
      </c>
      <c r="X16" s="425">
        <f t="shared" si="4"/>
        <v>1.6259742543999471</v>
      </c>
      <c r="Y16" s="429">
        <f t="shared" si="5"/>
        <v>2.1033867912717228</v>
      </c>
      <c r="Z16" s="428">
        <f>'8'!I46</f>
        <v>56930.380000001926</v>
      </c>
      <c r="AA16" s="427">
        <f t="shared" si="20"/>
        <v>407864.67999999964</v>
      </c>
      <c r="AB16" s="429">
        <f t="shared" si="6"/>
        <v>718.46414013303956</v>
      </c>
      <c r="AC16" s="429">
        <f t="shared" si="7"/>
        <v>803.26078936364092</v>
      </c>
      <c r="AD16" s="429">
        <f t="shared" si="8"/>
        <v>625.83552277201534</v>
      </c>
      <c r="AE16" s="429">
        <f t="shared" si="9"/>
        <v>823.6063309491974</v>
      </c>
      <c r="AF16" s="505">
        <f>4.608</f>
        <v>4.6079999999999997</v>
      </c>
      <c r="AG16" s="524">
        <v>143.30199999999999</v>
      </c>
      <c r="AH16" s="425">
        <f>+SUM(Efficiency2!K40:K43)</f>
        <v>82.852869174999995</v>
      </c>
      <c r="AI16" s="426">
        <f t="shared" si="21"/>
        <v>614.24487453237327</v>
      </c>
      <c r="AJ16" s="451">
        <f t="shared" si="22"/>
        <v>1.0979342164706634</v>
      </c>
      <c r="AK16" s="451">
        <f t="shared" si="23"/>
        <v>0.80622243755311951</v>
      </c>
    </row>
    <row r="17" spans="1:37" s="430" customFormat="1" ht="12.75" customHeight="1">
      <c r="A17" s="444">
        <f t="shared" si="10"/>
        <v>46000</v>
      </c>
      <c r="B17" s="454" t="s">
        <v>565</v>
      </c>
      <c r="C17" s="431" t="s">
        <v>566</v>
      </c>
      <c r="D17" s="424">
        <f>+'9'!F42</f>
        <v>1654.4166666666667</v>
      </c>
      <c r="E17" s="424">
        <f>+'9'!G42</f>
        <v>1262.7222604166668</v>
      </c>
      <c r="F17" s="50">
        <f t="shared" si="0"/>
        <v>0.23675680627612949</v>
      </c>
      <c r="G17" s="450">
        <f t="shared" si="11"/>
        <v>0.96344932147910312</v>
      </c>
      <c r="H17" s="445">
        <f t="shared" si="12"/>
        <v>0.94683728717904769</v>
      </c>
      <c r="I17" s="445">
        <f t="shared" si="13"/>
        <v>0.87380872024813983</v>
      </c>
      <c r="J17" s="451">
        <f t="shared" si="14"/>
        <v>0.82735467819314412</v>
      </c>
      <c r="K17" s="451">
        <f t="shared" si="15"/>
        <v>0.80826481866394417</v>
      </c>
      <c r="L17" s="425">
        <f>+SUM(Efficiency1!K46:K47)</f>
        <v>65.716676817179021</v>
      </c>
      <c r="M17" s="426">
        <f t="shared" si="16"/>
        <v>679.96155134955234</v>
      </c>
      <c r="N17" s="425">
        <f>+SUM(Efficiency1!C46:C47)</f>
        <v>64.58357343017714</v>
      </c>
      <c r="O17" s="426">
        <f t="shared" si="16"/>
        <v>658.27511003006521</v>
      </c>
      <c r="P17" s="570">
        <f>'9'!I38</f>
        <v>62.222999999999999</v>
      </c>
      <c r="Q17" s="426">
        <f t="shared" si="17"/>
        <v>569.98422201000005</v>
      </c>
      <c r="R17" s="14">
        <f>'9'!I40</f>
        <v>54.371000000000002</v>
      </c>
      <c r="S17" s="426">
        <f t="shared" si="18"/>
        <v>549.58900000000006</v>
      </c>
      <c r="T17" s="562">
        <f t="shared" si="1"/>
        <v>134.78899999999999</v>
      </c>
      <c r="U17" s="427">
        <f t="shared" si="19"/>
        <v>1176.424</v>
      </c>
      <c r="V17" s="429">
        <f t="shared" si="2"/>
        <v>2.1662247079054366</v>
      </c>
      <c r="W17" s="429">
        <f t="shared" si="3"/>
        <v>2.0639588861801164</v>
      </c>
      <c r="X17" s="425">
        <f t="shared" si="4"/>
        <v>2.4790605285906087</v>
      </c>
      <c r="Y17" s="429">
        <f t="shared" si="5"/>
        <v>2.140552303630531</v>
      </c>
      <c r="Z17" s="428">
        <f>'9'!I46</f>
        <v>56561.739999999743</v>
      </c>
      <c r="AA17" s="427">
        <f t="shared" si="20"/>
        <v>464426.4199999994</v>
      </c>
      <c r="AB17" s="429">
        <f t="shared" si="6"/>
        <v>909.01660157819038</v>
      </c>
      <c r="AC17" s="429">
        <f t="shared" si="7"/>
        <v>814.80574736304072</v>
      </c>
      <c r="AD17" s="429">
        <f t="shared" si="8"/>
        <v>1040.292435305581</v>
      </c>
      <c r="AE17" s="429">
        <f t="shared" si="9"/>
        <v>845.0431504269543</v>
      </c>
      <c r="AF17" s="505">
        <f>0.136</f>
        <v>0.13600000000000001</v>
      </c>
      <c r="AG17" s="524">
        <v>134.65299999999999</v>
      </c>
      <c r="AH17" s="425">
        <f>+SUM(Efficiency2!K46:K47)</f>
        <v>65.716676817179021</v>
      </c>
      <c r="AI17" s="426">
        <f t="shared" si="21"/>
        <v>679.96155134955234</v>
      </c>
      <c r="AJ17" s="451">
        <f t="shared" si="22"/>
        <v>0.82735467819314412</v>
      </c>
      <c r="AK17" s="451">
        <f t="shared" si="23"/>
        <v>0.80826481866394417</v>
      </c>
    </row>
    <row r="18" spans="1:37" s="430" customFormat="1" ht="12.75" customHeight="1">
      <c r="A18" s="444">
        <f t="shared" si="10"/>
        <v>46001</v>
      </c>
      <c r="B18" s="454" t="s">
        <v>7</v>
      </c>
      <c r="C18" s="431" t="s">
        <v>585</v>
      </c>
      <c r="D18" s="424">
        <f>+'10'!F42</f>
        <v>1651.6666666666667</v>
      </c>
      <c r="E18" s="424">
        <f>+'10'!G42</f>
        <v>1255</v>
      </c>
      <c r="F18" s="50">
        <f t="shared" si="0"/>
        <v>0.24016145307769932</v>
      </c>
      <c r="G18" s="450">
        <f t="shared" si="11"/>
        <v>0.9816274177815304</v>
      </c>
      <c r="H18" s="445">
        <f t="shared" si="12"/>
        <v>0.95258907313001573</v>
      </c>
      <c r="I18" s="445">
        <f>+R18/P18</f>
        <v>0.99462021046950888</v>
      </c>
      <c r="J18" s="451">
        <f t="shared" si="14"/>
        <v>0.94746434440753069</v>
      </c>
      <c r="K18" s="451">
        <f t="shared" si="15"/>
        <v>0.81993913584404143</v>
      </c>
      <c r="L18" s="425">
        <f>+SUM(Efficiency1!K50:K51)</f>
        <v>62.247197319999998</v>
      </c>
      <c r="M18" s="426">
        <f t="shared" si="16"/>
        <v>742.20874866955228</v>
      </c>
      <c r="N18" s="425">
        <f>+SUM(Efficiency1!C50:C51)</f>
        <v>60.405810724000006</v>
      </c>
      <c r="O18" s="426">
        <f t="shared" si="16"/>
        <v>718.68092075406526</v>
      </c>
      <c r="P18" s="570">
        <f>'10'!I38</f>
        <v>59.295999999999999</v>
      </c>
      <c r="Q18" s="426">
        <f t="shared" si="17"/>
        <v>629.2802220100001</v>
      </c>
      <c r="R18" s="14">
        <f>'10'!I40</f>
        <v>58.976999999999997</v>
      </c>
      <c r="S18" s="426">
        <f t="shared" si="18"/>
        <v>608.56600000000003</v>
      </c>
      <c r="T18" s="562">
        <f t="shared" si="1"/>
        <v>125.23699999999999</v>
      </c>
      <c r="U18" s="427">
        <f t="shared" si="19"/>
        <v>1301.6610000000001</v>
      </c>
      <c r="V18" s="429">
        <f t="shared" si="2"/>
        <v>2.1120648947652456</v>
      </c>
      <c r="W18" s="429">
        <f t="shared" si="3"/>
        <v>2.0684918331650901</v>
      </c>
      <c r="X18" s="425">
        <f t="shared" si="4"/>
        <v>2.1234888176746867</v>
      </c>
      <c r="Y18" s="429">
        <f t="shared" si="5"/>
        <v>2.1388986568424788</v>
      </c>
      <c r="Z18" s="428">
        <f>'10'!I46</f>
        <v>56719.179999997919</v>
      </c>
      <c r="AA18" s="427">
        <f t="shared" si="20"/>
        <v>521145.5999999973</v>
      </c>
      <c r="AB18" s="429">
        <f t="shared" si="6"/>
        <v>956.54310577438468</v>
      </c>
      <c r="AC18" s="429">
        <f t="shared" si="7"/>
        <v>828.16141644400136</v>
      </c>
      <c r="AD18" s="429">
        <f t="shared" si="8"/>
        <v>961.71694050219435</v>
      </c>
      <c r="AE18" s="429">
        <f t="shared" si="9"/>
        <v>856.35017401563232</v>
      </c>
      <c r="AF18" s="505">
        <f>0.166</f>
        <v>0.16600000000000001</v>
      </c>
      <c r="AG18" s="524">
        <v>125.071</v>
      </c>
      <c r="AH18" s="425">
        <f>+SUM(Efficiency2!K50:K51)</f>
        <v>62.247197319999998</v>
      </c>
      <c r="AI18" s="426">
        <f t="shared" si="21"/>
        <v>742.20874866955228</v>
      </c>
      <c r="AJ18" s="451">
        <f t="shared" si="22"/>
        <v>0.94746434440753069</v>
      </c>
      <c r="AK18" s="451">
        <f t="shared" si="23"/>
        <v>0.81993913584404143</v>
      </c>
    </row>
    <row r="19" spans="1:37" s="430" customFormat="1" ht="12.75" customHeight="1">
      <c r="A19" s="444">
        <f t="shared" si="10"/>
        <v>46002</v>
      </c>
      <c r="B19" s="595" t="s">
        <v>597</v>
      </c>
      <c r="C19" s="431" t="s">
        <v>598</v>
      </c>
      <c r="D19" s="424">
        <f>+'11'!F42</f>
        <v>1378.8888888888889</v>
      </c>
      <c r="E19" s="424">
        <f>+'11'!G42</f>
        <v>1109.8222222222223</v>
      </c>
      <c r="F19" s="50">
        <f t="shared" si="0"/>
        <v>0.19513295729250602</v>
      </c>
      <c r="G19" s="450">
        <f t="shared" si="11"/>
        <v>0.96401572512845735</v>
      </c>
      <c r="H19" s="445">
        <f t="shared" si="12"/>
        <v>0.94942614115658996</v>
      </c>
      <c r="I19" s="445">
        <f t="shared" si="13"/>
        <v>0.94211054485350543</v>
      </c>
      <c r="J19" s="451">
        <f t="shared" si="14"/>
        <v>0.89446437914319621</v>
      </c>
      <c r="K19" s="451">
        <f t="shared" si="15"/>
        <v>0.82495234634853098</v>
      </c>
      <c r="L19" s="425">
        <f>+SUM(Efficiency1!K55:K56)</f>
        <v>53.528123776000001</v>
      </c>
      <c r="M19" s="426">
        <f t="shared" si="16"/>
        <v>795.73687244555231</v>
      </c>
      <c r="N19" s="425">
        <f>+SUM(Efficiency1!C55:C56)</f>
        <v>52.718019712000007</v>
      </c>
      <c r="O19" s="426">
        <f t="shared" si="16"/>
        <v>771.39894046606526</v>
      </c>
      <c r="P19" s="570">
        <f>'11'!I38</f>
        <v>50.820999999999998</v>
      </c>
      <c r="Q19" s="426">
        <f t="shared" si="17"/>
        <v>680.10122201000013</v>
      </c>
      <c r="R19" s="14">
        <f>'11'!I40</f>
        <v>47.878999999999998</v>
      </c>
      <c r="S19" s="426">
        <f t="shared" si="18"/>
        <v>656.44500000000005</v>
      </c>
      <c r="T19" s="562">
        <f t="shared" si="1"/>
        <v>126.23699999999999</v>
      </c>
      <c r="U19" s="427">
        <f t="shared" si="19"/>
        <v>1427.8980000000001</v>
      </c>
      <c r="V19" s="429">
        <f t="shared" si="2"/>
        <v>2.4839534837960686</v>
      </c>
      <c r="W19" s="429">
        <f t="shared" si="3"/>
        <v>2.099537471466276</v>
      </c>
      <c r="X19" s="425">
        <f t="shared" si="4"/>
        <v>2.6365838885523925</v>
      </c>
      <c r="Y19" s="429">
        <f t="shared" si="5"/>
        <v>2.1751982268126042</v>
      </c>
      <c r="Z19" s="428">
        <f>'11'!I46</f>
        <v>55535.240000001802</v>
      </c>
      <c r="AA19" s="427">
        <f t="shared" si="20"/>
        <v>576680.83999999915</v>
      </c>
      <c r="AB19" s="429">
        <f t="shared" si="6"/>
        <v>1092.7616536471498</v>
      </c>
      <c r="AC19" s="429">
        <f t="shared" si="7"/>
        <v>847.9338388712963</v>
      </c>
      <c r="AD19" s="429">
        <f t="shared" si="8"/>
        <v>1159.9081016730049</v>
      </c>
      <c r="AE19" s="429">
        <f t="shared" si="9"/>
        <v>878.49071894827318</v>
      </c>
      <c r="AF19" s="505">
        <v>0.16600000000000001</v>
      </c>
      <c r="AG19" s="524">
        <v>126.071</v>
      </c>
      <c r="AH19" s="425">
        <f>+SUM(Efficiency2!K55:K56)</f>
        <v>51.317603775999999</v>
      </c>
      <c r="AI19" s="426">
        <f t="shared" si="21"/>
        <v>793.52635244555222</v>
      </c>
      <c r="AJ19" s="451">
        <f t="shared" si="22"/>
        <v>0.93299368008277594</v>
      </c>
      <c r="AK19" s="451">
        <f t="shared" si="23"/>
        <v>0.82725040948787143</v>
      </c>
    </row>
    <row r="20" spans="1:37" s="430" customFormat="1" ht="12.75" customHeight="1">
      <c r="A20" s="444">
        <f t="shared" si="10"/>
        <v>46003</v>
      </c>
      <c r="B20" s="595" t="s">
        <v>599</v>
      </c>
      <c r="C20" s="431" t="s">
        <v>609</v>
      </c>
      <c r="D20" s="424">
        <f>+'12'!F42</f>
        <v>1350</v>
      </c>
      <c r="E20" s="424">
        <f>+'12'!G42</f>
        <v>1080</v>
      </c>
      <c r="F20" s="50">
        <f t="shared" si="0"/>
        <v>0.19999999999999996</v>
      </c>
      <c r="G20" s="450">
        <f t="shared" si="11"/>
        <v>1.0396699451244149</v>
      </c>
      <c r="H20" s="445">
        <f t="shared" si="12"/>
        <v>1.0396699451244149</v>
      </c>
      <c r="I20" s="445">
        <f t="shared" si="13"/>
        <v>0.99210915666611865</v>
      </c>
      <c r="J20" s="451">
        <f t="shared" si="14"/>
        <v>1.031466072468493</v>
      </c>
      <c r="K20" s="451">
        <f t="shared" si="15"/>
        <v>0.83777021138643337</v>
      </c>
      <c r="L20" s="425">
        <f>+Efficiency1!K60</f>
        <v>52.658057739130427</v>
      </c>
      <c r="M20" s="426">
        <f t="shared" si="16"/>
        <v>848.39493018468272</v>
      </c>
      <c r="N20" s="425">
        <f>+Efficiency1!C60</f>
        <v>52.658057739130427</v>
      </c>
      <c r="O20" s="426">
        <f t="shared" si="16"/>
        <v>824.05699820519567</v>
      </c>
      <c r="P20" s="570">
        <f>'12'!I38</f>
        <v>54.747</v>
      </c>
      <c r="Q20" s="426">
        <f t="shared" si="17"/>
        <v>734.84822201000009</v>
      </c>
      <c r="R20" s="14">
        <f>'12'!I40</f>
        <v>54.314999999999998</v>
      </c>
      <c r="S20" s="426">
        <f t="shared" si="18"/>
        <v>710.76</v>
      </c>
      <c r="T20" s="562">
        <f t="shared" si="1"/>
        <v>124.252</v>
      </c>
      <c r="U20" s="427">
        <f t="shared" si="19"/>
        <v>1552.15</v>
      </c>
      <c r="V20" s="429">
        <f t="shared" si="2"/>
        <v>2.26956728222551</v>
      </c>
      <c r="W20" s="429">
        <f t="shared" si="3"/>
        <v>2.1122048791986843</v>
      </c>
      <c r="X20" s="425">
        <f t="shared" si="4"/>
        <v>2.2876185215870386</v>
      </c>
      <c r="Y20" s="429">
        <f t="shared" si="5"/>
        <v>2.1837891834093086</v>
      </c>
      <c r="Z20" s="428">
        <f>'12'!I46</f>
        <v>59898.479999999836</v>
      </c>
      <c r="AA20" s="427">
        <f t="shared" si="20"/>
        <v>636579.31999999902</v>
      </c>
      <c r="AB20" s="429">
        <f t="shared" si="6"/>
        <v>1094.0961148556055</v>
      </c>
      <c r="AC20" s="429">
        <f t="shared" si="7"/>
        <v>866.27319891826062</v>
      </c>
      <c r="AD20" s="429">
        <f t="shared" si="8"/>
        <v>1102.7981220657246</v>
      </c>
      <c r="AE20" s="429">
        <f t="shared" si="9"/>
        <v>895.63188699420209</v>
      </c>
      <c r="AF20" s="505">
        <f>0.14</f>
        <v>0.14000000000000001</v>
      </c>
      <c r="AG20" s="524">
        <v>124.11199999999999</v>
      </c>
      <c r="AH20" s="425">
        <f>+Efficiency2!K60</f>
        <v>52.658057739130427</v>
      </c>
      <c r="AI20" s="426">
        <f t="shared" si="21"/>
        <v>846.18441018468263</v>
      </c>
      <c r="AJ20" s="451">
        <f t="shared" si="22"/>
        <v>1.031466072468493</v>
      </c>
      <c r="AK20" s="451">
        <f t="shared" si="23"/>
        <v>0.83995875065208803</v>
      </c>
    </row>
    <row r="21" spans="1:37" s="430" customFormat="1" ht="12.75" customHeight="1">
      <c r="A21" s="444">
        <f t="shared" si="10"/>
        <v>46004</v>
      </c>
      <c r="B21" s="595" t="s">
        <v>599</v>
      </c>
      <c r="C21" s="431" t="s">
        <v>625</v>
      </c>
      <c r="D21" s="424">
        <f>+'13'!F42</f>
        <v>1359.7222222222222</v>
      </c>
      <c r="E21" s="424">
        <f>+'13'!G42</f>
        <v>1087.7777777777778</v>
      </c>
      <c r="F21" s="50">
        <f t="shared" si="0"/>
        <v>0.19999999999999996</v>
      </c>
      <c r="G21" s="450">
        <f t="shared" si="11"/>
        <v>1.0098483002694219</v>
      </c>
      <c r="H21" s="445">
        <f t="shared" si="12"/>
        <v>1.0098483002694219</v>
      </c>
      <c r="I21" s="445">
        <f t="shared" si="13"/>
        <v>0.88107235028704856</v>
      </c>
      <c r="J21" s="451">
        <f t="shared" si="14"/>
        <v>0.88974941535176078</v>
      </c>
      <c r="K21" s="451">
        <f t="shared" si="15"/>
        <v>0.84101050222435614</v>
      </c>
      <c r="L21" s="425">
        <f>+SUM(Efficiency1!K64:K66)</f>
        <v>56.403521187096771</v>
      </c>
      <c r="M21" s="426">
        <f t="shared" si="16"/>
        <v>904.79845137177949</v>
      </c>
      <c r="N21" s="425">
        <f>+SUM(Efficiency1!C64:C66)</f>
        <v>56.403521187096771</v>
      </c>
      <c r="O21" s="426">
        <f t="shared" si="16"/>
        <v>880.46051939229244</v>
      </c>
      <c r="P21" s="570">
        <f>'13'!I38</f>
        <v>56.959000000000003</v>
      </c>
      <c r="Q21" s="426">
        <f t="shared" si="17"/>
        <v>791.80722201000003</v>
      </c>
      <c r="R21" s="14">
        <f>'13'!I40</f>
        <v>50.185000000000002</v>
      </c>
      <c r="S21" s="426">
        <f t="shared" si="18"/>
        <v>760.94499999999994</v>
      </c>
      <c r="T21" s="562">
        <f t="shared" si="1"/>
        <v>125.34500000000001</v>
      </c>
      <c r="U21" s="427">
        <f t="shared" si="19"/>
        <v>1677.4950000000001</v>
      </c>
      <c r="V21" s="429">
        <f t="shared" si="2"/>
        <v>2.2006179883776049</v>
      </c>
      <c r="W21" s="429">
        <f t="shared" si="3"/>
        <v>2.1185649150075756</v>
      </c>
      <c r="X21" s="425">
        <f t="shared" si="4"/>
        <v>2.4976586629470958</v>
      </c>
      <c r="Y21" s="429">
        <f t="shared" si="5"/>
        <v>2.2044891549323542</v>
      </c>
      <c r="Z21" s="428">
        <f>'13'!I46</f>
        <v>57170.81999999965</v>
      </c>
      <c r="AA21" s="427">
        <f t="shared" si="20"/>
        <v>693750.13999999862</v>
      </c>
      <c r="AB21" s="429">
        <f t="shared" si="6"/>
        <v>1003.7188152881835</v>
      </c>
      <c r="AC21" s="429">
        <f t="shared" si="7"/>
        <v>876.16040964985916</v>
      </c>
      <c r="AD21" s="429">
        <f t="shared" si="8"/>
        <v>1139.2013549865428</v>
      </c>
      <c r="AE21" s="429">
        <f t="shared" si="9"/>
        <v>911.69551018798825</v>
      </c>
      <c r="AF21" s="505">
        <f>0.311</f>
        <v>0.311</v>
      </c>
      <c r="AG21" s="524">
        <v>125.03400000000001</v>
      </c>
      <c r="AH21" s="425">
        <f>+SUM(Efficiency2!K64:K66)</f>
        <v>56.403521187096771</v>
      </c>
      <c r="AI21" s="426">
        <f t="shared" si="21"/>
        <v>902.5879313717794</v>
      </c>
      <c r="AJ21" s="451">
        <f t="shared" si="22"/>
        <v>0.88974941535176078</v>
      </c>
      <c r="AK21" s="451">
        <f t="shared" si="23"/>
        <v>0.84307021349542488</v>
      </c>
    </row>
    <row r="22" spans="1:37" s="430" customFormat="1" ht="12.75" customHeight="1">
      <c r="A22" s="444">
        <f t="shared" si="10"/>
        <v>46005</v>
      </c>
      <c r="B22" s="595" t="s">
        <v>629</v>
      </c>
      <c r="C22" s="431" t="s">
        <v>630</v>
      </c>
      <c r="D22" s="424">
        <f>+'14'!F42</f>
        <v>1355.1041666666667</v>
      </c>
      <c r="E22" s="424">
        <f>+'14'!G42</f>
        <v>1085.5999999999999</v>
      </c>
      <c r="F22" s="50">
        <f t="shared" si="0"/>
        <v>0.19888077484818212</v>
      </c>
      <c r="G22" s="450">
        <f t="shared" si="11"/>
        <v>1.0313115464424529</v>
      </c>
      <c r="H22" s="445">
        <f t="shared" si="12"/>
        <v>1.0289194263809494</v>
      </c>
      <c r="I22" s="445">
        <f t="shared" si="13"/>
        <v>0.78486764124851838</v>
      </c>
      <c r="J22" s="451">
        <f t="shared" si="14"/>
        <v>0.80756556321839434</v>
      </c>
      <c r="K22" s="451">
        <f t="shared" si="15"/>
        <v>0.83896193759277349</v>
      </c>
      <c r="L22" s="425">
        <f>SUM(Efficiency1!K69:K70)</f>
        <v>59.036692711359116</v>
      </c>
      <c r="M22" s="426">
        <f t="shared" si="16"/>
        <v>963.83514408313863</v>
      </c>
      <c r="N22" s="426">
        <f>+SUM(Efficiency1!C69:C70)</f>
        <v>58.899757507359112</v>
      </c>
      <c r="O22" s="426">
        <f t="shared" si="16"/>
        <v>939.36027689965158</v>
      </c>
      <c r="P22" s="570">
        <f>'14'!I38</f>
        <v>60.744</v>
      </c>
      <c r="Q22" s="426">
        <f t="shared" si="17"/>
        <v>852.55122201000006</v>
      </c>
      <c r="R22" s="14">
        <f>'14'!I40</f>
        <v>47.676000000000002</v>
      </c>
      <c r="S22" s="426">
        <f t="shared" si="18"/>
        <v>808.62099999999998</v>
      </c>
      <c r="T22" s="562">
        <f t="shared" si="1"/>
        <v>130.70099999999999</v>
      </c>
      <c r="U22" s="427">
        <f t="shared" si="19"/>
        <v>1808.1960000000001</v>
      </c>
      <c r="V22" s="429">
        <f t="shared" si="2"/>
        <v>2.1516693006716712</v>
      </c>
      <c r="W22" s="429">
        <f t="shared" si="3"/>
        <v>2.1209235918247158</v>
      </c>
      <c r="X22" s="425">
        <f t="shared" si="4"/>
        <v>2.7414422350868359</v>
      </c>
      <c r="Y22" s="429">
        <f t="shared" si="5"/>
        <v>2.2361477132055687</v>
      </c>
      <c r="Z22" s="428">
        <f>'14'!I46</f>
        <v>51936.819999999789</v>
      </c>
      <c r="AA22" s="427">
        <f t="shared" si="20"/>
        <v>745686.95999999845</v>
      </c>
      <c r="AB22" s="429">
        <f t="shared" si="6"/>
        <v>855.01152377189169</v>
      </c>
      <c r="AC22" s="429">
        <f t="shared" si="7"/>
        <v>874.65355834215416</v>
      </c>
      <c r="AD22" s="429">
        <f t="shared" si="8"/>
        <v>1089.37033308163</v>
      </c>
      <c r="AE22" s="429">
        <f t="shared" si="9"/>
        <v>922.17115311128259</v>
      </c>
      <c r="AF22" s="505">
        <f>1.349</f>
        <v>1.349</v>
      </c>
      <c r="AG22" s="524">
        <v>129.352</v>
      </c>
      <c r="AH22" s="425">
        <f>+SUM(Efficiency2!K69:K70)</f>
        <v>59.036692711359116</v>
      </c>
      <c r="AI22" s="426">
        <f t="shared" si="21"/>
        <v>961.62462408313854</v>
      </c>
      <c r="AJ22" s="451">
        <f t="shared" si="22"/>
        <v>0.80756556321839434</v>
      </c>
      <c r="AK22" s="451">
        <f t="shared" si="23"/>
        <v>0.84089048860513538</v>
      </c>
    </row>
    <row r="23" spans="1:37" s="430" customFormat="1" ht="12.75" customHeight="1">
      <c r="A23" s="444">
        <f t="shared" si="10"/>
        <v>46006</v>
      </c>
      <c r="B23" s="448" t="s">
        <v>7</v>
      </c>
      <c r="C23" s="431" t="s">
        <v>652</v>
      </c>
      <c r="D23" s="424">
        <f>+'15'!F42</f>
        <v>1603.3333333333333</v>
      </c>
      <c r="E23" s="424">
        <f>+'15'!G42</f>
        <v>1346.8</v>
      </c>
      <c r="F23" s="50">
        <f t="shared" si="0"/>
        <v>0.16000000000000003</v>
      </c>
      <c r="G23" s="450">
        <f t="shared" si="11"/>
        <v>1.0015721700881202</v>
      </c>
      <c r="H23" s="445">
        <f t="shared" si="12"/>
        <v>0.92823933297184147</v>
      </c>
      <c r="I23" s="445">
        <f t="shared" si="13"/>
        <v>1.209210996072831</v>
      </c>
      <c r="J23" s="451">
        <f t="shared" si="14"/>
        <v>1.1224372084168608</v>
      </c>
      <c r="K23" s="451">
        <f t="shared" si="15"/>
        <v>0.85487759370032201</v>
      </c>
      <c r="L23" s="425">
        <f>+Efficiency1!K75</f>
        <v>57.333273984000009</v>
      </c>
      <c r="M23" s="426">
        <f t="shared" si="16"/>
        <v>1021.1684180671386</v>
      </c>
      <c r="N23" s="425">
        <f>+Efficiency1!C75</f>
        <v>53.135462016000005</v>
      </c>
      <c r="O23" s="426">
        <f t="shared" si="16"/>
        <v>992.4957389156516</v>
      </c>
      <c r="P23" s="570">
        <f>'15'!I38</f>
        <v>53.219000000000001</v>
      </c>
      <c r="Q23" s="426">
        <f t="shared" si="17"/>
        <v>905.77022201000011</v>
      </c>
      <c r="R23" s="14">
        <f>'15'!I40</f>
        <v>64.352999999999994</v>
      </c>
      <c r="S23" s="426">
        <f t="shared" si="18"/>
        <v>872.97399999999993</v>
      </c>
      <c r="T23" s="562">
        <f t="shared" si="1"/>
        <v>120.38500000000001</v>
      </c>
      <c r="U23" s="427">
        <f t="shared" si="19"/>
        <v>1928.5810000000001</v>
      </c>
      <c r="V23" s="429">
        <f t="shared" si="2"/>
        <v>2.2620680584001955</v>
      </c>
      <c r="W23" s="429">
        <f t="shared" si="3"/>
        <v>2.1292166082919732</v>
      </c>
      <c r="X23" s="425">
        <f t="shared" si="4"/>
        <v>1.8706975587773689</v>
      </c>
      <c r="Y23" s="429">
        <f t="shared" si="5"/>
        <v>2.2092078343684922</v>
      </c>
      <c r="Z23" s="428">
        <f>'15'!I46</f>
        <v>55241.10000000197</v>
      </c>
      <c r="AA23" s="427">
        <f t="shared" si="20"/>
        <v>800928.06000000041</v>
      </c>
      <c r="AB23" s="429">
        <f t="shared" si="6"/>
        <v>1037.9958285575071</v>
      </c>
      <c r="AC23" s="429">
        <f t="shared" si="7"/>
        <v>884.25081829545707</v>
      </c>
      <c r="AD23" s="429">
        <f t="shared" si="8"/>
        <v>858.4075334483548</v>
      </c>
      <c r="AE23" s="429">
        <f t="shared" si="9"/>
        <v>917.47069213974351</v>
      </c>
      <c r="AF23" s="505">
        <f>0.36</f>
        <v>0.36</v>
      </c>
      <c r="AG23" s="524">
        <v>120.02500000000001</v>
      </c>
      <c r="AH23" s="425">
        <f>+Efficiency2!K75</f>
        <v>57.333273984000009</v>
      </c>
      <c r="AI23" s="426">
        <f t="shared" si="21"/>
        <v>1018.9578980671386</v>
      </c>
      <c r="AJ23" s="451">
        <f t="shared" si="22"/>
        <v>1.1224372084168608</v>
      </c>
      <c r="AK23" s="451">
        <f t="shared" si="23"/>
        <v>0.85673215905774369</v>
      </c>
    </row>
    <row r="24" spans="1:37" s="430" customFormat="1" ht="12.75" customHeight="1">
      <c r="A24" s="444">
        <f t="shared" si="10"/>
        <v>46007</v>
      </c>
      <c r="B24" s="448" t="s">
        <v>7</v>
      </c>
      <c r="C24" s="431" t="s">
        <v>598</v>
      </c>
      <c r="D24" s="424">
        <f>+'16'!F42</f>
        <v>1610.2430555555557</v>
      </c>
      <c r="E24" s="424">
        <f>+'16'!G42</f>
        <v>1349.2666666666667</v>
      </c>
      <c r="F24" s="50">
        <f t="shared" si="0"/>
        <v>0.1620726684636119</v>
      </c>
      <c r="G24" s="450">
        <f t="shared" si="11"/>
        <v>1.0040131676149926</v>
      </c>
      <c r="H24" s="445">
        <f t="shared" si="12"/>
        <v>0.93498908404678638</v>
      </c>
      <c r="I24" s="445">
        <f t="shared" si="13"/>
        <v>1.0814784712858119</v>
      </c>
      <c r="J24" s="451">
        <f t="shared" si="14"/>
        <v>1.0111705652838401</v>
      </c>
      <c r="K24" s="451">
        <f t="shared" si="15"/>
        <v>0.86326403331834189</v>
      </c>
      <c r="L24" s="425">
        <f>+SUM(Efficiency1!K79:K80)</f>
        <v>57.901210745355627</v>
      </c>
      <c r="M24" s="426">
        <f t="shared" si="16"/>
        <v>1079.0696288124943</v>
      </c>
      <c r="N24" s="425">
        <f>+SUM(Efficiency1!C79:C80)</f>
        <v>53.920607563943662</v>
      </c>
      <c r="O24" s="426">
        <f t="shared" si="16"/>
        <v>1046.4163464795952</v>
      </c>
      <c r="P24" s="570">
        <f>'16'!I38</f>
        <v>54.137</v>
      </c>
      <c r="Q24" s="426">
        <f t="shared" si="17"/>
        <v>959.90722201000017</v>
      </c>
      <c r="R24" s="14">
        <f>'16'!I40</f>
        <v>58.548000000000002</v>
      </c>
      <c r="S24" s="426">
        <f t="shared" si="18"/>
        <v>931.52199999999993</v>
      </c>
      <c r="T24" s="562">
        <f t="shared" si="1"/>
        <v>122.318</v>
      </c>
      <c r="U24" s="427">
        <f t="shared" si="19"/>
        <v>2050.8990000000003</v>
      </c>
      <c r="V24" s="429">
        <f t="shared" si="2"/>
        <v>2.2594159262611524</v>
      </c>
      <c r="W24" s="429">
        <f t="shared" si="3"/>
        <v>2.1365596101105639</v>
      </c>
      <c r="X24" s="425">
        <f t="shared" si="4"/>
        <v>2.0891917742706836</v>
      </c>
      <c r="Y24" s="429">
        <f t="shared" si="5"/>
        <v>2.2016645876318548</v>
      </c>
      <c r="Z24" s="428">
        <f>'16'!I46</f>
        <v>54683.539999999251</v>
      </c>
      <c r="AA24" s="427">
        <f t="shared" si="20"/>
        <v>855611.59999999963</v>
      </c>
      <c r="AB24" s="429">
        <f t="shared" si="6"/>
        <v>1010.095498457603</v>
      </c>
      <c r="AC24" s="429">
        <f t="shared" si="7"/>
        <v>891.34822655921846</v>
      </c>
      <c r="AD24" s="429">
        <f t="shared" si="8"/>
        <v>933.99501263918933</v>
      </c>
      <c r="AE24" s="429">
        <f t="shared" si="9"/>
        <v>918.50927836379572</v>
      </c>
      <c r="AF24" s="505">
        <f>0.576</f>
        <v>0.57599999999999996</v>
      </c>
      <c r="AG24" s="524">
        <v>121.742</v>
      </c>
      <c r="AH24" s="425">
        <f>+SUM(Efficiency2!K79:K80)</f>
        <v>57.901210745355627</v>
      </c>
      <c r="AI24" s="426">
        <f t="shared" si="21"/>
        <v>1076.8591088124942</v>
      </c>
      <c r="AJ24" s="451">
        <f t="shared" si="22"/>
        <v>1.0111705652838401</v>
      </c>
      <c r="AK24" s="451">
        <f t="shared" si="23"/>
        <v>0.86503609653006075</v>
      </c>
    </row>
    <row r="25" spans="1:37" s="430" customFormat="1" ht="12.75" customHeight="1">
      <c r="A25" s="444">
        <f t="shared" si="10"/>
        <v>46008</v>
      </c>
      <c r="B25" s="448" t="s">
        <v>7</v>
      </c>
      <c r="C25" s="431" t="s">
        <v>609</v>
      </c>
      <c r="D25" s="424">
        <f>+'17'!F42</f>
        <v>1620</v>
      </c>
      <c r="E25" s="424">
        <f>+'17'!G42</f>
        <v>1231.2</v>
      </c>
      <c r="F25" s="50">
        <f t="shared" si="0"/>
        <v>0.24</v>
      </c>
      <c r="G25" s="450">
        <f t="shared" si="11"/>
        <v>0.98382960265377717</v>
      </c>
      <c r="H25" s="445">
        <f t="shared" si="12"/>
        <v>0.93753173899948172</v>
      </c>
      <c r="I25" s="445">
        <f t="shared" si="13"/>
        <v>0.91748950175916455</v>
      </c>
      <c r="J25" s="451">
        <f t="shared" si="14"/>
        <v>0.86017552809803766</v>
      </c>
      <c r="K25" s="451">
        <f t="shared" si="15"/>
        <v>0.86308655934979239</v>
      </c>
      <c r="L25" s="425">
        <f>+Efficiency1!K84</f>
        <v>65.786572800000002</v>
      </c>
      <c r="M25" s="426">
        <f t="shared" si="16"/>
        <v>1144.8562016124943</v>
      </c>
      <c r="N25" s="425">
        <f>+Efficiency1!C84</f>
        <v>62.690734079999999</v>
      </c>
      <c r="O25" s="426">
        <f t="shared" si="16"/>
        <v>1109.1070805595953</v>
      </c>
      <c r="P25" s="570">
        <f>'17'!I38</f>
        <v>61.677000000000007</v>
      </c>
      <c r="Q25" s="426">
        <f t="shared" si="17"/>
        <v>1021.5842220100002</v>
      </c>
      <c r="R25" s="14">
        <f>'17'!I40</f>
        <v>56.588000000000001</v>
      </c>
      <c r="S25" s="426">
        <f t="shared" si="18"/>
        <v>988.1099999999999</v>
      </c>
      <c r="T25" s="562">
        <f t="shared" si="1"/>
        <v>125.66800000000001</v>
      </c>
      <c r="U25" s="427">
        <f t="shared" si="19"/>
        <v>2176.5670000000005</v>
      </c>
      <c r="V25" s="429">
        <f t="shared" si="2"/>
        <v>2.0375180375180375</v>
      </c>
      <c r="W25" s="429">
        <f t="shared" si="3"/>
        <v>2.1305800864049504</v>
      </c>
      <c r="X25" s="425">
        <f t="shared" si="4"/>
        <v>2.220753516646639</v>
      </c>
      <c r="Y25" s="429">
        <f t="shared" si="5"/>
        <v>2.2027577901245818</v>
      </c>
      <c r="Z25" s="428">
        <f>'17'!I46</f>
        <v>50645.119999999821</v>
      </c>
      <c r="AA25" s="427">
        <f t="shared" si="20"/>
        <v>906256.71999999951</v>
      </c>
      <c r="AB25" s="429">
        <f t="shared" si="6"/>
        <v>821.13462068517947</v>
      </c>
      <c r="AC25" s="429">
        <f t="shared" si="7"/>
        <v>887.10915896577774</v>
      </c>
      <c r="AD25" s="429">
        <f t="shared" si="8"/>
        <v>894.97985438608578</v>
      </c>
      <c r="AE25" s="429">
        <f t="shared" si="9"/>
        <v>917.16177348675717</v>
      </c>
      <c r="AF25" s="505">
        <v>1.0569999999999999</v>
      </c>
      <c r="AG25" s="524">
        <v>124.611</v>
      </c>
      <c r="AH25" s="425">
        <f>+Efficiency2!K84</f>
        <v>65.786572800000002</v>
      </c>
      <c r="AI25" s="426">
        <f t="shared" si="21"/>
        <v>1142.6456816124942</v>
      </c>
      <c r="AJ25" s="451">
        <f t="shared" si="22"/>
        <v>0.86017552809803766</v>
      </c>
      <c r="AK25" s="451">
        <f t="shared" si="23"/>
        <v>0.86475625462968142</v>
      </c>
    </row>
    <row r="26" spans="1:37" s="430" customFormat="1" ht="12.75" customHeight="1">
      <c r="A26" s="444">
        <f t="shared" si="10"/>
        <v>46009</v>
      </c>
      <c r="B26" s="454" t="s">
        <v>458</v>
      </c>
      <c r="C26" s="431" t="s">
        <v>691</v>
      </c>
      <c r="D26" s="424">
        <f>+'18'!F42</f>
        <v>1511.6666666666667</v>
      </c>
      <c r="E26" s="424">
        <f>+'18'!G42</f>
        <v>1251.3499999999999</v>
      </c>
      <c r="F26" s="50">
        <f t="shared" si="0"/>
        <v>0.17220507166482923</v>
      </c>
      <c r="G26" s="450">
        <f t="shared" si="11"/>
        <v>0.9880737001357015</v>
      </c>
      <c r="H26" s="445">
        <f t="shared" si="12"/>
        <v>0.94172853155613356</v>
      </c>
      <c r="I26" s="445">
        <f t="shared" si="13"/>
        <v>0.95823387083678402</v>
      </c>
      <c r="J26" s="451">
        <f t="shared" si="14"/>
        <v>0.9023961760704744</v>
      </c>
      <c r="K26" s="451">
        <f t="shared" si="15"/>
        <v>0.86521051560164397</v>
      </c>
      <c r="L26" s="425">
        <f>+SUM(Efficiency1!K88:K89)</f>
        <v>65.391456174999988</v>
      </c>
      <c r="M26" s="426">
        <f t="shared" si="16"/>
        <v>1210.2476577874943</v>
      </c>
      <c r="N26" s="425">
        <f>+SUM(Efficiency1!C88:C89)</f>
        <v>62.32429827</v>
      </c>
      <c r="O26" s="426">
        <f t="shared" si="16"/>
        <v>1171.4313788295954</v>
      </c>
      <c r="P26" s="570">
        <f>'18'!I38</f>
        <v>61.581000000000003</v>
      </c>
      <c r="Q26" s="426">
        <f t="shared" si="17"/>
        <v>1083.1652220100002</v>
      </c>
      <c r="R26" s="14">
        <f>'18'!I40</f>
        <v>59.009</v>
      </c>
      <c r="S26" s="426">
        <f t="shared" si="18"/>
        <v>1047.1189999999999</v>
      </c>
      <c r="T26" s="562">
        <f t="shared" si="1"/>
        <v>125.08</v>
      </c>
      <c r="U26" s="427">
        <f t="shared" si="19"/>
        <v>2301.6470000000004</v>
      </c>
      <c r="V26" s="429">
        <f t="shared" si="2"/>
        <v>2.0311459703479966</v>
      </c>
      <c r="W26" s="429">
        <f t="shared" si="3"/>
        <v>2.1249269762639691</v>
      </c>
      <c r="X26" s="425">
        <f t="shared" si="4"/>
        <v>2.1196766594926197</v>
      </c>
      <c r="Y26" s="429">
        <f t="shared" si="5"/>
        <v>2.1980758633927953</v>
      </c>
      <c r="Z26" s="428">
        <f>'18'!I46</f>
        <v>59751.799999999617</v>
      </c>
      <c r="AA26" s="427">
        <f t="shared" si="20"/>
        <v>966008.51999999909</v>
      </c>
      <c r="AB26" s="429">
        <f t="shared" si="6"/>
        <v>970.29603286727433</v>
      </c>
      <c r="AC26" s="429">
        <f t="shared" si="7"/>
        <v>891.83856753395708</v>
      </c>
      <c r="AD26" s="429">
        <f t="shared" si="8"/>
        <v>1012.5879103187585</v>
      </c>
      <c r="AE26" s="429">
        <f t="shared" si="9"/>
        <v>922.53938664086809</v>
      </c>
      <c r="AF26" s="505">
        <f>0.191</f>
        <v>0.191</v>
      </c>
      <c r="AG26" s="524">
        <v>124.889</v>
      </c>
      <c r="AH26" s="425">
        <f>+SUM(Efficiency2!K88:K89)</f>
        <v>65.391456174999988</v>
      </c>
      <c r="AI26" s="426">
        <f t="shared" si="21"/>
        <v>1208.0371377874942</v>
      </c>
      <c r="AJ26" s="451">
        <f t="shared" si="22"/>
        <v>0.9023961760704744</v>
      </c>
      <c r="AK26" s="451">
        <f t="shared" si="23"/>
        <v>0.86679371622447476</v>
      </c>
    </row>
    <row r="27" spans="1:37" s="430" customFormat="1" ht="12.75" customHeight="1">
      <c r="A27" s="444">
        <f t="shared" si="10"/>
        <v>46010</v>
      </c>
      <c r="B27" s="431" t="s">
        <v>234</v>
      </c>
      <c r="C27" s="607" t="s">
        <v>705</v>
      </c>
      <c r="D27" s="424">
        <f>+'19'!F42</f>
        <v>1266.6666666666667</v>
      </c>
      <c r="E27" s="424">
        <f>+'19'!G42</f>
        <v>1262.2333333333336</v>
      </c>
      <c r="F27" s="50">
        <f t="shared" si="0"/>
        <v>3.4999999999998366E-3</v>
      </c>
      <c r="G27" s="450">
        <f t="shared" si="11"/>
        <v>0.92630856866759903</v>
      </c>
      <c r="H27" s="445">
        <f t="shared" si="12"/>
        <v>0.92306648867726249</v>
      </c>
      <c r="I27" s="445">
        <f t="shared" si="13"/>
        <v>0.84985693848354782</v>
      </c>
      <c r="J27" s="451">
        <f t="shared" si="14"/>
        <v>0.78447446008401678</v>
      </c>
      <c r="K27" s="451">
        <f t="shared" si="15"/>
        <v>0.86045629100169141</v>
      </c>
      <c r="L27" s="425">
        <f>+SUM(Efficiency1!K92:K95)</f>
        <v>75.725855999999993</v>
      </c>
      <c r="M27" s="426">
        <f t="shared" si="16"/>
        <v>1285.9735137874943</v>
      </c>
      <c r="N27" s="425">
        <f>+SUM(Efficiency1!C92:C95)</f>
        <v>75.460815503999996</v>
      </c>
      <c r="O27" s="426">
        <f t="shared" si="16"/>
        <v>1246.8921943335954</v>
      </c>
      <c r="P27" s="570">
        <f>'19'!I38</f>
        <v>69.900000000000006</v>
      </c>
      <c r="Q27" s="426">
        <f t="shared" si="17"/>
        <v>1153.0652220100003</v>
      </c>
      <c r="R27" s="14">
        <f>'19'!I40</f>
        <v>59.405000000000001</v>
      </c>
      <c r="S27" s="426">
        <f t="shared" si="18"/>
        <v>1106.5239999999999</v>
      </c>
      <c r="T27" s="562">
        <f t="shared" si="1"/>
        <v>156.50800000000001</v>
      </c>
      <c r="U27" s="427">
        <f t="shared" si="19"/>
        <v>2458.1550000000002</v>
      </c>
      <c r="V27" s="429">
        <f t="shared" si="2"/>
        <v>2.239027181688126</v>
      </c>
      <c r="W27" s="429">
        <f t="shared" si="3"/>
        <v>2.1318438480999311</v>
      </c>
      <c r="X27" s="425">
        <f t="shared" si="4"/>
        <v>2.6345930477232558</v>
      </c>
      <c r="Y27" s="429">
        <f t="shared" si="5"/>
        <v>2.2215107851253117</v>
      </c>
      <c r="Z27" s="428">
        <f>'19'!I46</f>
        <v>56285.459999999293</v>
      </c>
      <c r="AA27" s="427">
        <f t="shared" si="20"/>
        <v>1022293.9799999984</v>
      </c>
      <c r="AB27" s="429">
        <f t="shared" si="6"/>
        <v>805.22832618024745</v>
      </c>
      <c r="AC27" s="429">
        <f t="shared" si="7"/>
        <v>886.58816560086325</v>
      </c>
      <c r="AD27" s="429">
        <f t="shared" si="8"/>
        <v>947.48691187609279</v>
      </c>
      <c r="AE27" s="429">
        <f t="shared" si="9"/>
        <v>923.87872291970018</v>
      </c>
      <c r="AF27" s="505">
        <f>10.788</f>
        <v>10.788</v>
      </c>
      <c r="AG27" s="524">
        <v>145.72</v>
      </c>
      <c r="AH27" s="425">
        <f>+SUM(Efficiency2!K92:K95)</f>
        <v>75.725855999999993</v>
      </c>
      <c r="AI27" s="426">
        <f t="shared" si="21"/>
        <v>1283.7629937874942</v>
      </c>
      <c r="AJ27" s="451">
        <f t="shared" si="22"/>
        <v>0.78447446008401678</v>
      </c>
      <c r="AK27" s="451">
        <f t="shared" si="23"/>
        <v>0.86193791638705441</v>
      </c>
    </row>
    <row r="28" spans="1:37" s="430" customFormat="1" ht="12.75" customHeight="1">
      <c r="A28" s="444">
        <f t="shared" si="10"/>
        <v>46011</v>
      </c>
      <c r="B28" s="431" t="s">
        <v>234</v>
      </c>
      <c r="C28" s="431" t="s">
        <v>729</v>
      </c>
      <c r="D28" s="424">
        <f>+'20'!F42</f>
        <v>1240</v>
      </c>
      <c r="E28" s="424">
        <f>+'20'!G42</f>
        <v>1235.6599999999999</v>
      </c>
      <c r="F28" s="50">
        <f t="shared" si="0"/>
        <v>3.5000000000001696E-3</v>
      </c>
      <c r="G28" s="450">
        <f t="shared" si="11"/>
        <v>0.89496762097103177</v>
      </c>
      <c r="H28" s="445">
        <f t="shared" si="12"/>
        <v>0.88228573493126605</v>
      </c>
      <c r="I28" s="445">
        <f t="shared" si="13"/>
        <v>0.93658462724369562</v>
      </c>
      <c r="J28" s="451">
        <f t="shared" si="14"/>
        <v>0.82633525617302994</v>
      </c>
      <c r="K28" s="451">
        <f t="shared" si="15"/>
        <v>0.85840299874247694</v>
      </c>
      <c r="L28" s="425">
        <f>+SUM(Efficiency1!K97:K98)</f>
        <v>82.340671648351645</v>
      </c>
      <c r="M28" s="426">
        <f t="shared" si="16"/>
        <v>1368.314185435846</v>
      </c>
      <c r="N28" s="425">
        <f>+SUM(Efficiency1!C97:C98)</f>
        <v>81.173886404043955</v>
      </c>
      <c r="O28" s="426">
        <f t="shared" si="16"/>
        <v>1328.0660807376394</v>
      </c>
      <c r="P28" s="570">
        <f>'20'!I38</f>
        <v>72.647999999999996</v>
      </c>
      <c r="Q28" s="426">
        <f t="shared" si="17"/>
        <v>1225.7132220100002</v>
      </c>
      <c r="R28" s="14">
        <f>'20'!I40</f>
        <v>68.040999999999997</v>
      </c>
      <c r="S28" s="426">
        <f t="shared" si="18"/>
        <v>1174.5649999999998</v>
      </c>
      <c r="T28" s="562">
        <f t="shared" si="1"/>
        <v>163.53299999999999</v>
      </c>
      <c r="U28" s="427">
        <f t="shared" si="19"/>
        <v>2621.6880000000001</v>
      </c>
      <c r="V28" s="429">
        <f t="shared" si="2"/>
        <v>2.2510323752890651</v>
      </c>
      <c r="W28" s="429">
        <f t="shared" si="3"/>
        <v>2.1389081499021398</v>
      </c>
      <c r="X28" s="425">
        <f t="shared" si="4"/>
        <v>2.4034479211063915</v>
      </c>
      <c r="Y28" s="429">
        <f t="shared" si="5"/>
        <v>2.2320501632519276</v>
      </c>
      <c r="Z28" s="428">
        <f>'20'!I46</f>
        <v>51383.719999999084</v>
      </c>
      <c r="AA28" s="427">
        <f t="shared" si="20"/>
        <v>1073677.6999999974</v>
      </c>
      <c r="AB28" s="429">
        <f t="shared" si="6"/>
        <v>707.2971038431765</v>
      </c>
      <c r="AC28" s="429">
        <f t="shared" si="7"/>
        <v>875.96158768632222</v>
      </c>
      <c r="AD28" s="429">
        <f t="shared" si="8"/>
        <v>755.18760747195199</v>
      </c>
      <c r="AE28" s="429">
        <f t="shared" si="9"/>
        <v>914.1066692775604</v>
      </c>
      <c r="AF28" s="505">
        <f>16.362</f>
        <v>16.361999999999998</v>
      </c>
      <c r="AG28" s="524">
        <v>147.17099999999999</v>
      </c>
      <c r="AH28" s="425">
        <f>+SUM(Efficiency2!K97:K98)</f>
        <v>82.340671648351645</v>
      </c>
      <c r="AI28" s="426">
        <f t="shared" si="21"/>
        <v>1366.1036654358459</v>
      </c>
      <c r="AJ28" s="451">
        <f t="shared" si="22"/>
        <v>0.82633525617302994</v>
      </c>
      <c r="AK28" s="451">
        <f t="shared" si="23"/>
        <v>0.85979199801448669</v>
      </c>
    </row>
    <row r="29" spans="1:37" s="430" customFormat="1" ht="12.75" customHeight="1">
      <c r="A29" s="444">
        <f t="shared" si="10"/>
        <v>46012</v>
      </c>
      <c r="B29" s="431" t="s">
        <v>234</v>
      </c>
      <c r="C29" s="431" t="s">
        <v>729</v>
      </c>
      <c r="D29" s="424">
        <f>+'21'!F42</f>
        <v>1198.6111111111111</v>
      </c>
      <c r="E29" s="424">
        <f>+'21'!G42</f>
        <v>1194.4159722222223</v>
      </c>
      <c r="F29" s="50">
        <f t="shared" si="0"/>
        <v>3.4999999999999476E-3</v>
      </c>
      <c r="G29" s="450">
        <f t="shared" si="11"/>
        <v>0.92415142027857122</v>
      </c>
      <c r="H29" s="445">
        <f t="shared" si="12"/>
        <v>0.89665205981504026</v>
      </c>
      <c r="I29" s="445">
        <f t="shared" si="13"/>
        <v>0.92211321385768819</v>
      </c>
      <c r="J29" s="451">
        <f t="shared" si="14"/>
        <v>0.82681471258816286</v>
      </c>
      <c r="K29" s="451">
        <f t="shared" si="15"/>
        <v>0.85665757445578172</v>
      </c>
      <c r="L29" s="425">
        <f>+SUM(Efficiency1!K101:K102)</f>
        <v>80.028812976576575</v>
      </c>
      <c r="M29" s="426">
        <f t="shared" si="16"/>
        <v>1448.3429984124225</v>
      </c>
      <c r="N29" s="425">
        <f>+SUM(Efficiency1!C101:C102)</f>
        <v>77.647448703124496</v>
      </c>
      <c r="O29" s="426">
        <f t="shared" si="16"/>
        <v>1405.713529440764</v>
      </c>
      <c r="P29" s="570">
        <f>'21'!I38</f>
        <v>71.75800000000001</v>
      </c>
      <c r="Q29" s="426">
        <f t="shared" si="17"/>
        <v>1297.4712220100002</v>
      </c>
      <c r="R29" s="14">
        <f>'21'!I40</f>
        <v>66.168999999999997</v>
      </c>
      <c r="S29" s="426">
        <f t="shared" si="18"/>
        <v>1240.7339999999999</v>
      </c>
      <c r="T29" s="562">
        <f t="shared" si="1"/>
        <v>159.37700000000001</v>
      </c>
      <c r="U29" s="427">
        <f t="shared" si="19"/>
        <v>2781.0650000000001</v>
      </c>
      <c r="V29" s="429">
        <f t="shared" si="2"/>
        <v>2.2210345884779397</v>
      </c>
      <c r="W29" s="429">
        <f t="shared" si="3"/>
        <v>2.1434502382963565</v>
      </c>
      <c r="X29" s="425">
        <f t="shared" si="4"/>
        <v>2.4086354637367955</v>
      </c>
      <c r="Y29" s="429">
        <f t="shared" si="5"/>
        <v>2.2414675506595292</v>
      </c>
      <c r="Z29" s="428">
        <f>'21'!I46</f>
        <v>56979.180000001819</v>
      </c>
      <c r="AA29" s="427">
        <f t="shared" si="20"/>
        <v>1130656.8799999992</v>
      </c>
      <c r="AB29" s="429">
        <f t="shared" si="6"/>
        <v>794.04637810420877</v>
      </c>
      <c r="AC29" s="429">
        <f t="shared" si="7"/>
        <v>871.43118153204375</v>
      </c>
      <c r="AD29" s="429">
        <f t="shared" si="8"/>
        <v>861.11593042061713</v>
      </c>
      <c r="AE29" s="429">
        <f t="shared" si="9"/>
        <v>911.28064516648953</v>
      </c>
      <c r="AF29" s="505">
        <f>14.196</f>
        <v>14.196</v>
      </c>
      <c r="AG29" s="524">
        <v>145.18100000000001</v>
      </c>
      <c r="AH29" s="425">
        <f>+SUM(Efficiency2!K101:K102)</f>
        <v>80.028812976576575</v>
      </c>
      <c r="AI29" s="426">
        <f t="shared" si="21"/>
        <v>1446.1324784124224</v>
      </c>
      <c r="AJ29" s="451">
        <f t="shared" si="22"/>
        <v>0.82681471258816286</v>
      </c>
      <c r="AK29" s="451">
        <f t="shared" si="23"/>
        <v>0.8579670386506284</v>
      </c>
    </row>
    <row r="30" spans="1:37" s="430" customFormat="1" ht="12.75" customHeight="1">
      <c r="A30" s="444">
        <f t="shared" si="10"/>
        <v>46013</v>
      </c>
      <c r="B30" s="431" t="s">
        <v>234</v>
      </c>
      <c r="C30" s="448" t="s">
        <v>481</v>
      </c>
      <c r="D30" s="424">
        <f>+'22'!F42</f>
        <v>1201.6666666666667</v>
      </c>
      <c r="E30" s="424">
        <f>+'22'!G42</f>
        <v>1197.4608333333333</v>
      </c>
      <c r="F30" s="50">
        <f t="shared" si="0"/>
        <v>3.5000000000000586E-3</v>
      </c>
      <c r="G30" s="450">
        <f t="shared" si="11"/>
        <v>0.98652848654782899</v>
      </c>
      <c r="H30" s="445">
        <f t="shared" si="12"/>
        <v>0.94506337888690828</v>
      </c>
      <c r="I30" s="445">
        <f t="shared" si="13"/>
        <v>0.97703874466245777</v>
      </c>
      <c r="J30" s="451">
        <f t="shared" si="14"/>
        <v>0.92336353733412557</v>
      </c>
      <c r="K30" s="451">
        <f t="shared" si="15"/>
        <v>0.86018166010122443</v>
      </c>
      <c r="L30" s="425">
        <f>+Efficiency1!K105</f>
        <v>80.784000000000006</v>
      </c>
      <c r="M30" s="426">
        <f t="shared" si="16"/>
        <v>1529.1269984124226</v>
      </c>
      <c r="N30" s="425">
        <f>+Efficiency1!C105</f>
        <v>77.388540767999999</v>
      </c>
      <c r="O30" s="426">
        <f t="shared" si="16"/>
        <v>1483.102070208764</v>
      </c>
      <c r="P30" s="570">
        <f>'22'!I38</f>
        <v>76.346000000000004</v>
      </c>
      <c r="Q30" s="426">
        <f t="shared" si="17"/>
        <v>1373.8172220100003</v>
      </c>
      <c r="R30" s="14">
        <f>'22'!I40</f>
        <v>74.593000000000004</v>
      </c>
      <c r="S30" s="426">
        <f t="shared" si="18"/>
        <v>1315.327</v>
      </c>
      <c r="T30" s="562">
        <f t="shared" si="1"/>
        <v>160.667</v>
      </c>
      <c r="U30" s="427">
        <f t="shared" si="19"/>
        <v>2941.732</v>
      </c>
      <c r="V30" s="429">
        <f t="shared" si="2"/>
        <v>2.1044586487831713</v>
      </c>
      <c r="W30" s="429">
        <f t="shared" si="3"/>
        <v>2.141283391174861</v>
      </c>
      <c r="X30" s="425">
        <f t="shared" si="4"/>
        <v>2.1539152467389702</v>
      </c>
      <c r="Y30" s="429">
        <f t="shared" si="5"/>
        <v>2.2365024058656138</v>
      </c>
      <c r="Z30" s="428">
        <f>'22'!I46</f>
        <v>54310.780000000152</v>
      </c>
      <c r="AA30" s="427">
        <f t="shared" si="20"/>
        <v>1184967.6599999995</v>
      </c>
      <c r="AB30" s="429">
        <f t="shared" si="6"/>
        <v>711.37688942446425</v>
      </c>
      <c r="AC30" s="429">
        <f t="shared" si="7"/>
        <v>862.53661769234532</v>
      </c>
      <c r="AD30" s="429">
        <f t="shared" si="8"/>
        <v>728.09486144812718</v>
      </c>
      <c r="AE30" s="429">
        <f t="shared" si="9"/>
        <v>900.89206714375928</v>
      </c>
      <c r="AF30" s="505">
        <f>13.258</f>
        <v>13.257999999999999</v>
      </c>
      <c r="AG30" s="524">
        <v>147.40899999999999</v>
      </c>
      <c r="AH30" s="425">
        <f>+Efficiency2!K105</f>
        <v>80.784000000000006</v>
      </c>
      <c r="AI30" s="426">
        <f t="shared" si="21"/>
        <v>1526.9164784124225</v>
      </c>
      <c r="AJ30" s="451">
        <f t="shared" si="22"/>
        <v>0.92336353733412557</v>
      </c>
      <c r="AK30" s="451">
        <f t="shared" si="23"/>
        <v>0.86142694678859055</v>
      </c>
    </row>
    <row r="31" spans="1:37" s="430" customFormat="1" ht="12.75" customHeight="1">
      <c r="A31" s="444">
        <f t="shared" si="10"/>
        <v>46014</v>
      </c>
      <c r="B31" s="431" t="s">
        <v>234</v>
      </c>
      <c r="C31" s="448" t="s">
        <v>750</v>
      </c>
      <c r="D31" s="424">
        <f>+'23'!F42</f>
        <v>1223.3333333333333</v>
      </c>
      <c r="E31" s="424">
        <f>+'23'!G42</f>
        <v>1219.0516666666665</v>
      </c>
      <c r="F31" s="50">
        <f t="shared" si="0"/>
        <v>3.5000000000000586E-3</v>
      </c>
      <c r="G31" s="450">
        <f t="shared" si="11"/>
        <v>0.97693157856885093</v>
      </c>
      <c r="H31" s="445">
        <f t="shared" si="12"/>
        <v>0.96311928651892542</v>
      </c>
      <c r="I31" s="445">
        <f t="shared" si="13"/>
        <v>1.0321207131647328</v>
      </c>
      <c r="J31" s="451">
        <f t="shared" si="14"/>
        <v>0.99405536486462198</v>
      </c>
      <c r="K31" s="451">
        <f t="shared" si="15"/>
        <v>0.86689386739944474</v>
      </c>
      <c r="L31" s="425">
        <f>+SUM(Efficiency1!K109:K110)</f>
        <v>80.714820155844151</v>
      </c>
      <c r="M31" s="426">
        <f t="shared" si="16"/>
        <v>1609.8418185682667</v>
      </c>
      <c r="N31" s="425">
        <f>+SUM(Efficiency1!C109:C110)</f>
        <v>79.573638221298708</v>
      </c>
      <c r="O31" s="426">
        <f t="shared" si="16"/>
        <v>1562.6757084300627</v>
      </c>
      <c r="P31" s="570">
        <f>'23'!I38</f>
        <v>77.738</v>
      </c>
      <c r="Q31" s="426">
        <f t="shared" si="17"/>
        <v>1451.5552220100003</v>
      </c>
      <c r="R31" s="14">
        <f>'23'!I40</f>
        <v>80.234999999999999</v>
      </c>
      <c r="S31" s="426">
        <f t="shared" si="18"/>
        <v>1395.5619999999999</v>
      </c>
      <c r="T31" s="562">
        <f t="shared" si="1"/>
        <v>171.33599999999998</v>
      </c>
      <c r="U31" s="427">
        <f t="shared" si="19"/>
        <v>3113.0679999999998</v>
      </c>
      <c r="V31" s="429">
        <f t="shared" si="2"/>
        <v>2.2040186266690678</v>
      </c>
      <c r="W31" s="429">
        <f t="shared" si="3"/>
        <v>2.1446431749866646</v>
      </c>
      <c r="X31" s="425">
        <f t="shared" si="4"/>
        <v>2.1354271826509628</v>
      </c>
      <c r="Y31" s="429">
        <f t="shared" si="5"/>
        <v>2.2306912913937182</v>
      </c>
      <c r="Z31" s="428">
        <f>'23'!I46</f>
        <v>55782.399999998808</v>
      </c>
      <c r="AA31" s="427">
        <f t="shared" si="20"/>
        <v>1240750.0599999982</v>
      </c>
      <c r="AB31" s="429">
        <f t="shared" si="6"/>
        <v>717.56927114151142</v>
      </c>
      <c r="AC31" s="429">
        <f t="shared" si="7"/>
        <v>854.77289543411541</v>
      </c>
      <c r="AD31" s="429">
        <f t="shared" si="8"/>
        <v>695.23773914125763</v>
      </c>
      <c r="AE31" s="429">
        <f t="shared" si="9"/>
        <v>889.06838965233942</v>
      </c>
      <c r="AF31" s="505">
        <v>22.396999999999998</v>
      </c>
      <c r="AG31" s="524">
        <v>148.93899999999999</v>
      </c>
      <c r="AH31" s="425">
        <f>+SUM(Efficiency2!K109:K110)</f>
        <v>80.714820155844151</v>
      </c>
      <c r="AI31" s="426">
        <f t="shared" si="21"/>
        <v>1607.6312985682666</v>
      </c>
      <c r="AJ31" s="451">
        <f t="shared" si="22"/>
        <v>0.99405536486462198</v>
      </c>
      <c r="AK31" s="451">
        <f t="shared" si="23"/>
        <v>0.8680858610073513</v>
      </c>
    </row>
    <row r="32" spans="1:37" s="430" customFormat="1" ht="12.75" customHeight="1">
      <c r="A32" s="444">
        <f t="shared" si="10"/>
        <v>46015</v>
      </c>
      <c r="B32" s="431" t="s">
        <v>234</v>
      </c>
      <c r="C32" s="448" t="s">
        <v>517</v>
      </c>
      <c r="D32" s="424">
        <f>+'24'!F42</f>
        <v>1206.6666666666667</v>
      </c>
      <c r="E32" s="424">
        <f>+'24'!G42</f>
        <v>1202.4433333333334</v>
      </c>
      <c r="F32" s="50">
        <f t="shared" si="0"/>
        <v>3.5000000000000586E-3</v>
      </c>
      <c r="G32" s="450">
        <f t="shared" si="11"/>
        <v>0.95808139007083071</v>
      </c>
      <c r="H32" s="445">
        <f t="shared" si="12"/>
        <v>0.95209800023256475</v>
      </c>
      <c r="I32" s="445">
        <f t="shared" si="13"/>
        <v>1.0159511487753934</v>
      </c>
      <c r="J32" s="451">
        <f t="shared" si="14"/>
        <v>0.96728505708302903</v>
      </c>
      <c r="K32" s="451">
        <f t="shared" si="15"/>
        <v>0.87158702735168514</v>
      </c>
      <c r="L32" s="425">
        <f>+Efficiency1!K113</f>
        <v>78.948805670886074</v>
      </c>
      <c r="M32" s="426">
        <f t="shared" si="16"/>
        <v>1688.7906242391527</v>
      </c>
      <c r="N32" s="425">
        <f>+Efficiency1!C113</f>
        <v>78.455756242632916</v>
      </c>
      <c r="O32" s="426">
        <f t="shared" si="16"/>
        <v>1641.1314646726958</v>
      </c>
      <c r="P32" s="570">
        <f>'24'!I38</f>
        <v>75.167000000000002</v>
      </c>
      <c r="Q32" s="426">
        <f t="shared" si="17"/>
        <v>1526.7222220100002</v>
      </c>
      <c r="R32" s="14">
        <f>'24'!I40</f>
        <v>76.366</v>
      </c>
      <c r="S32" s="426">
        <f t="shared" si="18"/>
        <v>1471.9279999999999</v>
      </c>
      <c r="T32" s="562">
        <f t="shared" si="1"/>
        <v>171.874</v>
      </c>
      <c r="U32" s="427">
        <f t="shared" si="19"/>
        <v>3284.9419999999996</v>
      </c>
      <c r="V32" s="429">
        <f t="shared" si="2"/>
        <v>2.2865619221200792</v>
      </c>
      <c r="W32" s="429">
        <f t="shared" si="3"/>
        <v>2.151630435872756</v>
      </c>
      <c r="X32" s="425">
        <f t="shared" si="4"/>
        <v>2.2506612890553388</v>
      </c>
      <c r="Y32" s="429">
        <f t="shared" si="5"/>
        <v>2.2317273670994777</v>
      </c>
      <c r="Z32" s="428">
        <f>+'24'!I46</f>
        <v>54469.379999999044</v>
      </c>
      <c r="AA32" s="427">
        <f t="shared" si="20"/>
        <v>1295219.4399999972</v>
      </c>
      <c r="AB32" s="429">
        <f t="shared" si="6"/>
        <v>724.64485745073023</v>
      </c>
      <c r="AC32" s="429">
        <f t="shared" si="7"/>
        <v>848.36614108805009</v>
      </c>
      <c r="AD32" s="429">
        <f t="shared" si="8"/>
        <v>713.26742267499992</v>
      </c>
      <c r="AE32" s="429">
        <f t="shared" si="9"/>
        <v>879.94755178242224</v>
      </c>
      <c r="AF32" s="505">
        <v>23.72</v>
      </c>
      <c r="AG32" s="524">
        <v>148.154</v>
      </c>
      <c r="AH32" s="425">
        <f>+Efficiency2!K113</f>
        <v>78.948805670886074</v>
      </c>
      <c r="AI32" s="426">
        <f t="shared" si="21"/>
        <v>1686.5801042391527</v>
      </c>
      <c r="AJ32" s="451">
        <f t="shared" si="22"/>
        <v>0.96728505708302903</v>
      </c>
      <c r="AK32" s="451">
        <f t="shared" si="23"/>
        <v>0.87272937484580004</v>
      </c>
    </row>
    <row r="33" spans="1:37" s="430" customFormat="1" ht="12.75" customHeight="1">
      <c r="A33" s="444">
        <f t="shared" si="10"/>
        <v>46016</v>
      </c>
      <c r="B33" s="431" t="s">
        <v>234</v>
      </c>
      <c r="C33" s="448" t="s">
        <v>517</v>
      </c>
      <c r="D33" s="424">
        <f>+'25'!F42</f>
        <v>1203.3333333333333</v>
      </c>
      <c r="E33" s="424">
        <f>+'25'!G42</f>
        <v>1199.1216666666669</v>
      </c>
      <c r="F33" s="50">
        <f t="shared" si="0"/>
        <v>3.4999999999997256E-3</v>
      </c>
      <c r="G33" s="450">
        <f t="shared" si="11"/>
        <v>0.9875871128235808</v>
      </c>
      <c r="H33" s="445">
        <f t="shared" si="12"/>
        <v>0.97870835099796194</v>
      </c>
      <c r="I33" s="445">
        <f t="shared" si="13"/>
        <v>1.0045132674500037</v>
      </c>
      <c r="J33" s="451">
        <f t="shared" si="14"/>
        <v>0.98312552354156779</v>
      </c>
      <c r="K33" s="451">
        <f t="shared" si="15"/>
        <v>0.87655846557348249</v>
      </c>
      <c r="L33" s="425">
        <f>+Efficiency1!K117</f>
        <v>78.783429119999994</v>
      </c>
      <c r="M33" s="426">
        <f t="shared" si="16"/>
        <v>1767.5740533591527</v>
      </c>
      <c r="N33" s="425">
        <f>+Efficiency1!C117</f>
        <v>78.075137877760014</v>
      </c>
      <c r="O33" s="426">
        <f t="shared" si="16"/>
        <v>1719.2066025504557</v>
      </c>
      <c r="P33" s="570">
        <f>'25'!I38</f>
        <v>77.106000000000009</v>
      </c>
      <c r="Q33" s="426">
        <f t="shared" si="17"/>
        <v>1603.8282220100002</v>
      </c>
      <c r="R33" s="14">
        <f>'25'!I40</f>
        <v>77.453999999999994</v>
      </c>
      <c r="S33" s="426">
        <f t="shared" si="18"/>
        <v>1549.3819999999998</v>
      </c>
      <c r="T33" s="562">
        <f t="shared" si="1"/>
        <v>170.23599999999999</v>
      </c>
      <c r="U33" s="427">
        <f t="shared" si="19"/>
        <v>3455.1779999999994</v>
      </c>
      <c r="V33" s="429">
        <f t="shared" si="2"/>
        <v>2.2078178092496041</v>
      </c>
      <c r="W33" s="429">
        <f t="shared" si="3"/>
        <v>2.1543317124509707</v>
      </c>
      <c r="X33" s="425">
        <f t="shared" si="4"/>
        <v>2.1978981072636663</v>
      </c>
      <c r="Y33" s="429">
        <f t="shared" si="5"/>
        <v>2.2300362338016058</v>
      </c>
      <c r="Z33" s="428">
        <f>+'25'!I46</f>
        <v>52825.860000000786</v>
      </c>
      <c r="AA33" s="427">
        <f t="shared" si="20"/>
        <v>1348045.299999998</v>
      </c>
      <c r="AB33" s="429">
        <f t="shared" si="6"/>
        <v>685.10699556455756</v>
      </c>
      <c r="AC33" s="429">
        <f t="shared" si="7"/>
        <v>840.51725833241551</v>
      </c>
      <c r="AD33" s="429">
        <f t="shared" si="8"/>
        <v>682.02881710435588</v>
      </c>
      <c r="AE33" s="429">
        <f t="shared" si="9"/>
        <v>870.0535439291267</v>
      </c>
      <c r="AF33" s="505">
        <v>23.491</v>
      </c>
      <c r="AG33" s="524">
        <v>146.745</v>
      </c>
      <c r="AH33" s="425">
        <f>+Efficiency2!K117</f>
        <v>78.783429119999994</v>
      </c>
      <c r="AI33" s="426">
        <f t="shared" si="21"/>
        <v>1765.3635333591526</v>
      </c>
      <c r="AJ33" s="451">
        <f t="shared" si="22"/>
        <v>0.98312552354156779</v>
      </c>
      <c r="AK33" s="451">
        <f t="shared" si="23"/>
        <v>0.87765605821245174</v>
      </c>
    </row>
    <row r="34" spans="1:37" s="430" customFormat="1" ht="12.75" customHeight="1">
      <c r="A34" s="444">
        <f t="shared" si="10"/>
        <v>46017</v>
      </c>
      <c r="B34" s="431" t="s">
        <v>234</v>
      </c>
      <c r="C34" s="431" t="s">
        <v>785</v>
      </c>
      <c r="D34" s="424">
        <f>+'26'!F42</f>
        <v>1216.28612716763</v>
      </c>
      <c r="E34" s="424">
        <f>+'26'!G42</f>
        <v>1212.0291257225433</v>
      </c>
      <c r="F34" s="50">
        <f t="shared" si="0"/>
        <v>3.4999999999999476E-3</v>
      </c>
      <c r="G34" s="450">
        <f t="shared" si="11"/>
        <v>0.91708332945872972</v>
      </c>
      <c r="H34" s="445">
        <f t="shared" si="12"/>
        <v>0.91387353780562408</v>
      </c>
      <c r="I34" s="445">
        <f t="shared" si="13"/>
        <v>0.99764872898274248</v>
      </c>
      <c r="J34" s="451">
        <f t="shared" si="14"/>
        <v>0.91172477344274316</v>
      </c>
      <c r="K34" s="451">
        <f t="shared" si="15"/>
        <v>0.87797148085260224</v>
      </c>
      <c r="L34" s="425">
        <f>+SUM(Efficiency1!K121:K122)</f>
        <v>73.996014987341766</v>
      </c>
      <c r="M34" s="426">
        <f t="shared" si="16"/>
        <v>1841.5700683464945</v>
      </c>
      <c r="N34" s="425">
        <f>+SUM(Efficiency1!C121:C122)</f>
        <v>73.737028934886069</v>
      </c>
      <c r="O34" s="426">
        <f t="shared" si="16"/>
        <v>1792.9436314853417</v>
      </c>
      <c r="P34" s="570">
        <f>'26'!I38</f>
        <v>67.623000000000005</v>
      </c>
      <c r="Q34" s="426">
        <f t="shared" si="17"/>
        <v>1671.4512220100003</v>
      </c>
      <c r="R34" s="14">
        <f>'26'!I40</f>
        <v>67.463999999999999</v>
      </c>
      <c r="S34" s="426">
        <f t="shared" si="18"/>
        <v>1616.8459999999998</v>
      </c>
      <c r="T34" s="562">
        <f t="shared" si="1"/>
        <v>155.751</v>
      </c>
      <c r="U34" s="427">
        <f t="shared" si="19"/>
        <v>3610.9289999999996</v>
      </c>
      <c r="V34" s="429">
        <f t="shared" si="2"/>
        <v>2.3032252340180115</v>
      </c>
      <c r="W34" s="429">
        <f t="shared" si="3"/>
        <v>2.1603555954553579</v>
      </c>
      <c r="X34" s="425">
        <f t="shared" si="4"/>
        <v>2.3086535040910707</v>
      </c>
      <c r="Y34" s="429">
        <f t="shared" si="5"/>
        <v>2.2333165929222698</v>
      </c>
      <c r="Z34" s="428">
        <f>'26'!I46</f>
        <v>57073.360000000655</v>
      </c>
      <c r="AA34" s="427">
        <f t="shared" si="20"/>
        <v>1405118.6599999985</v>
      </c>
      <c r="AB34" s="429">
        <f t="shared" si="6"/>
        <v>843.99331588365874</v>
      </c>
      <c r="AC34" s="429">
        <f t="shared" si="7"/>
        <v>840.65789147605267</v>
      </c>
      <c r="AD34" s="429">
        <f t="shared" si="8"/>
        <v>845.98244989921523</v>
      </c>
      <c r="AE34" s="429">
        <f t="shared" si="9"/>
        <v>869.04916114459797</v>
      </c>
      <c r="AF34" s="505">
        <f>14.214</f>
        <v>14.214</v>
      </c>
      <c r="AG34" s="524">
        <v>141.53700000000001</v>
      </c>
      <c r="AH34" s="425">
        <f>+SUM(Efficiency2!K121:K122)</f>
        <v>73.996014987341766</v>
      </c>
      <c r="AI34" s="426">
        <f t="shared" si="21"/>
        <v>1839.3595483464944</v>
      </c>
      <c r="AJ34" s="451">
        <f t="shared" si="22"/>
        <v>0.91172477344274316</v>
      </c>
      <c r="AK34" s="451">
        <f t="shared" si="23"/>
        <v>0.87902661633146995</v>
      </c>
    </row>
    <row r="35" spans="1:37" s="430" customFormat="1" ht="12.75" customHeight="1">
      <c r="A35" s="444">
        <f t="shared" si="10"/>
        <v>46018</v>
      </c>
      <c r="B35" s="431" t="s">
        <v>234</v>
      </c>
      <c r="C35" s="431" t="s">
        <v>533</v>
      </c>
      <c r="D35" s="424">
        <f>+'27'!F42</f>
        <v>1235.4166666666667</v>
      </c>
      <c r="E35" s="424">
        <f>+'27'!G42</f>
        <v>1231.0927083333333</v>
      </c>
      <c r="F35" s="50">
        <f t="shared" si="0"/>
        <v>3.5000000000000586E-3</v>
      </c>
      <c r="G35" s="450">
        <f t="shared" si="11"/>
        <v>0.89377985363253576</v>
      </c>
      <c r="H35" s="445">
        <f t="shared" si="12"/>
        <v>0.86633307072570975</v>
      </c>
      <c r="I35" s="445">
        <f t="shared" si="13"/>
        <v>0.97360822653361023</v>
      </c>
      <c r="J35" s="451">
        <f t="shared" si="14"/>
        <v>0.84346900457667495</v>
      </c>
      <c r="K35" s="451">
        <f t="shared" si="15"/>
        <v>0.87673656266640099</v>
      </c>
      <c r="L35" s="425">
        <f>+Efficiency1!K126</f>
        <v>68.360544000000004</v>
      </c>
      <c r="M35" s="426">
        <f t="shared" si="16"/>
        <v>1909.9306123464944</v>
      </c>
      <c r="N35" s="425">
        <f>+Efficiency1!C126</f>
        <v>66.261283199999994</v>
      </c>
      <c r="O35" s="426">
        <f t="shared" si="16"/>
        <v>1859.2049146853417</v>
      </c>
      <c r="P35" s="570">
        <f>'27'!I38</f>
        <v>59.222999999999999</v>
      </c>
      <c r="Q35" s="426">
        <f t="shared" si="17"/>
        <v>1730.6742220100002</v>
      </c>
      <c r="R35" s="14">
        <f>'27'!I40</f>
        <v>57.66</v>
      </c>
      <c r="S35" s="426">
        <f t="shared" si="18"/>
        <v>1674.5059999999999</v>
      </c>
      <c r="T35" s="562">
        <f t="shared" si="1"/>
        <v>142.881</v>
      </c>
      <c r="U35" s="427">
        <f t="shared" si="19"/>
        <v>3753.8099999999995</v>
      </c>
      <c r="V35" s="429">
        <f t="shared" si="2"/>
        <v>2.4125930803910642</v>
      </c>
      <c r="W35" s="429">
        <f t="shared" si="3"/>
        <v>2.168987064266974</v>
      </c>
      <c r="X35" s="425">
        <f t="shared" si="4"/>
        <v>2.4779916753381896</v>
      </c>
      <c r="Y35" s="429">
        <f t="shared" si="5"/>
        <v>2.2417417435351084</v>
      </c>
      <c r="Z35" s="428">
        <f>'27'!I46</f>
        <v>54785.060000001147</v>
      </c>
      <c r="AA35" s="427">
        <f t="shared" si="20"/>
        <v>1459903.7199999997</v>
      </c>
      <c r="AB35" s="429">
        <f t="shared" si="6"/>
        <v>925.06391098055065</v>
      </c>
      <c r="AC35" s="429">
        <f t="shared" si="7"/>
        <v>843.54623269564377</v>
      </c>
      <c r="AD35" s="429">
        <f t="shared" si="8"/>
        <v>950.13978494625655</v>
      </c>
      <c r="AE35" s="429">
        <f t="shared" si="9"/>
        <v>871.84143860935706</v>
      </c>
      <c r="AF35" s="505">
        <f>7.864</f>
        <v>7.8639999999999999</v>
      </c>
      <c r="AG35" s="524">
        <v>135.017</v>
      </c>
      <c r="AH35" s="425">
        <f>+Efficiency2!K126</f>
        <v>68.360544000000004</v>
      </c>
      <c r="AI35" s="426">
        <f t="shared" si="21"/>
        <v>1907.7200923464943</v>
      </c>
      <c r="AJ35" s="451">
        <f t="shared" si="22"/>
        <v>0.84346900457667495</v>
      </c>
      <c r="AK35" s="451">
        <f t="shared" si="23"/>
        <v>0.87775245787780043</v>
      </c>
    </row>
    <row r="36" spans="1:37" s="430" customFormat="1" ht="12.75" customHeight="1">
      <c r="A36" s="444">
        <f t="shared" si="10"/>
        <v>46019</v>
      </c>
      <c r="B36" s="431" t="s">
        <v>234</v>
      </c>
      <c r="C36" s="431" t="s">
        <v>533</v>
      </c>
      <c r="D36" s="424">
        <f>+'28'!F42</f>
        <v>1220</v>
      </c>
      <c r="E36" s="424">
        <f>+'28'!G42</f>
        <v>1215.73</v>
      </c>
      <c r="F36" s="50">
        <f t="shared" si="0"/>
        <v>3.4999999999999476E-3</v>
      </c>
      <c r="G36" s="450">
        <f t="shared" si="11"/>
        <v>0.9566200930005434</v>
      </c>
      <c r="H36" s="445">
        <f t="shared" si="12"/>
        <v>0.91519166377611039</v>
      </c>
      <c r="I36" s="445">
        <f t="shared" si="13"/>
        <v>1.0713201093297957</v>
      </c>
      <c r="J36" s="451">
        <f t="shared" si="14"/>
        <v>0.98046323329434015</v>
      </c>
      <c r="K36" s="451">
        <f t="shared" si="15"/>
        <v>0.88032087411049098</v>
      </c>
      <c r="L36" s="425">
        <f>+Efficiency1!K130</f>
        <v>68.360544000000004</v>
      </c>
      <c r="M36" s="426">
        <f t="shared" si="16"/>
        <v>1978.2911563464945</v>
      </c>
      <c r="N36" s="425">
        <f>+Efficiency1!C130</f>
        <v>65.400047999999998</v>
      </c>
      <c r="O36" s="426">
        <f t="shared" si="16"/>
        <v>1924.6049626853417</v>
      </c>
      <c r="P36" s="570">
        <f>'28'!I38</f>
        <v>62.563000000000002</v>
      </c>
      <c r="Q36" s="426">
        <f t="shared" si="17"/>
        <v>1793.2372220100003</v>
      </c>
      <c r="R36" s="14">
        <f>'28'!I40</f>
        <v>67.025000000000006</v>
      </c>
      <c r="S36" s="426">
        <f t="shared" si="18"/>
        <v>1741.5309999999999</v>
      </c>
      <c r="T36" s="562">
        <f t="shared" si="1"/>
        <v>141.78299999999999</v>
      </c>
      <c r="U36" s="427">
        <f t="shared" si="19"/>
        <v>3895.5929999999994</v>
      </c>
      <c r="V36" s="429">
        <f t="shared" si="2"/>
        <v>2.2662436264245636</v>
      </c>
      <c r="W36" s="429">
        <f t="shared" si="3"/>
        <v>2.1723801804836032</v>
      </c>
      <c r="X36" s="425">
        <f t="shared" si="4"/>
        <v>2.1153748601268179</v>
      </c>
      <c r="Y36" s="429">
        <f t="shared" si="5"/>
        <v>2.2368783558834151</v>
      </c>
      <c r="Z36" s="428">
        <f>'28'!I46</f>
        <v>58359.659999999625</v>
      </c>
      <c r="AA36" s="427">
        <f t="shared" si="20"/>
        <v>1518263.3799999994</v>
      </c>
      <c r="AB36" s="429">
        <f t="shared" si="6"/>
        <v>932.81428320252587</v>
      </c>
      <c r="AC36" s="429">
        <f t="shared" si="7"/>
        <v>846.66064331310895</v>
      </c>
      <c r="AD36" s="429">
        <f t="shared" si="8"/>
        <v>870.7148079074916</v>
      </c>
      <c r="AE36" s="429">
        <f t="shared" si="9"/>
        <v>871.79807881685679</v>
      </c>
      <c r="AF36" s="505">
        <f>6.308</f>
        <v>6.3079999999999998</v>
      </c>
      <c r="AG36" s="524">
        <v>135.47499999999999</v>
      </c>
      <c r="AH36" s="425">
        <f>+Efficiency2!K130</f>
        <v>68.360544000000004</v>
      </c>
      <c r="AI36" s="426">
        <f t="shared" si="21"/>
        <v>1976.0806363464944</v>
      </c>
      <c r="AJ36" s="451">
        <f t="shared" si="22"/>
        <v>0.98046323329434015</v>
      </c>
      <c r="AK36" s="451">
        <f t="shared" si="23"/>
        <v>0.88130563498656356</v>
      </c>
    </row>
    <row r="37" spans="1:37" s="430" customFormat="1" ht="12.75" customHeight="1">
      <c r="A37" s="444">
        <f t="shared" si="10"/>
        <v>46020</v>
      </c>
      <c r="B37" s="431" t="s">
        <v>234</v>
      </c>
      <c r="C37" s="431" t="s">
        <v>802</v>
      </c>
      <c r="D37" s="424">
        <f>+'29'!F42</f>
        <v>1216.25</v>
      </c>
      <c r="E37" s="424">
        <f>+'29'!G42</f>
        <v>1211.993125</v>
      </c>
      <c r="F37" s="50">
        <f t="shared" si="0"/>
        <v>3.5000000000000586E-3</v>
      </c>
      <c r="G37" s="450">
        <f t="shared" si="11"/>
        <v>1.0368895418752897</v>
      </c>
      <c r="H37" s="445">
        <f t="shared" si="12"/>
        <v>1.0092670762129166</v>
      </c>
      <c r="I37" s="445">
        <f t="shared" si="13"/>
        <v>0.90056079879633455</v>
      </c>
      <c r="J37" s="451">
        <f t="shared" si="14"/>
        <v>0.9089063643531452</v>
      </c>
      <c r="K37" s="451">
        <f t="shared" si="15"/>
        <v>0.88133061017275727</v>
      </c>
      <c r="L37" s="425">
        <f>+SUM(Efficiency1!K134:K135)</f>
        <v>72.438704999999999</v>
      </c>
      <c r="M37" s="426">
        <f t="shared" si="16"/>
        <v>2050.7298613464945</v>
      </c>
      <c r="N37" s="425">
        <f>+SUM(Efficiency1!C134:C135)</f>
        <v>70.508956882500001</v>
      </c>
      <c r="O37" s="426">
        <f t="shared" si="16"/>
        <v>1995.1139195678415</v>
      </c>
      <c r="P37" s="570">
        <f>'29'!I38</f>
        <v>73.109999999999985</v>
      </c>
      <c r="Q37" s="426">
        <f t="shared" si="17"/>
        <v>1866.3472220100002</v>
      </c>
      <c r="R37" s="14">
        <f>'29'!I40</f>
        <v>65.84</v>
      </c>
      <c r="S37" s="426">
        <f t="shared" si="18"/>
        <v>1807.3709999999999</v>
      </c>
      <c r="T37" s="562">
        <f t="shared" si="1"/>
        <v>154.93899999999999</v>
      </c>
      <c r="U37" s="427">
        <f t="shared" si="19"/>
        <v>4050.5319999999992</v>
      </c>
      <c r="V37" s="429">
        <f t="shared" si="2"/>
        <v>2.1192586513472853</v>
      </c>
      <c r="W37" s="429">
        <f t="shared" si="3"/>
        <v>2.1702992627693884</v>
      </c>
      <c r="X37" s="425">
        <f t="shared" si="4"/>
        <v>2.3532654921020653</v>
      </c>
      <c r="Y37" s="429">
        <f t="shared" si="5"/>
        <v>2.2411181766222872</v>
      </c>
      <c r="Z37" s="428">
        <f>'29'!I46</f>
        <v>54550.999999999578</v>
      </c>
      <c r="AA37" s="427">
        <f t="shared" si="20"/>
        <v>1572814.379999999</v>
      </c>
      <c r="AB37" s="429">
        <f t="shared" si="6"/>
        <v>746.14963753247969</v>
      </c>
      <c r="AC37" s="429">
        <f t="shared" si="7"/>
        <v>842.72334828785233</v>
      </c>
      <c r="AD37" s="429">
        <f t="shared" si="8"/>
        <v>828.53888213851121</v>
      </c>
      <c r="AE37" s="429">
        <f t="shared" si="9"/>
        <v>870.22220673010645</v>
      </c>
      <c r="AF37" s="505">
        <v>12.397</v>
      </c>
      <c r="AG37" s="524">
        <v>142.542</v>
      </c>
      <c r="AH37" s="425">
        <f>+SUM(Efficiency2!K134:K135)</f>
        <v>72.438704999999999</v>
      </c>
      <c r="AI37" s="426">
        <f t="shared" si="21"/>
        <v>2048.5193413464945</v>
      </c>
      <c r="AJ37" s="451">
        <f t="shared" si="22"/>
        <v>0.9089063643531452</v>
      </c>
      <c r="AK37" s="451">
        <f t="shared" si="23"/>
        <v>0.8822816380205678</v>
      </c>
    </row>
    <row r="38" spans="1:37" s="430" customFormat="1" ht="12.75" customHeight="1">
      <c r="A38" s="444">
        <f t="shared" si="10"/>
        <v>46021</v>
      </c>
      <c r="B38" s="431" t="s">
        <v>234</v>
      </c>
      <c r="C38" s="448" t="s">
        <v>517</v>
      </c>
      <c r="D38" s="424">
        <f>+'30'!F42</f>
        <v>1210</v>
      </c>
      <c r="E38" s="424">
        <f>+'30'!G42</f>
        <v>1205.7650000000001</v>
      </c>
      <c r="F38" s="50">
        <f t="shared" si="0"/>
        <v>3.4999999999999476E-3</v>
      </c>
      <c r="G38" s="450">
        <f t="shared" si="11"/>
        <v>0.9639343739864954</v>
      </c>
      <c r="H38" s="445">
        <f t="shared" si="12"/>
        <v>0.96056060367754292</v>
      </c>
      <c r="I38" s="445">
        <f t="shared" si="13"/>
        <v>1.0469951286325285</v>
      </c>
      <c r="J38" s="451">
        <f t="shared" si="14"/>
        <v>1.0057022728067084</v>
      </c>
      <c r="K38" s="451">
        <f t="shared" si="15"/>
        <v>0.88603217968436698</v>
      </c>
      <c r="L38" s="425">
        <f>+Efficiency1!K139</f>
        <v>80.568575999999993</v>
      </c>
      <c r="M38" s="426">
        <f t="shared" si="16"/>
        <v>2131.2984373464947</v>
      </c>
      <c r="N38" s="425">
        <f>+Efficiency1!C139</f>
        <v>80.286585984000013</v>
      </c>
      <c r="O38" s="426">
        <f t="shared" si="16"/>
        <v>2075.4005055518414</v>
      </c>
      <c r="P38" s="570">
        <f>'30'!I38</f>
        <v>77.390999999999991</v>
      </c>
      <c r="Q38" s="426">
        <f t="shared" si="17"/>
        <v>1943.7382220100003</v>
      </c>
      <c r="R38" s="14">
        <f>'30'!I40</f>
        <v>81.028000000000006</v>
      </c>
      <c r="S38" s="426">
        <f t="shared" si="18"/>
        <v>1888.3989999999999</v>
      </c>
      <c r="T38" s="562">
        <f t="shared" si="1"/>
        <v>170.05699999999999</v>
      </c>
      <c r="U38" s="427">
        <f t="shared" si="19"/>
        <v>4220.588999999999</v>
      </c>
      <c r="V38" s="429">
        <f t="shared" si="2"/>
        <v>2.1973743716969674</v>
      </c>
      <c r="W38" s="429">
        <f t="shared" si="3"/>
        <v>2.171377273033984</v>
      </c>
      <c r="X38" s="425">
        <f t="shared" si="4"/>
        <v>2.0987436441723846</v>
      </c>
      <c r="Y38" s="429">
        <f t="shared" si="5"/>
        <v>2.2350091267788215</v>
      </c>
      <c r="Z38" s="428">
        <f>'30'!I46</f>
        <v>54019.000000001877</v>
      </c>
      <c r="AA38" s="427">
        <f t="shared" si="20"/>
        <v>1626833.3800000008</v>
      </c>
      <c r="AB38" s="429">
        <f t="shared" si="6"/>
        <v>698.00105955475306</v>
      </c>
      <c r="AC38" s="429">
        <f t="shared" si="7"/>
        <v>836.96115123862137</v>
      </c>
      <c r="AD38" s="429">
        <f t="shared" si="8"/>
        <v>666.67078047097152</v>
      </c>
      <c r="AE38" s="429">
        <f t="shared" si="9"/>
        <v>861.48816007634025</v>
      </c>
      <c r="AF38" s="505">
        <v>18.468</v>
      </c>
      <c r="AG38" s="524">
        <v>151.589</v>
      </c>
      <c r="AH38" s="425">
        <f>+Efficiency2!K139</f>
        <v>80.568575999999993</v>
      </c>
      <c r="AI38" s="426">
        <f t="shared" si="21"/>
        <v>2129.0879173464946</v>
      </c>
      <c r="AJ38" s="451">
        <f t="shared" si="22"/>
        <v>1.0057022728067084</v>
      </c>
      <c r="AK38" s="451">
        <f t="shared" si="23"/>
        <v>0.88695210029350602</v>
      </c>
    </row>
    <row r="39" spans="1:37" s="430" customFormat="1" ht="12.75" customHeight="1">
      <c r="A39" s="444">
        <f>A38+1</f>
        <v>46022</v>
      </c>
      <c r="B39" s="431" t="s">
        <v>565</v>
      </c>
      <c r="C39" s="431" t="s">
        <v>813</v>
      </c>
      <c r="D39" s="424">
        <f>+'31'!F42</f>
        <v>1448.3333333333333</v>
      </c>
      <c r="E39" s="424">
        <f>+'31'!G42</f>
        <v>1231.8922916666666</v>
      </c>
      <c r="F39" s="50">
        <f t="shared" si="0"/>
        <v>0.1494414556962026</v>
      </c>
      <c r="G39" s="450">
        <f t="shared" si="11"/>
        <v>0.94655907321446842</v>
      </c>
      <c r="H39" s="445">
        <f t="shared" si="12"/>
        <v>0.90596056063636554</v>
      </c>
      <c r="I39" s="445">
        <f t="shared" si="13"/>
        <v>1.0751315829505006</v>
      </c>
      <c r="J39" s="451">
        <f t="shared" si="14"/>
        <v>0.97402681164769866</v>
      </c>
      <c r="K39" s="451">
        <f t="shared" si="15"/>
        <v>0.88892938553232526</v>
      </c>
      <c r="L39" s="425">
        <f>+SUM(Efficiency1!K143:K144)</f>
        <v>72.561657600000004</v>
      </c>
      <c r="M39" s="426">
        <f>M38+L39</f>
        <v>2203.8600949464949</v>
      </c>
      <c r="N39" s="425">
        <f>+SUM(Efficiency1!C143:C144)</f>
        <v>69.449442575999996</v>
      </c>
      <c r="O39" s="426">
        <f>O38+N39</f>
        <v>2144.8499481278413</v>
      </c>
      <c r="P39" s="570">
        <f>'31'!I38</f>
        <v>65.738</v>
      </c>
      <c r="Q39" s="426">
        <f>Q38+P39</f>
        <v>2009.4762220100004</v>
      </c>
      <c r="R39" s="14">
        <f>'31'!I40</f>
        <v>70.677000000000007</v>
      </c>
      <c r="S39" s="426">
        <f>S38+R39</f>
        <v>1959.0759999999998</v>
      </c>
      <c r="T39" s="562">
        <f t="shared" si="1"/>
        <v>141.99299999999999</v>
      </c>
      <c r="U39" s="427">
        <f>T39+U38</f>
        <v>4362.5819999999994</v>
      </c>
      <c r="V39" s="429">
        <f t="shared" si="2"/>
        <v>2.1599835711460647</v>
      </c>
      <c r="W39" s="429">
        <f t="shared" si="3"/>
        <v>2.1710045394994917</v>
      </c>
      <c r="X39" s="425">
        <f t="shared" si="4"/>
        <v>2.0090411307780465</v>
      </c>
      <c r="Y39" s="429">
        <f t="shared" si="5"/>
        <v>2.2268569468463704</v>
      </c>
      <c r="Z39" s="428">
        <f>'31'!I46</f>
        <v>52788.719999996596</v>
      </c>
      <c r="AA39" s="427">
        <f>Z39+AA38</f>
        <v>1679622.0999999973</v>
      </c>
      <c r="AB39" s="429">
        <f t="shared" si="6"/>
        <v>803.0168243633301</v>
      </c>
      <c r="AC39" s="429">
        <f t="shared" si="7"/>
        <v>835.85069661582611</v>
      </c>
      <c r="AD39" s="429">
        <f t="shared" si="8"/>
        <v>746.90097202762706</v>
      </c>
      <c r="AE39" s="429">
        <f t="shared" si="9"/>
        <v>857.35423230134904</v>
      </c>
      <c r="AF39" s="505">
        <f>8.498</f>
        <v>8.4979999999999993</v>
      </c>
      <c r="AG39" s="524">
        <v>133.495</v>
      </c>
      <c r="AH39" s="425">
        <f>+SUM(Efficiency2!K143:K144)</f>
        <v>72.561657600000004</v>
      </c>
      <c r="AI39" s="426">
        <f>AI38+AH39</f>
        <v>2201.6495749464948</v>
      </c>
      <c r="AJ39" s="451">
        <f t="shared" si="22"/>
        <v>0.97402681164769866</v>
      </c>
      <c r="AK39" s="451">
        <f t="shared" si="23"/>
        <v>0.8898218964058392</v>
      </c>
    </row>
    <row r="40" spans="1:37" s="430" customFormat="1" ht="12.75" customHeight="1" thickBot="1">
      <c r="A40" s="444"/>
      <c r="B40" s="432"/>
      <c r="C40" s="432"/>
      <c r="D40" s="432"/>
      <c r="E40" s="432"/>
      <c r="F40" s="446"/>
      <c r="G40" s="450"/>
      <c r="H40" s="445"/>
      <c r="I40" s="445"/>
      <c r="J40" s="451"/>
      <c r="K40" s="456"/>
      <c r="L40" s="433"/>
      <c r="M40" s="434"/>
      <c r="N40" s="434"/>
      <c r="O40" s="434"/>
      <c r="P40" s="434"/>
      <c r="Q40" s="434"/>
      <c r="R40" s="434"/>
      <c r="S40" s="434"/>
      <c r="T40" s="435"/>
      <c r="U40" s="435"/>
      <c r="V40" s="436"/>
      <c r="W40" s="436"/>
      <c r="X40" s="433"/>
      <c r="Y40" s="436"/>
      <c r="Z40" s="435"/>
      <c r="AA40" s="435"/>
      <c r="AB40" s="436"/>
      <c r="AC40" s="436"/>
      <c r="AD40" s="436"/>
      <c r="AE40" s="436"/>
      <c r="AF40" s="505"/>
      <c r="AG40" s="524"/>
      <c r="AH40" s="433"/>
      <c r="AI40" s="434"/>
      <c r="AJ40" s="451"/>
      <c r="AK40" s="456"/>
    </row>
    <row r="41" spans="1:37" s="430" customFormat="1" ht="12.75" customHeight="1" thickTop="1" thickBot="1">
      <c r="A41" s="437"/>
      <c r="B41" s="438"/>
      <c r="C41" s="438"/>
      <c r="D41" s="438"/>
      <c r="E41" s="438"/>
      <c r="F41" s="447"/>
      <c r="G41" s="450">
        <f t="shared" si="11"/>
        <v>0.93688429056027733</v>
      </c>
      <c r="H41" s="445">
        <f t="shared" si="12"/>
        <v>0.91179845155224626</v>
      </c>
      <c r="I41" s="445">
        <f t="shared" si="13"/>
        <v>0.97491872685132486</v>
      </c>
      <c r="J41" s="451">
        <f t="shared" si="14"/>
        <v>0.88892938553232526</v>
      </c>
      <c r="K41" s="456"/>
      <c r="L41" s="439">
        <f>SUM(L9:L39)</f>
        <v>2203.8600949464949</v>
      </c>
      <c r="M41" s="440"/>
      <c r="N41" s="439">
        <f>SUM(N9:N39)</f>
        <v>2144.8499481278413</v>
      </c>
      <c r="O41" s="440"/>
      <c r="P41" s="439">
        <f>SUM(P9:P39)</f>
        <v>2009.4762220100004</v>
      </c>
      <c r="Q41" s="440"/>
      <c r="R41" s="439">
        <f>SUM(R9:R39)</f>
        <v>1959.0759999999998</v>
      </c>
      <c r="S41" s="440"/>
      <c r="T41" s="441">
        <f>SUM(T9:T40)</f>
        <v>4362.5819999999994</v>
      </c>
      <c r="U41" s="441"/>
      <c r="V41" s="442">
        <f>T41/P41</f>
        <v>2.1710045394994917</v>
      </c>
      <c r="W41" s="442"/>
      <c r="X41" s="443">
        <f>T41/R41</f>
        <v>2.2268569468463704</v>
      </c>
      <c r="Y41" s="442"/>
      <c r="Z41" s="441">
        <f>SUM(Z9:Z39)</f>
        <v>1679622.0999999973</v>
      </c>
      <c r="AA41" s="441"/>
      <c r="AB41" s="442">
        <f>Z41/P41</f>
        <v>835.85069661582611</v>
      </c>
      <c r="AC41" s="442"/>
      <c r="AD41" s="442">
        <f>Z41/R41</f>
        <v>857.35423230134893</v>
      </c>
      <c r="AE41" s="442"/>
      <c r="AF41" s="505"/>
      <c r="AG41" s="524"/>
      <c r="AH41" s="439">
        <f>SUM(AH9:AH39)</f>
        <v>2201.6495749464948</v>
      </c>
      <c r="AI41" s="440"/>
      <c r="AJ41" s="451">
        <f t="shared" si="22"/>
        <v>0.8898218964058392</v>
      </c>
      <c r="AK41" s="456"/>
    </row>
    <row r="42" spans="1:37" ht="12.75" customHeight="1" thickTop="1">
      <c r="S42" s="295"/>
      <c r="T42" s="295"/>
      <c r="U42" s="295"/>
      <c r="X42" s="295"/>
      <c r="Z42" s="295"/>
      <c r="AA42" s="295"/>
    </row>
    <row r="43" spans="1:37" ht="12.75" customHeight="1">
      <c r="S43" s="295"/>
      <c r="T43" s="295"/>
      <c r="U43" s="295"/>
      <c r="X43" s="295"/>
      <c r="Z43" s="295"/>
      <c r="AA43" s="295"/>
    </row>
    <row r="44" spans="1:37">
      <c r="S44" s="295"/>
      <c r="T44" s="295"/>
      <c r="U44" s="295"/>
      <c r="X44" s="295"/>
      <c r="Z44" s="295"/>
      <c r="AA44" s="295"/>
    </row>
    <row r="45" spans="1:37">
      <c r="R45" s="304"/>
      <c r="S45" s="305"/>
    </row>
    <row r="46" spans="1:37">
      <c r="R46" s="306"/>
    </row>
    <row r="47" spans="1:37">
      <c r="R47" s="306"/>
    </row>
    <row r="48" spans="1:37">
      <c r="R48" s="306"/>
    </row>
    <row r="49" spans="18:37">
      <c r="R49" s="306"/>
      <c r="AJ49"/>
      <c r="AK49"/>
    </row>
    <row r="50" spans="18:37">
      <c r="R50" s="306"/>
      <c r="AJ50"/>
      <c r="AK50"/>
    </row>
    <row r="51" spans="18:37">
      <c r="R51" s="306"/>
      <c r="AJ51"/>
      <c r="AK51"/>
    </row>
    <row r="52" spans="18:37">
      <c r="R52" s="306"/>
      <c r="AJ52"/>
      <c r="AK52"/>
    </row>
    <row r="53" spans="18:37">
      <c r="R53" s="306"/>
      <c r="AJ53"/>
      <c r="AK53"/>
    </row>
    <row r="54" spans="18:37">
      <c r="R54" s="306"/>
      <c r="AJ54"/>
      <c r="AK54"/>
    </row>
    <row r="55" spans="18:37">
      <c r="R55" s="306"/>
      <c r="AJ55"/>
      <c r="AK55"/>
    </row>
    <row r="56" spans="18:37">
      <c r="R56" s="306"/>
      <c r="AJ56"/>
      <c r="AK56"/>
    </row>
    <row r="57" spans="18:37">
      <c r="R57" s="306"/>
      <c r="AJ57"/>
      <c r="AK57"/>
    </row>
    <row r="58" spans="18:37">
      <c r="R58" s="306"/>
      <c r="AJ58"/>
      <c r="AK58"/>
    </row>
    <row r="59" spans="18:37">
      <c r="R59" s="306"/>
      <c r="AJ59"/>
      <c r="AK59"/>
    </row>
    <row r="60" spans="18:37">
      <c r="AJ60"/>
      <c r="AK60"/>
    </row>
    <row r="65536" spans="3:35">
      <c r="C65536" s="307"/>
      <c r="AH65536"/>
      <c r="AI65536"/>
    </row>
  </sheetData>
  <mergeCells count="26">
    <mergeCell ref="J6:K7"/>
    <mergeCell ref="AF6:AG7"/>
    <mergeCell ref="N6:O7"/>
    <mergeCell ref="T7:U7"/>
    <mergeCell ref="V7:W7"/>
    <mergeCell ref="X7:Y7"/>
    <mergeCell ref="T6:Y6"/>
    <mergeCell ref="P6:Q7"/>
    <mergeCell ref="R6:S7"/>
    <mergeCell ref="Z6:AE6"/>
    <mergeCell ref="AH6:AI7"/>
    <mergeCell ref="AJ6:AK7"/>
    <mergeCell ref="A3:AE4"/>
    <mergeCell ref="Z7:AA7"/>
    <mergeCell ref="AB7:AC7"/>
    <mergeCell ref="AD7:AE7"/>
    <mergeCell ref="D6:D8"/>
    <mergeCell ref="A6:A8"/>
    <mergeCell ref="B6:B8"/>
    <mergeCell ref="C6:C8"/>
    <mergeCell ref="L6:M7"/>
    <mergeCell ref="H6:H8"/>
    <mergeCell ref="I6:I8"/>
    <mergeCell ref="E6:E8"/>
    <mergeCell ref="F6:F8"/>
    <mergeCell ref="G6:G8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45"/>
  <sheetViews>
    <sheetView zoomScaleNormal="100" workbookViewId="0">
      <pane xSplit="3" ySplit="6" topLeftCell="AG19" activePane="bottomRight" state="frozen"/>
      <selection pane="topRight" activeCell="D1" sqref="D1"/>
      <selection pane="bottomLeft" activeCell="A7" sqref="A7"/>
      <selection pane="bottomRight" activeCell="AR43" sqref="AR43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8.85546875" customWidth="1"/>
    <col min="9" max="9" width="12.85546875" customWidth="1"/>
    <col min="10" max="10" width="11.5703125" customWidth="1"/>
    <col min="11" max="11" width="12" customWidth="1"/>
    <col min="12" max="12" width="12.28515625" bestFit="1" customWidth="1"/>
    <col min="13" max="13" width="13" bestFit="1" customWidth="1"/>
    <col min="14" max="15" width="11" bestFit="1" customWidth="1"/>
    <col min="16" max="16" width="13.5703125" customWidth="1"/>
    <col min="17" max="17" width="12.42578125" customWidth="1"/>
    <col min="18" max="19" width="13.140625" customWidth="1"/>
    <col min="20" max="20" width="13" bestFit="1" customWidth="1"/>
    <col min="21" max="21" width="13.7109375" bestFit="1" customWidth="1"/>
    <col min="22" max="43" width="13.5703125" customWidth="1"/>
    <col min="44" max="44" width="13.85546875" bestFit="1" customWidth="1"/>
    <col min="45" max="46" width="10.85546875" bestFit="1" customWidth="1"/>
    <col min="49" max="49" width="39" bestFit="1" customWidth="1"/>
  </cols>
  <sheetData>
    <row r="2" spans="1:51" ht="24.75" customHeight="1">
      <c r="A2" s="830" t="s">
        <v>21</v>
      </c>
      <c r="B2" s="830"/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  <c r="P2" s="830"/>
      <c r="Q2" s="830"/>
      <c r="R2" s="830"/>
      <c r="S2" s="830"/>
      <c r="T2" s="830"/>
      <c r="U2" s="830"/>
      <c r="V2" s="830"/>
      <c r="W2" s="830"/>
      <c r="X2" s="830"/>
      <c r="Y2" s="830"/>
      <c r="Z2" s="830"/>
      <c r="AA2" s="830"/>
      <c r="AB2" s="830"/>
      <c r="AC2" s="830"/>
      <c r="AD2" s="830"/>
      <c r="AE2" s="830"/>
      <c r="AF2" s="830"/>
      <c r="AG2" s="830"/>
      <c r="AH2" s="830"/>
      <c r="AI2" s="830"/>
      <c r="AJ2" s="830"/>
      <c r="AK2" s="830"/>
      <c r="AL2" s="830"/>
      <c r="AM2" s="830"/>
      <c r="AN2" s="830"/>
      <c r="AO2" s="830"/>
      <c r="AP2" s="830"/>
      <c r="AQ2" s="830"/>
      <c r="AR2" s="830"/>
      <c r="AS2" s="308"/>
      <c r="AT2" s="308"/>
      <c r="AU2" s="308"/>
      <c r="AV2" s="308"/>
      <c r="AW2" s="308"/>
    </row>
    <row r="3" spans="1:51" ht="12.75" customHeight="1">
      <c r="A3" s="308"/>
      <c r="B3" s="308"/>
      <c r="C3" s="308"/>
      <c r="D3" s="309"/>
      <c r="E3" s="310"/>
      <c r="F3" s="311"/>
      <c r="G3" s="312"/>
      <c r="H3" s="313"/>
      <c r="I3" s="314"/>
      <c r="J3" s="314"/>
      <c r="K3" s="314"/>
      <c r="L3" s="315"/>
      <c r="M3" s="314"/>
      <c r="N3" s="314"/>
      <c r="O3" s="314"/>
      <c r="P3" s="316"/>
      <c r="Q3" s="314"/>
      <c r="R3" s="314"/>
      <c r="S3" s="314"/>
      <c r="T3" s="317"/>
      <c r="U3" s="314"/>
      <c r="V3" s="314"/>
      <c r="W3" s="314"/>
      <c r="X3" s="314"/>
      <c r="Y3" s="314"/>
      <c r="Z3" s="314"/>
      <c r="AA3" s="314"/>
      <c r="AB3" s="314"/>
      <c r="AC3" s="314"/>
      <c r="AD3" s="314"/>
      <c r="AE3" s="314"/>
      <c r="AF3" s="314"/>
      <c r="AG3" s="314"/>
      <c r="AH3" s="314"/>
      <c r="AI3" s="314"/>
      <c r="AJ3" s="314"/>
      <c r="AK3" s="314"/>
      <c r="AL3" s="314"/>
      <c r="AM3" s="314"/>
      <c r="AN3" s="314"/>
      <c r="AO3" s="314"/>
      <c r="AP3" s="314"/>
      <c r="AQ3" s="314"/>
      <c r="AR3" s="314"/>
      <c r="AS3" s="6"/>
      <c r="AT3" s="6"/>
      <c r="AU3" s="308"/>
      <c r="AV3" s="308"/>
      <c r="AW3" s="308"/>
    </row>
    <row r="4" spans="1:51">
      <c r="A4" s="831" t="s">
        <v>8</v>
      </c>
      <c r="B4" s="834" t="s">
        <v>22</v>
      </c>
      <c r="C4" s="834" t="s">
        <v>23</v>
      </c>
      <c r="D4" s="872"/>
      <c r="E4" s="873"/>
      <c r="F4" s="873"/>
      <c r="G4" s="873"/>
      <c r="H4" s="873"/>
      <c r="I4" s="873"/>
      <c r="J4" s="873"/>
      <c r="K4" s="873"/>
      <c r="L4" s="873"/>
      <c r="M4" s="873"/>
      <c r="N4" s="873"/>
      <c r="O4" s="873"/>
      <c r="P4" s="873"/>
      <c r="Q4" s="873"/>
      <c r="R4" s="873"/>
      <c r="S4" s="873"/>
      <c r="T4" s="873"/>
      <c r="U4" s="873"/>
      <c r="V4" s="873"/>
      <c r="W4" s="873"/>
      <c r="X4" s="873"/>
      <c r="Y4" s="873"/>
      <c r="Z4" s="873"/>
      <c r="AA4" s="873"/>
      <c r="AB4" s="873"/>
      <c r="AC4" s="873"/>
      <c r="AD4" s="873"/>
      <c r="AE4" s="873"/>
      <c r="AF4" s="873"/>
      <c r="AG4" s="873"/>
      <c r="AH4" s="873"/>
      <c r="AI4" s="873"/>
      <c r="AJ4" s="873"/>
      <c r="AK4" s="873"/>
      <c r="AL4" s="873"/>
      <c r="AM4" s="873"/>
      <c r="AN4" s="873"/>
      <c r="AO4" s="873"/>
      <c r="AP4" s="873"/>
      <c r="AQ4" s="874"/>
      <c r="AR4" s="852" t="s">
        <v>148</v>
      </c>
      <c r="AS4" s="853"/>
      <c r="AT4" s="854"/>
    </row>
    <row r="5" spans="1:51" ht="14.25" customHeight="1">
      <c r="A5" s="832"/>
      <c r="B5" s="835"/>
      <c r="C5" s="835"/>
      <c r="D5" s="837" t="s">
        <v>176</v>
      </c>
      <c r="E5" s="838"/>
      <c r="F5" s="838"/>
      <c r="G5" s="839"/>
      <c r="H5" s="849" t="s">
        <v>177</v>
      </c>
      <c r="I5" s="850"/>
      <c r="J5" s="850"/>
      <c r="K5" s="851"/>
      <c r="L5" s="861" t="s">
        <v>421</v>
      </c>
      <c r="M5" s="862"/>
      <c r="N5" s="862"/>
      <c r="O5" s="863"/>
      <c r="P5" s="858" t="s">
        <v>178</v>
      </c>
      <c r="Q5" s="859"/>
      <c r="R5" s="859"/>
      <c r="S5" s="860"/>
      <c r="T5" s="864" t="s">
        <v>180</v>
      </c>
      <c r="U5" s="865"/>
      <c r="V5" s="865"/>
      <c r="W5" s="865"/>
      <c r="X5" s="866" t="s">
        <v>181</v>
      </c>
      <c r="Y5" s="867"/>
      <c r="Z5" s="867"/>
      <c r="AA5" s="868"/>
      <c r="AB5" s="840" t="s">
        <v>182</v>
      </c>
      <c r="AC5" s="841"/>
      <c r="AD5" s="841"/>
      <c r="AE5" s="842"/>
      <c r="AF5" s="843" t="s">
        <v>183</v>
      </c>
      <c r="AG5" s="844"/>
      <c r="AH5" s="844"/>
      <c r="AI5" s="845"/>
      <c r="AJ5" s="869" t="s">
        <v>184</v>
      </c>
      <c r="AK5" s="870"/>
      <c r="AL5" s="870"/>
      <c r="AM5" s="871"/>
      <c r="AN5" s="846" t="s">
        <v>185</v>
      </c>
      <c r="AO5" s="847"/>
      <c r="AP5" s="847"/>
      <c r="AQ5" s="848"/>
      <c r="AR5" s="855"/>
      <c r="AS5" s="856"/>
      <c r="AT5" s="857"/>
    </row>
    <row r="6" spans="1:51" ht="14.25" customHeight="1">
      <c r="A6" s="833"/>
      <c r="B6" s="836"/>
      <c r="C6" s="836"/>
      <c r="D6" s="389" t="s">
        <v>24</v>
      </c>
      <c r="E6" s="390" t="s">
        <v>25</v>
      </c>
      <c r="F6" s="391" t="s">
        <v>26</v>
      </c>
      <c r="G6" s="391" t="s">
        <v>27</v>
      </c>
      <c r="H6" s="392" t="s">
        <v>24</v>
      </c>
      <c r="I6" s="393" t="s">
        <v>25</v>
      </c>
      <c r="J6" s="394" t="s">
        <v>26</v>
      </c>
      <c r="K6" s="394" t="s">
        <v>27</v>
      </c>
      <c r="L6" s="402" t="s">
        <v>24</v>
      </c>
      <c r="M6" s="403" t="s">
        <v>25</v>
      </c>
      <c r="N6" s="404" t="s">
        <v>26</v>
      </c>
      <c r="O6" s="404" t="s">
        <v>27</v>
      </c>
      <c r="P6" s="398" t="s">
        <v>24</v>
      </c>
      <c r="Q6" s="399" t="s">
        <v>25</v>
      </c>
      <c r="R6" s="400" t="s">
        <v>26</v>
      </c>
      <c r="S6" s="400" t="s">
        <v>27</v>
      </c>
      <c r="T6" s="395" t="s">
        <v>24</v>
      </c>
      <c r="U6" s="396" t="s">
        <v>25</v>
      </c>
      <c r="V6" s="397" t="s">
        <v>26</v>
      </c>
      <c r="W6" s="397" t="s">
        <v>27</v>
      </c>
      <c r="X6" s="406" t="s">
        <v>24</v>
      </c>
      <c r="Y6" s="406" t="s">
        <v>25</v>
      </c>
      <c r="Z6" s="406" t="s">
        <v>26</v>
      </c>
      <c r="AA6" s="406" t="s">
        <v>27</v>
      </c>
      <c r="AB6" s="401" t="s">
        <v>24</v>
      </c>
      <c r="AC6" s="401" t="s">
        <v>25</v>
      </c>
      <c r="AD6" s="401" t="s">
        <v>26</v>
      </c>
      <c r="AE6" s="401" t="s">
        <v>27</v>
      </c>
      <c r="AF6" s="405" t="s">
        <v>24</v>
      </c>
      <c r="AG6" s="405" t="s">
        <v>25</v>
      </c>
      <c r="AH6" s="405" t="s">
        <v>26</v>
      </c>
      <c r="AI6" s="405" t="s">
        <v>27</v>
      </c>
      <c r="AJ6" s="407" t="s">
        <v>24</v>
      </c>
      <c r="AK6" s="407" t="s">
        <v>25</v>
      </c>
      <c r="AL6" s="407" t="s">
        <v>26</v>
      </c>
      <c r="AM6" s="407" t="s">
        <v>27</v>
      </c>
      <c r="AN6" s="408" t="s">
        <v>24</v>
      </c>
      <c r="AO6" s="408" t="s">
        <v>25</v>
      </c>
      <c r="AP6" s="408" t="s">
        <v>26</v>
      </c>
      <c r="AQ6" s="408" t="s">
        <v>27</v>
      </c>
      <c r="AR6" s="409" t="s">
        <v>25</v>
      </c>
      <c r="AS6" s="410" t="s">
        <v>26</v>
      </c>
      <c r="AT6" s="410" t="s">
        <v>27</v>
      </c>
      <c r="AV6" s="348"/>
    </row>
    <row r="7" spans="1:51">
      <c r="A7" s="318">
        <f>A8-1</f>
        <v>45991</v>
      </c>
      <c r="B7" s="319">
        <v>0</v>
      </c>
      <c r="C7" s="319">
        <v>0</v>
      </c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350"/>
      <c r="AS7" s="110"/>
      <c r="AT7" s="110"/>
    </row>
    <row r="8" spans="1:51" ht="15">
      <c r="A8" s="318">
        <f>+Report1!A9</f>
        <v>45992</v>
      </c>
      <c r="B8" s="326">
        <f>+Report1!P9</f>
        <v>57.165000000000006</v>
      </c>
      <c r="C8" s="326">
        <f>+Report1!R9</f>
        <v>41.514000000000003</v>
      </c>
      <c r="D8" s="327">
        <f>+D7+E8</f>
        <v>0</v>
      </c>
      <c r="E8" s="327">
        <f>+[18]DailyDes!D7</f>
        <v>0</v>
      </c>
      <c r="F8" s="327">
        <f t="shared" ref="F8:F38" si="0">E8/B8</f>
        <v>0</v>
      </c>
      <c r="G8" s="327">
        <f t="shared" ref="G8:G38" si="1">E8/C8</f>
        <v>0</v>
      </c>
      <c r="H8" s="327">
        <f>+H7+I8</f>
        <v>0</v>
      </c>
      <c r="I8" s="327">
        <f>+[18]DailyDes!E7</f>
        <v>0</v>
      </c>
      <c r="J8" s="327">
        <f t="shared" ref="J8:J38" si="2">I8/B8</f>
        <v>0</v>
      </c>
      <c r="K8" s="327">
        <f t="shared" ref="K8:K38" si="3">I8/C8</f>
        <v>0</v>
      </c>
      <c r="L8" s="327">
        <f>+L7+M8</f>
        <v>6500</v>
      </c>
      <c r="M8" s="327">
        <f>+[18]DailyDes!F7</f>
        <v>6500</v>
      </c>
      <c r="N8" s="327">
        <f t="shared" ref="N8:N38" si="4">M8/B8</f>
        <v>113.70593894865738</v>
      </c>
      <c r="O8" s="327">
        <f t="shared" ref="O8:O38" si="5">M8/C8</f>
        <v>156.57368598545068</v>
      </c>
      <c r="P8" s="327">
        <f>+P7+Q8</f>
        <v>7600.0000000003638</v>
      </c>
      <c r="Q8" s="327">
        <f>+[18]DailyDes!G7</f>
        <v>7600.0000000003638</v>
      </c>
      <c r="R8" s="327">
        <f t="shared" ref="R8:R38" si="6">Q8/B8</f>
        <v>132.94848246305193</v>
      </c>
      <c r="S8" s="327">
        <f t="shared" ref="S8:S38" si="7">Q8/C8</f>
        <v>183.07077130607416</v>
      </c>
      <c r="T8" s="327">
        <f>+T7+U8</f>
        <v>4199.9999999998181</v>
      </c>
      <c r="U8" s="327">
        <f>+[18]DailyDes!H7</f>
        <v>4199.9999999998181</v>
      </c>
      <c r="V8" s="327">
        <f t="shared" ref="V8:V38" si="8">U8/B8</f>
        <v>73.471529782206204</v>
      </c>
      <c r="W8" s="327">
        <f t="shared" ref="W8:W38" si="9">U8/C8</f>
        <v>101.17068940597913</v>
      </c>
      <c r="X8" s="327">
        <f>+X7+Y8</f>
        <v>11643.33</v>
      </c>
      <c r="Y8" s="327">
        <f>+[18]DailyDes!I7</f>
        <v>11643.33</v>
      </c>
      <c r="Z8" s="327">
        <f>Y8/B8</f>
        <v>203.67934925216477</v>
      </c>
      <c r="AA8" s="327">
        <f>Y8/C8</f>
        <v>280.46755311461192</v>
      </c>
      <c r="AB8" s="327">
        <f>+AB7+AC8</f>
        <v>7723.3299999996771</v>
      </c>
      <c r="AC8" s="327">
        <f>+[18]DailyDes!J7</f>
        <v>7723.3299999996771</v>
      </c>
      <c r="AD8" s="327">
        <f>AC8/B8</f>
        <v>135.10592145543035</v>
      </c>
      <c r="AE8" s="421">
        <f>AC8/C8</f>
        <v>186.04157633568619</v>
      </c>
      <c r="AF8" s="327">
        <f>+AF7+AG8</f>
        <v>13699.999999998909</v>
      </c>
      <c r="AG8" s="327">
        <f>+[18]DailyDes!K7</f>
        <v>13699.999999998909</v>
      </c>
      <c r="AH8" s="327">
        <f>AG8/B8</f>
        <v>239.65713286099725</v>
      </c>
      <c r="AI8" s="449">
        <f>AG8/C8</f>
        <v>330.00915353853901</v>
      </c>
      <c r="AJ8" s="327">
        <f>+AJ7+AK8</f>
        <v>330</v>
      </c>
      <c r="AK8" s="327">
        <f>+[18]DailyDes!L7</f>
        <v>330</v>
      </c>
      <c r="AL8" s="327">
        <f>AK8/B8</f>
        <v>5.7727630543164521</v>
      </c>
      <c r="AM8" s="449">
        <f>AK8/C8</f>
        <v>7.9491255961844187</v>
      </c>
      <c r="AN8" s="327">
        <f>+AN7+AO8</f>
        <v>650</v>
      </c>
      <c r="AO8" s="327">
        <f>+[18]DailyDes!M7</f>
        <v>650</v>
      </c>
      <c r="AP8" s="327">
        <f>AO8/B8</f>
        <v>11.370593894865738</v>
      </c>
      <c r="AQ8" s="449">
        <f>AO8/C8</f>
        <v>15.657368598545068</v>
      </c>
      <c r="AR8" s="327">
        <f>+E8+I8+M8+Q8+U8+Y8+AC8+AG8+AK8+AO8</f>
        <v>52346.659999998767</v>
      </c>
      <c r="AS8" s="7">
        <f t="shared" ref="AS8:AS38" si="10">AR8/B8</f>
        <v>915.71171171168999</v>
      </c>
      <c r="AT8" s="325">
        <f t="shared" ref="AT8:AT38" si="11">AR8/C8</f>
        <v>1260.9399238810706</v>
      </c>
      <c r="AX8" s="412" t="s">
        <v>187</v>
      </c>
      <c r="AY8" s="412" t="s">
        <v>188</v>
      </c>
    </row>
    <row r="9" spans="1:51" ht="15">
      <c r="A9" s="318">
        <f t="shared" ref="A9:A38" si="12">A8+1</f>
        <v>45993</v>
      </c>
      <c r="B9" s="326">
        <f>+Report1!P10</f>
        <v>45.629222009999999</v>
      </c>
      <c r="C9" s="326">
        <f>+Report1!R10</f>
        <v>44.883000000000003</v>
      </c>
      <c r="D9" s="327">
        <f t="shared" ref="D9:D38" si="13">+D8+E9</f>
        <v>0</v>
      </c>
      <c r="E9" s="327">
        <f>+[18]DailyDes!D8</f>
        <v>0</v>
      </c>
      <c r="F9" s="327">
        <f t="shared" si="0"/>
        <v>0</v>
      </c>
      <c r="G9" s="327">
        <f t="shared" si="1"/>
        <v>0</v>
      </c>
      <c r="H9" s="327">
        <f t="shared" ref="H9:H38" si="14">+H8+I9</f>
        <v>0</v>
      </c>
      <c r="I9" s="327">
        <f>+[18]DailyDes!E8</f>
        <v>0</v>
      </c>
      <c r="J9" s="327">
        <f t="shared" si="2"/>
        <v>0</v>
      </c>
      <c r="K9" s="327">
        <f t="shared" si="3"/>
        <v>0</v>
      </c>
      <c r="L9" s="327">
        <f t="shared" ref="L9:L38" si="15">+L8+M9</f>
        <v>10000</v>
      </c>
      <c r="M9" s="327">
        <f>+[18]DailyDes!F8</f>
        <v>3500</v>
      </c>
      <c r="N9" s="327">
        <f t="shared" si="4"/>
        <v>76.705230679430557</v>
      </c>
      <c r="O9" s="327">
        <f t="shared" si="5"/>
        <v>77.980527148363521</v>
      </c>
      <c r="P9" s="327">
        <f t="shared" ref="P9:P38" si="16">+P8+Q9</f>
        <v>12200.000000000728</v>
      </c>
      <c r="Q9" s="327">
        <f>+[18]DailyDes!G8</f>
        <v>4600.0000000003638</v>
      </c>
      <c r="R9" s="327">
        <f t="shared" si="6"/>
        <v>100.81258889297385</v>
      </c>
      <c r="S9" s="327">
        <f t="shared" si="7"/>
        <v>102.48869282357158</v>
      </c>
      <c r="T9" s="327">
        <f t="shared" ref="T9:T38" si="17">+T8+U9</f>
        <v>6400.0000000005457</v>
      </c>
      <c r="U9" s="327">
        <f>+[18]DailyDes!H8</f>
        <v>2200.0000000007276</v>
      </c>
      <c r="V9" s="327">
        <f t="shared" si="8"/>
        <v>48.214716427086579</v>
      </c>
      <c r="W9" s="327">
        <f t="shared" si="9"/>
        <v>49.016331350416138</v>
      </c>
      <c r="X9" s="327">
        <f t="shared" ref="X9:X38" si="18">+X8+Y9</f>
        <v>17321.279999999271</v>
      </c>
      <c r="Y9" s="327">
        <f>+[18]DailyDes!I8</f>
        <v>5677.9499999992722</v>
      </c>
      <c r="Z9" s="327">
        <f t="shared" ref="Z9:Z38" si="19">Y9/B9</f>
        <v>124.43670415320483</v>
      </c>
      <c r="AA9" s="327">
        <f t="shared" ref="AA9:AA38" si="20">Y9/C9</f>
        <v>126.50558117771254</v>
      </c>
      <c r="AB9" s="327">
        <f t="shared" ref="AB9:AB38" si="21">+AB8+AC9</f>
        <v>12101.280000000064</v>
      </c>
      <c r="AC9" s="327">
        <f>+[18]DailyDes!J8</f>
        <v>4377.9500000003873</v>
      </c>
      <c r="AD9" s="327">
        <f t="shared" ref="AD9:AD38" si="22">AC9/B9</f>
        <v>95.946189900869342</v>
      </c>
      <c r="AE9" s="421">
        <f t="shared" ref="AE9:AE38" si="23">AC9/C9</f>
        <v>97.541385379773786</v>
      </c>
      <c r="AF9" s="327">
        <f t="shared" ref="AF9:AF38" si="24">+AF8+AG9</f>
        <v>21299.999999999272</v>
      </c>
      <c r="AG9" s="327">
        <f>+[18]DailyDes!K8</f>
        <v>7600.0000000003638</v>
      </c>
      <c r="AH9" s="327">
        <f t="shared" ref="AH9:AH38" si="25">AG9/B9</f>
        <v>166.5599294753429</v>
      </c>
      <c r="AI9" s="449">
        <f t="shared" ref="AI9:AI38" si="26">AG9/C9</f>
        <v>169.32914466502604</v>
      </c>
      <c r="AJ9" s="327">
        <f t="shared" ref="AJ9:AJ38" si="27">+AJ8+AK9</f>
        <v>560</v>
      </c>
      <c r="AK9" s="327">
        <f>+[18]DailyDes!L8</f>
        <v>230</v>
      </c>
      <c r="AL9" s="327">
        <f t="shared" ref="AL9:AL38" si="28">AK9/B9</f>
        <v>5.0406294446482942</v>
      </c>
      <c r="AM9" s="449">
        <f t="shared" ref="AM9:AM38" si="29">AK9/C9</f>
        <v>5.1244346411781745</v>
      </c>
      <c r="AN9" s="327">
        <f t="shared" ref="AN9:AN38" si="30">+AN8+AO9</f>
        <v>1040</v>
      </c>
      <c r="AO9" s="327">
        <f>+[18]DailyDes!M8</f>
        <v>390</v>
      </c>
      <c r="AP9" s="327">
        <f t="shared" ref="AP9:AP38" si="31">AO9/B9</f>
        <v>8.5471542757079764</v>
      </c>
      <c r="AQ9" s="449">
        <f t="shared" ref="AQ9:AQ38" si="32">AO9/C9</f>
        <v>8.6892587393890786</v>
      </c>
      <c r="AR9" s="327">
        <f t="shared" ref="AR9:AR38" si="33">+E9+I9+M9+Q9+U9+Y9+AC9+AG9+AK9+AO9</f>
        <v>28575.900000001115</v>
      </c>
      <c r="AS9" s="324">
        <f>AR9/B9</f>
        <v>626.26314324926432</v>
      </c>
      <c r="AT9" s="325">
        <f t="shared" si="11"/>
        <v>636.67535592543084</v>
      </c>
      <c r="AX9" s="412" t="s">
        <v>189</v>
      </c>
      <c r="AY9" s="412" t="s">
        <v>189</v>
      </c>
    </row>
    <row r="10" spans="1:51">
      <c r="A10" s="318">
        <f t="shared" si="12"/>
        <v>45994</v>
      </c>
      <c r="B10" s="326">
        <f>+Report1!P11</f>
        <v>30.673000000000002</v>
      </c>
      <c r="C10" s="326">
        <f>+Report1!R11</f>
        <v>23.981000000000002</v>
      </c>
      <c r="D10" s="327">
        <f t="shared" si="13"/>
        <v>0</v>
      </c>
      <c r="E10" s="327">
        <f>+[18]DailyDes!D9</f>
        <v>0</v>
      </c>
      <c r="F10" s="327">
        <f t="shared" si="0"/>
        <v>0</v>
      </c>
      <c r="G10" s="327">
        <f t="shared" si="1"/>
        <v>0</v>
      </c>
      <c r="H10" s="327">
        <f t="shared" si="14"/>
        <v>0</v>
      </c>
      <c r="I10" s="327">
        <f>+[18]DailyDes!E9</f>
        <v>0</v>
      </c>
      <c r="J10" s="327">
        <f t="shared" si="2"/>
        <v>0</v>
      </c>
      <c r="K10" s="327">
        <f t="shared" si="3"/>
        <v>0</v>
      </c>
      <c r="L10" s="327">
        <f t="shared" si="15"/>
        <v>17100</v>
      </c>
      <c r="M10" s="327">
        <f>+[18]DailyDes!F9</f>
        <v>7100</v>
      </c>
      <c r="N10" s="327">
        <f t="shared" si="4"/>
        <v>231.47393473087078</v>
      </c>
      <c r="O10" s="327">
        <f t="shared" si="5"/>
        <v>296.06772027855385</v>
      </c>
      <c r="P10" s="327">
        <f t="shared" si="16"/>
        <v>20100.000000000728</v>
      </c>
      <c r="Q10" s="327">
        <f>+[18]DailyDes!G9</f>
        <v>7900</v>
      </c>
      <c r="R10" s="327">
        <f t="shared" si="6"/>
        <v>257.55550484139144</v>
      </c>
      <c r="S10" s="327">
        <f t="shared" si="7"/>
        <v>329.42746340853171</v>
      </c>
      <c r="T10" s="327">
        <f t="shared" si="17"/>
        <v>11000</v>
      </c>
      <c r="U10" s="327">
        <f>+[18]DailyDes!H9</f>
        <v>4599.9999999994543</v>
      </c>
      <c r="V10" s="327">
        <f t="shared" si="8"/>
        <v>149.96902813547595</v>
      </c>
      <c r="W10" s="327">
        <f t="shared" si="9"/>
        <v>191.81852299735016</v>
      </c>
      <c r="X10" s="327">
        <f t="shared" si="18"/>
        <v>31595.699999999269</v>
      </c>
      <c r="Y10" s="327">
        <f>+[18]DailyDes!I9</f>
        <v>14274.42</v>
      </c>
      <c r="Z10" s="327">
        <f t="shared" si="19"/>
        <v>465.37410752127278</v>
      </c>
      <c r="AA10" s="327">
        <f t="shared" si="20"/>
        <v>595.23873066177384</v>
      </c>
      <c r="AB10" s="327">
        <f t="shared" si="21"/>
        <v>20755.699999999604</v>
      </c>
      <c r="AC10" s="327">
        <f>+[18]DailyDes!J9</f>
        <v>8654.4199999995399</v>
      </c>
      <c r="AD10" s="327">
        <f t="shared" si="22"/>
        <v>282.1510774948502</v>
      </c>
      <c r="AE10" s="421">
        <f t="shared" si="23"/>
        <v>360.88653517365992</v>
      </c>
      <c r="AF10" s="327">
        <f t="shared" si="24"/>
        <v>37299.999999999272</v>
      </c>
      <c r="AG10" s="327">
        <f>+[18]DailyDes!K9</f>
        <v>16000</v>
      </c>
      <c r="AH10" s="327">
        <f t="shared" si="25"/>
        <v>521.63140221041306</v>
      </c>
      <c r="AI10" s="449">
        <f t="shared" si="26"/>
        <v>667.19486259955795</v>
      </c>
      <c r="AJ10" s="327">
        <f t="shared" si="27"/>
        <v>1041.5200000000186</v>
      </c>
      <c r="AK10" s="327">
        <f>+[18]DailyDes!L9</f>
        <v>481.52000000001863</v>
      </c>
      <c r="AL10" s="327">
        <f t="shared" si="28"/>
        <v>15.698497049522988</v>
      </c>
      <c r="AM10" s="449">
        <f t="shared" si="29"/>
        <v>20.079229389934472</v>
      </c>
      <c r="AN10" s="327">
        <f t="shared" si="30"/>
        <v>1794.8400000000256</v>
      </c>
      <c r="AO10" s="327">
        <f>+[18]DailyDes!M9</f>
        <v>754.84000000002561</v>
      </c>
      <c r="AP10" s="327">
        <f t="shared" si="31"/>
        <v>24.609265477782596</v>
      </c>
      <c r="AQ10" s="449">
        <f t="shared" si="32"/>
        <v>31.476585630291712</v>
      </c>
      <c r="AR10" s="327">
        <f t="shared" si="33"/>
        <v>59765.199999999037</v>
      </c>
      <c r="AS10" s="324">
        <f t="shared" si="10"/>
        <v>1948.4628174615796</v>
      </c>
      <c r="AT10" s="325">
        <f t="shared" si="11"/>
        <v>2492.1896501396536</v>
      </c>
      <c r="AV10" s="20" t="s">
        <v>29</v>
      </c>
      <c r="AW10" t="s">
        <v>176</v>
      </c>
      <c r="AX10" s="13">
        <f>+F39</f>
        <v>0</v>
      </c>
      <c r="AY10" s="13">
        <f>+G39</f>
        <v>0</v>
      </c>
    </row>
    <row r="11" spans="1:51">
      <c r="A11" s="318">
        <f t="shared" si="12"/>
        <v>45995</v>
      </c>
      <c r="B11" s="326">
        <f>+Report1!P12</f>
        <v>75.64500000000001</v>
      </c>
      <c r="C11" s="326">
        <f>+Report1!R12</f>
        <v>70.632000000000005</v>
      </c>
      <c r="D11" s="327">
        <f t="shared" si="13"/>
        <v>0</v>
      </c>
      <c r="E11" s="327">
        <f>+[18]DailyDes!D10</f>
        <v>0</v>
      </c>
      <c r="F11" s="327">
        <f t="shared" si="0"/>
        <v>0</v>
      </c>
      <c r="G11" s="327">
        <f t="shared" si="1"/>
        <v>0</v>
      </c>
      <c r="H11" s="327">
        <f t="shared" si="14"/>
        <v>0</v>
      </c>
      <c r="I11" s="327">
        <f>+[18]DailyDes!E10</f>
        <v>0</v>
      </c>
      <c r="J11" s="327">
        <f t="shared" si="2"/>
        <v>0</v>
      </c>
      <c r="K11" s="327">
        <f t="shared" si="3"/>
        <v>0</v>
      </c>
      <c r="L11" s="327">
        <f t="shared" si="15"/>
        <v>23300</v>
      </c>
      <c r="M11" s="327">
        <f>+[18]DailyDes!F10</f>
        <v>6200</v>
      </c>
      <c r="N11" s="327">
        <f t="shared" si="4"/>
        <v>81.961795227708365</v>
      </c>
      <c r="O11" s="327">
        <f t="shared" si="5"/>
        <v>87.778910408879824</v>
      </c>
      <c r="P11" s="327">
        <f t="shared" si="16"/>
        <v>27500.000000001091</v>
      </c>
      <c r="Q11" s="327">
        <f>+[18]DailyDes!G10</f>
        <v>7400.0000000003638</v>
      </c>
      <c r="R11" s="327">
        <f t="shared" si="6"/>
        <v>97.825368497592208</v>
      </c>
      <c r="S11" s="327">
        <f t="shared" si="7"/>
        <v>104.7683769396359</v>
      </c>
      <c r="T11" s="327">
        <f t="shared" si="17"/>
        <v>15300.000000000182</v>
      </c>
      <c r="U11" s="327">
        <f>+[18]DailyDes!H10</f>
        <v>4300.0000000001819</v>
      </c>
      <c r="V11" s="327">
        <f t="shared" si="8"/>
        <v>56.844470883735625</v>
      </c>
      <c r="W11" s="327">
        <f t="shared" si="9"/>
        <v>60.878921735193423</v>
      </c>
      <c r="X11" s="327">
        <f t="shared" si="18"/>
        <v>42131.459999998544</v>
      </c>
      <c r="Y11" s="327">
        <f>+[18]DailyDes!I10</f>
        <v>10535.759999999273</v>
      </c>
      <c r="Z11" s="327">
        <f t="shared" si="19"/>
        <v>139.27900059487436</v>
      </c>
      <c r="AA11" s="327">
        <f t="shared" si="20"/>
        <v>149.16411824667674</v>
      </c>
      <c r="AB11" s="327">
        <f t="shared" si="21"/>
        <v>26381.459999999774</v>
      </c>
      <c r="AC11" s="327">
        <f>+[18]DailyDes!J10</f>
        <v>5625.7600000001685</v>
      </c>
      <c r="AD11" s="327">
        <f t="shared" si="22"/>
        <v>74.370546632297803</v>
      </c>
      <c r="AE11" s="421">
        <f t="shared" si="23"/>
        <v>79.648884358366857</v>
      </c>
      <c r="AF11" s="327">
        <f t="shared" si="24"/>
        <v>51099.999999998545</v>
      </c>
      <c r="AG11" s="327">
        <f>+[18]DailyDes!K10</f>
        <v>13799.999999999272</v>
      </c>
      <c r="AH11" s="327">
        <f t="shared" si="25"/>
        <v>182.43109260359932</v>
      </c>
      <c r="AI11" s="449">
        <f t="shared" si="26"/>
        <v>195.37886510362543</v>
      </c>
      <c r="AJ11" s="327">
        <f t="shared" si="27"/>
        <v>1500</v>
      </c>
      <c r="AK11" s="327">
        <f>+[18]DailyDes!L10</f>
        <v>458.47999999998137</v>
      </c>
      <c r="AL11" s="327">
        <f t="shared" si="28"/>
        <v>6.0609425606448717</v>
      </c>
      <c r="AM11" s="449">
        <f t="shared" si="29"/>
        <v>6.4911088458486432</v>
      </c>
      <c r="AN11" s="327">
        <f t="shared" si="30"/>
        <v>2470</v>
      </c>
      <c r="AO11" s="327">
        <f>+[18]DailyDes!M10</f>
        <v>675.15999999997439</v>
      </c>
      <c r="AP11" s="327">
        <f t="shared" si="31"/>
        <v>8.9253751074092715</v>
      </c>
      <c r="AQ11" s="449">
        <f t="shared" si="32"/>
        <v>9.5588401857511371</v>
      </c>
      <c r="AR11" s="327">
        <f t="shared" si="33"/>
        <v>48995.159999999218</v>
      </c>
      <c r="AS11" s="324">
        <f t="shared" si="10"/>
        <v>647.69859210786183</v>
      </c>
      <c r="AT11" s="325">
        <f t="shared" si="11"/>
        <v>693.66802582397804</v>
      </c>
      <c r="AV11" s="20"/>
      <c r="AW11" t="s">
        <v>177</v>
      </c>
      <c r="AX11" s="13">
        <f>+J39</f>
        <v>0</v>
      </c>
      <c r="AY11" s="13">
        <f>+K39</f>
        <v>0</v>
      </c>
    </row>
    <row r="12" spans="1:51">
      <c r="A12" s="318">
        <f t="shared" si="12"/>
        <v>45996</v>
      </c>
      <c r="B12" s="326">
        <f>+Report1!P13</f>
        <v>79.574000000000012</v>
      </c>
      <c r="C12" s="326">
        <f>+Report1!R13</f>
        <v>76.335999999999999</v>
      </c>
      <c r="D12" s="327">
        <f t="shared" si="13"/>
        <v>0</v>
      </c>
      <c r="E12" s="327">
        <f>+[18]DailyDes!D11</f>
        <v>0</v>
      </c>
      <c r="F12" s="327">
        <f t="shared" si="0"/>
        <v>0</v>
      </c>
      <c r="G12" s="327">
        <f t="shared" si="1"/>
        <v>0</v>
      </c>
      <c r="H12" s="327">
        <f t="shared" si="14"/>
        <v>0</v>
      </c>
      <c r="I12" s="327">
        <f>+[18]DailyDes!E11</f>
        <v>0</v>
      </c>
      <c r="J12" s="327">
        <f t="shared" si="2"/>
        <v>0</v>
      </c>
      <c r="K12" s="327">
        <f t="shared" si="3"/>
        <v>0</v>
      </c>
      <c r="L12" s="327">
        <f t="shared" si="15"/>
        <v>29900</v>
      </c>
      <c r="M12" s="327">
        <f>+[18]DailyDes!F11</f>
        <v>6600</v>
      </c>
      <c r="N12" s="327">
        <f t="shared" si="4"/>
        <v>82.94166436273153</v>
      </c>
      <c r="O12" s="327">
        <f t="shared" si="5"/>
        <v>86.459861664221336</v>
      </c>
      <c r="P12" s="327">
        <f t="shared" si="16"/>
        <v>34800.000000000728</v>
      </c>
      <c r="Q12" s="327">
        <f>+[18]DailyDes!G11</f>
        <v>7299.9999999996362</v>
      </c>
      <c r="R12" s="327">
        <f t="shared" si="6"/>
        <v>91.738507552713642</v>
      </c>
      <c r="S12" s="327">
        <f t="shared" si="7"/>
        <v>95.629846992240047</v>
      </c>
      <c r="T12" s="327">
        <f t="shared" si="17"/>
        <v>20100.000000000364</v>
      </c>
      <c r="U12" s="327">
        <f>+[18]DailyDes!H11</f>
        <v>4800.0000000001819</v>
      </c>
      <c r="V12" s="327">
        <f t="shared" si="8"/>
        <v>60.321210445625219</v>
      </c>
      <c r="W12" s="327">
        <f>U12/C12</f>
        <v>62.87989939216336</v>
      </c>
      <c r="X12" s="327">
        <f t="shared" si="18"/>
        <v>55113.369999999268</v>
      </c>
      <c r="Y12" s="327">
        <f>+[18]DailyDes!I11</f>
        <v>12981.910000000727</v>
      </c>
      <c r="Z12" s="327">
        <f t="shared" si="19"/>
        <v>163.14260939503765</v>
      </c>
      <c r="AA12" s="327">
        <f t="shared" si="20"/>
        <v>170.06274889961131</v>
      </c>
      <c r="AB12" s="327">
        <f t="shared" si="21"/>
        <v>33203.36999999894</v>
      </c>
      <c r="AC12" s="327">
        <f>+[18]DailyDes!J11</f>
        <v>6821.9099999991677</v>
      </c>
      <c r="AD12" s="327">
        <f t="shared" si="22"/>
        <v>85.730389323135284</v>
      </c>
      <c r="AE12" s="421">
        <f t="shared" si="23"/>
        <v>89.366878012984273</v>
      </c>
      <c r="AF12" s="327">
        <f t="shared" si="24"/>
        <v>67199.999999998909</v>
      </c>
      <c r="AG12" s="327">
        <f>+[18]DailyDes!K11</f>
        <v>16100.000000000364</v>
      </c>
      <c r="AH12" s="327">
        <f t="shared" si="25"/>
        <v>202.32739336969817</v>
      </c>
      <c r="AI12" s="449">
        <f t="shared" si="26"/>
        <v>210.90966254454469</v>
      </c>
      <c r="AJ12" s="327">
        <f t="shared" si="27"/>
        <v>2040</v>
      </c>
      <c r="AK12" s="327">
        <f>+[18]DailyDes!L11</f>
        <v>540</v>
      </c>
      <c r="AL12" s="327">
        <f t="shared" si="28"/>
        <v>6.7861361751325804</v>
      </c>
      <c r="AM12" s="449">
        <f t="shared" si="29"/>
        <v>7.0739886816181095</v>
      </c>
      <c r="AN12" s="327">
        <f t="shared" si="30"/>
        <v>3200</v>
      </c>
      <c r="AO12" s="327">
        <f>+[18]DailyDes!M11</f>
        <v>730</v>
      </c>
      <c r="AP12" s="327">
        <f t="shared" si="31"/>
        <v>9.1738507552718218</v>
      </c>
      <c r="AQ12" s="449">
        <f t="shared" si="32"/>
        <v>9.5629846992244811</v>
      </c>
      <c r="AR12" s="327">
        <f>+E12+I12+M12+Q12+U12+Y12+AC12+AG12+AK12+AO12</f>
        <v>55873.82000000008</v>
      </c>
      <c r="AS12" s="324">
        <f t="shared" si="10"/>
        <v>702.16176137934588</v>
      </c>
      <c r="AT12" s="325">
        <f t="shared" si="11"/>
        <v>731.94587088660762</v>
      </c>
      <c r="AV12" s="20"/>
      <c r="AW12" t="s">
        <v>178</v>
      </c>
      <c r="AX12" s="13">
        <f>+N39</f>
        <v>0</v>
      </c>
      <c r="AY12" s="13">
        <f>+O39</f>
        <v>0</v>
      </c>
    </row>
    <row r="13" spans="1:51">
      <c r="A13" s="318">
        <f t="shared" si="12"/>
        <v>45997</v>
      </c>
      <c r="B13" s="326">
        <f>+Report1!P14</f>
        <v>69.167000000000002</v>
      </c>
      <c r="C13" s="326">
        <f>+Report1!R14</f>
        <v>72.11</v>
      </c>
      <c r="D13" s="327">
        <f t="shared" si="13"/>
        <v>0</v>
      </c>
      <c r="E13" s="327">
        <f>+[18]DailyDes!D12</f>
        <v>0</v>
      </c>
      <c r="F13" s="327">
        <f t="shared" si="0"/>
        <v>0</v>
      </c>
      <c r="G13" s="327">
        <f t="shared" si="1"/>
        <v>0</v>
      </c>
      <c r="H13" s="327">
        <f t="shared" si="14"/>
        <v>0</v>
      </c>
      <c r="I13" s="327">
        <f>+[18]DailyDes!E12</f>
        <v>0</v>
      </c>
      <c r="J13" s="327">
        <f t="shared" si="2"/>
        <v>0</v>
      </c>
      <c r="K13" s="327">
        <f t="shared" si="3"/>
        <v>0</v>
      </c>
      <c r="L13" s="327">
        <f t="shared" si="15"/>
        <v>36600</v>
      </c>
      <c r="M13" s="327">
        <f>+[18]DailyDes!F12</f>
        <v>6700</v>
      </c>
      <c r="N13" s="327">
        <f t="shared" si="4"/>
        <v>96.867003050587712</v>
      </c>
      <c r="O13" s="327">
        <f t="shared" si="5"/>
        <v>92.913604215781447</v>
      </c>
      <c r="P13" s="327">
        <f t="shared" si="16"/>
        <v>42100.000000000728</v>
      </c>
      <c r="Q13" s="327">
        <f>+[18]DailyDes!G12</f>
        <v>7300</v>
      </c>
      <c r="R13" s="327">
        <f t="shared" si="6"/>
        <v>105.54166004019258</v>
      </c>
      <c r="S13" s="327">
        <f t="shared" si="7"/>
        <v>101.2342254888365</v>
      </c>
      <c r="T13" s="327">
        <f t="shared" si="17"/>
        <v>24699.999999999818</v>
      </c>
      <c r="U13" s="327">
        <f>+[18]DailyDes!H12</f>
        <v>4599.9999999994543</v>
      </c>
      <c r="V13" s="327">
        <f t="shared" si="8"/>
        <v>66.505703586962781</v>
      </c>
      <c r="W13" s="327">
        <f t="shared" si="9"/>
        <v>63.791429760081186</v>
      </c>
      <c r="X13" s="327">
        <f t="shared" si="18"/>
        <v>66180.359999999273</v>
      </c>
      <c r="Y13" s="327">
        <f>+[18]DailyDes!I12</f>
        <v>11066.99</v>
      </c>
      <c r="Z13" s="327">
        <f t="shared" si="19"/>
        <v>160.00390359564531</v>
      </c>
      <c r="AA13" s="327">
        <f t="shared" si="20"/>
        <v>153.47372070447926</v>
      </c>
      <c r="AB13" s="327">
        <f t="shared" si="21"/>
        <v>40920.359999999258</v>
      </c>
      <c r="AC13" s="327">
        <f>+[18]DailyDes!J12</f>
        <v>7716.9900000003181</v>
      </c>
      <c r="AD13" s="327">
        <f t="shared" si="22"/>
        <v>111.57040207035607</v>
      </c>
      <c r="AE13" s="421">
        <f t="shared" si="23"/>
        <v>107.01691859659296</v>
      </c>
      <c r="AF13" s="327">
        <f t="shared" si="24"/>
        <v>83199.999999998909</v>
      </c>
      <c r="AG13" s="327">
        <f>+[18]DailyDes!K12</f>
        <v>16000</v>
      </c>
      <c r="AH13" s="327">
        <f t="shared" si="25"/>
        <v>231.32418638946316</v>
      </c>
      <c r="AI13" s="449">
        <f t="shared" si="26"/>
        <v>221.8832339481348</v>
      </c>
      <c r="AJ13" s="327">
        <f t="shared" si="27"/>
        <v>2590</v>
      </c>
      <c r="AK13" s="327">
        <f>+[18]DailyDes!L12</f>
        <v>550</v>
      </c>
      <c r="AL13" s="327">
        <f t="shared" si="28"/>
        <v>7.9517689071377964</v>
      </c>
      <c r="AM13" s="449">
        <f t="shared" si="29"/>
        <v>7.6272361669671334</v>
      </c>
      <c r="AN13" s="327">
        <f t="shared" si="30"/>
        <v>3930</v>
      </c>
      <c r="AO13" s="327">
        <f>+[18]DailyDes!M12</f>
        <v>730</v>
      </c>
      <c r="AP13" s="327">
        <f t="shared" si="31"/>
        <v>10.554166004019258</v>
      </c>
      <c r="AQ13" s="449">
        <f t="shared" si="32"/>
        <v>10.123422548883649</v>
      </c>
      <c r="AR13" s="327">
        <f t="shared" si="33"/>
        <v>54663.97999999977</v>
      </c>
      <c r="AS13" s="324">
        <f t="shared" si="10"/>
        <v>790.31879364436463</v>
      </c>
      <c r="AT13" s="325">
        <f t="shared" si="11"/>
        <v>758.06379142975686</v>
      </c>
      <c r="AV13" s="20"/>
      <c r="AW13" t="s">
        <v>179</v>
      </c>
      <c r="AX13" s="13">
        <f>+R39</f>
        <v>0</v>
      </c>
      <c r="AY13" s="13">
        <f>+S39</f>
        <v>0</v>
      </c>
    </row>
    <row r="14" spans="1:51">
      <c r="A14" s="318">
        <f t="shared" si="12"/>
        <v>45998</v>
      </c>
      <c r="B14" s="326">
        <f>+Report1!P15</f>
        <v>70.668999999999997</v>
      </c>
      <c r="C14" s="326">
        <f>+Report1!R15</f>
        <v>74.795000000000002</v>
      </c>
      <c r="D14" s="327">
        <f t="shared" si="13"/>
        <v>0</v>
      </c>
      <c r="E14" s="327">
        <f>+[18]DailyDes!D13</f>
        <v>0</v>
      </c>
      <c r="F14" s="327">
        <f t="shared" si="0"/>
        <v>0</v>
      </c>
      <c r="G14" s="327">
        <f t="shared" si="1"/>
        <v>0</v>
      </c>
      <c r="H14" s="327">
        <f t="shared" si="14"/>
        <v>0</v>
      </c>
      <c r="I14" s="327">
        <f>+[18]DailyDes!E13</f>
        <v>0</v>
      </c>
      <c r="J14" s="327">
        <f t="shared" si="2"/>
        <v>0</v>
      </c>
      <c r="K14" s="327">
        <f t="shared" si="3"/>
        <v>0</v>
      </c>
      <c r="L14" s="327">
        <f t="shared" si="15"/>
        <v>43300</v>
      </c>
      <c r="M14" s="327">
        <f>+[18]DailyDes!F13</f>
        <v>6700</v>
      </c>
      <c r="N14" s="327">
        <f t="shared" si="4"/>
        <v>94.808190295603453</v>
      </c>
      <c r="O14" s="327">
        <f t="shared" si="5"/>
        <v>89.578180359649707</v>
      </c>
      <c r="P14" s="327">
        <f t="shared" si="16"/>
        <v>49800.000000000364</v>
      </c>
      <c r="Q14" s="327">
        <f>+[18]DailyDes!G13</f>
        <v>7699.9999999996362</v>
      </c>
      <c r="R14" s="327">
        <f t="shared" si="6"/>
        <v>108.9586664591212</v>
      </c>
      <c r="S14" s="327">
        <f t="shared" si="7"/>
        <v>102.9480580252642</v>
      </c>
      <c r="T14" s="327">
        <f t="shared" si="17"/>
        <v>28500</v>
      </c>
      <c r="U14" s="327">
        <f>+[18]DailyDes!H13</f>
        <v>3800.0000000001819</v>
      </c>
      <c r="V14" s="327">
        <f t="shared" si="8"/>
        <v>53.771809421389605</v>
      </c>
      <c r="W14" s="327">
        <f t="shared" si="9"/>
        <v>50.805535129355995</v>
      </c>
      <c r="X14" s="327">
        <f t="shared" si="18"/>
        <v>75792.149999998917</v>
      </c>
      <c r="Y14" s="327">
        <f>+[18]DailyDes!I13</f>
        <v>9611.7899999996371</v>
      </c>
      <c r="Z14" s="327">
        <f t="shared" si="19"/>
        <v>136.01140528378266</v>
      </c>
      <c r="AA14" s="327">
        <f t="shared" si="20"/>
        <v>128.50845644761864</v>
      </c>
      <c r="AB14" s="327">
        <f t="shared" si="21"/>
        <v>48172.149999999951</v>
      </c>
      <c r="AC14" s="327">
        <f>+[18]DailyDes!J13</f>
        <v>7251.7900000006921</v>
      </c>
      <c r="AD14" s="327">
        <f t="shared" si="22"/>
        <v>102.61628153788355</v>
      </c>
      <c r="AE14" s="421">
        <f t="shared" si="23"/>
        <v>96.955545156771066</v>
      </c>
      <c r="AF14" s="327">
        <f t="shared" si="24"/>
        <v>97599.999999998545</v>
      </c>
      <c r="AG14" s="327">
        <f>+[18]DailyDes!K13</f>
        <v>14399.999999999636</v>
      </c>
      <c r="AH14" s="327">
        <f t="shared" si="25"/>
        <v>203.76685675472467</v>
      </c>
      <c r="AI14" s="449">
        <f t="shared" si="26"/>
        <v>192.52623838491391</v>
      </c>
      <c r="AJ14" s="327">
        <f t="shared" si="27"/>
        <v>3080</v>
      </c>
      <c r="AK14" s="327">
        <f>+[18]DailyDes!L13</f>
        <v>490</v>
      </c>
      <c r="AL14" s="327">
        <f t="shared" si="28"/>
        <v>6.9337333201262226</v>
      </c>
      <c r="AM14" s="449">
        <f t="shared" si="29"/>
        <v>6.5512400561534863</v>
      </c>
      <c r="AN14" s="327">
        <f t="shared" si="30"/>
        <v>4690</v>
      </c>
      <c r="AO14" s="327">
        <f>+[18]DailyDes!M13</f>
        <v>760</v>
      </c>
      <c r="AP14" s="327">
        <f t="shared" si="31"/>
        <v>10.754361884277406</v>
      </c>
      <c r="AQ14" s="449">
        <f t="shared" si="32"/>
        <v>10.161107025870713</v>
      </c>
      <c r="AR14" s="327">
        <f t="shared" si="33"/>
        <v>50713.579999999783</v>
      </c>
      <c r="AS14" s="324">
        <f t="shared" si="10"/>
        <v>717.62130495690872</v>
      </c>
      <c r="AT14" s="325">
        <f t="shared" si="11"/>
        <v>678.03436058559771</v>
      </c>
      <c r="AV14" s="20"/>
      <c r="AW14" t="s">
        <v>180</v>
      </c>
      <c r="AX14" s="13">
        <f>+V39</f>
        <v>0</v>
      </c>
      <c r="AY14" s="13">
        <f>+W39</f>
        <v>0</v>
      </c>
    </row>
    <row r="15" spans="1:51">
      <c r="A15" s="318">
        <f t="shared" si="12"/>
        <v>45999</v>
      </c>
      <c r="B15" s="326">
        <f>+Report1!P16</f>
        <v>79.239000000000004</v>
      </c>
      <c r="C15" s="326">
        <f>+Report1!R16</f>
        <v>90.966999999999999</v>
      </c>
      <c r="D15" s="327">
        <f t="shared" si="13"/>
        <v>5</v>
      </c>
      <c r="E15" s="327">
        <f>+[18]DailyDes!D14</f>
        <v>5</v>
      </c>
      <c r="F15" s="327">
        <f t="shared" si="0"/>
        <v>6.3100241042920779E-2</v>
      </c>
      <c r="G15" s="327">
        <f t="shared" si="1"/>
        <v>5.4964987303087937E-2</v>
      </c>
      <c r="H15" s="327">
        <f t="shared" si="14"/>
        <v>0</v>
      </c>
      <c r="I15" s="327">
        <f>+[18]DailyDes!E14</f>
        <v>0</v>
      </c>
      <c r="J15" s="327">
        <f t="shared" si="2"/>
        <v>0</v>
      </c>
      <c r="K15" s="327">
        <f t="shared" si="3"/>
        <v>0</v>
      </c>
      <c r="L15" s="327">
        <f t="shared" si="15"/>
        <v>50100</v>
      </c>
      <c r="M15" s="327">
        <f>+[18]DailyDes!F14</f>
        <v>6800</v>
      </c>
      <c r="N15" s="327">
        <f t="shared" si="4"/>
        <v>85.816327818372258</v>
      </c>
      <c r="O15" s="327">
        <f t="shared" si="5"/>
        <v>74.752382732199592</v>
      </c>
      <c r="P15" s="327">
        <f t="shared" si="16"/>
        <v>58095.000000000728</v>
      </c>
      <c r="Q15" s="327">
        <f>+[18]DailyDes!G14</f>
        <v>8295.0000000003638</v>
      </c>
      <c r="R15" s="327">
        <f t="shared" si="6"/>
        <v>104.68329989021017</v>
      </c>
      <c r="S15" s="327">
        <f t="shared" si="7"/>
        <v>91.18691393582688</v>
      </c>
      <c r="T15" s="327">
        <f t="shared" si="17"/>
        <v>35600.000000000364</v>
      </c>
      <c r="U15" s="327">
        <f>+[18]DailyDes!H14</f>
        <v>7100.0000000003638</v>
      </c>
      <c r="V15" s="327">
        <f t="shared" si="8"/>
        <v>89.602342280952101</v>
      </c>
      <c r="W15" s="327">
        <f t="shared" si="9"/>
        <v>78.050281970388866</v>
      </c>
      <c r="X15" s="327">
        <f t="shared" si="18"/>
        <v>92807.339999999283</v>
      </c>
      <c r="Y15" s="327">
        <f>+[18]DailyDes!I14</f>
        <v>17015.190000000362</v>
      </c>
      <c r="Z15" s="327">
        <f t="shared" si="19"/>
        <v>214.73251807822362</v>
      </c>
      <c r="AA15" s="327">
        <f t="shared" si="20"/>
        <v>187.04794046192973</v>
      </c>
      <c r="AB15" s="327">
        <f t="shared" si="21"/>
        <v>55327.340000000419</v>
      </c>
      <c r="AC15" s="327">
        <f>+[18]DailyDes!J14</f>
        <v>7155.1900000004644</v>
      </c>
      <c r="AD15" s="327">
        <f t="shared" si="22"/>
        <v>90.298842741585133</v>
      </c>
      <c r="AE15" s="421">
        <f t="shared" si="23"/>
        <v>78.656985500241461</v>
      </c>
      <c r="AF15" s="327">
        <f t="shared" si="24"/>
        <v>107199.99999999891</v>
      </c>
      <c r="AG15" s="327">
        <f>+[18]DailyDes!K14</f>
        <v>9600.0000000003638</v>
      </c>
      <c r="AH15" s="327">
        <f t="shared" si="25"/>
        <v>121.15246280241249</v>
      </c>
      <c r="AI15" s="449">
        <f t="shared" si="26"/>
        <v>105.53277562193283</v>
      </c>
      <c r="AJ15" s="327">
        <f t="shared" si="27"/>
        <v>3450</v>
      </c>
      <c r="AK15" s="327">
        <f>+[18]DailyDes!L14</f>
        <v>370</v>
      </c>
      <c r="AL15" s="327">
        <f t="shared" si="28"/>
        <v>4.6694178371761375</v>
      </c>
      <c r="AM15" s="449">
        <f t="shared" si="29"/>
        <v>4.0674090604285071</v>
      </c>
      <c r="AN15" s="327">
        <f t="shared" si="30"/>
        <v>5280</v>
      </c>
      <c r="AO15" s="327">
        <f>+[18]DailyDes!M14</f>
        <v>590</v>
      </c>
      <c r="AP15" s="327">
        <f t="shared" si="31"/>
        <v>7.4458284430646522</v>
      </c>
      <c r="AQ15" s="449">
        <f t="shared" si="32"/>
        <v>6.4858685017643758</v>
      </c>
      <c r="AR15" s="327">
        <f t="shared" si="33"/>
        <v>56930.380000001926</v>
      </c>
      <c r="AS15" s="324">
        <f t="shared" si="10"/>
        <v>718.46414013303956</v>
      </c>
      <c r="AT15" s="325">
        <f t="shared" si="11"/>
        <v>625.83552277201545</v>
      </c>
      <c r="AV15" s="20"/>
      <c r="AW15" t="s">
        <v>181</v>
      </c>
      <c r="AX15" s="13">
        <f>+Z39</f>
        <v>0</v>
      </c>
      <c r="AY15" s="13">
        <f>+AA39</f>
        <v>0</v>
      </c>
    </row>
    <row r="16" spans="1:51">
      <c r="A16" s="318">
        <f t="shared" si="12"/>
        <v>46000</v>
      </c>
      <c r="B16" s="326">
        <f>+Report1!P17</f>
        <v>62.222999999999999</v>
      </c>
      <c r="C16" s="326">
        <f>+Report1!R17</f>
        <v>54.371000000000002</v>
      </c>
      <c r="D16" s="327">
        <f t="shared" si="13"/>
        <v>5</v>
      </c>
      <c r="E16" s="327">
        <f>+[18]DailyDes!D15</f>
        <v>0</v>
      </c>
      <c r="F16" s="327">
        <f t="shared" si="0"/>
        <v>0</v>
      </c>
      <c r="G16" s="327">
        <f t="shared" si="1"/>
        <v>0</v>
      </c>
      <c r="H16" s="327">
        <f t="shared" si="14"/>
        <v>0</v>
      </c>
      <c r="I16" s="327">
        <f>+[18]DailyDes!E15</f>
        <v>0</v>
      </c>
      <c r="J16" s="327">
        <f t="shared" si="2"/>
        <v>0</v>
      </c>
      <c r="K16" s="327">
        <f t="shared" si="3"/>
        <v>0</v>
      </c>
      <c r="L16" s="327">
        <f t="shared" si="15"/>
        <v>56700</v>
      </c>
      <c r="M16" s="327">
        <f>+[18]DailyDes!F15</f>
        <v>6600</v>
      </c>
      <c r="N16" s="327">
        <f t="shared" si="4"/>
        <v>106.07010269514488</v>
      </c>
      <c r="O16" s="327">
        <f t="shared" si="5"/>
        <v>121.38824005444079</v>
      </c>
      <c r="P16" s="327">
        <f t="shared" si="16"/>
        <v>65495.000000000728</v>
      </c>
      <c r="Q16" s="327">
        <f>+[18]DailyDes!G15</f>
        <v>7400</v>
      </c>
      <c r="R16" s="327">
        <f t="shared" si="6"/>
        <v>118.92708484001093</v>
      </c>
      <c r="S16" s="327">
        <f t="shared" si="7"/>
        <v>136.10196612164572</v>
      </c>
      <c r="T16" s="327">
        <f t="shared" si="17"/>
        <v>42400.000000000546</v>
      </c>
      <c r="U16" s="327">
        <f>+[18]DailyDes!H15</f>
        <v>6800.0000000001819</v>
      </c>
      <c r="V16" s="327">
        <f t="shared" si="8"/>
        <v>109.28434823136432</v>
      </c>
      <c r="W16" s="327">
        <f t="shared" si="9"/>
        <v>125.06667157124537</v>
      </c>
      <c r="X16" s="327">
        <f t="shared" si="18"/>
        <v>111306.49999999929</v>
      </c>
      <c r="Y16" s="327">
        <f>+[18]DailyDes!I15</f>
        <v>18499.16</v>
      </c>
      <c r="Z16" s="327">
        <f t="shared" si="19"/>
        <v>297.30421226877519</v>
      </c>
      <c r="AA16" s="327">
        <f t="shared" si="20"/>
        <v>340.23946589174375</v>
      </c>
      <c r="AB16" s="327">
        <f t="shared" si="21"/>
        <v>62586.499999999636</v>
      </c>
      <c r="AC16" s="327">
        <f>+[18]DailyDes!J15</f>
        <v>7259.1599999992177</v>
      </c>
      <c r="AD16" s="327">
        <f t="shared" si="22"/>
        <v>116.66361313339469</v>
      </c>
      <c r="AE16" s="421">
        <f t="shared" si="23"/>
        <v>133.5116146474999</v>
      </c>
      <c r="AF16" s="327">
        <f t="shared" si="24"/>
        <v>116299.99999999927</v>
      </c>
      <c r="AG16" s="327">
        <f>+[18]DailyDes!K15</f>
        <v>9100.0000000003638</v>
      </c>
      <c r="AH16" s="327">
        <f t="shared" si="25"/>
        <v>146.24817189785713</v>
      </c>
      <c r="AI16" s="449">
        <f t="shared" si="26"/>
        <v>167.36863401446291</v>
      </c>
      <c r="AJ16" s="327">
        <f t="shared" si="27"/>
        <v>3814.8800000000047</v>
      </c>
      <c r="AK16" s="327">
        <f>+[18]DailyDes!L15</f>
        <v>364.88000000000466</v>
      </c>
      <c r="AL16" s="327">
        <f t="shared" si="28"/>
        <v>5.8640695562734786</v>
      </c>
      <c r="AM16" s="449">
        <f t="shared" si="29"/>
        <v>6.7109304592522605</v>
      </c>
      <c r="AN16" s="327">
        <f t="shared" si="30"/>
        <v>5818.539999999979</v>
      </c>
      <c r="AO16" s="327">
        <f>+[18]DailyDes!M15</f>
        <v>538.53999999997905</v>
      </c>
      <c r="AP16" s="327">
        <f t="shared" si="31"/>
        <v>8.6549989553698641</v>
      </c>
      <c r="AQ16" s="449">
        <f t="shared" si="32"/>
        <v>9.9049125452903031</v>
      </c>
      <c r="AR16" s="327">
        <f t="shared" si="33"/>
        <v>56561.739999999743</v>
      </c>
      <c r="AS16" s="324">
        <f t="shared" si="10"/>
        <v>909.01660157819049</v>
      </c>
      <c r="AT16" s="325">
        <f t="shared" si="11"/>
        <v>1040.292435305581</v>
      </c>
      <c r="AV16" s="20"/>
      <c r="AX16" s="18">
        <f>SUM(AX10:AX15)</f>
        <v>0</v>
      </c>
      <c r="AY16" s="18">
        <f>SUM(AY10:AY15)</f>
        <v>0</v>
      </c>
    </row>
    <row r="17" spans="1:51">
      <c r="A17" s="318">
        <f t="shared" si="12"/>
        <v>46001</v>
      </c>
      <c r="B17" s="326">
        <f>+Report1!P18</f>
        <v>59.295999999999999</v>
      </c>
      <c r="C17" s="326">
        <f>+Report1!R18</f>
        <v>58.976999999999997</v>
      </c>
      <c r="D17" s="327">
        <f t="shared" si="13"/>
        <v>5</v>
      </c>
      <c r="E17" s="327">
        <f>+[18]DailyDes!D16</f>
        <v>0</v>
      </c>
      <c r="F17" s="327">
        <f t="shared" si="0"/>
        <v>0</v>
      </c>
      <c r="G17" s="327">
        <f t="shared" si="1"/>
        <v>0</v>
      </c>
      <c r="H17" s="327">
        <f t="shared" si="14"/>
        <v>0</v>
      </c>
      <c r="I17" s="327">
        <f>+[18]DailyDes!E16</f>
        <v>0</v>
      </c>
      <c r="J17" s="327">
        <f t="shared" si="2"/>
        <v>0</v>
      </c>
      <c r="K17" s="327">
        <f t="shared" si="3"/>
        <v>0</v>
      </c>
      <c r="L17" s="327">
        <f t="shared" si="15"/>
        <v>63400</v>
      </c>
      <c r="M17" s="327">
        <f>+[18]DailyDes!F16</f>
        <v>6700</v>
      </c>
      <c r="N17" s="327">
        <f t="shared" si="4"/>
        <v>112.99244468429573</v>
      </c>
      <c r="O17" s="327">
        <f t="shared" si="5"/>
        <v>113.6036081862421</v>
      </c>
      <c r="P17" s="327">
        <f t="shared" si="16"/>
        <v>72795.000000000728</v>
      </c>
      <c r="Q17" s="327">
        <f>+[18]DailyDes!G16</f>
        <v>7300</v>
      </c>
      <c r="R17" s="327">
        <f t="shared" si="6"/>
        <v>123.11117107393416</v>
      </c>
      <c r="S17" s="327">
        <f t="shared" si="7"/>
        <v>123.77706563575632</v>
      </c>
      <c r="T17" s="327">
        <f t="shared" si="17"/>
        <v>48199.999999999818</v>
      </c>
      <c r="U17" s="327">
        <f>+[18]DailyDes!H16</f>
        <v>5799.9999999992724</v>
      </c>
      <c r="V17" s="327">
        <f t="shared" si="8"/>
        <v>97.814355099825832</v>
      </c>
      <c r="W17" s="327">
        <f t="shared" si="9"/>
        <v>98.343422011958438</v>
      </c>
      <c r="X17" s="327">
        <f t="shared" si="18"/>
        <v>124682.79999999856</v>
      </c>
      <c r="Y17" s="327">
        <f>+[18]DailyDes!I16</f>
        <v>13376.299999999272</v>
      </c>
      <c r="Z17" s="327">
        <f t="shared" si="19"/>
        <v>225.58519967618847</v>
      </c>
      <c r="AA17" s="327">
        <f t="shared" si="20"/>
        <v>226.80536480321604</v>
      </c>
      <c r="AB17" s="327">
        <f t="shared" si="21"/>
        <v>70072.799999998984</v>
      </c>
      <c r="AC17" s="327">
        <f>+[18]DailyDes!J16</f>
        <v>7486.2999999993535</v>
      </c>
      <c r="AD17" s="327">
        <f t="shared" si="22"/>
        <v>126.25303561790599</v>
      </c>
      <c r="AE17" s="421">
        <f t="shared" si="23"/>
        <v>126.93592417381952</v>
      </c>
      <c r="AF17" s="327">
        <f t="shared" si="24"/>
        <v>131299.99999999927</v>
      </c>
      <c r="AG17" s="327">
        <f>+[18]DailyDes!K16</f>
        <v>15000</v>
      </c>
      <c r="AH17" s="327">
        <f t="shared" si="25"/>
        <v>252.9681597409606</v>
      </c>
      <c r="AI17" s="449">
        <f t="shared" si="26"/>
        <v>254.33643623785545</v>
      </c>
      <c r="AJ17" s="327">
        <f t="shared" si="27"/>
        <v>4230</v>
      </c>
      <c r="AK17" s="327">
        <f>+[18]DailyDes!L16</f>
        <v>415.11999999999534</v>
      </c>
      <c r="AL17" s="327">
        <f t="shared" si="28"/>
        <v>7.0008094981110922</v>
      </c>
      <c r="AM17" s="449">
        <f t="shared" si="29"/>
        <v>7.0386760940704916</v>
      </c>
      <c r="AN17" s="327">
        <f t="shared" si="30"/>
        <v>6460</v>
      </c>
      <c r="AO17" s="327">
        <f>+[18]DailyDes!M16</f>
        <v>641.46000000002095</v>
      </c>
      <c r="AP17" s="327">
        <f t="shared" si="31"/>
        <v>10.817930383162793</v>
      </c>
      <c r="AQ17" s="449">
        <f t="shared" si="32"/>
        <v>10.876443359276006</v>
      </c>
      <c r="AR17" s="327">
        <f t="shared" si="33"/>
        <v>56719.179999997919</v>
      </c>
      <c r="AS17" s="324">
        <f t="shared" si="10"/>
        <v>956.5431057743848</v>
      </c>
      <c r="AT17" s="325">
        <f t="shared" si="11"/>
        <v>961.71694050219446</v>
      </c>
      <c r="AV17" s="20" t="s">
        <v>190</v>
      </c>
      <c r="AW17" t="s">
        <v>182</v>
      </c>
      <c r="AX17" s="13">
        <f>+AD39</f>
        <v>0</v>
      </c>
      <c r="AY17" s="13">
        <f>+AE39</f>
        <v>0</v>
      </c>
    </row>
    <row r="18" spans="1:51">
      <c r="A18" s="318">
        <f t="shared" si="12"/>
        <v>46002</v>
      </c>
      <c r="B18" s="326">
        <f>+Report1!P19</f>
        <v>50.820999999999998</v>
      </c>
      <c r="C18" s="326">
        <f>+Report1!R19</f>
        <v>47.878999999999998</v>
      </c>
      <c r="D18" s="327">
        <f t="shared" si="13"/>
        <v>5</v>
      </c>
      <c r="E18" s="327">
        <f>+[18]DailyDes!D17</f>
        <v>0</v>
      </c>
      <c r="F18" s="321">
        <f t="shared" si="0"/>
        <v>0</v>
      </c>
      <c r="G18" s="321">
        <f t="shared" si="1"/>
        <v>0</v>
      </c>
      <c r="H18" s="327">
        <f t="shared" si="14"/>
        <v>0</v>
      </c>
      <c r="I18" s="327">
        <f>+[18]DailyDes!E17</f>
        <v>0</v>
      </c>
      <c r="J18" s="321">
        <f t="shared" si="2"/>
        <v>0</v>
      </c>
      <c r="K18" s="321">
        <f t="shared" si="3"/>
        <v>0</v>
      </c>
      <c r="L18" s="327">
        <f t="shared" si="15"/>
        <v>70000</v>
      </c>
      <c r="M18" s="327">
        <f>+[18]DailyDes!F17</f>
        <v>6600</v>
      </c>
      <c r="N18" s="321">
        <f t="shared" si="4"/>
        <v>129.867574427894</v>
      </c>
      <c r="O18" s="321">
        <f t="shared" si="5"/>
        <v>137.8474905490925</v>
      </c>
      <c r="P18" s="327">
        <f t="shared" si="16"/>
        <v>80195.000000000728</v>
      </c>
      <c r="Q18" s="327">
        <f>+[18]DailyDes!G17</f>
        <v>7400</v>
      </c>
      <c r="R18" s="321">
        <f t="shared" si="6"/>
        <v>145.60909860097203</v>
      </c>
      <c r="S18" s="321">
        <f t="shared" si="7"/>
        <v>154.55627728231585</v>
      </c>
      <c r="T18" s="327">
        <f t="shared" si="17"/>
        <v>53800.000000000182</v>
      </c>
      <c r="U18" s="327">
        <f>+[18]DailyDes!H17</f>
        <v>5600.0000000003638</v>
      </c>
      <c r="V18" s="321">
        <f t="shared" si="8"/>
        <v>110.19066921155357</v>
      </c>
      <c r="W18" s="321">
        <f t="shared" si="9"/>
        <v>116.96150713257094</v>
      </c>
      <c r="X18" s="327">
        <f t="shared" si="18"/>
        <v>137585.42000000001</v>
      </c>
      <c r="Y18" s="327">
        <f>+[18]DailyDes!I17</f>
        <v>12902.620000001456</v>
      </c>
      <c r="Z18" s="327">
        <f t="shared" si="19"/>
        <v>253.88363078257919</v>
      </c>
      <c r="AA18" s="327">
        <f t="shared" si="20"/>
        <v>269.48390734980796</v>
      </c>
      <c r="AB18" s="327">
        <f t="shared" si="21"/>
        <v>76725.419999999693</v>
      </c>
      <c r="AC18" s="327">
        <f>+[18]DailyDes!J17</f>
        <v>6652.6200000007057</v>
      </c>
      <c r="AD18" s="327">
        <f t="shared" si="22"/>
        <v>130.90297318039208</v>
      </c>
      <c r="AE18" s="421">
        <f t="shared" si="23"/>
        <v>138.94651099648502</v>
      </c>
      <c r="AF18" s="327">
        <f t="shared" si="24"/>
        <v>146599.99999999854</v>
      </c>
      <c r="AG18" s="327">
        <f>+[18]DailyDes!K17</f>
        <v>15299.999999999272</v>
      </c>
      <c r="AH18" s="327">
        <f t="shared" si="25"/>
        <v>301.05664981010358</v>
      </c>
      <c r="AI18" s="449">
        <f t="shared" si="26"/>
        <v>319.55554627288109</v>
      </c>
      <c r="AJ18" s="327">
        <f t="shared" si="27"/>
        <v>4640</v>
      </c>
      <c r="AK18" s="327">
        <f>+[18]DailyDes!L17</f>
        <v>410</v>
      </c>
      <c r="AL18" s="327">
        <f t="shared" si="28"/>
        <v>8.0675311387025044</v>
      </c>
      <c r="AM18" s="449">
        <f t="shared" si="29"/>
        <v>8.5632532007769591</v>
      </c>
      <c r="AN18" s="327">
        <f t="shared" si="30"/>
        <v>7130</v>
      </c>
      <c r="AO18" s="327">
        <f>+[18]DailyDes!M17</f>
        <v>670</v>
      </c>
      <c r="AP18" s="327">
        <f t="shared" si="31"/>
        <v>13.183526494952874</v>
      </c>
      <c r="AQ18" s="449">
        <f t="shared" si="32"/>
        <v>13.993608889074542</v>
      </c>
      <c r="AR18" s="327">
        <f t="shared" si="33"/>
        <v>55535.240000001802</v>
      </c>
      <c r="AS18" s="324">
        <f t="shared" si="10"/>
        <v>1092.7616536471498</v>
      </c>
      <c r="AT18" s="325">
        <f t="shared" si="11"/>
        <v>1159.9081016730049</v>
      </c>
      <c r="AV18" s="20"/>
      <c r="AW18" t="s">
        <v>183</v>
      </c>
      <c r="AX18" s="13">
        <f>+AH39</f>
        <v>0</v>
      </c>
      <c r="AY18" s="13">
        <f>+AI39</f>
        <v>0</v>
      </c>
    </row>
    <row r="19" spans="1:51">
      <c r="A19" s="318">
        <f t="shared" si="12"/>
        <v>46003</v>
      </c>
      <c r="B19" s="326">
        <f>+Report1!P20</f>
        <v>54.747</v>
      </c>
      <c r="C19" s="326">
        <f>+Report1!R20</f>
        <v>54.314999999999998</v>
      </c>
      <c r="D19" s="327">
        <f t="shared" si="13"/>
        <v>5</v>
      </c>
      <c r="E19" s="327">
        <f>+[18]DailyDes!D18</f>
        <v>0</v>
      </c>
      <c r="F19" s="321">
        <f t="shared" si="0"/>
        <v>0</v>
      </c>
      <c r="G19" s="321">
        <f t="shared" si="1"/>
        <v>0</v>
      </c>
      <c r="H19" s="327">
        <f t="shared" si="14"/>
        <v>0</v>
      </c>
      <c r="I19" s="327">
        <f>+[18]DailyDes!E18</f>
        <v>0</v>
      </c>
      <c r="J19" s="321">
        <f t="shared" si="2"/>
        <v>0</v>
      </c>
      <c r="K19" s="321">
        <f t="shared" si="3"/>
        <v>0</v>
      </c>
      <c r="L19" s="327">
        <f t="shared" si="15"/>
        <v>76600</v>
      </c>
      <c r="M19" s="327">
        <f>+[18]DailyDes!F18</f>
        <v>6600</v>
      </c>
      <c r="N19" s="321">
        <f t="shared" si="4"/>
        <v>120.55455093429777</v>
      </c>
      <c r="O19" s="321">
        <f t="shared" si="5"/>
        <v>121.51339409003039</v>
      </c>
      <c r="P19" s="327">
        <f t="shared" si="16"/>
        <v>87595.000000000728</v>
      </c>
      <c r="Q19" s="327">
        <f>+[18]DailyDes!G18</f>
        <v>7400</v>
      </c>
      <c r="R19" s="321">
        <f t="shared" si="6"/>
        <v>135.16722377481872</v>
      </c>
      <c r="S19" s="321">
        <f t="shared" si="7"/>
        <v>136.24229034336739</v>
      </c>
      <c r="T19" s="327">
        <f t="shared" si="17"/>
        <v>59600.000000000364</v>
      </c>
      <c r="U19" s="327">
        <f>+[18]DailyDes!H18</f>
        <v>5800.0000000001819</v>
      </c>
      <c r="V19" s="321">
        <f t="shared" si="8"/>
        <v>105.94187809378015</v>
      </c>
      <c r="W19" s="321">
        <f t="shared" si="9"/>
        <v>106.78449783669672</v>
      </c>
      <c r="X19" s="327">
        <f t="shared" si="18"/>
        <v>152374.65999999893</v>
      </c>
      <c r="Y19" s="327">
        <f>+[18]DailyDes!I18</f>
        <v>14789.239999998908</v>
      </c>
      <c r="Z19" s="327">
        <f t="shared" si="19"/>
        <v>270.13790709991247</v>
      </c>
      <c r="AA19" s="327">
        <f t="shared" si="20"/>
        <v>272.28647703210731</v>
      </c>
      <c r="AB19" s="327">
        <f t="shared" si="21"/>
        <v>84944.66000000044</v>
      </c>
      <c r="AC19" s="327">
        <f>+[18]DailyDes!J18</f>
        <v>8219.2400000007456</v>
      </c>
      <c r="AD19" s="327">
        <f t="shared" si="22"/>
        <v>150.1313313971678</v>
      </c>
      <c r="AE19" s="421">
        <f t="shared" si="23"/>
        <v>151.32541655161089</v>
      </c>
      <c r="AF19" s="327">
        <f t="shared" si="24"/>
        <v>162599.99999999854</v>
      </c>
      <c r="AG19" s="327">
        <f>+[18]DailyDes!K18</f>
        <v>16000</v>
      </c>
      <c r="AH19" s="327">
        <f t="shared" si="25"/>
        <v>292.25345681041881</v>
      </c>
      <c r="AI19" s="449">
        <f t="shared" si="26"/>
        <v>294.57792506674031</v>
      </c>
      <c r="AJ19" s="327">
        <f t="shared" si="27"/>
        <v>5060</v>
      </c>
      <c r="AK19" s="327">
        <f>+[18]DailyDes!L18</f>
        <v>420</v>
      </c>
      <c r="AL19" s="327">
        <f t="shared" si="28"/>
        <v>7.6716532412734946</v>
      </c>
      <c r="AM19" s="449">
        <f t="shared" si="29"/>
        <v>7.7326705330019339</v>
      </c>
      <c r="AN19" s="327">
        <f t="shared" si="30"/>
        <v>7800</v>
      </c>
      <c r="AO19" s="327">
        <f>+[18]DailyDes!M18</f>
        <v>670</v>
      </c>
      <c r="AP19" s="327">
        <f t="shared" si="31"/>
        <v>12.238113503936288</v>
      </c>
      <c r="AQ19" s="449">
        <f t="shared" si="32"/>
        <v>12.335450612169751</v>
      </c>
      <c r="AR19" s="327">
        <f t="shared" si="33"/>
        <v>59898.479999999836</v>
      </c>
      <c r="AS19" s="324">
        <f t="shared" si="10"/>
        <v>1094.0961148556055</v>
      </c>
      <c r="AT19" s="325">
        <f t="shared" si="11"/>
        <v>1102.7981220657248</v>
      </c>
      <c r="AV19" s="20"/>
      <c r="AX19" s="18">
        <f>SUM(AX17:AX18)</f>
        <v>0</v>
      </c>
      <c r="AY19" s="18">
        <f>SUM(AY17:AY18)</f>
        <v>0</v>
      </c>
    </row>
    <row r="20" spans="1:51">
      <c r="A20" s="318">
        <f t="shared" si="12"/>
        <v>46004</v>
      </c>
      <c r="B20" s="326">
        <f>+Report1!P21</f>
        <v>56.959000000000003</v>
      </c>
      <c r="C20" s="326">
        <f>+Report1!R21</f>
        <v>50.185000000000002</v>
      </c>
      <c r="D20" s="327">
        <f t="shared" si="13"/>
        <v>5</v>
      </c>
      <c r="E20" s="327">
        <f>+[18]DailyDes!D19</f>
        <v>0</v>
      </c>
      <c r="F20" s="321">
        <f t="shared" si="0"/>
        <v>0</v>
      </c>
      <c r="G20" s="321">
        <f t="shared" si="1"/>
        <v>0</v>
      </c>
      <c r="H20" s="327">
        <f t="shared" si="14"/>
        <v>0</v>
      </c>
      <c r="I20" s="327">
        <f>+[18]DailyDes!E19</f>
        <v>0</v>
      </c>
      <c r="J20" s="321">
        <f t="shared" si="2"/>
        <v>0</v>
      </c>
      <c r="K20" s="321">
        <f t="shared" si="3"/>
        <v>0</v>
      </c>
      <c r="L20" s="327">
        <f t="shared" si="15"/>
        <v>83000</v>
      </c>
      <c r="M20" s="327">
        <f>+[18]DailyDes!F19</f>
        <v>6400</v>
      </c>
      <c r="N20" s="321">
        <f t="shared" si="4"/>
        <v>112.36152320089889</v>
      </c>
      <c r="O20" s="321">
        <f t="shared" si="5"/>
        <v>127.52814586031683</v>
      </c>
      <c r="P20" s="327">
        <f t="shared" si="16"/>
        <v>95095.000000000364</v>
      </c>
      <c r="Q20" s="327">
        <f>+[18]DailyDes!G19</f>
        <v>7499.9999999996362</v>
      </c>
      <c r="R20" s="321">
        <f t="shared" si="6"/>
        <v>131.67366000104698</v>
      </c>
      <c r="S20" s="321">
        <f t="shared" si="7"/>
        <v>149.44704593005153</v>
      </c>
      <c r="T20" s="327">
        <f t="shared" si="17"/>
        <v>65000</v>
      </c>
      <c r="U20" s="327">
        <f>+[18]DailyDes!H19</f>
        <v>5399.9999999996362</v>
      </c>
      <c r="V20" s="321">
        <f t="shared" si="8"/>
        <v>94.805035200752044</v>
      </c>
      <c r="W20" s="321">
        <f t="shared" si="9"/>
        <v>107.60187306963508</v>
      </c>
      <c r="X20" s="327">
        <f t="shared" si="18"/>
        <v>166280.06999999928</v>
      </c>
      <c r="Y20" s="327">
        <f>+[18]DailyDes!I19</f>
        <v>13905.410000000364</v>
      </c>
      <c r="Z20" s="327">
        <f t="shared" si="19"/>
        <v>244.13016380203942</v>
      </c>
      <c r="AA20" s="327">
        <f t="shared" si="20"/>
        <v>277.0829929261804</v>
      </c>
      <c r="AB20" s="327">
        <f t="shared" si="21"/>
        <v>92010.069999999003</v>
      </c>
      <c r="AC20" s="327">
        <f>+[18]DailyDes!J19</f>
        <v>7065.4099999985583</v>
      </c>
      <c r="AD20" s="327">
        <f t="shared" si="22"/>
        <v>124.04378588104703</v>
      </c>
      <c r="AE20" s="421">
        <f t="shared" si="23"/>
        <v>140.78728703793081</v>
      </c>
      <c r="AF20" s="327">
        <f t="shared" si="24"/>
        <v>178500</v>
      </c>
      <c r="AG20" s="327">
        <f>+[18]DailyDes!K19</f>
        <v>15900.000000001455</v>
      </c>
      <c r="AH20" s="327">
        <f t="shared" si="25"/>
        <v>279.14815920225874</v>
      </c>
      <c r="AI20" s="449">
        <f t="shared" si="26"/>
        <v>316.82773737175359</v>
      </c>
      <c r="AJ20" s="327">
        <f t="shared" si="27"/>
        <v>5440</v>
      </c>
      <c r="AK20" s="327">
        <f>+[18]DailyDes!L19</f>
        <v>380</v>
      </c>
      <c r="AL20" s="327">
        <f t="shared" si="28"/>
        <v>6.6714654400533711</v>
      </c>
      <c r="AM20" s="449">
        <f t="shared" si="29"/>
        <v>7.5719836604563113</v>
      </c>
      <c r="AN20" s="327">
        <f t="shared" si="30"/>
        <v>8420</v>
      </c>
      <c r="AO20" s="327">
        <f>+[18]DailyDes!M19</f>
        <v>620</v>
      </c>
      <c r="AP20" s="327">
        <f t="shared" si="31"/>
        <v>10.88502256008708</v>
      </c>
      <c r="AQ20" s="449">
        <f t="shared" si="32"/>
        <v>12.354289130218191</v>
      </c>
      <c r="AR20" s="327">
        <f t="shared" si="33"/>
        <v>57170.81999999965</v>
      </c>
      <c r="AS20" s="324">
        <f t="shared" si="10"/>
        <v>1003.7188152881836</v>
      </c>
      <c r="AT20" s="325">
        <f t="shared" si="11"/>
        <v>1139.2013549865428</v>
      </c>
      <c r="AV20" s="20" t="s">
        <v>191</v>
      </c>
      <c r="AW20" t="s">
        <v>184</v>
      </c>
      <c r="AX20" s="13">
        <f>+AL39</f>
        <v>0</v>
      </c>
      <c r="AY20" s="13">
        <f>+AM39</f>
        <v>0</v>
      </c>
    </row>
    <row r="21" spans="1:51">
      <c r="A21" s="318">
        <f t="shared" si="12"/>
        <v>46005</v>
      </c>
      <c r="B21" s="326">
        <f>+Report1!P22</f>
        <v>60.744</v>
      </c>
      <c r="C21" s="326">
        <f>+Report1!R22</f>
        <v>47.676000000000002</v>
      </c>
      <c r="D21" s="327">
        <f t="shared" si="13"/>
        <v>5</v>
      </c>
      <c r="E21" s="327">
        <f>+[18]DailyDes!D20</f>
        <v>0</v>
      </c>
      <c r="F21" s="321">
        <f t="shared" si="0"/>
        <v>0</v>
      </c>
      <c r="G21" s="321">
        <f t="shared" si="1"/>
        <v>0</v>
      </c>
      <c r="H21" s="327">
        <f t="shared" si="14"/>
        <v>0</v>
      </c>
      <c r="I21" s="327">
        <f>+[18]DailyDes!E20</f>
        <v>0</v>
      </c>
      <c r="J21" s="321">
        <f t="shared" si="2"/>
        <v>0</v>
      </c>
      <c r="K21" s="321">
        <f t="shared" si="3"/>
        <v>0</v>
      </c>
      <c r="L21" s="327">
        <f t="shared" si="15"/>
        <v>89400</v>
      </c>
      <c r="M21" s="327">
        <f>+[18]DailyDes!F20</f>
        <v>6400</v>
      </c>
      <c r="N21" s="321">
        <f t="shared" si="4"/>
        <v>105.36020018438035</v>
      </c>
      <c r="O21" s="321">
        <f t="shared" si="5"/>
        <v>134.23944961825657</v>
      </c>
      <c r="P21" s="327">
        <f t="shared" si="16"/>
        <v>102595</v>
      </c>
      <c r="Q21" s="327">
        <f>+[18]DailyDes!G20</f>
        <v>7499.9999999996362</v>
      </c>
      <c r="R21" s="321">
        <f t="shared" si="6"/>
        <v>123.46898459106474</v>
      </c>
      <c r="S21" s="321">
        <f t="shared" si="7"/>
        <v>157.31185502138678</v>
      </c>
      <c r="T21" s="327">
        <f t="shared" si="17"/>
        <v>71800.000000000175</v>
      </c>
      <c r="U21" s="327">
        <f>+[18]DailyDes!H20</f>
        <v>6800.0000000001819</v>
      </c>
      <c r="V21" s="321">
        <f t="shared" si="8"/>
        <v>111.94521269590712</v>
      </c>
      <c r="W21" s="321">
        <f t="shared" si="9"/>
        <v>142.62941521940141</v>
      </c>
      <c r="X21" s="327">
        <f t="shared" si="18"/>
        <v>181533.48</v>
      </c>
      <c r="Y21" s="327">
        <f>+[18]DailyDes!I20</f>
        <v>15253.410000000727</v>
      </c>
      <c r="Z21" s="327">
        <f t="shared" si="19"/>
        <v>251.10973923351651</v>
      </c>
      <c r="AA21" s="327">
        <f t="shared" si="20"/>
        <v>319.93896300026694</v>
      </c>
      <c r="AB21" s="327">
        <f t="shared" si="21"/>
        <v>97593.479999998977</v>
      </c>
      <c r="AC21" s="327">
        <f>+[18]DailyDes!J20</f>
        <v>5583.4099999999726</v>
      </c>
      <c r="AD21" s="327">
        <f t="shared" si="22"/>
        <v>91.917061767416911</v>
      </c>
      <c r="AE21" s="421">
        <f t="shared" si="23"/>
        <v>117.11154459266659</v>
      </c>
      <c r="AF21" s="327">
        <f t="shared" si="24"/>
        <v>187799.99999999927</v>
      </c>
      <c r="AG21" s="327">
        <f>+[18]DailyDes!K20</f>
        <v>9299.9999999992724</v>
      </c>
      <c r="AH21" s="327">
        <f t="shared" si="25"/>
        <v>153.10154089291572</v>
      </c>
      <c r="AI21" s="449">
        <f t="shared" si="26"/>
        <v>195.0667002265138</v>
      </c>
      <c r="AJ21" s="327">
        <f t="shared" si="27"/>
        <v>5850</v>
      </c>
      <c r="AK21" s="327">
        <f>+[18]DailyDes!L20</f>
        <v>410</v>
      </c>
      <c r="AL21" s="327">
        <f t="shared" si="28"/>
        <v>6.7496378243118667</v>
      </c>
      <c r="AM21" s="449">
        <f t="shared" si="29"/>
        <v>8.59971474116956</v>
      </c>
      <c r="AN21" s="327">
        <f t="shared" si="30"/>
        <v>9110</v>
      </c>
      <c r="AO21" s="327">
        <f>+[18]DailyDes!M20</f>
        <v>690</v>
      </c>
      <c r="AP21" s="327">
        <f t="shared" si="31"/>
        <v>11.359146582378507</v>
      </c>
      <c r="AQ21" s="449">
        <f t="shared" si="32"/>
        <v>14.472690661968285</v>
      </c>
      <c r="AR21" s="327">
        <f t="shared" si="33"/>
        <v>51936.819999999789</v>
      </c>
      <c r="AS21" s="324">
        <f t="shared" si="10"/>
        <v>855.01152377189169</v>
      </c>
      <c r="AT21" s="325">
        <f t="shared" si="11"/>
        <v>1089.37033308163</v>
      </c>
      <c r="AW21" t="s">
        <v>185</v>
      </c>
      <c r="AX21" s="13">
        <f>+AP39</f>
        <v>0</v>
      </c>
      <c r="AY21" s="13">
        <f>+AQ39</f>
        <v>0</v>
      </c>
    </row>
    <row r="22" spans="1:51">
      <c r="A22" s="318">
        <f t="shared" si="12"/>
        <v>46006</v>
      </c>
      <c r="B22" s="326">
        <f>+Report1!P23</f>
        <v>53.219000000000001</v>
      </c>
      <c r="C22" s="326">
        <f>+Report1!R23</f>
        <v>64.352999999999994</v>
      </c>
      <c r="D22" s="327">
        <f>+D21+E22</f>
        <v>5</v>
      </c>
      <c r="E22" s="327">
        <f>+[18]DailyDes!D21</f>
        <v>0</v>
      </c>
      <c r="F22" s="321">
        <f>E22/B22</f>
        <v>0</v>
      </c>
      <c r="G22" s="321">
        <f>E22/C22</f>
        <v>0</v>
      </c>
      <c r="H22" s="327">
        <f>+H21+I22</f>
        <v>0</v>
      </c>
      <c r="I22" s="327">
        <f>+[18]DailyDes!E21</f>
        <v>0</v>
      </c>
      <c r="J22" s="321">
        <f>I22/B22</f>
        <v>0</v>
      </c>
      <c r="K22" s="321">
        <f>I22/C22</f>
        <v>0</v>
      </c>
      <c r="L22" s="327">
        <f>+L21+M22</f>
        <v>96300</v>
      </c>
      <c r="M22" s="327">
        <f>+[18]DailyDes!F21</f>
        <v>6900</v>
      </c>
      <c r="N22" s="321">
        <f>M22/B22</f>
        <v>129.65294349762303</v>
      </c>
      <c r="O22" s="321">
        <f>M22/C22</f>
        <v>107.22110857302691</v>
      </c>
      <c r="P22" s="327">
        <f>+P21+Q22</f>
        <v>110095.00000000146</v>
      </c>
      <c r="Q22" s="327">
        <f>+[18]DailyDes!G21</f>
        <v>7500.0000000014552</v>
      </c>
      <c r="R22" s="321">
        <f>Q22/B22</f>
        <v>140.92711249744369</v>
      </c>
      <c r="S22" s="321">
        <f>Q22/C22</f>
        <v>116.5446832315736</v>
      </c>
      <c r="T22" s="327">
        <f>+T21+U22</f>
        <v>79000</v>
      </c>
      <c r="U22" s="327">
        <f>+[18]DailyDes!H21</f>
        <v>7199.9999999998181</v>
      </c>
      <c r="V22" s="321">
        <f>U22/B22</f>
        <v>135.29002799751626</v>
      </c>
      <c r="W22" s="321">
        <f>U22/C22</f>
        <v>111.88289590228612</v>
      </c>
      <c r="X22" s="327">
        <f>+X21+Y22</f>
        <v>198514.02999999892</v>
      </c>
      <c r="Y22" s="327">
        <f>+[18]DailyDes!I21</f>
        <v>16980.549999998908</v>
      </c>
      <c r="Z22" s="327">
        <f>Y22/B22</f>
        <v>319.06931734904651</v>
      </c>
      <c r="AA22" s="327">
        <f>Y22/C22</f>
        <v>263.86570944631814</v>
      </c>
      <c r="AB22" s="327">
        <f>+AB21+AC22</f>
        <v>103504.03000000004</v>
      </c>
      <c r="AC22" s="327">
        <f>+[18]DailyDes!J21</f>
        <v>5910.5500000010634</v>
      </c>
      <c r="AD22" s="327">
        <f>AC22/B22</f>
        <v>111.06089930290052</v>
      </c>
      <c r="AE22" s="421">
        <f>AC22/C22</f>
        <v>91.845756996582352</v>
      </c>
      <c r="AF22" s="327">
        <f>+AF21+AG22</f>
        <v>197500</v>
      </c>
      <c r="AG22" s="327">
        <f>+[18]DailyDes!K21</f>
        <v>9700.0000000007276</v>
      </c>
      <c r="AH22" s="327">
        <f>AG22/B22</f>
        <v>182.26573216333878</v>
      </c>
      <c r="AI22" s="449">
        <f>AG22/C22</f>
        <v>150.73112364615059</v>
      </c>
      <c r="AJ22" s="327">
        <f>+AJ21+AK22</f>
        <v>6200</v>
      </c>
      <c r="AK22" s="327">
        <f>+[18]DailyDes!L21</f>
        <v>350</v>
      </c>
      <c r="AL22" s="327">
        <f>AK22/B22</f>
        <v>6.5765985832127623</v>
      </c>
      <c r="AM22" s="449">
        <f>AK22/C22</f>
        <v>5.4387518841390463</v>
      </c>
      <c r="AN22" s="327">
        <f>+AN21+AO22</f>
        <v>9810</v>
      </c>
      <c r="AO22" s="327">
        <f>+[18]DailyDes!M21</f>
        <v>700</v>
      </c>
      <c r="AP22" s="327">
        <f>AO22/B22</f>
        <v>13.153197166425525</v>
      </c>
      <c r="AQ22" s="449">
        <f>AO22/C22</f>
        <v>10.877503768278093</v>
      </c>
      <c r="AR22" s="327">
        <f>+E22+I22+M22+Q22+U22+Y22+AC22+AG22+AK22+AO22</f>
        <v>55241.10000000197</v>
      </c>
      <c r="AS22" s="324">
        <f>AR22/B22</f>
        <v>1037.9958285575071</v>
      </c>
      <c r="AT22" s="325">
        <f>AR22/C22</f>
        <v>858.4075334483548</v>
      </c>
      <c r="AW22" t="s">
        <v>185</v>
      </c>
      <c r="AX22" s="13">
        <f>+AP40</f>
        <v>10.30119180972174</v>
      </c>
      <c r="AY22" s="13">
        <f>+AQ40</f>
        <v>10.566205701054988</v>
      </c>
    </row>
    <row r="23" spans="1:51">
      <c r="A23" s="318">
        <f t="shared" si="12"/>
        <v>46007</v>
      </c>
      <c r="B23" s="326">
        <f>+Report1!P24</f>
        <v>54.137</v>
      </c>
      <c r="C23" s="326">
        <f>+Report1!R24</f>
        <v>58.548000000000002</v>
      </c>
      <c r="D23" s="327">
        <f t="shared" si="13"/>
        <v>11</v>
      </c>
      <c r="E23" s="327">
        <f>+[18]DailyDes!D22</f>
        <v>6</v>
      </c>
      <c r="F23" s="321">
        <f t="shared" si="0"/>
        <v>0.11082993147015904</v>
      </c>
      <c r="G23" s="321">
        <f t="shared" si="1"/>
        <v>0.10248001639680263</v>
      </c>
      <c r="H23" s="327">
        <f t="shared" si="14"/>
        <v>0</v>
      </c>
      <c r="I23" s="327">
        <f>+[18]DailyDes!E22</f>
        <v>0</v>
      </c>
      <c r="J23" s="321">
        <f t="shared" si="2"/>
        <v>0</v>
      </c>
      <c r="K23" s="321">
        <f t="shared" si="3"/>
        <v>0</v>
      </c>
      <c r="L23" s="327">
        <f t="shared" si="15"/>
        <v>103100</v>
      </c>
      <c r="M23" s="327">
        <f>+[18]DailyDes!F22</f>
        <v>6800</v>
      </c>
      <c r="N23" s="321">
        <f t="shared" si="4"/>
        <v>125.60725566618025</v>
      </c>
      <c r="O23" s="321">
        <f t="shared" si="5"/>
        <v>116.14401858304296</v>
      </c>
      <c r="P23" s="327">
        <f t="shared" si="16"/>
        <v>117789.00000000146</v>
      </c>
      <c r="Q23" s="327">
        <f>+[18]DailyDes!G22</f>
        <v>7694</v>
      </c>
      <c r="R23" s="321">
        <f t="shared" si="6"/>
        <v>142.12091545523396</v>
      </c>
      <c r="S23" s="321">
        <f t="shared" si="7"/>
        <v>131.41354102616657</v>
      </c>
      <c r="T23" s="327">
        <f t="shared" si="17"/>
        <v>86100.000000000364</v>
      </c>
      <c r="U23" s="327">
        <f>+[18]DailyDes!H22</f>
        <v>7100.0000000003638</v>
      </c>
      <c r="V23" s="321">
        <f t="shared" si="8"/>
        <v>131.14875223969491</v>
      </c>
      <c r="W23" s="321">
        <f t="shared" si="9"/>
        <v>121.26801940288931</v>
      </c>
      <c r="X23" s="327">
        <f t="shared" si="18"/>
        <v>215860.80000000002</v>
      </c>
      <c r="Y23" s="327">
        <f>+[18]DailyDes!I22</f>
        <v>17346.770000001092</v>
      </c>
      <c r="Z23" s="327">
        <f t="shared" si="19"/>
        <v>320.42355505478861</v>
      </c>
      <c r="AA23" s="327">
        <f t="shared" si="20"/>
        <v>296.28287900527926</v>
      </c>
      <c r="AB23" s="327">
        <f t="shared" si="21"/>
        <v>109180.79999999929</v>
      </c>
      <c r="AC23" s="327">
        <f>+[18]DailyDes!J22</f>
        <v>5676.7699999992456</v>
      </c>
      <c r="AD23" s="327">
        <f t="shared" si="22"/>
        <v>104.85933834529519</v>
      </c>
      <c r="AE23" s="421">
        <f t="shared" si="23"/>
        <v>96.959247113466645</v>
      </c>
      <c r="AF23" s="327">
        <f t="shared" si="24"/>
        <v>206599.99999999854</v>
      </c>
      <c r="AG23" s="327">
        <f>+[18]DailyDes!K22</f>
        <v>9099.9999999985448</v>
      </c>
      <c r="AH23" s="327">
        <f t="shared" si="25"/>
        <v>168.09206272971434</v>
      </c>
      <c r="AI23" s="449">
        <f t="shared" si="26"/>
        <v>155.42802486845912</v>
      </c>
      <c r="AJ23" s="327">
        <f t="shared" si="27"/>
        <v>6580</v>
      </c>
      <c r="AK23" s="327">
        <f>+[18]DailyDes!L22</f>
        <v>380</v>
      </c>
      <c r="AL23" s="327">
        <f t="shared" si="28"/>
        <v>7.0192289931100724</v>
      </c>
      <c r="AM23" s="449">
        <f t="shared" si="29"/>
        <v>6.4904010384641664</v>
      </c>
      <c r="AN23" s="327">
        <f t="shared" si="30"/>
        <v>10390</v>
      </c>
      <c r="AO23" s="327">
        <f>+[18]DailyDes!M22</f>
        <v>580</v>
      </c>
      <c r="AP23" s="327">
        <f t="shared" si="31"/>
        <v>10.713560042115374</v>
      </c>
      <c r="AQ23" s="449">
        <f t="shared" si="32"/>
        <v>9.9064015850242537</v>
      </c>
      <c r="AR23" s="327">
        <f t="shared" si="33"/>
        <v>54683.539999999251</v>
      </c>
      <c r="AS23" s="324">
        <f t="shared" si="10"/>
        <v>1010.095498457603</v>
      </c>
      <c r="AT23" s="325">
        <f t="shared" si="11"/>
        <v>933.99501263918921</v>
      </c>
    </row>
    <row r="24" spans="1:51">
      <c r="A24" s="318">
        <f t="shared" si="12"/>
        <v>46008</v>
      </c>
      <c r="B24" s="326">
        <f>+Report1!P25</f>
        <v>61.677000000000007</v>
      </c>
      <c r="C24" s="326">
        <f>+Report1!R25</f>
        <v>56.588000000000001</v>
      </c>
      <c r="D24" s="327">
        <f t="shared" si="13"/>
        <v>11</v>
      </c>
      <c r="E24" s="327">
        <f>+[18]DailyDes!D23</f>
        <v>0</v>
      </c>
      <c r="F24" s="321">
        <f t="shared" si="0"/>
        <v>0</v>
      </c>
      <c r="G24" s="321">
        <f t="shared" si="1"/>
        <v>0</v>
      </c>
      <c r="H24" s="327">
        <f t="shared" si="14"/>
        <v>0</v>
      </c>
      <c r="I24" s="327">
        <f>+[18]DailyDes!E23</f>
        <v>0</v>
      </c>
      <c r="J24" s="321">
        <f t="shared" si="2"/>
        <v>0</v>
      </c>
      <c r="K24" s="321">
        <f t="shared" si="3"/>
        <v>0</v>
      </c>
      <c r="L24" s="327">
        <f t="shared" si="15"/>
        <v>110000</v>
      </c>
      <c r="M24" s="327">
        <f>+[18]DailyDes!F23</f>
        <v>6900</v>
      </c>
      <c r="N24" s="321">
        <f t="shared" si="4"/>
        <v>111.87314558101073</v>
      </c>
      <c r="O24" s="321">
        <f t="shared" si="5"/>
        <v>121.93397893546334</v>
      </c>
      <c r="P24" s="327">
        <f t="shared" si="16"/>
        <v>125189.00000000073</v>
      </c>
      <c r="Q24" s="327">
        <f>+[18]DailyDes!G23</f>
        <v>7399.9999999992724</v>
      </c>
      <c r="R24" s="321">
        <f t="shared" si="6"/>
        <v>119.97989526078233</v>
      </c>
      <c r="S24" s="321">
        <f t="shared" si="7"/>
        <v>130.76977451048407</v>
      </c>
      <c r="T24" s="327">
        <f t="shared" si="17"/>
        <v>93300.000000000175</v>
      </c>
      <c r="U24" s="327">
        <f>+[18]DailyDes!H23</f>
        <v>7199.9999999998181</v>
      </c>
      <c r="V24" s="321">
        <f t="shared" si="8"/>
        <v>116.73719538887782</v>
      </c>
      <c r="W24" s="321">
        <f t="shared" si="9"/>
        <v>127.23545628048028</v>
      </c>
      <c r="X24" s="327">
        <f t="shared" si="18"/>
        <v>233703.35999999856</v>
      </c>
      <c r="Y24" s="327">
        <f>+[18]DailyDes!I23</f>
        <v>17842.559999998546</v>
      </c>
      <c r="Z24" s="327">
        <f t="shared" si="19"/>
        <v>289.29033513300817</v>
      </c>
      <c r="AA24" s="327">
        <f t="shared" si="20"/>
        <v>315.30642539051649</v>
      </c>
      <c r="AB24" s="327">
        <f t="shared" si="21"/>
        <v>115253.36000000038</v>
      </c>
      <c r="AC24" s="327">
        <f>+[18]DailyDes!J23</f>
        <v>6072.5600000010863</v>
      </c>
      <c r="AD24" s="327">
        <f t="shared" si="22"/>
        <v>98.457447670948426</v>
      </c>
      <c r="AE24" s="421">
        <f t="shared" si="23"/>
        <v>107.31179755427098</v>
      </c>
      <c r="AF24" s="327">
        <f t="shared" si="24"/>
        <v>210899.99999999965</v>
      </c>
      <c r="AG24" s="327">
        <f>+[18]DailyDes!K23</f>
        <v>4300.0000000010914</v>
      </c>
      <c r="AH24" s="327">
        <f t="shared" si="25"/>
        <v>69.718047246154825</v>
      </c>
      <c r="AI24" s="449">
        <f t="shared" si="26"/>
        <v>75.987841945308034</v>
      </c>
      <c r="AJ24" s="327">
        <f t="shared" si="27"/>
        <v>6930</v>
      </c>
      <c r="AK24" s="327">
        <f>+[18]DailyDes!L23</f>
        <v>350</v>
      </c>
      <c r="AL24" s="327">
        <f t="shared" si="28"/>
        <v>5.6747247758483708</v>
      </c>
      <c r="AM24" s="449">
        <f t="shared" si="29"/>
        <v>6.1850569025235034</v>
      </c>
      <c r="AN24" s="327">
        <f t="shared" si="30"/>
        <v>10970</v>
      </c>
      <c r="AO24" s="327">
        <f>+[18]DailyDes!M23</f>
        <v>580</v>
      </c>
      <c r="AP24" s="327">
        <f t="shared" si="31"/>
        <v>9.4038296285487295</v>
      </c>
      <c r="AQ24" s="449">
        <f t="shared" si="32"/>
        <v>10.249522867038948</v>
      </c>
      <c r="AR24" s="327">
        <f t="shared" si="33"/>
        <v>50645.119999999821</v>
      </c>
      <c r="AS24" s="324">
        <f t="shared" si="10"/>
        <v>821.13462068517947</v>
      </c>
      <c r="AT24" s="325">
        <f t="shared" si="11"/>
        <v>894.97985438608578</v>
      </c>
      <c r="AW24" s="20" t="s">
        <v>2</v>
      </c>
      <c r="AX24" s="18">
        <f>+AX16+AX19+AX22</f>
        <v>10.30119180972174</v>
      </c>
      <c r="AY24" s="18">
        <f>+AY16+AY19+AY22</f>
        <v>10.566205701054988</v>
      </c>
    </row>
    <row r="25" spans="1:51">
      <c r="A25" s="318">
        <f t="shared" si="12"/>
        <v>46009</v>
      </c>
      <c r="B25" s="326">
        <f>+Report1!P26</f>
        <v>61.581000000000003</v>
      </c>
      <c r="C25" s="326">
        <f>+Report1!R26</f>
        <v>59.009</v>
      </c>
      <c r="D25" s="327">
        <f t="shared" si="13"/>
        <v>11</v>
      </c>
      <c r="E25" s="327">
        <f>+[18]DailyDes!D24</f>
        <v>0</v>
      </c>
      <c r="F25" s="321">
        <f t="shared" si="0"/>
        <v>0</v>
      </c>
      <c r="G25" s="321">
        <f t="shared" si="1"/>
        <v>0</v>
      </c>
      <c r="H25" s="327">
        <f t="shared" si="14"/>
        <v>0</v>
      </c>
      <c r="I25" s="327">
        <f>+[18]DailyDes!E24</f>
        <v>0</v>
      </c>
      <c r="J25" s="321">
        <f t="shared" si="2"/>
        <v>0</v>
      </c>
      <c r="K25" s="321">
        <f t="shared" si="3"/>
        <v>0</v>
      </c>
      <c r="L25" s="327">
        <f t="shared" si="15"/>
        <v>116400</v>
      </c>
      <c r="M25" s="327">
        <f>+[18]DailyDes!F24</f>
        <v>6400</v>
      </c>
      <c r="N25" s="321">
        <f t="shared" si="4"/>
        <v>103.92815965963527</v>
      </c>
      <c r="O25" s="321">
        <f t="shared" si="5"/>
        <v>108.45803182565372</v>
      </c>
      <c r="P25" s="327">
        <f t="shared" si="16"/>
        <v>132689.00000000035</v>
      </c>
      <c r="Q25" s="327">
        <f>+[18]DailyDes!G24</f>
        <v>7499.9999999996362</v>
      </c>
      <c r="R25" s="321">
        <f t="shared" si="6"/>
        <v>121.79081210112918</v>
      </c>
      <c r="S25" s="321">
        <f t="shared" si="7"/>
        <v>127.09925604568178</v>
      </c>
      <c r="T25" s="327">
        <f t="shared" si="17"/>
        <v>98300.000000000175</v>
      </c>
      <c r="U25" s="327">
        <f>+[18]DailyDes!H24</f>
        <v>5000</v>
      </c>
      <c r="V25" s="321">
        <f t="shared" si="8"/>
        <v>81.193874734090059</v>
      </c>
      <c r="W25" s="321">
        <f t="shared" si="9"/>
        <v>84.732837363791958</v>
      </c>
      <c r="X25" s="327">
        <f t="shared" si="18"/>
        <v>246399.26</v>
      </c>
      <c r="Y25" s="327">
        <f>+[18]DailyDes!I24</f>
        <v>12695.900000001455</v>
      </c>
      <c r="Z25" s="327">
        <f t="shared" si="19"/>
        <v>206.1658628473304</v>
      </c>
      <c r="AA25" s="327">
        <f t="shared" si="20"/>
        <v>215.15192597741793</v>
      </c>
      <c r="AB25" s="327">
        <f t="shared" si="21"/>
        <v>122499.25999999963</v>
      </c>
      <c r="AC25" s="327">
        <f>+[18]DailyDes!J24</f>
        <v>7245.8999999992493</v>
      </c>
      <c r="AD25" s="327">
        <f t="shared" si="22"/>
        <v>117.66453938713644</v>
      </c>
      <c r="AE25" s="421">
        <f t="shared" si="23"/>
        <v>122.79313325084732</v>
      </c>
      <c r="AF25" s="327">
        <f t="shared" si="24"/>
        <v>230699.99999999892</v>
      </c>
      <c r="AG25" s="327">
        <f>+[18]DailyDes!K24</f>
        <v>19799.999999999272</v>
      </c>
      <c r="AH25" s="327">
        <f t="shared" si="25"/>
        <v>321.5277439469848</v>
      </c>
      <c r="AI25" s="449">
        <f t="shared" si="26"/>
        <v>335.54203596060387</v>
      </c>
      <c r="AJ25" s="327">
        <f t="shared" si="27"/>
        <v>7350</v>
      </c>
      <c r="AK25" s="327">
        <f>+[18]DailyDes!L24</f>
        <v>420</v>
      </c>
      <c r="AL25" s="327">
        <f t="shared" si="28"/>
        <v>6.8202854776635649</v>
      </c>
      <c r="AM25" s="449">
        <f t="shared" si="29"/>
        <v>7.117558338558525</v>
      </c>
      <c r="AN25" s="327">
        <f t="shared" si="30"/>
        <v>11660</v>
      </c>
      <c r="AO25" s="327">
        <f>+[18]DailyDes!M24</f>
        <v>690</v>
      </c>
      <c r="AP25" s="327">
        <f t="shared" si="31"/>
        <v>11.204754713304428</v>
      </c>
      <c r="AQ25" s="449">
        <f t="shared" si="32"/>
        <v>11.693131556203291</v>
      </c>
      <c r="AR25" s="327">
        <f t="shared" si="33"/>
        <v>59751.799999999617</v>
      </c>
      <c r="AS25" s="324">
        <f t="shared" si="10"/>
        <v>970.29603286727422</v>
      </c>
      <c r="AT25" s="325">
        <f t="shared" si="11"/>
        <v>1012.5879103187584</v>
      </c>
    </row>
    <row r="26" spans="1:51">
      <c r="A26" s="318">
        <f t="shared" si="12"/>
        <v>46010</v>
      </c>
      <c r="B26" s="326">
        <f>+Report1!P27</f>
        <v>69.900000000000006</v>
      </c>
      <c r="C26" s="326">
        <f>+Report1!R27</f>
        <v>59.405000000000001</v>
      </c>
      <c r="D26" s="327">
        <f t="shared" si="13"/>
        <v>11</v>
      </c>
      <c r="E26" s="327">
        <f>+[18]DailyDes!D25</f>
        <v>0</v>
      </c>
      <c r="F26" s="321">
        <f t="shared" si="0"/>
        <v>0</v>
      </c>
      <c r="G26" s="321">
        <f t="shared" si="1"/>
        <v>0</v>
      </c>
      <c r="H26" s="327">
        <f t="shared" si="14"/>
        <v>0</v>
      </c>
      <c r="I26" s="327">
        <f>+[18]DailyDes!E25</f>
        <v>0</v>
      </c>
      <c r="J26" s="321">
        <f t="shared" si="2"/>
        <v>0</v>
      </c>
      <c r="K26" s="321">
        <f t="shared" si="3"/>
        <v>0</v>
      </c>
      <c r="L26" s="327">
        <f t="shared" si="15"/>
        <v>123000</v>
      </c>
      <c r="M26" s="327">
        <f>+[18]DailyDes!F25</f>
        <v>6600</v>
      </c>
      <c r="N26" s="321">
        <f t="shared" si="4"/>
        <v>94.420600858369085</v>
      </c>
      <c r="O26" s="321">
        <f t="shared" si="5"/>
        <v>111.10175911118593</v>
      </c>
      <c r="P26" s="327">
        <f t="shared" si="16"/>
        <v>140689.0000000007</v>
      </c>
      <c r="Q26" s="327">
        <f>+[18]DailyDes!G25</f>
        <v>8000.0000000003638</v>
      </c>
      <c r="R26" s="321">
        <f t="shared" si="6"/>
        <v>114.44921316166472</v>
      </c>
      <c r="S26" s="321">
        <f t="shared" si="7"/>
        <v>134.66879892265572</v>
      </c>
      <c r="T26" s="327">
        <f t="shared" si="17"/>
        <v>103300.00000000017</v>
      </c>
      <c r="U26" s="327">
        <f>+[18]DailyDes!H25</f>
        <v>5000</v>
      </c>
      <c r="V26" s="321">
        <f t="shared" si="8"/>
        <v>71.530758226037193</v>
      </c>
      <c r="W26" s="321">
        <f t="shared" si="9"/>
        <v>84.167999326656002</v>
      </c>
      <c r="X26" s="327">
        <f t="shared" si="18"/>
        <v>259451.98999999856</v>
      </c>
      <c r="Y26" s="327">
        <f>+[18]DailyDes!I25</f>
        <v>13052.729999998544</v>
      </c>
      <c r="Z26" s="327">
        <f t="shared" si="19"/>
        <v>186.73433476392765</v>
      </c>
      <c r="AA26" s="327">
        <f t="shared" si="20"/>
        <v>219.72443397018003</v>
      </c>
      <c r="AB26" s="327">
        <f t="shared" si="21"/>
        <v>130081.99000000037</v>
      </c>
      <c r="AC26" s="327">
        <f>+[18]DailyDes!J25</f>
        <v>7582.7300000007453</v>
      </c>
      <c r="AD26" s="327">
        <f t="shared" si="22"/>
        <v>108.47968526467446</v>
      </c>
      <c r="AE26" s="421">
        <f t="shared" si="23"/>
        <v>127.64464270685541</v>
      </c>
      <c r="AF26" s="327">
        <f t="shared" si="24"/>
        <v>245599.99999999854</v>
      </c>
      <c r="AG26" s="327">
        <f>+[18]DailyDes!K25</f>
        <v>14899.999999999636</v>
      </c>
      <c r="AH26" s="327">
        <f t="shared" si="25"/>
        <v>213.16165951358562</v>
      </c>
      <c r="AI26" s="449">
        <f t="shared" si="26"/>
        <v>250.82063799342876</v>
      </c>
      <c r="AJ26" s="327">
        <f t="shared" si="27"/>
        <v>7770</v>
      </c>
      <c r="AK26" s="327">
        <f>+[18]DailyDes!L25</f>
        <v>420</v>
      </c>
      <c r="AL26" s="327">
        <f t="shared" si="28"/>
        <v>6.0085836909871242</v>
      </c>
      <c r="AM26" s="449">
        <f t="shared" si="29"/>
        <v>7.0701119434391044</v>
      </c>
      <c r="AN26" s="327">
        <f t="shared" si="30"/>
        <v>12390</v>
      </c>
      <c r="AO26" s="327">
        <f>+[18]DailyDes!M25</f>
        <v>730</v>
      </c>
      <c r="AP26" s="327">
        <f t="shared" si="31"/>
        <v>10.44349070100143</v>
      </c>
      <c r="AQ26" s="449">
        <f t="shared" si="32"/>
        <v>12.288527901691776</v>
      </c>
      <c r="AR26" s="327">
        <f t="shared" si="33"/>
        <v>56285.459999999293</v>
      </c>
      <c r="AS26" s="324">
        <f t="shared" si="10"/>
        <v>805.22832618024734</v>
      </c>
      <c r="AT26" s="325">
        <f t="shared" si="11"/>
        <v>947.48691187609279</v>
      </c>
      <c r="AW26" s="20" t="s">
        <v>192</v>
      </c>
      <c r="AY26" s="413">
        <f>+AY24/AX24-1</f>
        <v>2.5726527204662064E-2</v>
      </c>
    </row>
    <row r="27" spans="1:51">
      <c r="A27" s="318">
        <f t="shared" si="12"/>
        <v>46011</v>
      </c>
      <c r="B27" s="326">
        <f>+Report1!P28</f>
        <v>72.647999999999996</v>
      </c>
      <c r="C27" s="326">
        <f>+Report1!R28</f>
        <v>68.040999999999997</v>
      </c>
      <c r="D27" s="327">
        <f t="shared" si="13"/>
        <v>11</v>
      </c>
      <c r="E27" s="327">
        <f>+[18]DailyDes!D26</f>
        <v>0</v>
      </c>
      <c r="F27" s="321">
        <f t="shared" si="0"/>
        <v>0</v>
      </c>
      <c r="G27" s="321">
        <f t="shared" si="1"/>
        <v>0</v>
      </c>
      <c r="H27" s="327">
        <f t="shared" si="14"/>
        <v>0</v>
      </c>
      <c r="I27" s="327">
        <f>+[18]DailyDes!E26</f>
        <v>0</v>
      </c>
      <c r="J27" s="321">
        <f t="shared" si="2"/>
        <v>0</v>
      </c>
      <c r="K27" s="321">
        <f t="shared" si="3"/>
        <v>0</v>
      </c>
      <c r="L27" s="327">
        <f t="shared" si="15"/>
        <v>129400</v>
      </c>
      <c r="M27" s="327">
        <f>+[18]DailyDes!F26</f>
        <v>6400</v>
      </c>
      <c r="N27" s="321">
        <f t="shared" si="4"/>
        <v>88.096024666886905</v>
      </c>
      <c r="O27" s="321">
        <f t="shared" si="5"/>
        <v>94.060933848708871</v>
      </c>
      <c r="P27" s="327">
        <f t="shared" si="16"/>
        <v>148088.99999999997</v>
      </c>
      <c r="Q27" s="327">
        <f>+[18]DailyDes!G26</f>
        <v>7399.9999999992724</v>
      </c>
      <c r="R27" s="321">
        <f t="shared" si="6"/>
        <v>101.86102852107797</v>
      </c>
      <c r="S27" s="321">
        <f t="shared" si="7"/>
        <v>108.75795476255894</v>
      </c>
      <c r="T27" s="327">
        <f t="shared" si="17"/>
        <v>108000</v>
      </c>
      <c r="U27" s="327">
        <f>+[18]DailyDes!H26</f>
        <v>4699.9999999998181</v>
      </c>
      <c r="V27" s="321">
        <f t="shared" si="8"/>
        <v>64.695518114742569</v>
      </c>
      <c r="W27" s="321">
        <f t="shared" si="9"/>
        <v>69.075998295142909</v>
      </c>
      <c r="X27" s="327">
        <f t="shared" si="18"/>
        <v>270618.84999999928</v>
      </c>
      <c r="Y27" s="327">
        <f>+[18]DailyDes!I26</f>
        <v>11166.860000000728</v>
      </c>
      <c r="Z27" s="327">
        <f t="shared" si="19"/>
        <v>153.71187093933389</v>
      </c>
      <c r="AA27" s="327">
        <f t="shared" si="20"/>
        <v>164.11957496216587</v>
      </c>
      <c r="AB27" s="327">
        <f t="shared" si="21"/>
        <v>136728.84999999963</v>
      </c>
      <c r="AC27" s="327">
        <f>+[18]DailyDes!J26</f>
        <v>6646.8599999992684</v>
      </c>
      <c r="AD27" s="327">
        <f t="shared" si="22"/>
        <v>91.494053518324918</v>
      </c>
      <c r="AE27" s="421">
        <f t="shared" si="23"/>
        <v>97.689040431493794</v>
      </c>
      <c r="AF27" s="327">
        <f t="shared" si="24"/>
        <v>259599.99999999854</v>
      </c>
      <c r="AG27" s="327">
        <f>+[18]DailyDes!K26</f>
        <v>14000</v>
      </c>
      <c r="AH27" s="327">
        <f t="shared" si="25"/>
        <v>192.71005395881511</v>
      </c>
      <c r="AI27" s="449">
        <f t="shared" si="26"/>
        <v>205.75829279405065</v>
      </c>
      <c r="AJ27" s="327">
        <f t="shared" si="27"/>
        <v>8170</v>
      </c>
      <c r="AK27" s="327">
        <f>+[18]DailyDes!L26</f>
        <v>400</v>
      </c>
      <c r="AL27" s="327">
        <f t="shared" si="28"/>
        <v>5.5060015416804315</v>
      </c>
      <c r="AM27" s="449">
        <f t="shared" si="29"/>
        <v>5.8788083655443044</v>
      </c>
      <c r="AN27" s="327">
        <f t="shared" si="30"/>
        <v>13060</v>
      </c>
      <c r="AO27" s="327">
        <f>+[18]DailyDes!M26</f>
        <v>670</v>
      </c>
      <c r="AP27" s="327">
        <f t="shared" si="31"/>
        <v>9.222552582314723</v>
      </c>
      <c r="AQ27" s="449">
        <f t="shared" si="32"/>
        <v>9.8470040122867104</v>
      </c>
      <c r="AR27" s="327">
        <f t="shared" si="33"/>
        <v>51383.719999999084</v>
      </c>
      <c r="AS27" s="324">
        <f t="shared" si="10"/>
        <v>707.2971038431765</v>
      </c>
      <c r="AT27" s="325">
        <f t="shared" si="11"/>
        <v>755.18760747195199</v>
      </c>
    </row>
    <row r="28" spans="1:51">
      <c r="A28" s="318">
        <f t="shared" si="12"/>
        <v>46012</v>
      </c>
      <c r="B28" s="326">
        <f>+Report1!P29</f>
        <v>71.75800000000001</v>
      </c>
      <c r="C28" s="326">
        <f>+Report1!R29</f>
        <v>66.168999999999997</v>
      </c>
      <c r="D28" s="327">
        <f t="shared" si="13"/>
        <v>11</v>
      </c>
      <c r="E28" s="327">
        <f>+[18]DailyDes!D27</f>
        <v>0</v>
      </c>
      <c r="F28" s="322">
        <f t="shared" si="0"/>
        <v>0</v>
      </c>
      <c r="G28" s="321">
        <f t="shared" si="1"/>
        <v>0</v>
      </c>
      <c r="H28" s="327">
        <f t="shared" si="14"/>
        <v>0</v>
      </c>
      <c r="I28" s="327">
        <f>+[18]DailyDes!E27</f>
        <v>0</v>
      </c>
      <c r="J28" s="321">
        <f t="shared" si="2"/>
        <v>0</v>
      </c>
      <c r="K28" s="321">
        <f t="shared" si="3"/>
        <v>0</v>
      </c>
      <c r="L28" s="327">
        <f t="shared" si="15"/>
        <v>136500</v>
      </c>
      <c r="M28" s="327">
        <f>+[18]DailyDes!F27</f>
        <v>7100</v>
      </c>
      <c r="N28" s="321">
        <f t="shared" si="4"/>
        <v>98.94367178572422</v>
      </c>
      <c r="O28" s="321">
        <f t="shared" si="5"/>
        <v>107.30100197977906</v>
      </c>
      <c r="P28" s="327">
        <f t="shared" si="16"/>
        <v>155589.00000000035</v>
      </c>
      <c r="Q28" s="327">
        <f>+[18]DailyDes!G27</f>
        <v>7500.0000000003638</v>
      </c>
      <c r="R28" s="321">
        <f t="shared" si="6"/>
        <v>104.51796315393911</v>
      </c>
      <c r="S28" s="321">
        <f t="shared" si="7"/>
        <v>113.34612885188479</v>
      </c>
      <c r="T28" s="327">
        <f t="shared" si="17"/>
        <v>113100.00000000036</v>
      </c>
      <c r="U28" s="327">
        <f>+[18]DailyDes!H27</f>
        <v>5100.0000000003638</v>
      </c>
      <c r="V28" s="321">
        <f t="shared" si="8"/>
        <v>71.072214944680212</v>
      </c>
      <c r="W28" s="321">
        <f t="shared" si="9"/>
        <v>77.075367619283412</v>
      </c>
      <c r="X28" s="327">
        <f t="shared" si="18"/>
        <v>283758.4399999989</v>
      </c>
      <c r="Y28" s="327">
        <f>+[18]DailyDes!I27</f>
        <v>13139.589999999636</v>
      </c>
      <c r="Z28" s="327">
        <f t="shared" si="19"/>
        <v>183.10975779703494</v>
      </c>
      <c r="AA28" s="327">
        <f t="shared" si="20"/>
        <v>198.57622149344311</v>
      </c>
      <c r="AB28" s="327">
        <f t="shared" si="21"/>
        <v>144288.43999999962</v>
      </c>
      <c r="AC28" s="327">
        <f>+[18]DailyDes!J27</f>
        <v>7559.5900000000047</v>
      </c>
      <c r="AD28" s="327">
        <f t="shared" si="22"/>
        <v>105.34839321051317</v>
      </c>
      <c r="AE28" s="421">
        <f t="shared" si="23"/>
        <v>114.24670162765048</v>
      </c>
      <c r="AF28" s="327">
        <f t="shared" si="24"/>
        <v>275000</v>
      </c>
      <c r="AG28" s="327">
        <f>+[18]DailyDes!K27</f>
        <v>15400.000000001455</v>
      </c>
      <c r="AH28" s="327">
        <f t="shared" si="25"/>
        <v>214.61021767609819</v>
      </c>
      <c r="AI28" s="449">
        <f t="shared" si="26"/>
        <v>232.73738457588078</v>
      </c>
      <c r="AJ28" s="327">
        <f t="shared" si="27"/>
        <v>8650</v>
      </c>
      <c r="AK28" s="327">
        <f>+[18]DailyDes!L27</f>
        <v>480</v>
      </c>
      <c r="AL28" s="327">
        <f t="shared" si="28"/>
        <v>6.6891496418517784</v>
      </c>
      <c r="AM28" s="449">
        <f t="shared" si="29"/>
        <v>7.2541522465202739</v>
      </c>
      <c r="AN28" s="327">
        <f t="shared" si="30"/>
        <v>13760</v>
      </c>
      <c r="AO28" s="327">
        <f>+[18]DailyDes!M27</f>
        <v>700</v>
      </c>
      <c r="AP28" s="327">
        <f t="shared" si="31"/>
        <v>9.755009894367177</v>
      </c>
      <c r="AQ28" s="449">
        <f t="shared" si="32"/>
        <v>10.5789720261754</v>
      </c>
      <c r="AR28" s="327">
        <f t="shared" si="33"/>
        <v>56979.180000001819</v>
      </c>
      <c r="AS28" s="324">
        <f t="shared" si="10"/>
        <v>794.04637810420877</v>
      </c>
      <c r="AT28" s="325">
        <f t="shared" si="11"/>
        <v>861.11593042061725</v>
      </c>
    </row>
    <row r="29" spans="1:51">
      <c r="A29" s="318">
        <f t="shared" si="12"/>
        <v>46013</v>
      </c>
      <c r="B29" s="326">
        <f>+Report1!P30</f>
        <v>76.346000000000004</v>
      </c>
      <c r="C29" s="326">
        <f>+Report1!R30</f>
        <v>74.593000000000004</v>
      </c>
      <c r="D29" s="327">
        <f t="shared" si="13"/>
        <v>11</v>
      </c>
      <c r="E29" s="327">
        <f>+[18]DailyDes!D28</f>
        <v>0</v>
      </c>
      <c r="F29" s="321">
        <f t="shared" si="0"/>
        <v>0</v>
      </c>
      <c r="G29" s="321">
        <f t="shared" si="1"/>
        <v>0</v>
      </c>
      <c r="H29" s="327">
        <f t="shared" si="14"/>
        <v>0</v>
      </c>
      <c r="I29" s="327">
        <f>+[18]DailyDes!E28</f>
        <v>0</v>
      </c>
      <c r="J29" s="321">
        <f t="shared" si="2"/>
        <v>0</v>
      </c>
      <c r="K29" s="321">
        <f t="shared" si="3"/>
        <v>0</v>
      </c>
      <c r="L29" s="327">
        <f t="shared" si="15"/>
        <v>143300</v>
      </c>
      <c r="M29" s="327">
        <f>+[18]DailyDes!F28</f>
        <v>6800</v>
      </c>
      <c r="N29" s="321">
        <f t="shared" si="4"/>
        <v>89.068189558064603</v>
      </c>
      <c r="O29" s="321">
        <f t="shared" si="5"/>
        <v>91.161369029265472</v>
      </c>
      <c r="P29" s="327">
        <f t="shared" si="16"/>
        <v>162989.00000000108</v>
      </c>
      <c r="Q29" s="327">
        <f>+[18]DailyDes!G28</f>
        <v>7400.0000000007276</v>
      </c>
      <c r="R29" s="321">
        <f t="shared" si="6"/>
        <v>96.927147460256293</v>
      </c>
      <c r="S29" s="321">
        <f t="shared" si="7"/>
        <v>99.205019237739833</v>
      </c>
      <c r="T29" s="327">
        <f t="shared" si="17"/>
        <v>117800.00000000017</v>
      </c>
      <c r="U29" s="327">
        <f>+[18]DailyDes!H28</f>
        <v>4699.9999999998181</v>
      </c>
      <c r="V29" s="321">
        <f t="shared" si="8"/>
        <v>61.561836900424616</v>
      </c>
      <c r="W29" s="321">
        <f t="shared" si="9"/>
        <v>63.008593299636935</v>
      </c>
      <c r="X29" s="327">
        <f t="shared" si="18"/>
        <v>296138.82999999891</v>
      </c>
      <c r="Y29" s="327">
        <f>+[18]DailyDes!I28</f>
        <v>12380.39</v>
      </c>
      <c r="Z29" s="327">
        <f t="shared" si="19"/>
        <v>162.1616063709952</v>
      </c>
      <c r="AA29" s="327">
        <f t="shared" si="20"/>
        <v>165.97254434062177</v>
      </c>
      <c r="AB29" s="327">
        <f t="shared" si="21"/>
        <v>151128.82999999923</v>
      </c>
      <c r="AC29" s="327">
        <f>+[18]DailyDes!J28</f>
        <v>6840.3899999996038</v>
      </c>
      <c r="AD29" s="327">
        <f t="shared" si="22"/>
        <v>89.59722840750797</v>
      </c>
      <c r="AE29" s="421">
        <f t="shared" si="23"/>
        <v>91.702840749126636</v>
      </c>
      <c r="AF29" s="327">
        <f t="shared" si="24"/>
        <v>290000</v>
      </c>
      <c r="AG29" s="327">
        <f>+[18]DailyDes!K28</f>
        <v>15000</v>
      </c>
      <c r="AH29" s="327">
        <f t="shared" si="25"/>
        <v>196.47394755455426</v>
      </c>
      <c r="AI29" s="449">
        <f t="shared" si="26"/>
        <v>201.09125521161502</v>
      </c>
      <c r="AJ29" s="327">
        <f t="shared" si="27"/>
        <v>9120</v>
      </c>
      <c r="AK29" s="327">
        <f>+[18]DailyDes!L28</f>
        <v>470</v>
      </c>
      <c r="AL29" s="327">
        <f t="shared" si="28"/>
        <v>6.1561836900426998</v>
      </c>
      <c r="AM29" s="449">
        <f t="shared" si="29"/>
        <v>6.300859329963937</v>
      </c>
      <c r="AN29" s="327">
        <f t="shared" si="30"/>
        <v>14480</v>
      </c>
      <c r="AO29" s="327">
        <f>+[18]DailyDes!M28</f>
        <v>720</v>
      </c>
      <c r="AP29" s="327">
        <f t="shared" si="31"/>
        <v>9.4307494826186051</v>
      </c>
      <c r="AQ29" s="449">
        <f t="shared" si="32"/>
        <v>9.6523802501575204</v>
      </c>
      <c r="AR29" s="327">
        <f t="shared" si="33"/>
        <v>54310.780000000152</v>
      </c>
      <c r="AS29" s="324">
        <f t="shared" si="10"/>
        <v>711.37688942446425</v>
      </c>
      <c r="AT29" s="325">
        <f t="shared" si="11"/>
        <v>728.09486144812718</v>
      </c>
    </row>
    <row r="30" spans="1:51">
      <c r="A30" s="318">
        <f t="shared" si="12"/>
        <v>46014</v>
      </c>
      <c r="B30" s="326">
        <f>+Report1!P31</f>
        <v>77.738</v>
      </c>
      <c r="C30" s="326">
        <f>+Report1!R31</f>
        <v>80.234999999999999</v>
      </c>
      <c r="D30" s="327">
        <f t="shared" si="13"/>
        <v>11</v>
      </c>
      <c r="E30" s="327">
        <f>+[18]DailyDes!D29</f>
        <v>0</v>
      </c>
      <c r="F30" s="321">
        <f t="shared" si="0"/>
        <v>0</v>
      </c>
      <c r="G30" s="321">
        <f t="shared" si="1"/>
        <v>0</v>
      </c>
      <c r="H30" s="327">
        <f t="shared" si="14"/>
        <v>0</v>
      </c>
      <c r="I30" s="327">
        <f>+[18]DailyDes!E29</f>
        <v>0</v>
      </c>
      <c r="J30" s="321">
        <f t="shared" si="2"/>
        <v>0</v>
      </c>
      <c r="K30" s="321">
        <f t="shared" si="3"/>
        <v>0</v>
      </c>
      <c r="L30" s="327">
        <f t="shared" si="15"/>
        <v>150300</v>
      </c>
      <c r="M30" s="327">
        <f>+[18]DailyDes!F29</f>
        <v>7000</v>
      </c>
      <c r="N30" s="321">
        <f t="shared" si="4"/>
        <v>90.046052123800465</v>
      </c>
      <c r="O30" s="321">
        <f t="shared" si="5"/>
        <v>87.243721567894312</v>
      </c>
      <c r="P30" s="327">
        <f t="shared" si="16"/>
        <v>170189</v>
      </c>
      <c r="Q30" s="327">
        <f>+[18]DailyDes!G29</f>
        <v>7199.9999999989086</v>
      </c>
      <c r="R30" s="321">
        <f t="shared" si="6"/>
        <v>92.618796470180712</v>
      </c>
      <c r="S30" s="321">
        <f t="shared" si="7"/>
        <v>89.736399326963408</v>
      </c>
      <c r="T30" s="327">
        <f t="shared" si="17"/>
        <v>122500</v>
      </c>
      <c r="U30" s="327">
        <f>+[18]DailyDes!H29</f>
        <v>4699.9999999998181</v>
      </c>
      <c r="V30" s="321">
        <f t="shared" si="8"/>
        <v>60.459492140263684</v>
      </c>
      <c r="W30" s="321">
        <f t="shared" si="9"/>
        <v>58.577927338441057</v>
      </c>
      <c r="X30" s="327">
        <f t="shared" si="18"/>
        <v>309230.02999999857</v>
      </c>
      <c r="Y30" s="327">
        <f>+[18]DailyDes!I29</f>
        <v>13091.199999999637</v>
      </c>
      <c r="Z30" s="327">
        <f t="shared" si="19"/>
        <v>168.40155393758056</v>
      </c>
      <c r="AA30" s="327">
        <f t="shared" si="20"/>
        <v>163.16071539851234</v>
      </c>
      <c r="AB30" s="327">
        <f t="shared" si="21"/>
        <v>158860.03000000003</v>
      </c>
      <c r="AC30" s="327">
        <f>+[18]DailyDes!J29</f>
        <v>7731.2000000008056</v>
      </c>
      <c r="AD30" s="327">
        <f t="shared" si="22"/>
        <v>99.452005454228384</v>
      </c>
      <c r="AE30" s="421">
        <f t="shared" si="23"/>
        <v>96.356951455110689</v>
      </c>
      <c r="AF30" s="327">
        <f t="shared" si="24"/>
        <v>304899.99999999965</v>
      </c>
      <c r="AG30" s="327">
        <f>+[18]DailyDes!K29</f>
        <v>14899.999999999636</v>
      </c>
      <c r="AH30" s="327">
        <f t="shared" si="25"/>
        <v>191.66945380637057</v>
      </c>
      <c r="AI30" s="449">
        <f t="shared" si="26"/>
        <v>185.70449305165621</v>
      </c>
      <c r="AJ30" s="327">
        <f t="shared" si="27"/>
        <v>9580</v>
      </c>
      <c r="AK30" s="327">
        <f>+[18]DailyDes!L29</f>
        <v>460</v>
      </c>
      <c r="AL30" s="327">
        <f t="shared" si="28"/>
        <v>5.9173119967068875</v>
      </c>
      <c r="AM30" s="449">
        <f t="shared" si="29"/>
        <v>5.7331588458901974</v>
      </c>
      <c r="AN30" s="327">
        <f t="shared" si="30"/>
        <v>15180</v>
      </c>
      <c r="AO30" s="327">
        <f>+[18]DailyDes!M29</f>
        <v>700</v>
      </c>
      <c r="AP30" s="327">
        <f t="shared" si="31"/>
        <v>9.0046052123800457</v>
      </c>
      <c r="AQ30" s="449">
        <f t="shared" si="32"/>
        <v>8.7243721567894319</v>
      </c>
      <c r="AR30" s="327">
        <f t="shared" si="33"/>
        <v>55782.399999998808</v>
      </c>
      <c r="AS30" s="324">
        <f t="shared" si="10"/>
        <v>717.56927114151131</v>
      </c>
      <c r="AT30" s="325">
        <f t="shared" si="11"/>
        <v>695.23773914125763</v>
      </c>
    </row>
    <row r="31" spans="1:51">
      <c r="A31" s="318">
        <f t="shared" si="12"/>
        <v>46015</v>
      </c>
      <c r="B31" s="326">
        <f>+Report1!P32</f>
        <v>75.167000000000002</v>
      </c>
      <c r="C31" s="326">
        <f>+Report1!R32</f>
        <v>76.366</v>
      </c>
      <c r="D31" s="327">
        <f t="shared" si="13"/>
        <v>11</v>
      </c>
      <c r="E31" s="327">
        <f>+[18]DailyDes!D30</f>
        <v>0</v>
      </c>
      <c r="F31" s="321">
        <f t="shared" si="0"/>
        <v>0</v>
      </c>
      <c r="G31" s="321">
        <f t="shared" si="1"/>
        <v>0</v>
      </c>
      <c r="H31" s="327">
        <f t="shared" si="14"/>
        <v>0</v>
      </c>
      <c r="I31" s="327">
        <f>+[18]DailyDes!E30</f>
        <v>0</v>
      </c>
      <c r="J31" s="321">
        <f t="shared" si="2"/>
        <v>0</v>
      </c>
      <c r="K31" s="321">
        <f t="shared" si="3"/>
        <v>0</v>
      </c>
      <c r="L31" s="327">
        <f t="shared" si="15"/>
        <v>157100</v>
      </c>
      <c r="M31" s="327">
        <f>+[18]DailyDes!F30</f>
        <v>6800</v>
      </c>
      <c r="N31" s="321">
        <f t="shared" si="4"/>
        <v>90.465230752856968</v>
      </c>
      <c r="O31" s="321">
        <f t="shared" si="5"/>
        <v>89.044862897100799</v>
      </c>
      <c r="P31" s="327">
        <f t="shared" si="16"/>
        <v>177489.00000000035</v>
      </c>
      <c r="Q31" s="327">
        <f>+[18]DailyDes!G30</f>
        <v>7300.0000000003638</v>
      </c>
      <c r="R31" s="321">
        <f t="shared" si="6"/>
        <v>97.117085955277759</v>
      </c>
      <c r="S31" s="321">
        <f t="shared" si="7"/>
        <v>95.59227928659827</v>
      </c>
      <c r="T31" s="327">
        <f t="shared" si="17"/>
        <v>127199.99999999983</v>
      </c>
      <c r="U31" s="327">
        <f>+[18]DailyDes!H30</f>
        <v>4699.9999999998181</v>
      </c>
      <c r="V31" s="321">
        <f t="shared" si="8"/>
        <v>62.527438902707544</v>
      </c>
      <c r="W31" s="321">
        <f t="shared" si="9"/>
        <v>61.545714061229056</v>
      </c>
      <c r="X31" s="327">
        <f t="shared" si="18"/>
        <v>321669.71999999927</v>
      </c>
      <c r="Y31" s="327">
        <f>+[18]DailyDes!I30</f>
        <v>12439.690000000728</v>
      </c>
      <c r="Z31" s="327">
        <f t="shared" si="19"/>
        <v>165.49403328589312</v>
      </c>
      <c r="AA31" s="327">
        <f t="shared" si="20"/>
        <v>162.89566037242659</v>
      </c>
      <c r="AB31" s="327">
        <f t="shared" si="21"/>
        <v>166249.71999999924</v>
      </c>
      <c r="AC31" s="327">
        <f>+[18]DailyDes!J30</f>
        <v>7389.6899999992274</v>
      </c>
      <c r="AD31" s="327">
        <f t="shared" si="22"/>
        <v>98.310295741472018</v>
      </c>
      <c r="AE31" s="421">
        <f t="shared" si="23"/>
        <v>96.766754838530602</v>
      </c>
      <c r="AF31" s="327">
        <f t="shared" si="24"/>
        <v>319599.99999999854</v>
      </c>
      <c r="AG31" s="327">
        <f>+[18]DailyDes!K30</f>
        <v>14699.999999998909</v>
      </c>
      <c r="AH31" s="327">
        <f t="shared" si="25"/>
        <v>195.56454295101452</v>
      </c>
      <c r="AI31" s="449">
        <f t="shared" si="26"/>
        <v>192.49404185107127</v>
      </c>
      <c r="AJ31" s="327">
        <f t="shared" si="27"/>
        <v>10020</v>
      </c>
      <c r="AK31" s="327">
        <f>+[18]DailyDes!L30</f>
        <v>440</v>
      </c>
      <c r="AL31" s="327">
        <f t="shared" si="28"/>
        <v>5.8536325781260397</v>
      </c>
      <c r="AM31" s="449">
        <f t="shared" si="29"/>
        <v>5.7617264227535818</v>
      </c>
      <c r="AN31" s="327">
        <f t="shared" si="30"/>
        <v>15880</v>
      </c>
      <c r="AO31" s="327">
        <f>+[18]DailyDes!M30</f>
        <v>700</v>
      </c>
      <c r="AP31" s="327">
        <f t="shared" si="31"/>
        <v>9.3125972833823347</v>
      </c>
      <c r="AQ31" s="449">
        <f t="shared" si="32"/>
        <v>9.1663829452897883</v>
      </c>
      <c r="AR31" s="327">
        <f t="shared" si="33"/>
        <v>54469.379999999044</v>
      </c>
      <c r="AS31" s="324">
        <f t="shared" si="10"/>
        <v>724.64485745073023</v>
      </c>
      <c r="AT31" s="325">
        <f t="shared" si="11"/>
        <v>713.26742267499992</v>
      </c>
    </row>
    <row r="32" spans="1:51">
      <c r="A32" s="318">
        <f t="shared" si="12"/>
        <v>46016</v>
      </c>
      <c r="B32" s="326">
        <f>+Report1!P33</f>
        <v>77.106000000000009</v>
      </c>
      <c r="C32" s="326">
        <f>+Report1!R33</f>
        <v>77.453999999999994</v>
      </c>
      <c r="D32" s="327">
        <f t="shared" si="13"/>
        <v>11</v>
      </c>
      <c r="E32" s="327">
        <f>+[18]DailyDes!D31</f>
        <v>0</v>
      </c>
      <c r="F32" s="321">
        <f t="shared" si="0"/>
        <v>0</v>
      </c>
      <c r="G32" s="321">
        <f t="shared" si="1"/>
        <v>0</v>
      </c>
      <c r="H32" s="327">
        <f t="shared" si="14"/>
        <v>0</v>
      </c>
      <c r="I32" s="327">
        <f>+[18]DailyDes!E31</f>
        <v>0</v>
      </c>
      <c r="J32" s="321">
        <f t="shared" si="2"/>
        <v>0</v>
      </c>
      <c r="K32" s="321">
        <f t="shared" si="3"/>
        <v>0</v>
      </c>
      <c r="L32" s="327">
        <f t="shared" si="15"/>
        <v>164000</v>
      </c>
      <c r="M32" s="327">
        <f>+[18]DailyDes!F31</f>
        <v>6900</v>
      </c>
      <c r="N32" s="321">
        <f t="shared" si="4"/>
        <v>89.487199439732308</v>
      </c>
      <c r="O32" s="321">
        <f t="shared" si="5"/>
        <v>89.085134402354953</v>
      </c>
      <c r="P32" s="327">
        <f t="shared" si="16"/>
        <v>184689.0000000007</v>
      </c>
      <c r="Q32" s="327">
        <f>+[18]DailyDes!G31</f>
        <v>7200.0000000003638</v>
      </c>
      <c r="R32" s="321">
        <f t="shared" si="6"/>
        <v>93.377947241464511</v>
      </c>
      <c r="S32" s="321">
        <f t="shared" si="7"/>
        <v>92.958401115505524</v>
      </c>
      <c r="T32" s="327">
        <f t="shared" si="17"/>
        <v>131800.00000000017</v>
      </c>
      <c r="U32" s="327">
        <f>+[18]DailyDes!H31</f>
        <v>4600.0000000003638</v>
      </c>
      <c r="V32" s="321">
        <f t="shared" si="8"/>
        <v>59.658132959826254</v>
      </c>
      <c r="W32" s="321">
        <f t="shared" si="9"/>
        <v>59.390089601574665</v>
      </c>
      <c r="X32" s="327">
        <f t="shared" si="18"/>
        <v>333327.64999999892</v>
      </c>
      <c r="Y32" s="327">
        <f>+[18]DailyDes!I31</f>
        <v>11657.929999999636</v>
      </c>
      <c r="Z32" s="327">
        <f t="shared" si="19"/>
        <v>151.19355173397187</v>
      </c>
      <c r="AA32" s="327">
        <f t="shared" si="20"/>
        <v>150.51424071061066</v>
      </c>
      <c r="AB32" s="327">
        <f t="shared" si="21"/>
        <v>172967.6499999993</v>
      </c>
      <c r="AC32" s="327">
        <f>+[18]DailyDes!J31</f>
        <v>6717.9300000000594</v>
      </c>
      <c r="AD32" s="327">
        <f t="shared" si="22"/>
        <v>87.125904598864665</v>
      </c>
      <c r="AE32" s="421">
        <f t="shared" si="23"/>
        <v>86.7344488341475</v>
      </c>
      <c r="AF32" s="327">
        <f t="shared" si="24"/>
        <v>334199.99999999889</v>
      </c>
      <c r="AG32" s="327">
        <f>+[18]DailyDes!K31</f>
        <v>14600.000000000364</v>
      </c>
      <c r="AH32" s="327">
        <f t="shared" si="25"/>
        <v>189.34972635074263</v>
      </c>
      <c r="AI32" s="449">
        <f t="shared" si="26"/>
        <v>188.49898003977026</v>
      </c>
      <c r="AJ32" s="327">
        <f t="shared" si="27"/>
        <v>10450</v>
      </c>
      <c r="AK32" s="327">
        <f>+[18]DailyDes!L31</f>
        <v>430</v>
      </c>
      <c r="AL32" s="327">
        <f t="shared" si="28"/>
        <v>5.5767385158094047</v>
      </c>
      <c r="AM32" s="449">
        <f t="shared" si="29"/>
        <v>5.55168228884241</v>
      </c>
      <c r="AN32" s="327">
        <f t="shared" si="30"/>
        <v>16600</v>
      </c>
      <c r="AO32" s="327">
        <f>+[18]DailyDes!M31</f>
        <v>720</v>
      </c>
      <c r="AP32" s="327">
        <f t="shared" si="31"/>
        <v>9.3377947241459793</v>
      </c>
      <c r="AQ32" s="449">
        <f t="shared" si="32"/>
        <v>9.2958401115500813</v>
      </c>
      <c r="AR32" s="327">
        <f t="shared" si="33"/>
        <v>52825.860000000786</v>
      </c>
      <c r="AS32" s="324">
        <f t="shared" si="10"/>
        <v>685.10699556455768</v>
      </c>
      <c r="AT32" s="325">
        <f t="shared" si="11"/>
        <v>682.02881710435599</v>
      </c>
    </row>
    <row r="33" spans="1:46">
      <c r="A33" s="318">
        <f t="shared" si="12"/>
        <v>46017</v>
      </c>
      <c r="B33" s="326">
        <f>+Report1!P34</f>
        <v>67.623000000000005</v>
      </c>
      <c r="C33" s="326">
        <f>+Report1!R34</f>
        <v>67.463999999999999</v>
      </c>
      <c r="D33" s="327">
        <f t="shared" si="13"/>
        <v>11</v>
      </c>
      <c r="E33" s="327">
        <f>+[18]DailyDes!D32</f>
        <v>0</v>
      </c>
      <c r="F33" s="321">
        <f t="shared" si="0"/>
        <v>0</v>
      </c>
      <c r="G33" s="321">
        <f t="shared" si="1"/>
        <v>0</v>
      </c>
      <c r="H33" s="327">
        <f t="shared" si="14"/>
        <v>0</v>
      </c>
      <c r="I33" s="327">
        <f>+[18]DailyDes!E32</f>
        <v>0</v>
      </c>
      <c r="J33" s="321">
        <f t="shared" si="2"/>
        <v>0</v>
      </c>
      <c r="K33" s="321">
        <f t="shared" si="3"/>
        <v>0</v>
      </c>
      <c r="L33" s="327">
        <f t="shared" si="15"/>
        <v>171100</v>
      </c>
      <c r="M33" s="327">
        <f>+[18]DailyDes!F32</f>
        <v>7100</v>
      </c>
      <c r="N33" s="321">
        <f t="shared" si="4"/>
        <v>104.99386303476626</v>
      </c>
      <c r="O33" s="321">
        <f t="shared" si="5"/>
        <v>105.24131388592434</v>
      </c>
      <c r="P33" s="327">
        <f t="shared" si="16"/>
        <v>191989.00000000035</v>
      </c>
      <c r="Q33" s="327">
        <f>+[18]DailyDes!G32</f>
        <v>7299.9999999996362</v>
      </c>
      <c r="R33" s="321">
        <f t="shared" si="6"/>
        <v>107.95143664137403</v>
      </c>
      <c r="S33" s="321">
        <f t="shared" si="7"/>
        <v>108.20585793904358</v>
      </c>
      <c r="T33" s="327">
        <f t="shared" si="17"/>
        <v>136699.99999999983</v>
      </c>
      <c r="U33" s="327">
        <f>+[18]DailyDes!H32</f>
        <v>4899.9999999996362</v>
      </c>
      <c r="V33" s="321">
        <f t="shared" si="8"/>
        <v>72.460553362016412</v>
      </c>
      <c r="W33" s="321">
        <f t="shared" si="9"/>
        <v>72.631329301548035</v>
      </c>
      <c r="X33" s="327">
        <f t="shared" si="18"/>
        <v>346249.32999999926</v>
      </c>
      <c r="Y33" s="327">
        <f>+[18]DailyDes!I32</f>
        <v>12921.680000000364</v>
      </c>
      <c r="Z33" s="327">
        <f t="shared" si="19"/>
        <v>191.08409860550941</v>
      </c>
      <c r="AA33" s="327">
        <f t="shared" si="20"/>
        <v>191.53444800190272</v>
      </c>
      <c r="AB33" s="327">
        <f t="shared" si="21"/>
        <v>181119.33000000031</v>
      </c>
      <c r="AC33" s="327">
        <f>+[18]DailyDes!J32</f>
        <v>8151.6800000010189</v>
      </c>
      <c r="AD33" s="327">
        <f t="shared" si="22"/>
        <v>120.54596808779584</v>
      </c>
      <c r="AE33" s="421">
        <f t="shared" si="23"/>
        <v>120.83007233489</v>
      </c>
      <c r="AF33" s="327">
        <f t="shared" si="24"/>
        <v>349699.99999999889</v>
      </c>
      <c r="AG33" s="327">
        <f>+[18]DailyDes!K32</f>
        <v>15500</v>
      </c>
      <c r="AH33" s="327">
        <f t="shared" si="25"/>
        <v>229.21195451251791</v>
      </c>
      <c r="AI33" s="449">
        <f t="shared" si="26"/>
        <v>229.7521641171588</v>
      </c>
      <c r="AJ33" s="327">
        <f t="shared" si="27"/>
        <v>10920</v>
      </c>
      <c r="AK33" s="327">
        <f>+[18]DailyDes!L32</f>
        <v>470</v>
      </c>
      <c r="AL33" s="327">
        <f t="shared" si="28"/>
        <v>6.9502979755408658</v>
      </c>
      <c r="AM33" s="449">
        <f t="shared" si="29"/>
        <v>6.9666785248428793</v>
      </c>
      <c r="AN33" s="327">
        <f t="shared" si="30"/>
        <v>17330</v>
      </c>
      <c r="AO33" s="327">
        <f>+[18]DailyDes!M32</f>
        <v>730</v>
      </c>
      <c r="AP33" s="327">
        <f t="shared" si="31"/>
        <v>10.795143664137941</v>
      </c>
      <c r="AQ33" s="449">
        <f t="shared" si="32"/>
        <v>10.820585793904897</v>
      </c>
      <c r="AR33" s="327">
        <f t="shared" si="33"/>
        <v>57073.360000000655</v>
      </c>
      <c r="AS33" s="324">
        <f t="shared" si="10"/>
        <v>843.99331588365874</v>
      </c>
      <c r="AT33" s="325">
        <f t="shared" si="11"/>
        <v>845.98244989921523</v>
      </c>
    </row>
    <row r="34" spans="1:46">
      <c r="A34" s="318">
        <f t="shared" si="12"/>
        <v>46018</v>
      </c>
      <c r="B34" s="326">
        <f>+Report1!P35</f>
        <v>59.222999999999999</v>
      </c>
      <c r="C34" s="326">
        <f>+Report1!R35</f>
        <v>57.66</v>
      </c>
      <c r="D34" s="327">
        <f t="shared" si="13"/>
        <v>11</v>
      </c>
      <c r="E34" s="327">
        <f>+[18]DailyDes!D33</f>
        <v>0</v>
      </c>
      <c r="F34" s="321">
        <f t="shared" si="0"/>
        <v>0</v>
      </c>
      <c r="G34" s="321">
        <f t="shared" si="1"/>
        <v>0</v>
      </c>
      <c r="H34" s="327">
        <f t="shared" si="14"/>
        <v>0</v>
      </c>
      <c r="I34" s="327">
        <f>+[18]DailyDes!E33</f>
        <v>0</v>
      </c>
      <c r="J34" s="321">
        <f t="shared" si="2"/>
        <v>0</v>
      </c>
      <c r="K34" s="321">
        <f t="shared" si="3"/>
        <v>0</v>
      </c>
      <c r="L34" s="327">
        <f t="shared" si="15"/>
        <v>178000</v>
      </c>
      <c r="M34" s="327">
        <f>+[18]DailyDes!F33</f>
        <v>6900</v>
      </c>
      <c r="N34" s="321">
        <f t="shared" si="4"/>
        <v>116.50878881515628</v>
      </c>
      <c r="O34" s="321">
        <f t="shared" si="5"/>
        <v>119.66701352757545</v>
      </c>
      <c r="P34" s="327">
        <f t="shared" si="16"/>
        <v>199389.00000000146</v>
      </c>
      <c r="Q34" s="327">
        <f>+[18]DailyDes!G33</f>
        <v>7400.0000000010914</v>
      </c>
      <c r="R34" s="321">
        <f t="shared" si="6"/>
        <v>124.95145467134545</v>
      </c>
      <c r="S34" s="321">
        <f t="shared" si="7"/>
        <v>128.33853624698389</v>
      </c>
      <c r="T34" s="327">
        <f t="shared" si="17"/>
        <v>141400.00000000055</v>
      </c>
      <c r="U34" s="327">
        <f>+[18]DailyDes!H33</f>
        <v>4700.0000000007276</v>
      </c>
      <c r="V34" s="321">
        <f t="shared" si="8"/>
        <v>79.361059048017282</v>
      </c>
      <c r="W34" s="321">
        <f t="shared" si="9"/>
        <v>81.512313562274159</v>
      </c>
      <c r="X34" s="327">
        <f t="shared" si="18"/>
        <v>358396.85999999853</v>
      </c>
      <c r="Y34" s="327">
        <f>+[18]DailyDes!I33</f>
        <v>12147.529999999273</v>
      </c>
      <c r="Z34" s="327">
        <f t="shared" si="19"/>
        <v>205.11507353560734</v>
      </c>
      <c r="AA34" s="327">
        <f t="shared" si="20"/>
        <v>210.67516475891907</v>
      </c>
      <c r="AB34" s="327">
        <f t="shared" si="21"/>
        <v>188306.85999999964</v>
      </c>
      <c r="AC34" s="327">
        <f>+[18]DailyDes!J33</f>
        <v>7187.5299999993276</v>
      </c>
      <c r="AD34" s="327">
        <f t="shared" si="22"/>
        <v>121.36382824239448</v>
      </c>
      <c r="AE34" s="421">
        <f t="shared" si="23"/>
        <v>124.65365938257592</v>
      </c>
      <c r="AF34" s="327">
        <f t="shared" si="24"/>
        <v>364899.99999999965</v>
      </c>
      <c r="AG34" s="327">
        <f>+[18]DailyDes!K33</f>
        <v>15200.000000000728</v>
      </c>
      <c r="AH34" s="327">
        <f t="shared" si="25"/>
        <v>256.65704202760293</v>
      </c>
      <c r="AI34" s="449">
        <f t="shared" si="26"/>
        <v>263.61429066945419</v>
      </c>
      <c r="AJ34" s="327">
        <f t="shared" si="27"/>
        <v>11430</v>
      </c>
      <c r="AK34" s="327">
        <f>+[18]DailyDes!L33</f>
        <v>510</v>
      </c>
      <c r="AL34" s="327">
        <f t="shared" si="28"/>
        <v>8.6115191732941589</v>
      </c>
      <c r="AM34" s="449">
        <f t="shared" si="29"/>
        <v>8.8449531737773164</v>
      </c>
      <c r="AN34" s="327">
        <f t="shared" si="30"/>
        <v>18070</v>
      </c>
      <c r="AO34" s="327">
        <f>+[18]DailyDes!M33</f>
        <v>740</v>
      </c>
      <c r="AP34" s="327">
        <f t="shared" si="31"/>
        <v>12.495145467132701</v>
      </c>
      <c r="AQ34" s="449">
        <f t="shared" si="32"/>
        <v>12.833853624696497</v>
      </c>
      <c r="AR34" s="327">
        <f t="shared" si="33"/>
        <v>54785.060000001147</v>
      </c>
      <c r="AS34" s="324">
        <f t="shared" si="10"/>
        <v>925.06391098055065</v>
      </c>
      <c r="AT34" s="325">
        <f t="shared" si="11"/>
        <v>950.13978494625655</v>
      </c>
    </row>
    <row r="35" spans="1:46">
      <c r="A35" s="318">
        <f t="shared" si="12"/>
        <v>46019</v>
      </c>
      <c r="B35" s="326">
        <f>+Report1!P36</f>
        <v>62.563000000000002</v>
      </c>
      <c r="C35" s="326">
        <f>+Report1!R36</f>
        <v>67.025000000000006</v>
      </c>
      <c r="D35" s="327">
        <f t="shared" si="13"/>
        <v>11</v>
      </c>
      <c r="E35" s="327">
        <f>+[18]DailyDes!D34</f>
        <v>0</v>
      </c>
      <c r="F35" s="321">
        <f t="shared" si="0"/>
        <v>0</v>
      </c>
      <c r="G35" s="321">
        <f t="shared" si="1"/>
        <v>0</v>
      </c>
      <c r="H35" s="327">
        <f t="shared" si="14"/>
        <v>0</v>
      </c>
      <c r="I35" s="327">
        <f>+[18]DailyDes!E34</f>
        <v>0</v>
      </c>
      <c r="J35" s="321">
        <f t="shared" si="2"/>
        <v>0</v>
      </c>
      <c r="K35" s="321">
        <f t="shared" si="3"/>
        <v>0</v>
      </c>
      <c r="L35" s="327">
        <f t="shared" si="15"/>
        <v>185100</v>
      </c>
      <c r="M35" s="327">
        <f>+[18]DailyDes!F34</f>
        <v>7100</v>
      </c>
      <c r="N35" s="321">
        <f t="shared" si="4"/>
        <v>113.48560650863929</v>
      </c>
      <c r="O35" s="321">
        <f t="shared" si="5"/>
        <v>105.93062290190227</v>
      </c>
      <c r="P35" s="327">
        <f t="shared" si="16"/>
        <v>207489.00000000035</v>
      </c>
      <c r="Q35" s="327">
        <f>+[18]DailyDes!G34</f>
        <v>8099.9999999989086</v>
      </c>
      <c r="R35" s="321">
        <f t="shared" si="6"/>
        <v>129.46949474927527</v>
      </c>
      <c r="S35" s="321">
        <f t="shared" si="7"/>
        <v>120.85042894440743</v>
      </c>
      <c r="T35" s="327">
        <f t="shared" si="17"/>
        <v>146400.00000000055</v>
      </c>
      <c r="U35" s="327">
        <f>+[18]DailyDes!H34</f>
        <v>5000</v>
      </c>
      <c r="V35" s="321">
        <f t="shared" si="8"/>
        <v>79.919441203267098</v>
      </c>
      <c r="W35" s="321">
        <f t="shared" si="9"/>
        <v>74.599030212607232</v>
      </c>
      <c r="X35" s="327">
        <f t="shared" si="18"/>
        <v>371951.68999999959</v>
      </c>
      <c r="Y35" s="327">
        <f>+[18]DailyDes!I34</f>
        <v>13554.830000001091</v>
      </c>
      <c r="Z35" s="327">
        <f t="shared" si="19"/>
        <v>216.65888784107366</v>
      </c>
      <c r="AA35" s="327">
        <f t="shared" si="20"/>
        <v>202.23543453936725</v>
      </c>
      <c r="AB35" s="327">
        <f t="shared" si="21"/>
        <v>196171.68999999927</v>
      </c>
      <c r="AC35" s="327">
        <f>+[18]DailyDes!J34</f>
        <v>7864.829999999627</v>
      </c>
      <c r="AD35" s="327">
        <f t="shared" si="22"/>
        <v>125.71056375173228</v>
      </c>
      <c r="AE35" s="421">
        <f t="shared" si="23"/>
        <v>117.34173815739838</v>
      </c>
      <c r="AF35" s="327">
        <f t="shared" si="24"/>
        <v>380399.99999999965</v>
      </c>
      <c r="AG35" s="327">
        <f>+[18]DailyDes!K34</f>
        <v>15500</v>
      </c>
      <c r="AH35" s="327">
        <f t="shared" si="25"/>
        <v>247.75026773012803</v>
      </c>
      <c r="AI35" s="449">
        <f t="shared" si="26"/>
        <v>231.25699365908241</v>
      </c>
      <c r="AJ35" s="327">
        <f t="shared" si="27"/>
        <v>11920</v>
      </c>
      <c r="AK35" s="327">
        <f>+[18]DailyDes!L34</f>
        <v>490</v>
      </c>
      <c r="AL35" s="327">
        <f t="shared" si="28"/>
        <v>7.8321052379201763</v>
      </c>
      <c r="AM35" s="449">
        <f t="shared" si="29"/>
        <v>7.3107049608355084</v>
      </c>
      <c r="AN35" s="327">
        <f t="shared" si="30"/>
        <v>18820</v>
      </c>
      <c r="AO35" s="327">
        <f>+[18]DailyDes!M34</f>
        <v>750</v>
      </c>
      <c r="AP35" s="327">
        <f t="shared" si="31"/>
        <v>11.987916180490066</v>
      </c>
      <c r="AQ35" s="449">
        <f t="shared" si="32"/>
        <v>11.189854531891084</v>
      </c>
      <c r="AR35" s="327">
        <f t="shared" si="33"/>
        <v>58359.659999999625</v>
      </c>
      <c r="AS35" s="324">
        <f t="shared" si="10"/>
        <v>932.81428320252587</v>
      </c>
      <c r="AT35" s="325">
        <f t="shared" si="11"/>
        <v>870.71480790749149</v>
      </c>
    </row>
    <row r="36" spans="1:46">
      <c r="A36" s="318">
        <f t="shared" si="12"/>
        <v>46020</v>
      </c>
      <c r="B36" s="326">
        <f>+Report1!P37</f>
        <v>73.109999999999985</v>
      </c>
      <c r="C36" s="326">
        <f>+Report1!R37</f>
        <v>65.84</v>
      </c>
      <c r="D36" s="327">
        <f t="shared" si="13"/>
        <v>11</v>
      </c>
      <c r="E36" s="327">
        <f>+[18]DailyDes!D35</f>
        <v>0</v>
      </c>
      <c r="F36" s="321">
        <f t="shared" si="0"/>
        <v>0</v>
      </c>
      <c r="G36" s="321">
        <f t="shared" si="1"/>
        <v>0</v>
      </c>
      <c r="H36" s="327">
        <f t="shared" si="14"/>
        <v>0</v>
      </c>
      <c r="I36" s="327">
        <f>+[18]DailyDes!E35</f>
        <v>0</v>
      </c>
      <c r="J36" s="321">
        <f t="shared" si="2"/>
        <v>0</v>
      </c>
      <c r="K36" s="321">
        <f t="shared" si="3"/>
        <v>0</v>
      </c>
      <c r="L36" s="327">
        <f t="shared" si="15"/>
        <v>191700</v>
      </c>
      <c r="M36" s="327">
        <f>+[18]DailyDes!F35</f>
        <v>6600</v>
      </c>
      <c r="N36" s="321">
        <f t="shared" si="4"/>
        <v>90.274928190398043</v>
      </c>
      <c r="O36" s="321">
        <f t="shared" si="5"/>
        <v>100.24301336573511</v>
      </c>
      <c r="P36" s="327">
        <f t="shared" si="16"/>
        <v>215489.0000000007</v>
      </c>
      <c r="Q36" s="327">
        <f>+[18]DailyDes!G35</f>
        <v>8000.0000000003638</v>
      </c>
      <c r="R36" s="321">
        <f t="shared" si="6"/>
        <v>109.42415538230564</v>
      </c>
      <c r="S36" s="321">
        <f t="shared" si="7"/>
        <v>121.50668286756323</v>
      </c>
      <c r="T36" s="327">
        <f t="shared" si="17"/>
        <v>151199.99999999983</v>
      </c>
      <c r="U36" s="327">
        <f>+[18]DailyDes!H35</f>
        <v>4799.9999999992724</v>
      </c>
      <c r="V36" s="321">
        <f t="shared" si="8"/>
        <v>65.654493229370445</v>
      </c>
      <c r="W36" s="321">
        <f t="shared" si="9"/>
        <v>72.904009720523575</v>
      </c>
      <c r="X36" s="327">
        <f t="shared" si="18"/>
        <v>384087.18999999959</v>
      </c>
      <c r="Y36" s="327">
        <f>+[18]DailyDes!I35</f>
        <v>12135.5</v>
      </c>
      <c r="Z36" s="327">
        <f t="shared" si="19"/>
        <v>165.98960470523872</v>
      </c>
      <c r="AA36" s="327">
        <f t="shared" si="20"/>
        <v>184.31804374240582</v>
      </c>
      <c r="AB36" s="327">
        <f t="shared" si="21"/>
        <v>203017.18999999922</v>
      </c>
      <c r="AC36" s="327">
        <f>+[18]DailyDes!J35</f>
        <v>6845.4999999999454</v>
      </c>
      <c r="AD36" s="327">
        <f t="shared" si="22"/>
        <v>93.632881958691655</v>
      </c>
      <c r="AE36" s="421">
        <f t="shared" si="23"/>
        <v>103.97174969623246</v>
      </c>
      <c r="AF36" s="327">
        <f t="shared" si="24"/>
        <v>395399.99999999965</v>
      </c>
      <c r="AG36" s="327">
        <f>+[18]DailyDes!K35</f>
        <v>15000</v>
      </c>
      <c r="AH36" s="327">
        <f t="shared" si="25"/>
        <v>205.17029134181374</v>
      </c>
      <c r="AI36" s="449">
        <f t="shared" si="26"/>
        <v>227.8250303766707</v>
      </c>
      <c r="AJ36" s="327">
        <f t="shared" si="27"/>
        <v>12380</v>
      </c>
      <c r="AK36" s="327">
        <f>+[18]DailyDes!L35</f>
        <v>460</v>
      </c>
      <c r="AL36" s="327">
        <f t="shared" si="28"/>
        <v>6.2918889344822881</v>
      </c>
      <c r="AM36" s="449">
        <f t="shared" si="29"/>
        <v>6.9866342648845681</v>
      </c>
      <c r="AN36" s="327">
        <f t="shared" si="30"/>
        <v>19530</v>
      </c>
      <c r="AO36" s="327">
        <f>+[18]DailyDes!M35</f>
        <v>710</v>
      </c>
      <c r="AP36" s="327">
        <f t="shared" si="31"/>
        <v>9.7113937901791836</v>
      </c>
      <c r="AQ36" s="449">
        <f t="shared" si="32"/>
        <v>10.783718104495748</v>
      </c>
      <c r="AR36" s="327">
        <f t="shared" si="33"/>
        <v>54550.999999999578</v>
      </c>
      <c r="AS36" s="324">
        <f t="shared" si="10"/>
        <v>746.14963753247969</v>
      </c>
      <c r="AT36" s="325">
        <f t="shared" si="11"/>
        <v>828.53888213851121</v>
      </c>
    </row>
    <row r="37" spans="1:46">
      <c r="A37" s="318">
        <f t="shared" si="12"/>
        <v>46021</v>
      </c>
      <c r="B37" s="326">
        <f>+Report1!P38</f>
        <v>77.390999999999991</v>
      </c>
      <c r="C37" s="326">
        <f>+Report1!R38</f>
        <v>81.028000000000006</v>
      </c>
      <c r="D37" s="327">
        <f t="shared" si="13"/>
        <v>11</v>
      </c>
      <c r="E37" s="327">
        <f>+[18]DailyDes!D36</f>
        <v>0</v>
      </c>
      <c r="F37" s="321">
        <f t="shared" si="0"/>
        <v>0</v>
      </c>
      <c r="G37" s="321">
        <f t="shared" si="1"/>
        <v>0</v>
      </c>
      <c r="H37" s="327">
        <f t="shared" si="14"/>
        <v>0</v>
      </c>
      <c r="I37" s="327">
        <f>+[18]DailyDes!E36</f>
        <v>0</v>
      </c>
      <c r="J37" s="321">
        <f t="shared" si="2"/>
        <v>0</v>
      </c>
      <c r="K37" s="321">
        <f t="shared" si="3"/>
        <v>0</v>
      </c>
      <c r="L37" s="327">
        <f t="shared" si="15"/>
        <v>198600</v>
      </c>
      <c r="M37" s="327">
        <f>+[18]DailyDes!F36</f>
        <v>6900</v>
      </c>
      <c r="N37" s="321">
        <f t="shared" si="4"/>
        <v>89.157653990774136</v>
      </c>
      <c r="O37" s="321">
        <f t="shared" si="5"/>
        <v>85.155748630103162</v>
      </c>
      <c r="P37" s="327">
        <f t="shared" si="16"/>
        <v>223589.0000000007</v>
      </c>
      <c r="Q37" s="327">
        <f>+[18]DailyDes!G36</f>
        <v>8100</v>
      </c>
      <c r="R37" s="321">
        <f t="shared" si="6"/>
        <v>104.66333294569137</v>
      </c>
      <c r="S37" s="321">
        <f t="shared" si="7"/>
        <v>99.965444044034157</v>
      </c>
      <c r="T37" s="327">
        <f t="shared" si="17"/>
        <v>156900.00000000055</v>
      </c>
      <c r="U37" s="327">
        <f>+[18]DailyDes!H36</f>
        <v>5700.0000000007276</v>
      </c>
      <c r="V37" s="321">
        <f t="shared" si="8"/>
        <v>73.651975035866286</v>
      </c>
      <c r="W37" s="321">
        <f t="shared" si="9"/>
        <v>70.346053216181161</v>
      </c>
      <c r="X37" s="327">
        <f t="shared" si="18"/>
        <v>397601.68999999959</v>
      </c>
      <c r="Y37" s="327">
        <f>+[18]DailyDes!I36</f>
        <v>13514.5</v>
      </c>
      <c r="Z37" s="327">
        <f t="shared" si="19"/>
        <v>174.62624853019088</v>
      </c>
      <c r="AA37" s="327">
        <f t="shared" si="20"/>
        <v>166.78802389297525</v>
      </c>
      <c r="AB37" s="327">
        <f t="shared" si="21"/>
        <v>209721.69000000035</v>
      </c>
      <c r="AC37" s="327">
        <f>+[18]DailyDes!J36</f>
        <v>6704.500000001146</v>
      </c>
      <c r="AD37" s="327">
        <f t="shared" si="22"/>
        <v>86.631520461050343</v>
      </c>
      <c r="AE37" s="421">
        <f t="shared" si="23"/>
        <v>82.743002418931056</v>
      </c>
      <c r="AF37" s="327">
        <f t="shared" si="24"/>
        <v>407399.99999999965</v>
      </c>
      <c r="AG37" s="327">
        <f>+[18]DailyDes!K36</f>
        <v>12000</v>
      </c>
      <c r="AH37" s="327">
        <f t="shared" si="25"/>
        <v>155.05678954917241</v>
      </c>
      <c r="AI37" s="449">
        <f t="shared" si="26"/>
        <v>148.09695413930984</v>
      </c>
      <c r="AJ37" s="327">
        <f t="shared" si="27"/>
        <v>12820</v>
      </c>
      <c r="AK37" s="327">
        <f>+[18]DailyDes!L36</f>
        <v>440</v>
      </c>
      <c r="AL37" s="327">
        <f t="shared" si="28"/>
        <v>5.6854156168029881</v>
      </c>
      <c r="AM37" s="449">
        <f t="shared" si="29"/>
        <v>5.4302216517746951</v>
      </c>
      <c r="AN37" s="327">
        <f t="shared" si="30"/>
        <v>20190</v>
      </c>
      <c r="AO37" s="327">
        <f>+[18]DailyDes!M36</f>
        <v>660</v>
      </c>
      <c r="AP37" s="327">
        <f t="shared" si="31"/>
        <v>8.5281234252044822</v>
      </c>
      <c r="AQ37" s="449">
        <f t="shared" si="32"/>
        <v>8.145332477662043</v>
      </c>
      <c r="AR37" s="327">
        <f t="shared" si="33"/>
        <v>54019.000000001877</v>
      </c>
      <c r="AS37" s="324">
        <f t="shared" si="10"/>
        <v>698.00105955475294</v>
      </c>
      <c r="AT37" s="325">
        <f t="shared" si="11"/>
        <v>666.67078047097141</v>
      </c>
    </row>
    <row r="38" spans="1:46">
      <c r="A38" s="318">
        <f t="shared" si="12"/>
        <v>46022</v>
      </c>
      <c r="B38" s="326">
        <f>+Report1!P39</f>
        <v>65.738</v>
      </c>
      <c r="C38" s="326">
        <f>+Report1!R39</f>
        <v>70.677000000000007</v>
      </c>
      <c r="D38" s="327">
        <f t="shared" si="13"/>
        <v>11</v>
      </c>
      <c r="E38" s="327">
        <f>+[18]DailyDes!D37</f>
        <v>0</v>
      </c>
      <c r="F38" s="321">
        <f t="shared" si="0"/>
        <v>0</v>
      </c>
      <c r="G38" s="321">
        <f t="shared" si="1"/>
        <v>0</v>
      </c>
      <c r="H38" s="327">
        <f t="shared" si="14"/>
        <v>0</v>
      </c>
      <c r="I38" s="327">
        <f>+[18]DailyDes!E37</f>
        <v>0</v>
      </c>
      <c r="J38" s="321">
        <f t="shared" si="2"/>
        <v>0</v>
      </c>
      <c r="K38" s="321">
        <f t="shared" si="3"/>
        <v>0</v>
      </c>
      <c r="L38" s="327">
        <f t="shared" si="15"/>
        <v>205400</v>
      </c>
      <c r="M38" s="327">
        <f>+[18]DailyDes!F37</f>
        <v>6800</v>
      </c>
      <c r="N38" s="321">
        <f t="shared" si="4"/>
        <v>103.44093218534181</v>
      </c>
      <c r="O38" s="321">
        <f t="shared" si="5"/>
        <v>96.212346307851206</v>
      </c>
      <c r="P38" s="327">
        <f t="shared" si="16"/>
        <v>231588.99999999997</v>
      </c>
      <c r="Q38" s="327">
        <f>+[18]DailyDes!G37</f>
        <v>7999.9999999992724</v>
      </c>
      <c r="R38" s="322">
        <f t="shared" si="6"/>
        <v>121.69521433568518</v>
      </c>
      <c r="S38" s="322">
        <f t="shared" si="7"/>
        <v>113.19099565628524</v>
      </c>
      <c r="T38" s="327">
        <f t="shared" si="17"/>
        <v>163600.00000000038</v>
      </c>
      <c r="U38" s="327">
        <f>+[18]DailyDes!H37</f>
        <v>6699.9999999998181</v>
      </c>
      <c r="V38" s="321">
        <f t="shared" si="8"/>
        <v>101.91974200614284</v>
      </c>
      <c r="W38" s="321">
        <f t="shared" si="9"/>
        <v>94.797458862144936</v>
      </c>
      <c r="X38" s="327">
        <f t="shared" si="18"/>
        <v>413201.04999999923</v>
      </c>
      <c r="Y38" s="327">
        <f>+[18]DailyDes!I37</f>
        <v>15599.359999999637</v>
      </c>
      <c r="Z38" s="327">
        <f t="shared" si="19"/>
        <v>237.2959323374553</v>
      </c>
      <c r="AA38" s="327">
        <f t="shared" si="20"/>
        <v>220.71338625011865</v>
      </c>
      <c r="AB38" s="327">
        <f t="shared" si="21"/>
        <v>215861.04999999932</v>
      </c>
      <c r="AC38" s="327">
        <f>+[18]DailyDes!J37</f>
        <v>6139.3599999989638</v>
      </c>
      <c r="AD38" s="327">
        <f t="shared" si="22"/>
        <v>93.391341385484253</v>
      </c>
      <c r="AE38" s="421">
        <f t="shared" si="23"/>
        <v>86.865033886539649</v>
      </c>
      <c r="AF38" s="327">
        <f t="shared" si="24"/>
        <v>416099.99999999854</v>
      </c>
      <c r="AG38" s="327">
        <f>+[18]DailyDes!K37</f>
        <v>8699.9999999989086</v>
      </c>
      <c r="AH38" s="327">
        <f t="shared" si="25"/>
        <v>132.34354559005308</v>
      </c>
      <c r="AI38" s="449">
        <f t="shared" si="26"/>
        <v>123.09520777620595</v>
      </c>
      <c r="AJ38" s="327">
        <f t="shared" si="27"/>
        <v>13160</v>
      </c>
      <c r="AK38" s="327">
        <f>+[18]DailyDes!L37</f>
        <v>340</v>
      </c>
      <c r="AL38" s="327">
        <f t="shared" si="28"/>
        <v>5.1720466092670909</v>
      </c>
      <c r="AM38" s="449">
        <f t="shared" si="29"/>
        <v>4.8106173153925598</v>
      </c>
      <c r="AN38" s="327">
        <f t="shared" si="30"/>
        <v>20700</v>
      </c>
      <c r="AO38" s="327">
        <f>+[18]DailyDes!M37</f>
        <v>510</v>
      </c>
      <c r="AP38" s="327">
        <f t="shared" si="31"/>
        <v>7.7580699139006359</v>
      </c>
      <c r="AQ38" s="449">
        <f t="shared" si="32"/>
        <v>7.2159259730888401</v>
      </c>
      <c r="AR38" s="327">
        <f t="shared" si="33"/>
        <v>52788.719999996596</v>
      </c>
      <c r="AS38" s="324">
        <f t="shared" si="10"/>
        <v>803.0168243633301</v>
      </c>
      <c r="AT38" s="325">
        <f t="shared" si="11"/>
        <v>746.90097202762695</v>
      </c>
    </row>
    <row r="39" spans="1:46">
      <c r="A39" s="318"/>
      <c r="B39" s="326"/>
      <c r="C39" s="326"/>
      <c r="D39" s="309"/>
      <c r="E39" s="320"/>
      <c r="F39" s="321"/>
      <c r="G39" s="321"/>
      <c r="H39" s="313"/>
      <c r="I39" s="315"/>
      <c r="J39" s="321"/>
      <c r="K39" s="321"/>
      <c r="L39" s="315"/>
      <c r="M39" s="320"/>
      <c r="N39" s="321"/>
      <c r="O39" s="321"/>
      <c r="P39" s="316"/>
      <c r="Q39" s="320"/>
      <c r="R39" s="322"/>
      <c r="S39" s="322"/>
      <c r="T39" s="317"/>
      <c r="U39" s="320"/>
      <c r="V39" s="321"/>
      <c r="W39" s="321"/>
      <c r="X39" s="327"/>
      <c r="Y39" s="327"/>
      <c r="Z39" s="327"/>
      <c r="AA39" s="327"/>
      <c r="AB39" s="327"/>
      <c r="AC39" s="327"/>
      <c r="AD39" s="327"/>
      <c r="AE39" s="327"/>
      <c r="AF39" s="327"/>
      <c r="AG39" s="327"/>
      <c r="AH39" s="327"/>
      <c r="AI39" s="327"/>
      <c r="AJ39" s="327"/>
      <c r="AK39" s="327"/>
      <c r="AL39" s="327"/>
      <c r="AM39" s="327"/>
      <c r="AN39" s="327"/>
      <c r="AO39" s="327"/>
      <c r="AP39" s="327"/>
      <c r="AQ39" s="327"/>
      <c r="AR39" s="323"/>
      <c r="AS39" s="324"/>
      <c r="AT39" s="325"/>
    </row>
    <row r="40" spans="1:46">
      <c r="A40" s="328" t="s">
        <v>28</v>
      </c>
      <c r="B40" s="329">
        <f>SUM(B8:B38)</f>
        <v>2009.4762220100004</v>
      </c>
      <c r="C40" s="329">
        <f>SUM(C8:C38)</f>
        <v>1959.0759999999998</v>
      </c>
      <c r="D40" s="323"/>
      <c r="E40" s="329">
        <f>SUM(E8:E38)</f>
        <v>11</v>
      </c>
      <c r="F40" s="330">
        <f>E40/B40</f>
        <v>5.4740632805284611E-3</v>
      </c>
      <c r="G40" s="330">
        <f>E40/C40</f>
        <v>5.6148919184350176E-3</v>
      </c>
      <c r="H40" s="331"/>
      <c r="I40" s="329">
        <f>SUM(I8:I38)</f>
        <v>0</v>
      </c>
      <c r="J40" s="330">
        <f>I40/B40</f>
        <v>0</v>
      </c>
      <c r="K40" s="330">
        <f>I40/C40</f>
        <v>0</v>
      </c>
      <c r="L40" s="332"/>
      <c r="M40" s="329">
        <f>SUM(M8:M38)</f>
        <v>205400</v>
      </c>
      <c r="N40" s="330">
        <f>M40/B40</f>
        <v>102.21569071095871</v>
      </c>
      <c r="O40" s="330">
        <f>M40/C40</f>
        <v>104.84534545877752</v>
      </c>
      <c r="P40" s="333"/>
      <c r="Q40" s="329">
        <f>SUM(Q8:Q38)</f>
        <v>231588.99999999997</v>
      </c>
      <c r="R40" s="330">
        <f>Q40/B40</f>
        <v>115.24844009766414</v>
      </c>
      <c r="S40" s="330">
        <f>Q40/C40</f>
        <v>118.21338222713156</v>
      </c>
      <c r="T40" s="334"/>
      <c r="U40" s="335">
        <f>SUM(U8:U38)</f>
        <v>163600.00000000038</v>
      </c>
      <c r="V40" s="330">
        <f>U40/B40</f>
        <v>81.41425024495075</v>
      </c>
      <c r="W40" s="330">
        <f>U40/C40</f>
        <v>83.508756168724645</v>
      </c>
      <c r="X40" s="336"/>
      <c r="Y40" s="335">
        <f>SUM(Y8:Y38)</f>
        <v>413201.04999999923</v>
      </c>
      <c r="Z40" s="330">
        <f>Y40/B40</f>
        <v>205.62624502552731</v>
      </c>
      <c r="AA40" s="330">
        <f>Y40/C40</f>
        <v>210.91629421216905</v>
      </c>
      <c r="AB40" s="336"/>
      <c r="AC40" s="335">
        <f>SUM(AC8:AC38)</f>
        <v>215861.04999999932</v>
      </c>
      <c r="AD40" s="411">
        <f>AC40/B40</f>
        <v>107.42154977284676</v>
      </c>
      <c r="AE40" s="330">
        <f>AC40/C40</f>
        <v>110.18513319544486</v>
      </c>
      <c r="AF40" s="336"/>
      <c r="AG40" s="335">
        <f>SUM(AG8:AG38)</f>
        <v>416099.99999999854</v>
      </c>
      <c r="AH40" s="330">
        <f>AG40/B40</f>
        <v>207.0688846388986</v>
      </c>
      <c r="AI40" s="330">
        <f>AG40/C40</f>
        <v>212.39604793280026</v>
      </c>
      <c r="AJ40" s="336"/>
      <c r="AK40" s="335">
        <f>SUM(AK8:AK38)</f>
        <v>13160</v>
      </c>
      <c r="AL40" s="330">
        <f>AK40/B40</f>
        <v>6.5489702519776856</v>
      </c>
      <c r="AM40" s="330">
        <f>AK40/C40</f>
        <v>6.7174525133277125</v>
      </c>
      <c r="AN40" s="336"/>
      <c r="AO40" s="335">
        <f>SUM(AO8:AO38)</f>
        <v>20700</v>
      </c>
      <c r="AP40" s="330">
        <f>AO40/B40</f>
        <v>10.30119180972174</v>
      </c>
      <c r="AQ40" s="330">
        <f>AO40/C40</f>
        <v>10.566205701054988</v>
      </c>
      <c r="AR40" s="323">
        <f>E40+I40+M40+Q40+U40+Y40+AC40+AG40+AK40+AO40</f>
        <v>1679622.0999999975</v>
      </c>
      <c r="AS40" s="411">
        <f>AR40/B40</f>
        <v>835.85069661582622</v>
      </c>
      <c r="AT40" s="332">
        <f>AR40/C40</f>
        <v>857.35423230134904</v>
      </c>
    </row>
    <row r="41" spans="1:46">
      <c r="T41" s="337"/>
      <c r="AP41" s="385"/>
    </row>
    <row r="42" spans="1:46">
      <c r="AR42" s="5">
        <f>+AR40-[18]DailyDes!$N$38</f>
        <v>0</v>
      </c>
    </row>
    <row r="43" spans="1:46">
      <c r="G43" s="338"/>
      <c r="H43" s="339"/>
    </row>
    <row r="44" spans="1:46">
      <c r="G44" s="338"/>
      <c r="I44" s="338"/>
      <c r="L44" s="338"/>
    </row>
    <row r="45" spans="1:46">
      <c r="E45" t="s">
        <v>0</v>
      </c>
      <c r="G45" s="338"/>
    </row>
  </sheetData>
  <mergeCells count="16">
    <mergeCell ref="A2:AR2"/>
    <mergeCell ref="A4:A6"/>
    <mergeCell ref="B4:B6"/>
    <mergeCell ref="C4:C6"/>
    <mergeCell ref="D5:G5"/>
    <mergeCell ref="AB5:AE5"/>
    <mergeCell ref="AF5:AI5"/>
    <mergeCell ref="AN5:AQ5"/>
    <mergeCell ref="H5:K5"/>
    <mergeCell ref="AR4:AT5"/>
    <mergeCell ref="P5:S5"/>
    <mergeCell ref="L5:O5"/>
    <mergeCell ref="T5:W5"/>
    <mergeCell ref="X5:AA5"/>
    <mergeCell ref="AJ5:AM5"/>
    <mergeCell ref="D4:AQ4"/>
  </mergeCells>
  <phoneticPr fontId="33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topLeftCell="A111" zoomScale="90" zoomScaleNormal="90" workbookViewId="0">
      <selection activeCell="E129" sqref="E129:E130"/>
    </sheetView>
  </sheetViews>
  <sheetFormatPr defaultRowHeight="12.75"/>
  <cols>
    <col min="1" max="1" width="10.140625" bestFit="1" customWidth="1"/>
    <col min="2" max="2" width="11.85546875" bestFit="1" customWidth="1"/>
    <col min="4" max="4" width="22.28515625" customWidth="1"/>
  </cols>
  <sheetData>
    <row r="1" spans="1:11">
      <c r="A1" s="104" t="s">
        <v>150</v>
      </c>
      <c r="B1" s="344">
        <f>+Report1!A9</f>
        <v>45992</v>
      </c>
      <c r="C1" s="105"/>
      <c r="G1" s="106"/>
      <c r="H1" s="107"/>
    </row>
    <row r="2" spans="1:11" ht="13.5" thickBot="1">
      <c r="A2" s="104"/>
      <c r="B2" s="105"/>
      <c r="C2" s="105"/>
      <c r="G2" s="106"/>
      <c r="H2" s="107"/>
    </row>
    <row r="3" spans="1:11" ht="26.25" thickBot="1">
      <c r="A3" s="551" t="s">
        <v>122</v>
      </c>
      <c r="B3" s="552" t="s">
        <v>9</v>
      </c>
      <c r="C3" s="552" t="s">
        <v>95</v>
      </c>
      <c r="D3" s="552" t="s">
        <v>123</v>
      </c>
      <c r="E3" s="552" t="s">
        <v>124</v>
      </c>
      <c r="F3" s="552" t="s">
        <v>125</v>
      </c>
      <c r="G3" s="553" t="s">
        <v>126</v>
      </c>
      <c r="H3" s="554" t="s">
        <v>127</v>
      </c>
      <c r="I3" s="573" t="s">
        <v>426</v>
      </c>
    </row>
    <row r="4" spans="1:11">
      <c r="A4" s="550">
        <f>+B1</f>
        <v>45992</v>
      </c>
      <c r="B4" s="415" t="s">
        <v>464</v>
      </c>
      <c r="C4">
        <v>1</v>
      </c>
      <c r="D4" s="385" t="s">
        <v>466</v>
      </c>
      <c r="E4" s="385">
        <f>135*2</f>
        <v>270</v>
      </c>
      <c r="F4" s="348">
        <v>14</v>
      </c>
      <c r="G4">
        <f>+E4*F4</f>
        <v>3780</v>
      </c>
      <c r="H4" s="555">
        <f>+G4/F4</f>
        <v>270</v>
      </c>
      <c r="I4" s="417">
        <f>+'1'!N37</f>
        <v>5.4050000000000002</v>
      </c>
    </row>
    <row r="5" spans="1:11">
      <c r="A5" s="414"/>
      <c r="B5" s="415" t="s">
        <v>465</v>
      </c>
      <c r="C5">
        <v>1</v>
      </c>
      <c r="D5" s="385" t="s">
        <v>467</v>
      </c>
      <c r="E5" s="385">
        <f>102+83*2</f>
        <v>268</v>
      </c>
      <c r="F5" s="348">
        <f>5+21+17</f>
        <v>43</v>
      </c>
      <c r="G5">
        <f>+E5*F5</f>
        <v>11524</v>
      </c>
      <c r="H5" s="555">
        <f>+G5/F5</f>
        <v>268</v>
      </c>
      <c r="I5" s="417">
        <f>+'1'!N38</f>
        <v>51.760000000000005</v>
      </c>
    </row>
    <row r="6" spans="1:11">
      <c r="A6" s="414"/>
      <c r="B6" s="415" t="s">
        <v>468</v>
      </c>
      <c r="C6">
        <v>1</v>
      </c>
      <c r="D6" s="385" t="s">
        <v>469</v>
      </c>
      <c r="E6" s="385">
        <f>50+100*2+22</f>
        <v>272</v>
      </c>
      <c r="F6" s="348">
        <v>0</v>
      </c>
      <c r="G6">
        <f>+E6*F6</f>
        <v>0</v>
      </c>
      <c r="H6" s="555">
        <f>+E6</f>
        <v>272</v>
      </c>
      <c r="I6" s="417">
        <f>+'1'!N39</f>
        <v>0</v>
      </c>
    </row>
    <row r="7" spans="1:11" ht="13.5" thickBot="1">
      <c r="A7" s="386"/>
      <c r="B7" s="416"/>
      <c r="C7" s="387"/>
      <c r="D7" s="388"/>
      <c r="E7" s="387"/>
      <c r="F7" s="387"/>
      <c r="G7" s="387"/>
      <c r="H7" s="418"/>
      <c r="I7" s="418"/>
    </row>
    <row r="8" spans="1:11">
      <c r="A8" s="550">
        <v>45993</v>
      </c>
      <c r="B8" s="415" t="s">
        <v>468</v>
      </c>
      <c r="C8">
        <v>1</v>
      </c>
      <c r="D8" s="385" t="s">
        <v>469</v>
      </c>
      <c r="E8" s="385">
        <f>50+100*2+22</f>
        <v>272</v>
      </c>
      <c r="F8" s="348">
        <f>7+4</f>
        <v>11</v>
      </c>
      <c r="G8">
        <f>+E8*F8</f>
        <v>2992</v>
      </c>
      <c r="H8" s="555">
        <f>+(E8*F8+E9*F9)/(SUM(F8:F9))</f>
        <v>281.03225806451616</v>
      </c>
      <c r="I8" s="417">
        <f>+'2'!I38</f>
        <v>45.629222009999999</v>
      </c>
      <c r="K8">
        <f>+SUM(I:I)</f>
        <v>1896.9782220099996</v>
      </c>
    </row>
    <row r="9" spans="1:11">
      <c r="B9" s="415" t="s">
        <v>468</v>
      </c>
      <c r="C9">
        <v>1</v>
      </c>
      <c r="D9" s="385" t="s">
        <v>482</v>
      </c>
      <c r="E9" s="385">
        <f>91*2+14*2+76</f>
        <v>286</v>
      </c>
      <c r="F9" s="348">
        <f>2+18</f>
        <v>20</v>
      </c>
      <c r="G9">
        <f>+E9*F9</f>
        <v>5720</v>
      </c>
      <c r="H9" s="555"/>
      <c r="I9" s="417"/>
      <c r="K9">
        <f>+K8-'31'!J38</f>
        <v>-112.49800000000073</v>
      </c>
    </row>
    <row r="10" spans="1:11">
      <c r="B10" s="415" t="s">
        <v>465</v>
      </c>
      <c r="C10">
        <v>1</v>
      </c>
      <c r="D10" s="385" t="s">
        <v>467</v>
      </c>
      <c r="E10" s="385">
        <f>102+83*2</f>
        <v>268</v>
      </c>
      <c r="F10" s="348">
        <v>8</v>
      </c>
      <c r="G10">
        <f>+E10*F10</f>
        <v>2144</v>
      </c>
      <c r="H10" s="555">
        <f>+G10/F10</f>
        <v>268</v>
      </c>
      <c r="I10" s="417" t="s">
        <v>331</v>
      </c>
    </row>
    <row r="11" spans="1:11" ht="13.5" thickBot="1">
      <c r="A11" s="386"/>
      <c r="B11" s="416"/>
      <c r="C11" s="387"/>
      <c r="D11" s="388"/>
      <c r="E11" s="387"/>
      <c r="F11" s="387"/>
      <c r="G11" s="387"/>
      <c r="H11" s="418"/>
      <c r="I11" s="418"/>
    </row>
    <row r="12" spans="1:11">
      <c r="A12" s="550">
        <v>45994</v>
      </c>
      <c r="B12" s="415" t="s">
        <v>468</v>
      </c>
      <c r="C12">
        <v>1</v>
      </c>
      <c r="D12" s="385" t="s">
        <v>482</v>
      </c>
      <c r="E12" s="385">
        <f>91*2+14*2+76</f>
        <v>286</v>
      </c>
      <c r="F12" s="348">
        <f>21+3+5</f>
        <v>29</v>
      </c>
      <c r="G12">
        <f>+E12*F12</f>
        <v>8294</v>
      </c>
      <c r="H12" s="555">
        <f>+G12/F12</f>
        <v>286</v>
      </c>
      <c r="I12" s="417">
        <f>+'3'!I38</f>
        <v>30.673000000000002</v>
      </c>
    </row>
    <row r="13" spans="1:11" ht="13.5" thickBot="1">
      <c r="A13" s="386"/>
      <c r="B13" s="416"/>
      <c r="C13" s="387"/>
      <c r="D13" s="388"/>
      <c r="E13" s="387"/>
      <c r="F13" s="387"/>
      <c r="G13" s="387"/>
      <c r="H13" s="418"/>
      <c r="I13" s="418"/>
    </row>
    <row r="14" spans="1:11">
      <c r="A14" s="550">
        <v>45995</v>
      </c>
      <c r="B14" s="415" t="s">
        <v>512</v>
      </c>
      <c r="C14">
        <v>1</v>
      </c>
      <c r="D14" s="385" t="s">
        <v>511</v>
      </c>
      <c r="E14" s="385">
        <f>14+91*2+76</f>
        <v>272</v>
      </c>
      <c r="F14" s="348">
        <v>4</v>
      </c>
      <c r="G14">
        <f>+E14*F14</f>
        <v>1088</v>
      </c>
      <c r="H14" s="555">
        <f>+(E14*F14+E15*F15)/(SUM(F14:F15))</f>
        <v>262.38095238095241</v>
      </c>
      <c r="I14" s="417">
        <f>+'4'!I38</f>
        <v>75.64500000000001</v>
      </c>
    </row>
    <row r="15" spans="1:11">
      <c r="A15" s="550"/>
      <c r="B15" s="415" t="s">
        <v>512</v>
      </c>
      <c r="C15">
        <v>1</v>
      </c>
      <c r="D15" s="385" t="s">
        <v>513</v>
      </c>
      <c r="E15" s="385">
        <f>100+81*2</f>
        <v>262</v>
      </c>
      <c r="F15" s="348">
        <f>10+15+18+20+18+20</f>
        <v>101</v>
      </c>
      <c r="G15">
        <f>+E15*F15</f>
        <v>26462</v>
      </c>
      <c r="H15" s="555"/>
      <c r="I15" s="417"/>
    </row>
    <row r="16" spans="1:11" ht="13.5" thickBot="1">
      <c r="A16" s="386"/>
      <c r="B16" s="416"/>
      <c r="C16" s="387"/>
      <c r="D16" s="388"/>
      <c r="E16" s="387"/>
      <c r="F16" s="387"/>
      <c r="G16" s="387"/>
      <c r="H16" s="418"/>
      <c r="I16" s="418"/>
    </row>
    <row r="17" spans="1:9">
      <c r="A17" s="550">
        <v>45996</v>
      </c>
      <c r="B17" s="415" t="s">
        <v>512</v>
      </c>
      <c r="C17">
        <v>1</v>
      </c>
      <c r="D17" s="385" t="s">
        <v>513</v>
      </c>
      <c r="E17" s="385">
        <f>100+81*2</f>
        <v>262</v>
      </c>
      <c r="F17" s="348">
        <v>3</v>
      </c>
      <c r="G17">
        <f>+E17*F17</f>
        <v>786</v>
      </c>
      <c r="H17" s="555">
        <f>+(E17*F17+E18*F18+E19*F19+E20*F20)/(SUM(F17:F20))</f>
        <v>264.51960784313724</v>
      </c>
      <c r="I17" s="417">
        <f>+'5'!I38</f>
        <v>79.574000000000012</v>
      </c>
    </row>
    <row r="18" spans="1:9">
      <c r="A18" s="550"/>
      <c r="B18" s="415" t="s">
        <v>512</v>
      </c>
      <c r="C18">
        <v>1</v>
      </c>
      <c r="D18" s="385" t="s">
        <v>519</v>
      </c>
      <c r="E18" s="385">
        <f>42*2+61*3</f>
        <v>267</v>
      </c>
      <c r="F18" s="348">
        <f>9+19+17</f>
        <v>45</v>
      </c>
      <c r="G18">
        <f>+E18*F18</f>
        <v>12015</v>
      </c>
      <c r="H18" s="555"/>
      <c r="I18" s="417"/>
    </row>
    <row r="19" spans="1:9">
      <c r="A19" s="550"/>
      <c r="B19" s="415" t="s">
        <v>512</v>
      </c>
      <c r="C19">
        <v>1</v>
      </c>
      <c r="D19" s="385" t="s">
        <v>520</v>
      </c>
      <c r="E19" s="385">
        <f>101.5*2+61</f>
        <v>264</v>
      </c>
      <c r="F19" s="385">
        <f>15+19+1</f>
        <v>35</v>
      </c>
      <c r="G19">
        <f>+E19*F19</f>
        <v>9240</v>
      </c>
      <c r="H19" s="555"/>
      <c r="I19" s="417"/>
    </row>
    <row r="20" spans="1:9">
      <c r="A20" s="550"/>
      <c r="B20" s="415" t="s">
        <v>512</v>
      </c>
      <c r="C20">
        <v>1</v>
      </c>
      <c r="D20" s="385" t="s">
        <v>521</v>
      </c>
      <c r="E20" s="385">
        <f>52*5</f>
        <v>260</v>
      </c>
      <c r="F20" s="385">
        <v>19</v>
      </c>
      <c r="G20">
        <f>+E20*F20</f>
        <v>4940</v>
      </c>
      <c r="H20" s="555"/>
      <c r="I20" s="417"/>
    </row>
    <row r="21" spans="1:9">
      <c r="A21" s="550"/>
      <c r="B21" s="415" t="s">
        <v>522</v>
      </c>
      <c r="C21">
        <v>1</v>
      </c>
      <c r="D21" s="385" t="s">
        <v>519</v>
      </c>
      <c r="E21" s="385">
        <f>42*2+61*3</f>
        <v>267</v>
      </c>
      <c r="F21" s="348">
        <v>0</v>
      </c>
      <c r="G21">
        <f>+E21*F21</f>
        <v>0</v>
      </c>
      <c r="H21" s="555">
        <f>+E21</f>
        <v>267</v>
      </c>
      <c r="I21" s="417">
        <v>0</v>
      </c>
    </row>
    <row r="22" spans="1:9" ht="13.5" thickBot="1">
      <c r="A22" s="386"/>
      <c r="B22" s="416"/>
      <c r="C22" s="387"/>
      <c r="D22" s="388"/>
      <c r="E22" s="387"/>
      <c r="F22" s="387"/>
      <c r="G22" s="387"/>
      <c r="H22" s="418"/>
      <c r="I22" s="418"/>
    </row>
    <row r="23" spans="1:9">
      <c r="A23" s="550">
        <v>45997</v>
      </c>
      <c r="B23" s="415" t="s">
        <v>512</v>
      </c>
      <c r="C23">
        <v>1</v>
      </c>
      <c r="D23" s="385" t="s">
        <v>519</v>
      </c>
      <c r="E23" s="385">
        <v>267</v>
      </c>
      <c r="F23" s="385">
        <v>13</v>
      </c>
      <c r="G23">
        <v>12015</v>
      </c>
      <c r="H23" s="555">
        <f>+(E23*F23+E24*F24)/(SUM(F23:F24))</f>
        <v>263.03333333333336</v>
      </c>
      <c r="I23" s="417" t="s">
        <v>331</v>
      </c>
    </row>
    <row r="24" spans="1:9">
      <c r="A24" s="550"/>
      <c r="B24" s="415" t="s">
        <v>512</v>
      </c>
      <c r="C24">
        <v>1</v>
      </c>
      <c r="D24" s="385" t="s">
        <v>521</v>
      </c>
      <c r="E24" s="385">
        <v>260</v>
      </c>
      <c r="F24" s="385">
        <v>17</v>
      </c>
      <c r="G24">
        <v>4940</v>
      </c>
      <c r="H24" s="555"/>
      <c r="I24" s="417"/>
    </row>
    <row r="25" spans="1:9">
      <c r="B25" s="415" t="s">
        <v>522</v>
      </c>
      <c r="C25">
        <v>1</v>
      </c>
      <c r="D25" s="385" t="s">
        <v>519</v>
      </c>
      <c r="E25" s="385">
        <f>42*2+61*3</f>
        <v>267</v>
      </c>
      <c r="F25" s="348">
        <v>65</v>
      </c>
      <c r="G25">
        <f>+E25*F25</f>
        <v>17355</v>
      </c>
      <c r="H25" s="555">
        <f>+G25/F25</f>
        <v>267</v>
      </c>
      <c r="I25" s="417">
        <f>+'6'!I38</f>
        <v>69.167000000000002</v>
      </c>
    </row>
    <row r="26" spans="1:9" ht="13.5" thickBot="1">
      <c r="A26" s="386"/>
      <c r="B26" s="416"/>
      <c r="C26" s="387"/>
      <c r="D26" s="388"/>
      <c r="E26" s="387"/>
      <c r="F26" s="387"/>
      <c r="G26" s="387"/>
      <c r="H26" s="418"/>
      <c r="I26" s="418"/>
    </row>
    <row r="27" spans="1:9">
      <c r="A27" s="550">
        <v>45998</v>
      </c>
      <c r="B27" s="415" t="s">
        <v>522</v>
      </c>
      <c r="C27">
        <v>1</v>
      </c>
      <c r="D27" s="385" t="s">
        <v>519</v>
      </c>
      <c r="E27" s="385">
        <f>42*2+61*3</f>
        <v>267</v>
      </c>
      <c r="F27" s="348">
        <f>182/2</f>
        <v>91</v>
      </c>
      <c r="G27">
        <f>+E27*F27</f>
        <v>24297</v>
      </c>
      <c r="H27" s="555">
        <f>+G27/F27</f>
        <v>267</v>
      </c>
      <c r="I27" s="417">
        <f>+'7'!N37</f>
        <v>59.302999999999997</v>
      </c>
    </row>
    <row r="28" spans="1:9">
      <c r="A28" s="550"/>
      <c r="B28" s="415" t="s">
        <v>536</v>
      </c>
      <c r="C28">
        <v>1</v>
      </c>
      <c r="D28" s="385" t="s">
        <v>467</v>
      </c>
      <c r="E28" s="385">
        <f>102+83*2</f>
        <v>268</v>
      </c>
      <c r="F28" s="348">
        <v>2</v>
      </c>
      <c r="G28">
        <f>+E28*F28</f>
        <v>536</v>
      </c>
      <c r="H28" s="555">
        <f>+G28/F28</f>
        <v>268</v>
      </c>
      <c r="I28" s="417">
        <f>+'7'!N38</f>
        <v>11.366</v>
      </c>
    </row>
    <row r="29" spans="1:9" ht="13.5" thickBot="1">
      <c r="A29" s="386"/>
      <c r="B29" s="416"/>
      <c r="C29" s="387"/>
      <c r="D29" s="388"/>
      <c r="E29" s="387"/>
      <c r="F29" s="387"/>
      <c r="G29" s="387"/>
      <c r="H29" s="418"/>
      <c r="I29" s="418"/>
    </row>
    <row r="30" spans="1:9">
      <c r="A30" s="550">
        <v>45999</v>
      </c>
      <c r="B30" s="415" t="s">
        <v>522</v>
      </c>
      <c r="C30">
        <v>1</v>
      </c>
      <c r="D30" s="385" t="s">
        <v>519</v>
      </c>
      <c r="E30" s="385">
        <f>42*2+61*3</f>
        <v>267</v>
      </c>
      <c r="F30" s="348">
        <f>10+1</f>
        <v>11</v>
      </c>
      <c r="G30">
        <f t="shared" ref="G30:G35" si="0">+E30*F30</f>
        <v>2937</v>
      </c>
      <c r="H30" s="555">
        <f>+G30/F30</f>
        <v>267</v>
      </c>
      <c r="I30" s="417" t="s">
        <v>331</v>
      </c>
    </row>
    <row r="31" spans="1:9">
      <c r="B31" s="415" t="s">
        <v>536</v>
      </c>
      <c r="C31">
        <v>1</v>
      </c>
      <c r="D31" s="385" t="s">
        <v>467</v>
      </c>
      <c r="E31" s="385">
        <f>102+83*2</f>
        <v>268</v>
      </c>
      <c r="F31" s="348">
        <v>11</v>
      </c>
      <c r="G31">
        <f t="shared" si="0"/>
        <v>2948</v>
      </c>
      <c r="H31" s="555">
        <f>+G31/F31</f>
        <v>268</v>
      </c>
      <c r="I31" s="417">
        <f>+'8'!N37</f>
        <v>8.859</v>
      </c>
    </row>
    <row r="32" spans="1:9">
      <c r="B32" s="415" t="s">
        <v>555</v>
      </c>
      <c r="C32">
        <v>1</v>
      </c>
      <c r="D32" s="385" t="s">
        <v>519</v>
      </c>
      <c r="E32" s="385">
        <f>42*2+61*3</f>
        <v>267</v>
      </c>
      <c r="F32" s="385">
        <v>3</v>
      </c>
      <c r="G32">
        <f t="shared" si="0"/>
        <v>801</v>
      </c>
      <c r="H32" s="555">
        <f>+G32/F32</f>
        <v>267</v>
      </c>
      <c r="I32" s="417">
        <f>+'8'!N38</f>
        <v>2.6720000000000002</v>
      </c>
    </row>
    <row r="33" spans="1:9">
      <c r="B33" s="415" t="s">
        <v>556</v>
      </c>
      <c r="C33">
        <v>1</v>
      </c>
      <c r="D33" s="385" t="s">
        <v>554</v>
      </c>
      <c r="E33" s="385">
        <f>60*4+22</f>
        <v>262</v>
      </c>
      <c r="F33" s="385">
        <f>5+1</f>
        <v>6</v>
      </c>
      <c r="G33">
        <f t="shared" si="0"/>
        <v>1572</v>
      </c>
      <c r="H33" s="555">
        <f>+G33/F33</f>
        <v>262</v>
      </c>
      <c r="I33" s="417">
        <f>+'8'!N39</f>
        <v>5.5670000000000002</v>
      </c>
    </row>
    <row r="34" spans="1:9">
      <c r="B34" s="415" t="s">
        <v>557</v>
      </c>
      <c r="C34">
        <v>1</v>
      </c>
      <c r="D34" s="385" t="s">
        <v>558</v>
      </c>
      <c r="E34" s="385">
        <f>62.5+92.5+111</f>
        <v>266</v>
      </c>
      <c r="F34" s="385">
        <v>17</v>
      </c>
      <c r="G34">
        <f t="shared" si="0"/>
        <v>4522</v>
      </c>
      <c r="H34" s="555">
        <f>+(E34*F34+E35*F35)/(SUM(F34:F35))</f>
        <v>267.3</v>
      </c>
      <c r="I34" s="417">
        <f>+'8'!N40</f>
        <v>62.140999999999998</v>
      </c>
    </row>
    <row r="35" spans="1:9">
      <c r="B35" s="415" t="s">
        <v>557</v>
      </c>
      <c r="C35">
        <v>1</v>
      </c>
      <c r="D35" s="385" t="s">
        <v>559</v>
      </c>
      <c r="E35" s="385">
        <f>47+111*2</f>
        <v>269</v>
      </c>
      <c r="F35" s="385">
        <v>13</v>
      </c>
      <c r="G35">
        <f t="shared" si="0"/>
        <v>3497</v>
      </c>
      <c r="H35" s="555"/>
      <c r="I35" s="417"/>
    </row>
    <row r="36" spans="1:9" ht="13.5" thickBot="1">
      <c r="A36" s="386"/>
      <c r="B36" s="416"/>
      <c r="C36" s="387"/>
      <c r="D36" s="388"/>
      <c r="E36" s="387"/>
      <c r="F36" s="387"/>
      <c r="G36" s="387"/>
      <c r="H36" s="418"/>
      <c r="I36" s="418"/>
    </row>
    <row r="37" spans="1:9">
      <c r="A37" s="550">
        <v>46000</v>
      </c>
      <c r="B37" s="415" t="s">
        <v>557</v>
      </c>
      <c r="C37">
        <v>1</v>
      </c>
      <c r="D37" s="385" t="s">
        <v>558</v>
      </c>
      <c r="E37" s="385">
        <f>62.5+92.5+111</f>
        <v>266</v>
      </c>
      <c r="F37" s="385">
        <v>3</v>
      </c>
      <c r="G37">
        <f>+E37*F37</f>
        <v>798</v>
      </c>
      <c r="H37" s="555">
        <f>+(E37*F37+E38*F38)/(SUM(F37:F38))</f>
        <v>267.71428571428572</v>
      </c>
      <c r="I37" s="417">
        <f>+'9'!N37</f>
        <v>3.5270000000000001</v>
      </c>
    </row>
    <row r="38" spans="1:9">
      <c r="B38" s="415" t="s">
        <v>557</v>
      </c>
      <c r="C38">
        <v>1</v>
      </c>
      <c r="D38" s="385" t="s">
        <v>559</v>
      </c>
      <c r="E38" s="385">
        <f>47+111*2</f>
        <v>269</v>
      </c>
      <c r="F38" s="385">
        <v>4</v>
      </c>
      <c r="G38">
        <f>+E38*F38</f>
        <v>1076</v>
      </c>
      <c r="H38" s="555"/>
      <c r="I38" s="417"/>
    </row>
    <row r="39" spans="1:9">
      <c r="B39" s="415" t="s">
        <v>464</v>
      </c>
      <c r="C39">
        <v>1</v>
      </c>
      <c r="D39" s="385" t="s">
        <v>466</v>
      </c>
      <c r="E39" s="385">
        <f>135*2</f>
        <v>270</v>
      </c>
      <c r="F39" s="348">
        <f>98/2</f>
        <v>49</v>
      </c>
      <c r="G39">
        <f>+E39*F39</f>
        <v>13230</v>
      </c>
      <c r="H39" s="555">
        <f>+(E39*F39+E40*F40+E41*F41)/(SUM(F39:F41))</f>
        <v>270.12658227848101</v>
      </c>
      <c r="I39" s="417">
        <f>+'9'!N38</f>
        <v>58.695999999999998</v>
      </c>
    </row>
    <row r="40" spans="1:9">
      <c r="B40" s="415" t="s">
        <v>464</v>
      </c>
      <c r="C40">
        <v>1</v>
      </c>
      <c r="D40" s="385" t="s">
        <v>571</v>
      </c>
      <c r="E40" s="385">
        <f>47.5+74*3</f>
        <v>269.5</v>
      </c>
      <c r="F40" s="385">
        <v>20</v>
      </c>
      <c r="G40">
        <f>+E40*F40</f>
        <v>5390</v>
      </c>
      <c r="H40" s="555"/>
      <c r="I40" s="417"/>
    </row>
    <row r="41" spans="1:9">
      <c r="B41" s="415" t="s">
        <v>464</v>
      </c>
      <c r="C41">
        <v>1</v>
      </c>
      <c r="D41" s="385" t="s">
        <v>572</v>
      </c>
      <c r="E41" s="385">
        <f>128.5*2+15</f>
        <v>272</v>
      </c>
      <c r="F41" s="385">
        <v>10</v>
      </c>
      <c r="G41">
        <f>+E41*F41</f>
        <v>2720</v>
      </c>
      <c r="H41" s="555"/>
      <c r="I41" s="417"/>
    </row>
    <row r="42" spans="1:9" ht="13.5" thickBot="1">
      <c r="A42" s="386"/>
      <c r="B42" s="416"/>
      <c r="C42" s="387"/>
      <c r="D42" s="388"/>
      <c r="E42" s="387"/>
      <c r="F42" s="387"/>
      <c r="G42" s="387"/>
      <c r="H42" s="418"/>
      <c r="I42" s="418"/>
    </row>
    <row r="43" spans="1:9">
      <c r="A43" s="550">
        <v>46001</v>
      </c>
      <c r="B43" s="415" t="s">
        <v>464</v>
      </c>
      <c r="C43">
        <v>1</v>
      </c>
      <c r="D43" s="385" t="s">
        <v>572</v>
      </c>
      <c r="E43" s="385">
        <f>128.5*2+15</f>
        <v>272</v>
      </c>
      <c r="F43" s="385">
        <f>17+34+40</f>
        <v>91</v>
      </c>
      <c r="G43">
        <f>+E43*F43</f>
        <v>24752</v>
      </c>
      <c r="H43" s="555">
        <f>+(E43*F43+E44*F44)/(SUM(F43:F44))</f>
        <v>271.25</v>
      </c>
      <c r="I43" s="417">
        <f>+'10'!N37</f>
        <v>49.418999999999997</v>
      </c>
    </row>
    <row r="44" spans="1:9">
      <c r="B44" s="415" t="s">
        <v>464</v>
      </c>
      <c r="C44">
        <v>1</v>
      </c>
      <c r="D44" s="385" t="s">
        <v>586</v>
      </c>
      <c r="E44" s="385">
        <f>133*2</f>
        <v>266</v>
      </c>
      <c r="F44" s="385">
        <v>13</v>
      </c>
      <c r="G44">
        <f>+E44*F44</f>
        <v>3458</v>
      </c>
      <c r="H44" s="555"/>
      <c r="I44" s="417"/>
    </row>
    <row r="45" spans="1:9">
      <c r="B45" s="415" t="s">
        <v>464</v>
      </c>
      <c r="C45">
        <v>1</v>
      </c>
      <c r="D45" s="385" t="s">
        <v>586</v>
      </c>
      <c r="E45" s="385">
        <f>133*2</f>
        <v>266</v>
      </c>
      <c r="F45" s="385">
        <v>0</v>
      </c>
      <c r="G45">
        <f>+E45*F45</f>
        <v>0</v>
      </c>
      <c r="H45" s="555">
        <f>+E45</f>
        <v>266</v>
      </c>
      <c r="I45" s="417">
        <f>+'10'!N38</f>
        <v>9.8770000000000024</v>
      </c>
    </row>
    <row r="46" spans="1:9" ht="13.5" thickBot="1">
      <c r="A46" s="386"/>
      <c r="B46" s="416"/>
      <c r="C46" s="387"/>
      <c r="D46" s="388"/>
      <c r="E46" s="387"/>
      <c r="F46" s="387"/>
      <c r="G46" s="387"/>
      <c r="H46" s="418"/>
      <c r="I46" s="418"/>
    </row>
    <row r="47" spans="1:9">
      <c r="A47" s="550">
        <v>46002</v>
      </c>
      <c r="B47" s="415" t="s">
        <v>592</v>
      </c>
      <c r="C47">
        <v>1</v>
      </c>
      <c r="D47" s="385" t="s">
        <v>586</v>
      </c>
      <c r="E47" s="385">
        <f>133*2</f>
        <v>266</v>
      </c>
      <c r="F47" s="348">
        <v>5</v>
      </c>
      <c r="G47">
        <f>+E47*F47</f>
        <v>1330</v>
      </c>
      <c r="H47" s="555">
        <f>+(E47*F47+E48*F48)/(SUM(F47:F48))</f>
        <v>266</v>
      </c>
      <c r="I47" s="417">
        <f>+'7'!N57</f>
        <v>0</v>
      </c>
    </row>
    <row r="48" spans="1:9">
      <c r="A48" s="550"/>
      <c r="B48" s="415" t="s">
        <v>592</v>
      </c>
      <c r="C48">
        <v>1</v>
      </c>
      <c r="D48" s="385" t="s">
        <v>604</v>
      </c>
      <c r="E48" s="385">
        <f>266*1</f>
        <v>266</v>
      </c>
      <c r="F48" s="385">
        <v>8</v>
      </c>
      <c r="G48">
        <f>+E48*F48</f>
        <v>2128</v>
      </c>
      <c r="H48" s="555"/>
      <c r="I48" s="417"/>
    </row>
    <row r="49" spans="1:9">
      <c r="A49" s="550"/>
      <c r="B49" s="415" t="s">
        <v>593</v>
      </c>
      <c r="C49">
        <v>1</v>
      </c>
      <c r="D49" s="385" t="s">
        <v>605</v>
      </c>
      <c r="E49" s="385">
        <f>58*2+48*3</f>
        <v>260</v>
      </c>
      <c r="F49" s="348">
        <v>130</v>
      </c>
      <c r="G49">
        <f>+E49*F49</f>
        <v>33800</v>
      </c>
      <c r="H49" s="555">
        <f>+G49/F49</f>
        <v>260</v>
      </c>
      <c r="I49" s="417">
        <f>+'7'!N58</f>
        <v>0</v>
      </c>
    </row>
    <row r="50" spans="1:9" ht="13.5" thickBot="1">
      <c r="A50" s="386"/>
      <c r="B50" s="416"/>
      <c r="C50" s="387"/>
      <c r="D50" s="388"/>
      <c r="E50" s="387"/>
      <c r="F50" s="387"/>
      <c r="G50" s="387"/>
      <c r="H50" s="418"/>
      <c r="I50" s="418"/>
    </row>
    <row r="51" spans="1:9">
      <c r="A51" s="550">
        <v>46003</v>
      </c>
      <c r="B51" s="415" t="s">
        <v>593</v>
      </c>
      <c r="C51">
        <v>1</v>
      </c>
      <c r="D51" s="385" t="s">
        <v>605</v>
      </c>
      <c r="E51" s="385">
        <f>58*2+48*3</f>
        <v>260</v>
      </c>
      <c r="F51" s="348">
        <v>172</v>
      </c>
      <c r="G51">
        <f>+E51*F51</f>
        <v>44720</v>
      </c>
      <c r="H51" s="555">
        <f>+(E51*F51+E52*F52)/(SUM(F51:F52))</f>
        <v>260.45652173913044</v>
      </c>
      <c r="I51" s="417">
        <f>+'12'!I38</f>
        <v>54.747</v>
      </c>
    </row>
    <row r="52" spans="1:9">
      <c r="A52" s="550"/>
      <c r="B52" s="415" t="s">
        <v>593</v>
      </c>
      <c r="C52">
        <v>1</v>
      </c>
      <c r="D52" s="385" t="s">
        <v>610</v>
      </c>
      <c r="E52" s="385">
        <f>54*3+15*7</f>
        <v>267</v>
      </c>
      <c r="F52" s="348">
        <v>12</v>
      </c>
      <c r="G52">
        <f>+E52*F52</f>
        <v>3204</v>
      </c>
      <c r="H52" s="555"/>
      <c r="I52" s="417"/>
    </row>
    <row r="53" spans="1:9" ht="13.5" thickBot="1">
      <c r="A53" s="386"/>
      <c r="B53" s="416"/>
      <c r="C53" s="387"/>
      <c r="D53" s="388"/>
      <c r="E53" s="387"/>
      <c r="F53" s="387"/>
      <c r="G53" s="387"/>
      <c r="H53" s="418"/>
      <c r="I53" s="418"/>
    </row>
    <row r="54" spans="1:9">
      <c r="A54" s="550">
        <v>46004</v>
      </c>
      <c r="B54" s="415" t="s">
        <v>593</v>
      </c>
      <c r="C54">
        <v>1</v>
      </c>
      <c r="D54" s="385" t="s">
        <v>632</v>
      </c>
      <c r="E54" s="385">
        <f>15*7+54*3</f>
        <v>267</v>
      </c>
      <c r="F54">
        <f>33+3</f>
        <v>36</v>
      </c>
      <c r="G54">
        <f>+E54*F54</f>
        <v>9612</v>
      </c>
      <c r="H54" s="555">
        <f>+(E54*F54+E55*F55)/(SUM(F54:F55))</f>
        <v>262.39354838709676</v>
      </c>
      <c r="I54" s="417">
        <f>+'13'!N37</f>
        <v>30.842000000000002</v>
      </c>
    </row>
    <row r="55" spans="1:9">
      <c r="A55" s="550"/>
      <c r="B55" s="415" t="s">
        <v>593</v>
      </c>
      <c r="C55">
        <v>1</v>
      </c>
      <c r="D55" s="385" t="s">
        <v>633</v>
      </c>
      <c r="E55" s="385">
        <f>15+48*4+54</f>
        <v>261</v>
      </c>
      <c r="F55">
        <f>36+26+35+10+12</f>
        <v>119</v>
      </c>
      <c r="G55">
        <f>+E55*F55</f>
        <v>31059</v>
      </c>
      <c r="H55" s="555"/>
      <c r="I55" s="417"/>
    </row>
    <row r="56" spans="1:9">
      <c r="A56" s="550"/>
      <c r="B56" s="415" t="s">
        <v>638</v>
      </c>
      <c r="C56">
        <v>1</v>
      </c>
      <c r="D56" s="385" t="s">
        <v>634</v>
      </c>
      <c r="E56" s="385">
        <f>54*2+39*4</f>
        <v>264</v>
      </c>
      <c r="F56" s="348">
        <f>21+22</f>
        <v>43</v>
      </c>
      <c r="G56">
        <f>+E56*F56</f>
        <v>11352</v>
      </c>
      <c r="H56" s="555">
        <f>+G56/F56</f>
        <v>264</v>
      </c>
      <c r="I56" s="417">
        <f>+'13'!N38</f>
        <v>14.417</v>
      </c>
    </row>
    <row r="57" spans="1:9">
      <c r="A57" s="550"/>
      <c r="B57" s="415" t="s">
        <v>639</v>
      </c>
      <c r="C57">
        <v>1</v>
      </c>
      <c r="D57" s="385" t="s">
        <v>653</v>
      </c>
      <c r="E57" s="385">
        <f>54*2+27.5*3+26.5*3</f>
        <v>270</v>
      </c>
      <c r="F57" s="348">
        <v>0</v>
      </c>
      <c r="G57">
        <f>+E57*F57</f>
        <v>0</v>
      </c>
      <c r="H57" s="555">
        <f>+E57</f>
        <v>270</v>
      </c>
      <c r="I57" s="417">
        <f>+'13'!N39</f>
        <v>11.7</v>
      </c>
    </row>
    <row r="58" spans="1:9" ht="13.5" thickBot="1">
      <c r="A58" s="386"/>
      <c r="B58" s="416"/>
      <c r="C58" s="387"/>
      <c r="D58" s="388"/>
      <c r="E58" s="387"/>
      <c r="F58" s="387"/>
      <c r="G58" s="387"/>
      <c r="H58" s="418"/>
      <c r="I58" s="418"/>
    </row>
    <row r="59" spans="1:9">
      <c r="A59" s="550">
        <v>46005</v>
      </c>
      <c r="B59" s="415" t="s">
        <v>638</v>
      </c>
      <c r="C59">
        <v>1</v>
      </c>
      <c r="D59" s="385" t="s">
        <v>635</v>
      </c>
      <c r="E59" s="385">
        <f>39*4+54*2</f>
        <v>264</v>
      </c>
      <c r="F59" s="385">
        <v>12</v>
      </c>
      <c r="G59">
        <f>+E59*F59</f>
        <v>3168</v>
      </c>
      <c r="H59" s="555">
        <f>+G59/F59</f>
        <v>264</v>
      </c>
      <c r="I59" s="417" t="s">
        <v>331</v>
      </c>
    </row>
    <row r="60" spans="1:9">
      <c r="A60" s="550"/>
      <c r="B60" s="415" t="s">
        <v>639</v>
      </c>
      <c r="C60">
        <v>1</v>
      </c>
      <c r="D60" s="385" t="s">
        <v>636</v>
      </c>
      <c r="E60" s="385">
        <f>23*4+28*6</f>
        <v>260</v>
      </c>
      <c r="F60" s="385">
        <v>107</v>
      </c>
      <c r="G60">
        <f>+E60*F60</f>
        <v>27820</v>
      </c>
      <c r="H60" s="555">
        <f>+(E60*F60+E61*F61)/(SUM(F60:F61))</f>
        <v>253.25414364640883</v>
      </c>
      <c r="I60" s="417">
        <f>+'14'!I38</f>
        <v>60.744</v>
      </c>
    </row>
    <row r="61" spans="1:9">
      <c r="A61" s="550"/>
      <c r="B61" s="415" t="s">
        <v>639</v>
      </c>
      <c r="C61">
        <v>1</v>
      </c>
      <c r="D61" s="385" t="s">
        <v>637</v>
      </c>
      <c r="E61" s="385">
        <f>54*2+27.5*3+26.5*2</f>
        <v>243.5</v>
      </c>
      <c r="F61" s="385">
        <v>74</v>
      </c>
      <c r="G61">
        <f>+E61*F61</f>
        <v>18019</v>
      </c>
      <c r="H61" s="555"/>
      <c r="I61" s="417"/>
    </row>
    <row r="62" spans="1:9">
      <c r="A62" s="550"/>
      <c r="B62" s="415" t="s">
        <v>592</v>
      </c>
      <c r="C62">
        <v>1</v>
      </c>
      <c r="D62" s="385" t="s">
        <v>604</v>
      </c>
      <c r="E62" s="385">
        <v>266</v>
      </c>
      <c r="F62" s="348">
        <v>0</v>
      </c>
      <c r="G62">
        <f>+E62*F62</f>
        <v>0</v>
      </c>
      <c r="H62" s="555">
        <f>+E62</f>
        <v>266</v>
      </c>
      <c r="I62" s="417">
        <v>0</v>
      </c>
    </row>
    <row r="63" spans="1:9" ht="13.5" thickBot="1">
      <c r="A63" s="386"/>
      <c r="B63" s="416"/>
      <c r="C63" s="387"/>
      <c r="D63" s="388"/>
      <c r="E63" s="387"/>
      <c r="F63" s="387"/>
      <c r="G63" s="387"/>
      <c r="H63" s="418"/>
      <c r="I63" s="418"/>
    </row>
    <row r="64" spans="1:9">
      <c r="A64" s="550">
        <v>46006</v>
      </c>
      <c r="B64" s="415" t="s">
        <v>592</v>
      </c>
      <c r="C64">
        <v>1</v>
      </c>
      <c r="D64" s="385" t="s">
        <v>604</v>
      </c>
      <c r="E64" s="385">
        <v>266</v>
      </c>
      <c r="F64" s="348">
        <f>10+16+23</f>
        <v>49</v>
      </c>
      <c r="G64">
        <f>+E64*F64</f>
        <v>13034</v>
      </c>
      <c r="H64" s="555">
        <f>+G64/F64</f>
        <v>266</v>
      </c>
      <c r="I64" s="417">
        <f>+'15'!I38</f>
        <v>53.219000000000001</v>
      </c>
    </row>
    <row r="65" spans="1:9">
      <c r="A65" s="550"/>
      <c r="B65" s="415" t="s">
        <v>639</v>
      </c>
      <c r="C65">
        <v>1</v>
      </c>
      <c r="D65" s="385" t="s">
        <v>655</v>
      </c>
      <c r="E65" s="385">
        <f>26.5*4+27.5*6</f>
        <v>271</v>
      </c>
      <c r="F65" s="348">
        <f>116/4</f>
        <v>29</v>
      </c>
      <c r="G65">
        <f>+E65*F65</f>
        <v>7859</v>
      </c>
      <c r="H65" s="555">
        <f>+(E65*F65+E66*F66)/(SUM(F65:F66))</f>
        <v>270.39189189189187</v>
      </c>
      <c r="I65" s="417" t="s">
        <v>331</v>
      </c>
    </row>
    <row r="66" spans="1:9">
      <c r="A66" s="550"/>
      <c r="B66" s="415" t="s">
        <v>639</v>
      </c>
      <c r="C66">
        <v>1</v>
      </c>
      <c r="D66" s="385" t="s">
        <v>654</v>
      </c>
      <c r="E66" s="385">
        <f>26.5*3+27.5*3+54*2</f>
        <v>270</v>
      </c>
      <c r="F66" s="348">
        <v>45</v>
      </c>
      <c r="G66">
        <f>+E66*F66</f>
        <v>12150</v>
      </c>
      <c r="H66" s="555"/>
      <c r="I66" s="417"/>
    </row>
    <row r="67" spans="1:9" ht="13.5" thickBot="1">
      <c r="A67" s="386"/>
      <c r="B67" s="416"/>
      <c r="C67" s="387"/>
      <c r="D67" s="388"/>
      <c r="E67" s="387"/>
      <c r="F67" s="387"/>
      <c r="G67" s="387"/>
      <c r="H67" s="418"/>
      <c r="I67" s="418"/>
    </row>
    <row r="68" spans="1:9">
      <c r="A68" s="550">
        <v>46007</v>
      </c>
      <c r="B68" s="415" t="s">
        <v>592</v>
      </c>
      <c r="C68">
        <v>1</v>
      </c>
      <c r="D68" s="385" t="s">
        <v>604</v>
      </c>
      <c r="E68" s="385">
        <v>266</v>
      </c>
      <c r="F68" s="348">
        <f>8+18+13</f>
        <v>39</v>
      </c>
      <c r="G68">
        <f>+E68*F68</f>
        <v>10374</v>
      </c>
      <c r="H68" s="555">
        <f>+(E68*F68+E69*F69)/(SUM(F68:F69))</f>
        <v>267.80281690140845</v>
      </c>
      <c r="I68" s="417">
        <f>+'16'!L37</f>
        <v>54.137</v>
      </c>
    </row>
    <row r="69" spans="1:9">
      <c r="B69" s="415" t="s">
        <v>592</v>
      </c>
      <c r="C69">
        <v>1</v>
      </c>
      <c r="D69" s="385" t="s">
        <v>676</v>
      </c>
      <c r="E69" s="385">
        <f>126+144</f>
        <v>270</v>
      </c>
      <c r="F69" s="348">
        <f>12+20</f>
        <v>32</v>
      </c>
      <c r="G69">
        <f>+E69*F69</f>
        <v>8640</v>
      </c>
      <c r="H69" s="555"/>
      <c r="I69" s="417"/>
    </row>
    <row r="70" spans="1:9">
      <c r="B70" s="415" t="s">
        <v>464</v>
      </c>
      <c r="C70">
        <v>1</v>
      </c>
      <c r="D70" s="385" t="s">
        <v>572</v>
      </c>
      <c r="E70" s="385">
        <f>128.5*2+15</f>
        <v>272</v>
      </c>
      <c r="F70" s="348">
        <v>0</v>
      </c>
      <c r="G70">
        <f>+E70*F70</f>
        <v>0</v>
      </c>
      <c r="H70" s="555">
        <f>+E70</f>
        <v>272</v>
      </c>
      <c r="I70" s="417">
        <f>+'16'!L38</f>
        <v>0</v>
      </c>
    </row>
    <row r="71" spans="1:9" ht="13.5" thickBot="1">
      <c r="A71" s="386"/>
      <c r="B71" s="416"/>
      <c r="C71" s="387"/>
      <c r="D71" s="388"/>
      <c r="E71" s="387"/>
      <c r="F71" s="387"/>
      <c r="G71" s="387"/>
      <c r="H71" s="418"/>
      <c r="I71" s="418"/>
    </row>
    <row r="72" spans="1:9">
      <c r="A72" s="550">
        <v>46008</v>
      </c>
      <c r="B72" s="415" t="s">
        <v>464</v>
      </c>
      <c r="C72">
        <v>1</v>
      </c>
      <c r="D72" s="385" t="s">
        <v>572</v>
      </c>
      <c r="E72" s="385">
        <f>128.5*2+15</f>
        <v>272</v>
      </c>
      <c r="F72" s="348">
        <f>24+33+35</f>
        <v>92</v>
      </c>
      <c r="G72">
        <f>+E72*F72</f>
        <v>25024</v>
      </c>
      <c r="H72" s="555">
        <f>+G72/F72</f>
        <v>272</v>
      </c>
      <c r="I72" s="417">
        <f>+'16'!L40</f>
        <v>0</v>
      </c>
    </row>
    <row r="73" spans="1:9">
      <c r="B73" s="415" t="s">
        <v>592</v>
      </c>
      <c r="C73">
        <v>1</v>
      </c>
      <c r="D73" s="385" t="s">
        <v>586</v>
      </c>
      <c r="E73" s="385">
        <f>133*2</f>
        <v>266</v>
      </c>
      <c r="F73" s="348">
        <v>7</v>
      </c>
      <c r="G73">
        <f>+E73*F73</f>
        <v>1862</v>
      </c>
      <c r="H73" s="555">
        <f>+G73/F73</f>
        <v>266</v>
      </c>
      <c r="I73" s="417" t="s">
        <v>331</v>
      </c>
    </row>
    <row r="74" spans="1:9">
      <c r="B74" s="415" t="s">
        <v>639</v>
      </c>
      <c r="C74">
        <v>1</v>
      </c>
      <c r="D74" s="385" t="s">
        <v>655</v>
      </c>
      <c r="E74" s="385">
        <f>26.5*4+27.5*6</f>
        <v>271</v>
      </c>
      <c r="F74" s="348">
        <v>1</v>
      </c>
      <c r="G74">
        <f>+E74*F74</f>
        <v>271</v>
      </c>
      <c r="H74" s="555">
        <f>+G74/F74</f>
        <v>271</v>
      </c>
      <c r="I74" s="417" t="s">
        <v>331</v>
      </c>
    </row>
    <row r="75" spans="1:9" ht="13.5" thickBot="1">
      <c r="A75" s="386"/>
      <c r="B75" s="416"/>
      <c r="C75" s="387"/>
      <c r="D75" s="388"/>
      <c r="E75" s="387"/>
      <c r="F75" s="387"/>
      <c r="G75" s="387"/>
      <c r="H75" s="418"/>
      <c r="I75" s="418"/>
    </row>
    <row r="76" spans="1:9">
      <c r="A76" s="550">
        <v>46009</v>
      </c>
      <c r="B76" s="415" t="s">
        <v>464</v>
      </c>
      <c r="C76">
        <v>1</v>
      </c>
      <c r="D76" s="385" t="s">
        <v>572</v>
      </c>
      <c r="E76" s="385">
        <f>128.5*2+15</f>
        <v>272</v>
      </c>
      <c r="F76" s="348">
        <v>31</v>
      </c>
      <c r="G76">
        <f>+E76*F76</f>
        <v>8432</v>
      </c>
      <c r="H76" s="555">
        <f>+(E76*F76+E77*F77)/(SUM(F76:F77))</f>
        <v>269.89423076923077</v>
      </c>
      <c r="I76" s="417">
        <f>+'18'!L37</f>
        <v>61.581000000000003</v>
      </c>
    </row>
    <row r="77" spans="1:9">
      <c r="A77" s="606"/>
      <c r="B77" s="415" t="s">
        <v>464</v>
      </c>
      <c r="C77">
        <v>1</v>
      </c>
      <c r="D77" s="385" t="s">
        <v>693</v>
      </c>
      <c r="E77" s="385">
        <f>107.5*2+18*3</f>
        <v>269</v>
      </c>
      <c r="F77" s="348">
        <v>73</v>
      </c>
      <c r="G77">
        <f>+E77*F77</f>
        <v>19637</v>
      </c>
      <c r="H77" s="555"/>
      <c r="I77" s="417"/>
    </row>
    <row r="78" spans="1:9">
      <c r="B78" s="415" t="s">
        <v>522</v>
      </c>
      <c r="C78">
        <v>1</v>
      </c>
      <c r="D78" s="385" t="s">
        <v>692</v>
      </c>
      <c r="E78" s="385">
        <f>72*3+51</f>
        <v>267</v>
      </c>
      <c r="F78" s="348">
        <v>0</v>
      </c>
      <c r="G78">
        <f>+E78*F78</f>
        <v>0</v>
      </c>
      <c r="H78" s="555">
        <f>+E78</f>
        <v>267</v>
      </c>
      <c r="I78" s="417">
        <f>+'18'!L38</f>
        <v>0</v>
      </c>
    </row>
    <row r="79" spans="1:9" ht="13.5" thickBot="1">
      <c r="A79" s="386"/>
      <c r="B79" s="416"/>
      <c r="C79" s="387"/>
      <c r="D79" s="388"/>
      <c r="E79" s="387"/>
      <c r="F79" s="387"/>
      <c r="G79" s="387"/>
      <c r="H79" s="418"/>
      <c r="I79" s="418"/>
    </row>
    <row r="80" spans="1:9">
      <c r="A80" s="550">
        <v>46010</v>
      </c>
      <c r="B80" s="415" t="s">
        <v>464</v>
      </c>
      <c r="C80">
        <v>1</v>
      </c>
      <c r="D80" s="385" t="s">
        <v>693</v>
      </c>
      <c r="E80" s="385">
        <f>107.5*2+18*3</f>
        <v>269</v>
      </c>
      <c r="F80" s="348">
        <v>9</v>
      </c>
      <c r="G80">
        <f>+E80*F80</f>
        <v>2421</v>
      </c>
      <c r="H80" s="555">
        <f>+G80/F80</f>
        <v>269</v>
      </c>
      <c r="I80" s="417" t="s">
        <v>331</v>
      </c>
    </row>
    <row r="81" spans="1:9">
      <c r="B81" s="415" t="s">
        <v>522</v>
      </c>
      <c r="C81">
        <v>1</v>
      </c>
      <c r="D81" s="385" t="s">
        <v>692</v>
      </c>
      <c r="E81" s="385">
        <f>72*3+51</f>
        <v>267</v>
      </c>
      <c r="F81" s="348">
        <v>14</v>
      </c>
      <c r="G81">
        <f>+E81*F81</f>
        <v>3738</v>
      </c>
      <c r="H81" s="555">
        <f>+G81/F81</f>
        <v>267</v>
      </c>
      <c r="I81" s="417">
        <f>+'19'!L37</f>
        <v>26.292999999999999</v>
      </c>
    </row>
    <row r="82" spans="1:9">
      <c r="B82" s="415" t="s">
        <v>468</v>
      </c>
      <c r="C82">
        <v>1</v>
      </c>
      <c r="D82" s="385" t="s">
        <v>707</v>
      </c>
      <c r="E82" s="385">
        <f>59*4+22+14</f>
        <v>272</v>
      </c>
      <c r="F82" s="348">
        <f>8+6</f>
        <v>14</v>
      </c>
      <c r="G82">
        <f>+E82*F82</f>
        <v>3808</v>
      </c>
      <c r="H82" s="555">
        <f>+G82/F82</f>
        <v>272</v>
      </c>
      <c r="I82" s="417">
        <f>+'19'!L38</f>
        <v>16.957000000000008</v>
      </c>
    </row>
    <row r="83" spans="1:9">
      <c r="B83" s="415" t="s">
        <v>512</v>
      </c>
      <c r="C83">
        <v>1</v>
      </c>
      <c r="D83" s="385" t="s">
        <v>708</v>
      </c>
      <c r="E83" s="385">
        <f>130*2</f>
        <v>260</v>
      </c>
      <c r="F83" s="348">
        <v>24</v>
      </c>
      <c r="G83">
        <f>+E83*F83</f>
        <v>6240</v>
      </c>
      <c r="H83" s="555">
        <f>+G83/F83</f>
        <v>260</v>
      </c>
      <c r="I83" s="417">
        <f>+'19'!L39</f>
        <v>26.65</v>
      </c>
    </row>
    <row r="84" spans="1:9" ht="13.5" thickBot="1">
      <c r="A84" s="386"/>
      <c r="B84" s="416"/>
      <c r="C84" s="387"/>
      <c r="D84" s="388"/>
      <c r="E84" s="387"/>
      <c r="F84" s="387"/>
      <c r="G84" s="387"/>
      <c r="H84" s="418"/>
      <c r="I84" s="418"/>
    </row>
    <row r="85" spans="1:9">
      <c r="A85" s="550">
        <v>46011</v>
      </c>
      <c r="B85" s="415" t="s">
        <v>512</v>
      </c>
      <c r="C85">
        <v>1</v>
      </c>
      <c r="D85" s="385" t="s">
        <v>708</v>
      </c>
      <c r="E85" s="385">
        <f>130*2</f>
        <v>260</v>
      </c>
      <c r="F85" s="348">
        <f>27+2</f>
        <v>29</v>
      </c>
      <c r="G85">
        <f>+E85*F85</f>
        <v>7540</v>
      </c>
      <c r="H85" s="555">
        <f>+(E85*F85+E86*F86)/(SUM(F85:F86))</f>
        <v>264.89795918367349</v>
      </c>
      <c r="I85" s="417">
        <f>+'20'!L37</f>
        <v>25.003</v>
      </c>
    </row>
    <row r="86" spans="1:9">
      <c r="A86" s="606"/>
      <c r="B86" s="415" t="s">
        <v>512</v>
      </c>
      <c r="C86">
        <v>1</v>
      </c>
      <c r="D86" s="385" t="s">
        <v>731</v>
      </c>
      <c r="E86" s="385">
        <f>71+88+93+20</f>
        <v>272</v>
      </c>
      <c r="F86" s="348">
        <f>9+11</f>
        <v>20</v>
      </c>
      <c r="G86">
        <f>+E86*F86</f>
        <v>5440</v>
      </c>
      <c r="H86" s="555"/>
      <c r="I86" s="417"/>
    </row>
    <row r="87" spans="1:9">
      <c r="B87" s="415" t="s">
        <v>468</v>
      </c>
      <c r="C87">
        <v>1</v>
      </c>
      <c r="D87" s="385" t="s">
        <v>730</v>
      </c>
      <c r="E87" s="385">
        <f>100*2+61</f>
        <v>261</v>
      </c>
      <c r="F87" s="348">
        <v>1</v>
      </c>
      <c r="G87">
        <f>+E87*F87</f>
        <v>261</v>
      </c>
      <c r="H87" s="555">
        <f>+(E87*F87+E88*F88)/(SUM(F87:F88))</f>
        <v>278.30769230769232</v>
      </c>
      <c r="I87" s="417">
        <f>+'20'!L38</f>
        <v>47.644999999999996</v>
      </c>
    </row>
    <row r="88" spans="1:9">
      <c r="B88" s="415" t="s">
        <v>468</v>
      </c>
      <c r="C88">
        <v>1</v>
      </c>
      <c r="D88" s="385" t="s">
        <v>732</v>
      </c>
      <c r="E88" s="385">
        <f>100*2+79</f>
        <v>279</v>
      </c>
      <c r="F88" s="348">
        <f>3+11+11</f>
        <v>25</v>
      </c>
      <c r="G88">
        <f>+E88*F88</f>
        <v>6975</v>
      </c>
      <c r="H88" s="555"/>
      <c r="I88" s="417"/>
    </row>
    <row r="89" spans="1:9" ht="13.5" thickBot="1">
      <c r="A89" s="386"/>
      <c r="B89" s="416"/>
      <c r="C89" s="387"/>
      <c r="D89" s="388"/>
      <c r="E89" s="387"/>
      <c r="F89" s="387"/>
      <c r="G89" s="387"/>
      <c r="H89" s="418"/>
      <c r="I89" s="418"/>
    </row>
    <row r="90" spans="1:9">
      <c r="A90" s="550">
        <v>46012</v>
      </c>
      <c r="B90" s="415" t="s">
        <v>512</v>
      </c>
      <c r="C90">
        <v>1</v>
      </c>
      <c r="D90" s="385" t="s">
        <v>733</v>
      </c>
      <c r="E90" s="385">
        <f>79+88+101</f>
        <v>268</v>
      </c>
      <c r="F90" s="348">
        <v>6</v>
      </c>
      <c r="G90">
        <f>+E90*F90</f>
        <v>1608</v>
      </c>
      <c r="H90" s="555">
        <f>+(E90*F90+E91*F91+E92*F92)/(SUM(F90:F92))</f>
        <v>271.030303030303</v>
      </c>
      <c r="I90" s="417">
        <f>+'21'!L37</f>
        <v>30.817999999999998</v>
      </c>
    </row>
    <row r="91" spans="1:9">
      <c r="A91" s="606"/>
      <c r="B91" s="415" t="s">
        <v>512</v>
      </c>
      <c r="C91">
        <v>1</v>
      </c>
      <c r="D91" s="385" t="s">
        <v>736</v>
      </c>
      <c r="E91" s="385">
        <f>81+79+93+19</f>
        <v>272</v>
      </c>
      <c r="F91" s="348">
        <f>17+6</f>
        <v>23</v>
      </c>
      <c r="G91">
        <f>+E91*F91</f>
        <v>6256</v>
      </c>
      <c r="H91" s="555"/>
      <c r="I91" s="417"/>
    </row>
    <row r="92" spans="1:9">
      <c r="A92" s="606"/>
      <c r="B92" s="415" t="s">
        <v>512</v>
      </c>
      <c r="C92">
        <v>1</v>
      </c>
      <c r="D92" s="385" t="s">
        <v>735</v>
      </c>
      <c r="E92" s="385">
        <f>45*6</f>
        <v>270</v>
      </c>
      <c r="F92" s="385">
        <v>4</v>
      </c>
      <c r="G92">
        <f>+E92*F92</f>
        <v>1080</v>
      </c>
      <c r="H92" s="555"/>
      <c r="I92" s="417"/>
    </row>
    <row r="93" spans="1:9">
      <c r="B93" s="415" t="s">
        <v>468</v>
      </c>
      <c r="C93">
        <v>1</v>
      </c>
      <c r="D93" s="385" t="s">
        <v>730</v>
      </c>
      <c r="E93" s="385">
        <f>100*2+61</f>
        <v>261</v>
      </c>
      <c r="F93" s="348">
        <f>9+2</f>
        <v>11</v>
      </c>
      <c r="G93">
        <f>+E93*F93</f>
        <v>2871</v>
      </c>
      <c r="H93" s="555">
        <f>+(E93*F93+E94*F94)/(SUM(F93:F94))</f>
        <v>268.72972972972974</v>
      </c>
      <c r="I93" s="417">
        <f>+'21'!L38</f>
        <v>40.940000000000012</v>
      </c>
    </row>
    <row r="94" spans="1:9">
      <c r="B94" s="415" t="s">
        <v>468</v>
      </c>
      <c r="C94">
        <v>1</v>
      </c>
      <c r="D94" s="385" t="s">
        <v>734</v>
      </c>
      <c r="E94" s="385">
        <f>98*2+61+15</f>
        <v>272</v>
      </c>
      <c r="F94" s="348">
        <f>13+13</f>
        <v>26</v>
      </c>
      <c r="G94">
        <f>+E94*F94</f>
        <v>7072</v>
      </c>
      <c r="H94" s="555"/>
      <c r="I94" s="417"/>
    </row>
    <row r="95" spans="1:9" ht="13.5" thickBot="1">
      <c r="A95" s="386"/>
      <c r="B95" s="416"/>
      <c r="C95" s="387"/>
      <c r="D95" s="388"/>
      <c r="E95" s="387"/>
      <c r="F95" s="387"/>
      <c r="G95" s="387"/>
      <c r="H95" s="418"/>
      <c r="I95" s="418"/>
    </row>
    <row r="96" spans="1:9">
      <c r="A96" s="550">
        <v>46013</v>
      </c>
      <c r="B96" s="415" t="s">
        <v>468</v>
      </c>
      <c r="C96">
        <v>1</v>
      </c>
      <c r="D96" s="385" t="s">
        <v>734</v>
      </c>
      <c r="E96" s="385">
        <f>98*2+61+15</f>
        <v>272</v>
      </c>
      <c r="F96" s="348">
        <f>17+16+17</f>
        <v>50</v>
      </c>
      <c r="G96">
        <f>+E96*F96</f>
        <v>13600</v>
      </c>
      <c r="H96" s="555">
        <f>+G96/F96</f>
        <v>272</v>
      </c>
      <c r="I96" s="417">
        <f>+'22'!I38</f>
        <v>76.346000000000004</v>
      </c>
    </row>
    <row r="97" spans="1:9">
      <c r="B97" s="415" t="s">
        <v>512</v>
      </c>
      <c r="C97">
        <v>1</v>
      </c>
      <c r="D97" s="385" t="s">
        <v>735</v>
      </c>
      <c r="E97" s="385">
        <f>45*6</f>
        <v>270</v>
      </c>
      <c r="F97" s="385">
        <v>6</v>
      </c>
      <c r="G97">
        <f>+E97*F97</f>
        <v>1620</v>
      </c>
      <c r="H97" s="555">
        <f>+(E97*F97+E98*F98)/(SUM(F97:F98))</f>
        <v>271.60000000000002</v>
      </c>
      <c r="I97" s="417" t="s">
        <v>331</v>
      </c>
    </row>
    <row r="98" spans="1:9">
      <c r="B98" s="415" t="s">
        <v>512</v>
      </c>
      <c r="C98">
        <v>1</v>
      </c>
      <c r="D98" s="385" t="s">
        <v>744</v>
      </c>
      <c r="E98" s="385">
        <f>22+50+100*2</f>
        <v>272</v>
      </c>
      <c r="F98" s="385">
        <f>10+12+2</f>
        <v>24</v>
      </c>
      <c r="G98">
        <f>+E98*F98</f>
        <v>6528</v>
      </c>
      <c r="H98" s="555"/>
      <c r="I98" s="417"/>
    </row>
    <row r="99" spans="1:9" ht="13.5" thickBot="1">
      <c r="A99" s="386"/>
      <c r="B99" s="416"/>
      <c r="C99" s="387"/>
      <c r="D99" s="388"/>
      <c r="E99" s="387"/>
      <c r="F99" s="387"/>
      <c r="G99" s="387"/>
      <c r="H99" s="418"/>
      <c r="I99" s="418"/>
    </row>
    <row r="100" spans="1:9">
      <c r="A100" s="611">
        <v>46014</v>
      </c>
      <c r="B100" s="612" t="s">
        <v>468</v>
      </c>
      <c r="C100" s="613">
        <v>1</v>
      </c>
      <c r="D100" s="614" t="s">
        <v>755</v>
      </c>
      <c r="E100" s="614">
        <f>15+98*2+61</f>
        <v>272</v>
      </c>
      <c r="F100" s="614">
        <v>8</v>
      </c>
      <c r="G100" s="613">
        <f>+E100*F100</f>
        <v>2176</v>
      </c>
      <c r="H100" s="615">
        <f>+G100/F100</f>
        <v>272</v>
      </c>
      <c r="I100" s="619">
        <f>+'23'!I38/2</f>
        <v>38.869</v>
      </c>
    </row>
    <row r="101" spans="1:9">
      <c r="A101" s="616"/>
      <c r="B101" s="415" t="s">
        <v>512</v>
      </c>
      <c r="C101">
        <v>1</v>
      </c>
      <c r="D101" s="385" t="s">
        <v>756</v>
      </c>
      <c r="E101">
        <f>60+72*2+60</f>
        <v>264</v>
      </c>
      <c r="F101">
        <f>5+8+7+8+5</f>
        <v>33</v>
      </c>
      <c r="G101">
        <f>+E101*F101</f>
        <v>8712</v>
      </c>
      <c r="H101" s="555">
        <f>+(E101*F101+E102*F102+F103*E103)/(SUM(F101:F103))</f>
        <v>267.94805194805195</v>
      </c>
      <c r="I101" s="417">
        <f>+I100</f>
        <v>38.869</v>
      </c>
    </row>
    <row r="102" spans="1:9">
      <c r="A102" s="616"/>
      <c r="B102" s="415" t="s">
        <v>512</v>
      </c>
      <c r="C102">
        <v>1</v>
      </c>
      <c r="D102" s="385" t="s">
        <v>757</v>
      </c>
      <c r="E102" s="385">
        <f>100*2+50+22</f>
        <v>272</v>
      </c>
      <c r="F102">
        <f>8+6+8+4+8+6</f>
        <v>40</v>
      </c>
      <c r="G102">
        <f>+E102*F102</f>
        <v>10880</v>
      </c>
      <c r="H102" s="555"/>
      <c r="I102" s="620"/>
    </row>
    <row r="103" spans="1:9">
      <c r="A103" s="616"/>
      <c r="B103" s="415" t="s">
        <v>512</v>
      </c>
      <c r="C103">
        <v>1</v>
      </c>
      <c r="D103" s="385" t="s">
        <v>758</v>
      </c>
      <c r="E103" s="385">
        <f>103*2+54</f>
        <v>260</v>
      </c>
      <c r="F103">
        <f>3+1</f>
        <v>4</v>
      </c>
      <c r="G103">
        <f>+E103*F103</f>
        <v>1040</v>
      </c>
      <c r="H103" s="555"/>
      <c r="I103" s="620"/>
    </row>
    <row r="104" spans="1:9" ht="13.5" thickBot="1">
      <c r="A104" s="617"/>
      <c r="B104" s="416"/>
      <c r="C104" s="387"/>
      <c r="D104" s="388"/>
      <c r="E104" s="388"/>
      <c r="F104" s="387"/>
      <c r="G104" s="387"/>
      <c r="H104" s="618"/>
      <c r="I104" s="386"/>
    </row>
    <row r="105" spans="1:9">
      <c r="A105" s="611">
        <v>46015</v>
      </c>
      <c r="B105" s="415" t="s">
        <v>512</v>
      </c>
      <c r="C105">
        <v>1</v>
      </c>
      <c r="D105" s="385" t="s">
        <v>767</v>
      </c>
      <c r="E105" s="385">
        <f>61*2+142</f>
        <v>264</v>
      </c>
      <c r="F105">
        <f>10+3+2</f>
        <v>15</v>
      </c>
      <c r="G105">
        <f>+E105*F105</f>
        <v>3960</v>
      </c>
      <c r="H105" s="555">
        <f>+(E105*F105+E106*F106+F107*E107+F108*E108)/(SUM(F105:F108))</f>
        <v>266.53164556962025</v>
      </c>
      <c r="I105" s="620">
        <f>+'24'!I38</f>
        <v>75.167000000000002</v>
      </c>
    </row>
    <row r="106" spans="1:9">
      <c r="A106" s="616"/>
      <c r="B106" s="415" t="s">
        <v>512</v>
      </c>
      <c r="C106">
        <v>1</v>
      </c>
      <c r="D106" s="385" t="s">
        <v>757</v>
      </c>
      <c r="E106" s="385">
        <f>100*2+50+22</f>
        <v>272</v>
      </c>
      <c r="F106">
        <f>8+5+8+5+8+4</f>
        <v>38</v>
      </c>
      <c r="G106">
        <f>+E106*F106</f>
        <v>10336</v>
      </c>
      <c r="H106" s="555"/>
      <c r="I106" s="620"/>
    </row>
    <row r="107" spans="1:9">
      <c r="A107" s="616"/>
      <c r="B107" s="415" t="s">
        <v>512</v>
      </c>
      <c r="C107">
        <v>1</v>
      </c>
      <c r="D107" s="385" t="s">
        <v>758</v>
      </c>
      <c r="E107" s="385">
        <f>103*2+54</f>
        <v>260</v>
      </c>
      <c r="F107">
        <f>10+5</f>
        <v>15</v>
      </c>
      <c r="G107">
        <f>+E107*F107</f>
        <v>3900</v>
      </c>
      <c r="H107" s="555"/>
      <c r="I107" s="620"/>
    </row>
    <row r="108" spans="1:9">
      <c r="A108" s="616"/>
      <c r="B108" s="415" t="s">
        <v>512</v>
      </c>
      <c r="C108">
        <v>1</v>
      </c>
      <c r="D108" s="385" t="s">
        <v>708</v>
      </c>
      <c r="E108" s="385">
        <f>130*2</f>
        <v>260</v>
      </c>
      <c r="F108">
        <v>11</v>
      </c>
      <c r="G108">
        <f>+E108*F108</f>
        <v>2860</v>
      </c>
      <c r="H108" s="555"/>
      <c r="I108" s="620"/>
    </row>
    <row r="109" spans="1:9" ht="13.5" thickBot="1">
      <c r="A109" s="617"/>
      <c r="B109" s="416"/>
      <c r="C109" s="387"/>
      <c r="D109" s="388"/>
      <c r="E109" s="388"/>
      <c r="F109" s="387"/>
      <c r="G109" s="387"/>
      <c r="H109" s="618"/>
      <c r="I109" s="386"/>
    </row>
    <row r="110" spans="1:9">
      <c r="A110" s="611">
        <v>46016</v>
      </c>
      <c r="B110" s="415" t="s">
        <v>512</v>
      </c>
      <c r="C110">
        <v>1</v>
      </c>
      <c r="D110" s="385" t="s">
        <v>767</v>
      </c>
      <c r="E110" s="385">
        <f>61*2+142</f>
        <v>264</v>
      </c>
      <c r="F110">
        <v>1</v>
      </c>
      <c r="G110">
        <f>+E110*F110</f>
        <v>264</v>
      </c>
      <c r="H110" s="555">
        <f>+(E110*F110+E111*F111+F112*E112)/(SUM(F110:F112))</f>
        <v>265.97333333333336</v>
      </c>
      <c r="I110" s="620">
        <f>+'25'!I38</f>
        <v>77.106000000000009</v>
      </c>
    </row>
    <row r="111" spans="1:9">
      <c r="A111" s="616"/>
      <c r="B111" s="415" t="s">
        <v>512</v>
      </c>
      <c r="C111">
        <v>1</v>
      </c>
      <c r="D111" s="385" t="s">
        <v>757</v>
      </c>
      <c r="E111" s="385">
        <f>100*2+50+22</f>
        <v>272</v>
      </c>
      <c r="F111">
        <f>8+5+8+5+8+3</f>
        <v>37</v>
      </c>
      <c r="G111">
        <f>+E111*F111</f>
        <v>10064</v>
      </c>
      <c r="H111" s="555"/>
      <c r="I111" s="620"/>
    </row>
    <row r="112" spans="1:9">
      <c r="A112" s="616"/>
      <c r="B112" s="415" t="s">
        <v>512</v>
      </c>
      <c r="C112">
        <v>1</v>
      </c>
      <c r="D112" s="385" t="s">
        <v>708</v>
      </c>
      <c r="E112" s="385">
        <f>130*2</f>
        <v>260</v>
      </c>
      <c r="F112">
        <f>12+14+11</f>
        <v>37</v>
      </c>
      <c r="G112">
        <f>+E112*F112</f>
        <v>9620</v>
      </c>
      <c r="H112" s="555"/>
      <c r="I112" s="620"/>
    </row>
    <row r="113" spans="1:9" ht="13.5" thickBot="1">
      <c r="A113" s="617"/>
      <c r="B113" s="416"/>
      <c r="C113" s="387"/>
      <c r="D113" s="388"/>
      <c r="E113" s="388"/>
      <c r="F113" s="387"/>
      <c r="G113" s="387"/>
      <c r="H113" s="618"/>
      <c r="I113" s="386"/>
    </row>
    <row r="114" spans="1:9">
      <c r="A114" s="611">
        <v>46017</v>
      </c>
      <c r="B114" s="415" t="s">
        <v>512</v>
      </c>
      <c r="C114">
        <v>1</v>
      </c>
      <c r="D114" s="385" t="s">
        <v>708</v>
      </c>
      <c r="E114" s="385">
        <f>130*2</f>
        <v>260</v>
      </c>
      <c r="F114">
        <v>4</v>
      </c>
      <c r="G114">
        <f>+E114*F114</f>
        <v>1040</v>
      </c>
      <c r="H114" s="555">
        <f>+E114</f>
        <v>260</v>
      </c>
      <c r="I114" s="620" t="s">
        <v>331</v>
      </c>
    </row>
    <row r="115" spans="1:9">
      <c r="B115" s="415" t="s">
        <v>782</v>
      </c>
      <c r="C115">
        <v>1</v>
      </c>
      <c r="D115" s="385" t="s">
        <v>519</v>
      </c>
      <c r="E115" s="385">
        <f t="shared" ref="E115:E123" si="1">42*2+61*3</f>
        <v>267</v>
      </c>
      <c r="F115">
        <v>78</v>
      </c>
      <c r="G115">
        <f>+E115*F115</f>
        <v>20826</v>
      </c>
      <c r="H115" s="555">
        <f>+E115</f>
        <v>267</v>
      </c>
      <c r="I115" s="620">
        <f>+'26'!L37</f>
        <v>64.707999999999998</v>
      </c>
    </row>
    <row r="116" spans="1:9">
      <c r="B116" s="415" t="s">
        <v>522</v>
      </c>
      <c r="C116">
        <v>1</v>
      </c>
      <c r="D116" s="385" t="s">
        <v>519</v>
      </c>
      <c r="E116" s="385">
        <f t="shared" si="1"/>
        <v>267</v>
      </c>
      <c r="F116">
        <v>0</v>
      </c>
      <c r="G116">
        <f>+E116*F116</f>
        <v>0</v>
      </c>
      <c r="H116" s="555">
        <f>+E116</f>
        <v>267</v>
      </c>
      <c r="I116" s="620">
        <f>+'26'!L38</f>
        <v>2.915</v>
      </c>
    </row>
    <row r="117" spans="1:9" ht="13.5" thickBot="1">
      <c r="A117" s="617"/>
      <c r="B117" s="416"/>
      <c r="C117" s="387"/>
      <c r="D117" s="388"/>
      <c r="E117" s="388"/>
      <c r="F117" s="387"/>
      <c r="G117" s="387"/>
      <c r="H117" s="618"/>
      <c r="I117" s="386"/>
    </row>
    <row r="118" spans="1:9">
      <c r="A118" s="611">
        <v>46018</v>
      </c>
      <c r="B118" s="415" t="s">
        <v>522</v>
      </c>
      <c r="C118">
        <v>1</v>
      </c>
      <c r="D118" s="385" t="s">
        <v>519</v>
      </c>
      <c r="E118" s="385">
        <f t="shared" si="1"/>
        <v>267</v>
      </c>
      <c r="F118">
        <v>66</v>
      </c>
      <c r="G118">
        <f>+E118*F118</f>
        <v>17622</v>
      </c>
      <c r="H118" s="555">
        <f>+G118/F118</f>
        <v>267</v>
      </c>
      <c r="I118" s="620">
        <f>+'27'!I38</f>
        <v>59.222999999999999</v>
      </c>
    </row>
    <row r="119" spans="1:9">
      <c r="B119" s="415" t="s">
        <v>512</v>
      </c>
      <c r="C119">
        <v>1</v>
      </c>
      <c r="D119" s="385" t="s">
        <v>519</v>
      </c>
      <c r="E119" s="385">
        <f t="shared" si="1"/>
        <v>267</v>
      </c>
      <c r="F119">
        <v>6</v>
      </c>
      <c r="G119">
        <f>+E119*F119</f>
        <v>1602</v>
      </c>
      <c r="H119" s="555">
        <f>+G119/F119</f>
        <v>267</v>
      </c>
      <c r="I119" s="620" t="s">
        <v>331</v>
      </c>
    </row>
    <row r="120" spans="1:9" ht="13.5" thickBot="1">
      <c r="A120" s="617"/>
      <c r="B120" s="416"/>
      <c r="C120" s="387"/>
      <c r="D120" s="388"/>
      <c r="E120" s="388"/>
      <c r="F120" s="387"/>
      <c r="G120" s="387"/>
      <c r="H120" s="618"/>
      <c r="I120" s="386"/>
    </row>
    <row r="121" spans="1:9">
      <c r="A121" s="611">
        <v>46019</v>
      </c>
      <c r="B121" s="415" t="s">
        <v>522</v>
      </c>
      <c r="C121">
        <v>1</v>
      </c>
      <c r="D121" s="385" t="s">
        <v>519</v>
      </c>
      <c r="E121" s="385">
        <f t="shared" si="1"/>
        <v>267</v>
      </c>
      <c r="F121">
        <f>166/2</f>
        <v>83</v>
      </c>
      <c r="G121">
        <f>+E121*F121</f>
        <v>22161</v>
      </c>
      <c r="H121" s="555">
        <f>+G121/F121</f>
        <v>267</v>
      </c>
      <c r="I121" s="620">
        <f>+'28'!I38</f>
        <v>62.563000000000002</v>
      </c>
    </row>
    <row r="122" spans="1:9" ht="13.5" thickBot="1">
      <c r="A122" s="617"/>
      <c r="B122" s="416"/>
      <c r="C122" s="387"/>
      <c r="D122" s="388"/>
      <c r="E122" s="388"/>
      <c r="F122" s="387"/>
      <c r="G122" s="387"/>
      <c r="H122" s="618"/>
      <c r="I122" s="386"/>
    </row>
    <row r="123" spans="1:9">
      <c r="A123" s="611">
        <v>46020</v>
      </c>
      <c r="B123" s="415" t="s">
        <v>522</v>
      </c>
      <c r="C123">
        <v>1</v>
      </c>
      <c r="D123" s="385" t="s">
        <v>519</v>
      </c>
      <c r="E123" s="385">
        <f t="shared" si="1"/>
        <v>267</v>
      </c>
      <c r="F123">
        <f>114/2</f>
        <v>57</v>
      </c>
      <c r="G123">
        <f>+E123*F123</f>
        <v>15219</v>
      </c>
      <c r="H123" s="555">
        <f>+G123/F123</f>
        <v>267</v>
      </c>
      <c r="I123" s="620">
        <f>+'29'!L37</f>
        <v>46.578999999999994</v>
      </c>
    </row>
    <row r="124" spans="1:9">
      <c r="B124" s="415" t="s">
        <v>512</v>
      </c>
      <c r="C124">
        <v>1</v>
      </c>
      <c r="D124" s="385" t="s">
        <v>803</v>
      </c>
      <c r="E124" s="385">
        <f>22+60*4</f>
        <v>262</v>
      </c>
      <c r="F124">
        <v>9</v>
      </c>
      <c r="G124">
        <f>+E124*F124</f>
        <v>2358</v>
      </c>
      <c r="H124" s="555">
        <f>+(E124*F124+E125*F125)/(SUM(F124:F125))</f>
        <v>267.5</v>
      </c>
      <c r="I124" s="620">
        <f>+'29'!L38</f>
        <v>26.530999999999999</v>
      </c>
    </row>
    <row r="125" spans="1:9">
      <c r="B125" s="415" t="s">
        <v>512</v>
      </c>
      <c r="C125">
        <v>1</v>
      </c>
      <c r="D125" s="385" t="s">
        <v>804</v>
      </c>
      <c r="E125" s="385">
        <f>90*2+17+75</f>
        <v>272</v>
      </c>
      <c r="F125">
        <v>11</v>
      </c>
      <c r="G125">
        <f>+E125*F125</f>
        <v>2992</v>
      </c>
      <c r="H125" s="555"/>
      <c r="I125" s="620"/>
    </row>
    <row r="126" spans="1:9" ht="13.5" thickBot="1">
      <c r="A126" s="617"/>
      <c r="B126" s="416"/>
      <c r="C126" s="387"/>
      <c r="D126" s="388"/>
      <c r="E126" s="388"/>
      <c r="F126" s="387"/>
      <c r="G126" s="387"/>
      <c r="H126" s="618"/>
      <c r="I126" s="386"/>
    </row>
    <row r="127" spans="1:9">
      <c r="A127" s="611">
        <v>46021</v>
      </c>
      <c r="B127" s="415" t="s">
        <v>512</v>
      </c>
      <c r="C127">
        <v>1</v>
      </c>
      <c r="D127" s="385" t="s">
        <v>804</v>
      </c>
      <c r="E127" s="385">
        <f>90*2+17+75</f>
        <v>272</v>
      </c>
      <c r="F127">
        <f>8+8+3+2+8+8+8+8+3+8+87+5+8+8+3+8+8+3</f>
        <v>194</v>
      </c>
      <c r="G127">
        <f>+E127*F127</f>
        <v>52768</v>
      </c>
      <c r="H127" s="555">
        <f>+G127/F127</f>
        <v>272</v>
      </c>
      <c r="I127" s="625">
        <f>+'30'!I38</f>
        <v>77.390999999999991</v>
      </c>
    </row>
    <row r="128" spans="1:9" ht="13.5" thickBot="1">
      <c r="A128" s="617"/>
      <c r="B128" s="416"/>
      <c r="C128" s="387"/>
      <c r="D128" s="388"/>
      <c r="E128" s="388"/>
      <c r="F128" s="387"/>
      <c r="G128" s="387"/>
      <c r="H128" s="618"/>
      <c r="I128" s="386"/>
    </row>
    <row r="129" spans="1:9">
      <c r="A129" s="611">
        <v>46387</v>
      </c>
      <c r="B129" s="415" t="s">
        <v>512</v>
      </c>
      <c r="C129">
        <v>1</v>
      </c>
      <c r="D129" s="385" t="s">
        <v>804</v>
      </c>
      <c r="E129" s="385">
        <f>90*2+17+75</f>
        <v>272</v>
      </c>
      <c r="F129">
        <f>37+29</f>
        <v>66</v>
      </c>
      <c r="G129">
        <f>+E129*F129</f>
        <v>17952</v>
      </c>
      <c r="H129" s="555">
        <f>+G129/F129</f>
        <v>272</v>
      </c>
      <c r="I129" s="625">
        <f>+'31'!L37</f>
        <v>39.665999999999997</v>
      </c>
    </row>
    <row r="130" spans="1:9">
      <c r="B130" s="415" t="s">
        <v>464</v>
      </c>
      <c r="C130">
        <v>1</v>
      </c>
      <c r="D130" s="385" t="s">
        <v>814</v>
      </c>
      <c r="E130" s="385">
        <f>128.5*2+15</f>
        <v>272</v>
      </c>
      <c r="F130">
        <f>6+37</f>
        <v>43</v>
      </c>
      <c r="G130">
        <f>+E130*F130</f>
        <v>11696</v>
      </c>
      <c r="H130" s="555">
        <f>+G130/F130</f>
        <v>272</v>
      </c>
      <c r="I130" s="625">
        <f>+'31'!L38</f>
        <v>26.072000000000003</v>
      </c>
    </row>
    <row r="131" spans="1:9" ht="13.5" thickBot="1">
      <c r="A131" s="617"/>
      <c r="B131" s="416"/>
      <c r="C131" s="387"/>
      <c r="D131" s="388"/>
      <c r="E131" s="388"/>
      <c r="F131" s="387"/>
      <c r="G131" s="387"/>
      <c r="H131" s="618"/>
      <c r="I131" s="386"/>
    </row>
  </sheetData>
  <phoneticPr fontId="33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86"/>
  <sheetViews>
    <sheetView zoomScale="90" zoomScaleNormal="90" workbookViewId="0">
      <pane xSplit="6" ySplit="6" topLeftCell="G136" activePane="bottomRight" state="frozen"/>
      <selection pane="topRight" activeCell="F1" sqref="F1"/>
      <selection pane="bottomLeft" activeCell="A7" sqref="A7"/>
      <selection pane="bottomRight" activeCell="K153" sqref="K153"/>
    </sheetView>
  </sheetViews>
  <sheetFormatPr defaultColWidth="10.28515625" defaultRowHeight="12"/>
  <cols>
    <col min="1" max="1" width="12.28515625" style="33" customWidth="1"/>
    <col min="2" max="3" width="14.140625" style="33" customWidth="1"/>
    <col min="4" max="4" width="10.28515625" style="33" customWidth="1"/>
    <col min="5" max="5" width="7.5703125" style="33" bestFit="1" customWidth="1"/>
    <col min="6" max="6" width="7" style="63" customWidth="1"/>
    <col min="7" max="9" width="10.28515625" style="33" customWidth="1"/>
    <col min="10" max="11" width="10.28515625" style="92" customWidth="1"/>
    <col min="12" max="13" width="12.7109375" style="64" customWidth="1"/>
    <col min="14" max="15" width="10.28515625" style="33" customWidth="1"/>
    <col min="16" max="16" width="16.85546875" style="33" bestFit="1" customWidth="1"/>
    <col min="17" max="17" width="12.7109375" style="352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6" width="10.28515625" style="622" customWidth="1"/>
    <col min="27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16384" width="10.28515625" style="33"/>
  </cols>
  <sheetData>
    <row r="1" spans="1:58" s="24" customFormat="1" ht="15.75">
      <c r="A1" s="23" t="s">
        <v>151</v>
      </c>
      <c r="G1" s="25"/>
      <c r="H1" s="25"/>
      <c r="I1" s="25"/>
      <c r="J1" s="89"/>
      <c r="K1" s="89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3"/>
      <c r="G2" s="25"/>
      <c r="H2" s="25"/>
      <c r="I2" s="25"/>
      <c r="J2" s="89"/>
      <c r="K2" s="89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876" t="s">
        <v>8</v>
      </c>
      <c r="B3" s="876" t="s">
        <v>9</v>
      </c>
      <c r="C3" s="876" t="s">
        <v>203</v>
      </c>
      <c r="D3" s="876" t="s">
        <v>93</v>
      </c>
      <c r="E3" s="876" t="s">
        <v>94</v>
      </c>
      <c r="F3" s="876" t="s">
        <v>95</v>
      </c>
      <c r="G3" s="929" t="s">
        <v>96</v>
      </c>
      <c r="H3" s="930"/>
      <c r="I3" s="930"/>
      <c r="J3" s="930"/>
      <c r="K3" s="931"/>
      <c r="L3" s="915" t="s">
        <v>97</v>
      </c>
      <c r="M3" s="916"/>
      <c r="N3" s="917"/>
      <c r="O3" s="921" t="s">
        <v>98</v>
      </c>
      <c r="P3" s="878" t="s">
        <v>110</v>
      </c>
      <c r="Q3" s="921" t="s">
        <v>99</v>
      </c>
      <c r="R3" s="880" t="s">
        <v>100</v>
      </c>
      <c r="S3" s="880" t="s">
        <v>101</v>
      </c>
      <c r="T3" s="876" t="s">
        <v>160</v>
      </c>
      <c r="U3" s="876" t="s">
        <v>159</v>
      </c>
      <c r="V3" s="876" t="s">
        <v>161</v>
      </c>
      <c r="W3" s="880" t="s">
        <v>145</v>
      </c>
      <c r="X3" s="905" t="s">
        <v>103</v>
      </c>
      <c r="Y3" s="905" t="s">
        <v>331</v>
      </c>
      <c r="Z3" s="880" t="s">
        <v>104</v>
      </c>
      <c r="AA3" s="876" t="s">
        <v>162</v>
      </c>
      <c r="AB3" s="876" t="s">
        <v>173</v>
      </c>
      <c r="AC3" s="876" t="s">
        <v>171</v>
      </c>
      <c r="AD3" s="876" t="s">
        <v>128</v>
      </c>
      <c r="AE3" s="898" t="s">
        <v>129</v>
      </c>
      <c r="AF3" s="901" t="s">
        <v>130</v>
      </c>
      <c r="AG3" s="901"/>
      <c r="AH3" s="901"/>
      <c r="AI3" s="901"/>
      <c r="AJ3" s="901"/>
      <c r="AK3" s="901"/>
      <c r="AL3" s="901"/>
      <c r="AM3" s="923" t="s">
        <v>131</v>
      </c>
      <c r="AN3" s="881" t="s">
        <v>105</v>
      </c>
      <c r="AO3" s="881"/>
      <c r="AP3" s="881"/>
      <c r="AQ3" s="881"/>
      <c r="AR3" s="881"/>
      <c r="AS3" s="882" t="s">
        <v>106</v>
      </c>
      <c r="AT3" s="884" t="s">
        <v>251</v>
      </c>
      <c r="AU3" s="885"/>
      <c r="AV3" s="888" t="s">
        <v>132</v>
      </c>
      <c r="AW3" s="889"/>
      <c r="AX3" s="890" t="s">
        <v>132</v>
      </c>
      <c r="AY3" s="891"/>
      <c r="AZ3" s="892" t="s">
        <v>337</v>
      </c>
      <c r="BA3" s="879" t="s">
        <v>107</v>
      </c>
      <c r="BB3" s="875" t="s">
        <v>108</v>
      </c>
      <c r="BC3" s="875" t="s">
        <v>109</v>
      </c>
      <c r="BD3" s="907" t="s">
        <v>414</v>
      </c>
      <c r="BE3" s="910" t="s">
        <v>415</v>
      </c>
      <c r="BF3" s="875" t="s">
        <v>416</v>
      </c>
    </row>
    <row r="4" spans="1:58" ht="12" customHeight="1">
      <c r="A4" s="897"/>
      <c r="B4" s="897"/>
      <c r="C4" s="897"/>
      <c r="D4" s="897"/>
      <c r="E4" s="897"/>
      <c r="F4" s="897"/>
      <c r="G4" s="932"/>
      <c r="H4" s="933"/>
      <c r="I4" s="933"/>
      <c r="J4" s="933"/>
      <c r="K4" s="934"/>
      <c r="L4" s="918"/>
      <c r="M4" s="919"/>
      <c r="N4" s="920"/>
      <c r="O4" s="922"/>
      <c r="P4" s="902"/>
      <c r="Q4" s="922"/>
      <c r="R4" s="904"/>
      <c r="S4" s="904"/>
      <c r="T4" s="897"/>
      <c r="U4" s="897"/>
      <c r="V4" s="897"/>
      <c r="W4" s="904"/>
      <c r="X4" s="906"/>
      <c r="Y4" s="906"/>
      <c r="Z4" s="904"/>
      <c r="AA4" s="897"/>
      <c r="AB4" s="897"/>
      <c r="AC4" s="897"/>
      <c r="AD4" s="897"/>
      <c r="AE4" s="899"/>
      <c r="AF4" s="926" t="s">
        <v>133</v>
      </c>
      <c r="AG4" s="927"/>
      <c r="AH4" s="928"/>
      <c r="AI4" s="902" t="s">
        <v>204</v>
      </c>
      <c r="AJ4" s="902" t="s">
        <v>15</v>
      </c>
      <c r="AK4" s="902" t="s">
        <v>134</v>
      </c>
      <c r="AL4" s="902" t="s">
        <v>18</v>
      </c>
      <c r="AM4" s="924"/>
      <c r="AN4" s="877" t="s">
        <v>111</v>
      </c>
      <c r="AO4" s="877" t="s">
        <v>15</v>
      </c>
      <c r="AP4" s="877" t="s">
        <v>112</v>
      </c>
      <c r="AQ4" s="877" t="s">
        <v>18</v>
      </c>
      <c r="AR4" s="879" t="s">
        <v>113</v>
      </c>
      <c r="AS4" s="882"/>
      <c r="AT4" s="886"/>
      <c r="AU4" s="887"/>
      <c r="AV4" s="526" t="s">
        <v>6</v>
      </c>
      <c r="AW4" s="526" t="s">
        <v>135</v>
      </c>
      <c r="AX4" s="527" t="s">
        <v>6</v>
      </c>
      <c r="AY4" s="528" t="s">
        <v>135</v>
      </c>
      <c r="AZ4" s="893"/>
      <c r="BA4" s="879"/>
      <c r="BB4" s="875"/>
      <c r="BC4" s="875"/>
      <c r="BD4" s="908"/>
      <c r="BE4" s="911"/>
      <c r="BF4" s="875"/>
    </row>
    <row r="5" spans="1:58" s="36" customFormat="1" ht="48">
      <c r="A5" s="897"/>
      <c r="B5" s="897"/>
      <c r="C5" s="900"/>
      <c r="D5" s="897"/>
      <c r="E5" s="897"/>
      <c r="F5" s="897"/>
      <c r="G5" s="31" t="s">
        <v>114</v>
      </c>
      <c r="H5" s="30" t="s">
        <v>115</v>
      </c>
      <c r="I5" s="34" t="s">
        <v>116</v>
      </c>
      <c r="J5" s="90" t="s">
        <v>117</v>
      </c>
      <c r="K5" s="90" t="s">
        <v>102</v>
      </c>
      <c r="L5" s="35" t="s">
        <v>118</v>
      </c>
      <c r="M5" s="35" t="s">
        <v>119</v>
      </c>
      <c r="N5" s="30" t="s">
        <v>120</v>
      </c>
      <c r="O5" s="922"/>
      <c r="P5" s="903"/>
      <c r="Q5" s="922"/>
      <c r="R5" s="904"/>
      <c r="S5" s="904"/>
      <c r="T5" s="897"/>
      <c r="U5" s="897"/>
      <c r="V5" s="897"/>
      <c r="W5" s="904"/>
      <c r="X5" s="906"/>
      <c r="Y5" s="914"/>
      <c r="Z5" s="904"/>
      <c r="AA5" s="897"/>
      <c r="AB5" s="900"/>
      <c r="AC5" s="897"/>
      <c r="AD5" s="900"/>
      <c r="AE5" s="899"/>
      <c r="AF5" s="460" t="s">
        <v>205</v>
      </c>
      <c r="AG5" s="459" t="s">
        <v>206</v>
      </c>
      <c r="AH5" s="459" t="s">
        <v>207</v>
      </c>
      <c r="AI5" s="903"/>
      <c r="AJ5" s="903"/>
      <c r="AK5" s="903"/>
      <c r="AL5" s="903"/>
      <c r="AM5" s="925"/>
      <c r="AN5" s="878"/>
      <c r="AO5" s="878"/>
      <c r="AP5" s="878"/>
      <c r="AQ5" s="878"/>
      <c r="AR5" s="880"/>
      <c r="AS5" s="883"/>
      <c r="AT5" s="517" t="s">
        <v>329</v>
      </c>
      <c r="AU5" s="517" t="s">
        <v>330</v>
      </c>
      <c r="AV5" s="529" t="s">
        <v>328</v>
      </c>
      <c r="AW5" s="529" t="s">
        <v>328</v>
      </c>
      <c r="AX5" s="527" t="s">
        <v>17</v>
      </c>
      <c r="AY5" s="527" t="s">
        <v>17</v>
      </c>
      <c r="AZ5" s="894"/>
      <c r="BA5" s="880"/>
      <c r="BB5" s="876"/>
      <c r="BC5" s="876"/>
      <c r="BD5" s="909"/>
      <c r="BE5" s="912"/>
      <c r="BF5" s="913"/>
    </row>
    <row r="6" spans="1:58" ht="12.95" customHeight="1">
      <c r="A6" s="346">
        <f>+Report1!A9</f>
        <v>45992</v>
      </c>
      <c r="B6" s="45" t="s">
        <v>7</v>
      </c>
      <c r="C6" s="452">
        <f>(M6*E6*O6*Q6)/100000000</f>
        <v>3.0573363599999999</v>
      </c>
      <c r="D6" s="45" t="s">
        <v>410</v>
      </c>
      <c r="E6" s="46">
        <v>13</v>
      </c>
      <c r="F6" s="46">
        <v>1</v>
      </c>
      <c r="G6" s="465">
        <v>1700</v>
      </c>
      <c r="H6" s="48">
        <v>0.24</v>
      </c>
      <c r="I6" s="49">
        <v>0.88</v>
      </c>
      <c r="J6" s="91">
        <f>E6*G6*(1-H6)*1440/1000000*2.77</f>
        <v>66.995884799999999</v>
      </c>
      <c r="K6" s="91">
        <f>(IF(G6&lt;L6,L6,G6)*(1-IF(H6&lt;N6,H6,N6))*E6*O6*Q6)/100000000</f>
        <v>3.3104916000000002</v>
      </c>
      <c r="L6" s="39">
        <v>1570</v>
      </c>
      <c r="M6" s="39">
        <f>+L6-L6*0.24</f>
        <v>1193.2</v>
      </c>
      <c r="N6" s="50">
        <f>1-(M6/L6)</f>
        <v>0.24</v>
      </c>
      <c r="O6" s="51">
        <f>+'Trim Rwd'!H4</f>
        <v>270</v>
      </c>
      <c r="P6" s="52">
        <f>O6*(Q6-R6-S6)</f>
        <v>18360</v>
      </c>
      <c r="Q6" s="51">
        <v>73</v>
      </c>
      <c r="R6" s="422">
        <v>0</v>
      </c>
      <c r="S6" s="422">
        <v>5</v>
      </c>
      <c r="T6" s="41">
        <f>E6*M6*O6*Q6/100000000</f>
        <v>3.0573363599999999</v>
      </c>
      <c r="U6" s="41">
        <f>E6*M6*O6*(Q6-R6-S6)/100000000</f>
        <v>2.84792976</v>
      </c>
      <c r="V6" s="41">
        <f>E6*G6*(1-N6)*O6/100*(R6+S6)/1000000</f>
        <v>0.226746</v>
      </c>
      <c r="W6" s="41">
        <f>+'1'!K7/1000</f>
        <v>3.7</v>
      </c>
      <c r="X6" s="419">
        <f>SUM(W6:W9)/SUM(K6:K9)</f>
        <v>0.57448452274845652</v>
      </c>
      <c r="Y6" s="223">
        <v>0</v>
      </c>
      <c r="Z6" s="41">
        <f>+'1'!D7/1000</f>
        <v>0.54800000000000004</v>
      </c>
      <c r="AA6" s="53">
        <f>SUM(U6:U9)-SUM(W6:W9)-SUM(Z6:Z9)-SUM(Y6:Y9)</f>
        <v>11.011636281000008</v>
      </c>
      <c r="AB6" s="53">
        <f>(SUM(K6:K9)-SUM(W6:W9)-SUM(Y6:Y9)-SUM(Z6:Z9)-SUM(AC6:AC9)-SUM(V6:V9))-AA6</f>
        <v>-0.76064309960000465</v>
      </c>
      <c r="AC6" s="41">
        <f>K6-T6</f>
        <v>0.25315524000000034</v>
      </c>
      <c r="AD6" s="41">
        <f>+AM6+BA6</f>
        <v>90</v>
      </c>
      <c r="AE6" s="241" t="s">
        <v>456</v>
      </c>
      <c r="AF6" s="41">
        <v>90</v>
      </c>
      <c r="AG6" s="41"/>
      <c r="AH6" s="41"/>
      <c r="AI6" s="461"/>
      <c r="AJ6" s="41"/>
      <c r="AK6" s="41"/>
      <c r="AL6" s="41"/>
      <c r="AM6" s="41">
        <f>SUM(AF6:AL6)+AT6+AV6+AX6</f>
        <v>90</v>
      </c>
      <c r="AN6" s="41"/>
      <c r="AO6" s="41"/>
      <c r="AP6" s="41"/>
      <c r="AQ6" s="41"/>
      <c r="AR6" s="41">
        <f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>+AR6+AS6+AU6+AW6+AY6+AZ6</f>
        <v>0</v>
      </c>
      <c r="BB6" s="37">
        <v>18</v>
      </c>
      <c r="BC6" s="55"/>
      <c r="BD6" s="55"/>
      <c r="BE6" s="37"/>
      <c r="BF6" s="55"/>
    </row>
    <row r="7" spans="1:58" ht="12.95" customHeight="1">
      <c r="A7" s="346"/>
      <c r="B7" s="45" t="s">
        <v>234</v>
      </c>
      <c r="C7" s="452">
        <f>(M7*E7*O7*Q7)/100000000</f>
        <v>59.513030797000006</v>
      </c>
      <c r="D7" s="45" t="s">
        <v>410</v>
      </c>
      <c r="E7" s="46">
        <v>15.5</v>
      </c>
      <c r="F7" s="46">
        <v>1</v>
      </c>
      <c r="G7" s="465">
        <v>1210</v>
      </c>
      <c r="H7" s="48">
        <v>0</v>
      </c>
      <c r="I7" s="49">
        <v>0.88</v>
      </c>
      <c r="J7" s="91">
        <f>E7*G7*(1-H7)*1440/1000000*2.77</f>
        <v>74.809944000000002</v>
      </c>
      <c r="K7" s="91">
        <f>(IF(G7&lt;L7,L7,G7)*(1-IF(H7&lt;N7,H7,N7))*E7*O7*Q7)/100000000</f>
        <v>65.694263800000002</v>
      </c>
      <c r="L7" s="39">
        <v>1100</v>
      </c>
      <c r="M7" s="39">
        <f>+L7-L7*0.0035</f>
        <v>1096.1500000000001</v>
      </c>
      <c r="N7" s="50">
        <f>1-(M7/L7)</f>
        <v>3.4999999999999476E-3</v>
      </c>
      <c r="O7" s="51">
        <f>+'Trim Rwd'!H5</f>
        <v>268</v>
      </c>
      <c r="P7" s="52">
        <f>O7*(Q7-R7-S7)</f>
        <v>307396</v>
      </c>
      <c r="Q7" s="51">
        <v>1307</v>
      </c>
      <c r="R7" s="422">
        <v>0</v>
      </c>
      <c r="S7" s="422">
        <v>160</v>
      </c>
      <c r="T7" s="41">
        <f>E7*M7*O7*Q7/100000000</f>
        <v>59.513030797000006</v>
      </c>
      <c r="U7" s="41">
        <f>E7*M7*O7*(Q7-R7-S7)/100000000</f>
        <v>52.22757943700001</v>
      </c>
      <c r="V7" s="41">
        <f>E7*G7*(1-N7)*O7/100*(R7+S7)/1000000</f>
        <v>8.0139964960000007</v>
      </c>
      <c r="W7" s="41">
        <f>+'1'!K8/1000</f>
        <v>37.814</v>
      </c>
      <c r="X7" s="42"/>
      <c r="Y7" s="223"/>
      <c r="Z7" s="41">
        <f>+('1'!D8+'1'!D16+'1'!D25)/1000</f>
        <v>4.806</v>
      </c>
      <c r="AA7" s="41"/>
      <c r="AB7" s="41"/>
      <c r="AC7" s="41">
        <f>K7-T7</f>
        <v>6.1812330029999956</v>
      </c>
      <c r="AD7" s="41">
        <f>+AM7+BA7</f>
        <v>3</v>
      </c>
      <c r="AE7" s="241" t="s">
        <v>445</v>
      </c>
      <c r="AF7" s="41"/>
      <c r="AG7" s="41">
        <v>3</v>
      </c>
      <c r="AH7" s="41"/>
      <c r="AI7" s="461"/>
      <c r="AJ7" s="41"/>
      <c r="AK7" s="41"/>
      <c r="AL7" s="41"/>
      <c r="AM7" s="41">
        <f>SUM(AF7:AL7)+AT7+AV7+AX7</f>
        <v>3</v>
      </c>
      <c r="AN7" s="92"/>
      <c r="AO7" s="41"/>
      <c r="AP7" s="41"/>
      <c r="AQ7" s="41"/>
      <c r="AR7" s="41">
        <f>SUM(AN7:AQ7)</f>
        <v>0</v>
      </c>
      <c r="AS7" s="41"/>
      <c r="AT7" s="41"/>
      <c r="AU7" s="41"/>
      <c r="AV7" s="41"/>
      <c r="AW7" s="41"/>
      <c r="AX7" s="41"/>
      <c r="AY7" s="41"/>
      <c r="AZ7" s="41"/>
      <c r="BA7" s="41">
        <f>+AR7+AS7+AU7+AW7+AY7+AZ7</f>
        <v>0</v>
      </c>
      <c r="BB7" s="54"/>
      <c r="BC7" s="55">
        <v>2</v>
      </c>
      <c r="BD7" s="55"/>
      <c r="BE7" s="54"/>
      <c r="BF7" s="55"/>
    </row>
    <row r="8" spans="1:58" ht="12.95" customHeight="1">
      <c r="A8" s="44"/>
      <c r="B8" s="45" t="s">
        <v>234</v>
      </c>
      <c r="C8" s="452">
        <f>(M8*E8*O8*Q8)/100000000</f>
        <v>2.9517127200000002</v>
      </c>
      <c r="D8" s="45" t="s">
        <v>455</v>
      </c>
      <c r="E8" s="46">
        <v>16.5</v>
      </c>
      <c r="F8" s="46">
        <v>1</v>
      </c>
      <c r="G8" s="465">
        <v>1210</v>
      </c>
      <c r="H8" s="48">
        <v>0</v>
      </c>
      <c r="I8" s="49">
        <v>0.88</v>
      </c>
      <c r="J8" s="91">
        <f>E8*G8*(1-H8)*1440/1000000*2.77</f>
        <v>79.636392000000001</v>
      </c>
      <c r="K8" s="91">
        <f>(IF(G8&lt;L8,L8,G8)*(1-IF(H8&lt;N8,H8,N8))*E8*O8*Q8)/100000000</f>
        <v>3.2582879999999999</v>
      </c>
      <c r="L8" s="39">
        <v>1100</v>
      </c>
      <c r="M8" s="39">
        <f>+L8-L8*0.0035</f>
        <v>1096.1500000000001</v>
      </c>
      <c r="N8" s="50">
        <f>1-(M8/L8)</f>
        <v>3.4999999999999476E-3</v>
      </c>
      <c r="O8" s="51">
        <f>+'Trim Rwd'!H6</f>
        <v>272</v>
      </c>
      <c r="P8" s="52">
        <f>O8*(Q8-R8-S8)</f>
        <v>15504</v>
      </c>
      <c r="Q8" s="51">
        <v>60</v>
      </c>
      <c r="R8" s="422">
        <v>0</v>
      </c>
      <c r="S8" s="422">
        <v>3</v>
      </c>
      <c r="T8" s="41">
        <f>E8*M8*O8*Q8/100000000</f>
        <v>2.9517127200000002</v>
      </c>
      <c r="U8" s="41">
        <f>E8*M8*O8*(Q8-R8-S8)/100000000</f>
        <v>2.8041270840000005</v>
      </c>
      <c r="V8" s="41">
        <f>E8*G8*(1-N8)*O8/100*(R8+S8)/1000000</f>
        <v>0.16234419959999999</v>
      </c>
      <c r="W8" s="41">
        <f>+'1'!K9/1000</f>
        <v>0</v>
      </c>
      <c r="X8" s="42"/>
      <c r="Y8" s="223"/>
      <c r="Z8" s="41"/>
      <c r="AA8" s="41"/>
      <c r="AB8" s="41"/>
      <c r="AC8" s="41">
        <f>K8-T8</f>
        <v>0.30657527999999967</v>
      </c>
      <c r="AD8" s="41">
        <f>+AM8+BA8</f>
        <v>25</v>
      </c>
      <c r="AE8" s="241" t="s">
        <v>457</v>
      </c>
      <c r="AF8" s="37"/>
      <c r="AG8" s="37"/>
      <c r="AH8" s="37">
        <v>25</v>
      </c>
      <c r="AJ8" s="41"/>
      <c r="AK8" s="41"/>
      <c r="AL8" s="41"/>
      <c r="AM8" s="41">
        <f>SUM(AF8:AL8)+AT8+AV8+AX8</f>
        <v>25</v>
      </c>
      <c r="AN8" s="41"/>
      <c r="AO8" s="41"/>
      <c r="AP8" s="41"/>
      <c r="AQ8" s="41"/>
      <c r="AR8" s="41">
        <f>SUM(AN8:AQ8)</f>
        <v>0</v>
      </c>
      <c r="AS8" s="41"/>
      <c r="AT8" s="41"/>
      <c r="AU8" s="41"/>
      <c r="AV8" s="41"/>
      <c r="AW8" s="41"/>
      <c r="AX8" s="41"/>
      <c r="AY8" s="41"/>
      <c r="AZ8" s="41"/>
      <c r="BA8" s="41">
        <f>+AR8+AS8+AU8+AW8+AY8+AZ8</f>
        <v>0</v>
      </c>
      <c r="BB8" s="37"/>
      <c r="BC8" s="57"/>
      <c r="BD8" s="57"/>
      <c r="BE8" s="37"/>
      <c r="BF8" s="57"/>
    </row>
    <row r="9" spans="1:58" ht="12.95" customHeight="1">
      <c r="A9" s="44"/>
      <c r="B9" s="45"/>
      <c r="C9" s="452"/>
      <c r="D9" s="45"/>
      <c r="E9" s="46"/>
      <c r="F9" s="46"/>
      <c r="G9" s="47"/>
      <c r="H9" s="48"/>
      <c r="I9" s="49"/>
      <c r="J9" s="91"/>
      <c r="K9" s="91"/>
      <c r="L9" s="39"/>
      <c r="M9" s="39"/>
      <c r="N9" s="50"/>
      <c r="O9" s="51"/>
      <c r="P9" s="52"/>
      <c r="Q9" s="38"/>
      <c r="R9" s="422"/>
      <c r="S9" s="422"/>
      <c r="T9" s="41"/>
      <c r="U9" s="41"/>
      <c r="V9" s="41"/>
      <c r="W9" s="41"/>
      <c r="X9" s="42"/>
      <c r="Y9" s="223"/>
      <c r="Z9" s="41"/>
      <c r="AA9" s="41"/>
      <c r="AB9" s="41"/>
      <c r="AC9" s="41"/>
      <c r="AD9" s="41">
        <f>+AM9+BA9</f>
        <v>50</v>
      </c>
      <c r="AE9" s="244" t="s">
        <v>420</v>
      </c>
      <c r="AF9" s="41"/>
      <c r="AG9" s="41"/>
      <c r="AH9" s="41"/>
      <c r="AI9" s="461">
        <v>50</v>
      </c>
      <c r="AJ9" s="41"/>
      <c r="AK9" s="41"/>
      <c r="AL9" s="41"/>
      <c r="AM9" s="41">
        <f>SUM(AF9:AL9)+AT9+AV9+AX9</f>
        <v>50</v>
      </c>
      <c r="AN9" s="41"/>
      <c r="AO9" s="41"/>
      <c r="AP9" s="41"/>
      <c r="AQ9" s="41"/>
      <c r="AR9" s="41">
        <f>SUM(AN9:AQ9)</f>
        <v>0</v>
      </c>
      <c r="AS9" s="41"/>
      <c r="AT9" s="41"/>
      <c r="AU9" s="41"/>
      <c r="AV9" s="41"/>
      <c r="AW9" s="41"/>
      <c r="AX9" s="41"/>
      <c r="AY9" s="41"/>
      <c r="AZ9" s="41"/>
      <c r="BA9" s="41">
        <f>+AR9+AS9+AU9+AW9+AY9+AZ9</f>
        <v>0</v>
      </c>
      <c r="BB9" s="37"/>
      <c r="BC9" s="57"/>
      <c r="BD9" s="57"/>
      <c r="BE9" s="37"/>
      <c r="BF9" s="57"/>
    </row>
    <row r="10" spans="1:58" ht="12.75" customHeight="1">
      <c r="A10" s="346"/>
      <c r="B10" s="45"/>
      <c r="C10" s="452"/>
      <c r="D10" s="45"/>
      <c r="E10" s="46"/>
      <c r="F10" s="46"/>
      <c r="G10" s="465"/>
      <c r="H10" s="48"/>
      <c r="I10" s="49"/>
      <c r="J10" s="91"/>
      <c r="K10" s="91"/>
      <c r="L10" s="39"/>
      <c r="M10" s="39"/>
      <c r="N10" s="50"/>
      <c r="O10" s="51"/>
      <c r="P10" s="52"/>
      <c r="Q10" s="51"/>
      <c r="R10" s="422"/>
      <c r="S10" s="422"/>
      <c r="T10" s="41"/>
      <c r="U10" s="41"/>
      <c r="V10" s="41"/>
      <c r="W10" s="41"/>
      <c r="X10" s="419"/>
      <c r="Y10" s="223"/>
      <c r="Z10" s="41"/>
      <c r="AA10" s="53"/>
      <c r="AB10" s="53"/>
      <c r="AC10" s="41"/>
      <c r="AD10" s="41"/>
      <c r="AE10" s="241"/>
      <c r="AF10" s="41"/>
      <c r="AG10" s="41"/>
      <c r="AH10" s="41"/>
      <c r="AI10" s="46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37"/>
      <c r="BC10" s="55"/>
      <c r="BD10" s="55"/>
      <c r="BE10" s="55"/>
      <c r="BF10" s="55"/>
    </row>
    <row r="11" spans="1:58" ht="12.95" customHeight="1">
      <c r="A11" s="346">
        <v>45993</v>
      </c>
      <c r="B11" s="45" t="s">
        <v>234</v>
      </c>
      <c r="C11" s="452">
        <f>(M11*E11*O11*Q11)/100000000</f>
        <v>73.193513899354855</v>
      </c>
      <c r="D11" s="45" t="s">
        <v>455</v>
      </c>
      <c r="E11" s="46">
        <v>16.5</v>
      </c>
      <c r="F11" s="46">
        <v>1</v>
      </c>
      <c r="G11" s="465">
        <v>1210</v>
      </c>
      <c r="H11" s="48">
        <v>0</v>
      </c>
      <c r="I11" s="49">
        <v>0.88</v>
      </c>
      <c r="J11" s="91">
        <f>E11*G11*(1-H11)*1440/1000000*2.77</f>
        <v>79.636392000000001</v>
      </c>
      <c r="K11" s="91">
        <f>(IF(G11&lt;L11,L11,G11)*(1-IF(H11&lt;N11,H11,N11))*E11*O11*Q11)/100000000</f>
        <v>80.795650064516138</v>
      </c>
      <c r="L11" s="39">
        <v>1100</v>
      </c>
      <c r="M11" s="39">
        <f>+L11-L11*0.0035</f>
        <v>1096.1500000000001</v>
      </c>
      <c r="N11" s="50">
        <f>1-(M11/L11)</f>
        <v>3.4999999999999476E-3</v>
      </c>
      <c r="O11" s="51">
        <f>+'Trim Rwd'!H8</f>
        <v>281.03225806451616</v>
      </c>
      <c r="P11" s="52">
        <f>O11*(Q11-R11-S11)</f>
        <v>361688.5161290323</v>
      </c>
      <c r="Q11" s="51">
        <v>1440</v>
      </c>
      <c r="R11" s="422">
        <v>63</v>
      </c>
      <c r="S11" s="422">
        <v>90</v>
      </c>
      <c r="T11" s="41">
        <f>E11*M11*O11*Q11/100000000</f>
        <v>73.193513899354855</v>
      </c>
      <c r="U11" s="41">
        <f>E11*M11*O11*(Q11-R11-S11)/100000000</f>
        <v>65.41670304754841</v>
      </c>
      <c r="V11" s="41">
        <f>E11*G11*(1-N11)*O11/100*(R11+S11)/1000000</f>
        <v>8.5544919369870982</v>
      </c>
      <c r="W11" s="41">
        <f>+'2'!K9/1000</f>
        <v>41.914999999999999</v>
      </c>
      <c r="X11" s="419">
        <f>SUM(W11:W14)/SUM(K11:K14)</f>
        <v>0.55551257975101964</v>
      </c>
      <c r="Y11" s="223">
        <v>0</v>
      </c>
      <c r="Z11" s="41">
        <f>+'2'!D7/1000</f>
        <v>1.079</v>
      </c>
      <c r="AA11" s="53">
        <f>SUM(U11:U14)-SUM(W11:W14)-SUM(Z11:Z14)-SUM(Y11:Y14)</f>
        <v>15.331703047548414</v>
      </c>
      <c r="AB11" s="53">
        <f>(SUM(K11:K14)-SUM(W11:W14)-SUM(Y11:Y14)-SUM(Z11:Z14)-SUM(AC11:AC14)-SUM(V11:V14))-AA11</f>
        <v>-0.77768108518065127</v>
      </c>
      <c r="AC11" s="41">
        <f>K11-T11</f>
        <v>7.6021361651612835</v>
      </c>
      <c r="AD11" s="41">
        <f>+AM11+BA11</f>
        <v>62</v>
      </c>
      <c r="AE11" s="241" t="s">
        <v>478</v>
      </c>
      <c r="AF11" s="41">
        <v>62</v>
      </c>
      <c r="AG11" s="41"/>
      <c r="AH11" s="41"/>
      <c r="AI11" s="461"/>
      <c r="AJ11" s="41"/>
      <c r="AK11" s="41"/>
      <c r="AL11" s="41"/>
      <c r="AM11" s="41">
        <f>SUM(AF11:AL11)+AT11+AV11+AX11</f>
        <v>62</v>
      </c>
      <c r="AN11" s="41"/>
      <c r="AO11" s="41"/>
      <c r="AP11" s="41"/>
      <c r="AQ11" s="41"/>
      <c r="AR11" s="41">
        <f>SUM(AN11:AQ11)</f>
        <v>0</v>
      </c>
      <c r="AS11" s="41"/>
      <c r="AT11" s="41"/>
      <c r="AU11" s="41"/>
      <c r="AV11" s="41"/>
      <c r="AW11" s="41"/>
      <c r="AX11" s="41"/>
      <c r="AY11" s="41"/>
      <c r="AZ11" s="41"/>
      <c r="BA11" s="41">
        <f>+AR11+AS11+AU11+AW11+AY11+AZ11</f>
        <v>0</v>
      </c>
      <c r="BB11" s="37">
        <v>12</v>
      </c>
      <c r="BC11" s="55"/>
      <c r="BD11" s="55"/>
      <c r="BE11" s="37"/>
      <c r="BF11" s="55"/>
    </row>
    <row r="12" spans="1:58" ht="12.95" customHeight="1">
      <c r="A12" s="346"/>
      <c r="B12" s="45" t="s">
        <v>234</v>
      </c>
      <c r="C12" s="452"/>
      <c r="D12" s="45"/>
      <c r="E12" s="46">
        <v>15.5</v>
      </c>
      <c r="F12" s="46"/>
      <c r="G12" s="465"/>
      <c r="H12" s="48"/>
      <c r="I12" s="49"/>
      <c r="J12" s="91"/>
      <c r="K12" s="91"/>
      <c r="L12" s="39"/>
      <c r="M12" s="39"/>
      <c r="N12" s="50"/>
      <c r="O12" s="51"/>
      <c r="P12" s="52"/>
      <c r="Q12" s="51"/>
      <c r="R12" s="422"/>
      <c r="S12" s="422"/>
      <c r="T12" s="41"/>
      <c r="U12" s="41"/>
      <c r="V12" s="41"/>
      <c r="W12" s="41">
        <f>+'2'!K8/1000</f>
        <v>2.968</v>
      </c>
      <c r="X12" s="42"/>
      <c r="Y12" s="223"/>
      <c r="Z12" s="41">
        <f>+('2'!D8+'2'!D16+'2'!D25)/1000</f>
        <v>4.1230000000000002</v>
      </c>
      <c r="AA12" s="41"/>
      <c r="AB12" s="41"/>
      <c r="AC12" s="41"/>
      <c r="AD12" s="41">
        <f>+AM12+BA12</f>
        <v>0</v>
      </c>
      <c r="AE12" s="241" t="s">
        <v>448</v>
      </c>
      <c r="AF12" s="41"/>
      <c r="AG12" s="41">
        <v>0</v>
      </c>
      <c r="AH12" s="41"/>
      <c r="AI12" s="461"/>
      <c r="AJ12" s="41"/>
      <c r="AK12" s="41"/>
      <c r="AL12" s="41"/>
      <c r="AM12" s="41">
        <f>SUM(AF12:AL12)+AT12+AV12+AX12</f>
        <v>0</v>
      </c>
      <c r="AN12" s="92"/>
      <c r="AO12" s="41"/>
      <c r="AP12" s="41"/>
      <c r="AQ12" s="41"/>
      <c r="AR12" s="41">
        <f>SUM(AN12:AQ12)</f>
        <v>0</v>
      </c>
      <c r="AS12" s="41"/>
      <c r="AT12" s="41"/>
      <c r="AU12" s="41"/>
      <c r="AV12" s="41"/>
      <c r="AW12" s="41"/>
      <c r="AX12" s="41"/>
      <c r="AY12" s="41"/>
      <c r="AZ12" s="41"/>
      <c r="BA12" s="41">
        <f>+AR12+AS12+AU12+AW12+AY12+AZ12</f>
        <v>0</v>
      </c>
      <c r="BB12" s="54"/>
      <c r="BC12" s="55">
        <v>0</v>
      </c>
      <c r="BD12" s="55"/>
      <c r="BE12" s="54"/>
      <c r="BF12" s="55"/>
    </row>
    <row r="13" spans="1:58" ht="12.95" customHeight="1">
      <c r="A13" s="44"/>
      <c r="B13" s="45"/>
      <c r="C13" s="452"/>
      <c r="D13" s="45"/>
      <c r="E13" s="46"/>
      <c r="F13" s="46"/>
      <c r="G13" s="465"/>
      <c r="H13" s="48"/>
      <c r="I13" s="49"/>
      <c r="J13" s="91"/>
      <c r="K13" s="91"/>
      <c r="L13" s="39"/>
      <c r="M13" s="39"/>
      <c r="N13" s="50"/>
      <c r="O13" s="51"/>
      <c r="P13" s="52"/>
      <c r="Q13" s="51"/>
      <c r="R13" s="422"/>
      <c r="S13" s="422"/>
      <c r="T13" s="41"/>
      <c r="U13" s="41"/>
      <c r="V13" s="41"/>
      <c r="W13" s="41"/>
      <c r="X13" s="42"/>
      <c r="Y13" s="223"/>
      <c r="Z13" s="41"/>
      <c r="AA13" s="41"/>
      <c r="AB13" s="41"/>
      <c r="AC13" s="41"/>
      <c r="AD13" s="41">
        <f>+AM13+BA13</f>
        <v>28</v>
      </c>
      <c r="AE13" s="241" t="s">
        <v>479</v>
      </c>
      <c r="AF13" s="37"/>
      <c r="AG13" s="37"/>
      <c r="AH13" s="37">
        <v>28</v>
      </c>
      <c r="AJ13" s="41"/>
      <c r="AK13" s="41"/>
      <c r="AL13" s="41"/>
      <c r="AM13" s="41">
        <f>SUM(AF13:AL13)+AT13+AV13+AX13</f>
        <v>28</v>
      </c>
      <c r="AN13" s="4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/>
      <c r="AZ13" s="41"/>
      <c r="BA13" s="41">
        <f>+AR13+AS13+AU13+AW13+AY13+AZ13</f>
        <v>0</v>
      </c>
      <c r="BB13" s="37"/>
      <c r="BC13" s="57"/>
      <c r="BD13" s="57"/>
      <c r="BE13" s="37"/>
      <c r="BF13" s="57"/>
    </row>
    <row r="14" spans="1:58" ht="12.95" customHeight="1">
      <c r="A14" s="44"/>
      <c r="B14" s="45"/>
      <c r="C14" s="452"/>
      <c r="D14" s="45"/>
      <c r="E14" s="46"/>
      <c r="F14" s="46"/>
      <c r="G14" s="47"/>
      <c r="H14" s="48"/>
      <c r="I14" s="49"/>
      <c r="J14" s="91"/>
      <c r="K14" s="91"/>
      <c r="L14" s="39"/>
      <c r="M14" s="39"/>
      <c r="N14" s="50"/>
      <c r="O14" s="51"/>
      <c r="P14" s="52"/>
      <c r="Q14" s="38"/>
      <c r="R14" s="422"/>
      <c r="S14" s="422"/>
      <c r="T14" s="41"/>
      <c r="U14" s="41"/>
      <c r="V14" s="41"/>
      <c r="W14" s="41"/>
      <c r="X14" s="42"/>
      <c r="Y14" s="223"/>
      <c r="Z14" s="41"/>
      <c r="AA14" s="41"/>
      <c r="AB14" s="41"/>
      <c r="AC14" s="41"/>
      <c r="AD14" s="41">
        <f>+AM14+BA14</f>
        <v>63</v>
      </c>
      <c r="AE14" s="574" t="s">
        <v>480</v>
      </c>
      <c r="AF14" s="41"/>
      <c r="AG14" s="41"/>
      <c r="AH14" s="41"/>
      <c r="AI14" s="461"/>
      <c r="AJ14" s="41"/>
      <c r="AK14" s="41"/>
      <c r="AL14" s="41"/>
      <c r="AM14" s="41">
        <f>SUM(AF14:AL14)+AT14+AV14+AX14</f>
        <v>0</v>
      </c>
      <c r="AN14" s="41"/>
      <c r="AO14" s="41"/>
      <c r="AP14" s="41"/>
      <c r="AQ14" s="41"/>
      <c r="AR14" s="41">
        <f>SUM(AN14:AQ14)</f>
        <v>0</v>
      </c>
      <c r="AS14" s="41"/>
      <c r="AT14" s="41"/>
      <c r="AU14" s="41"/>
      <c r="AV14" s="41"/>
      <c r="AW14" s="41"/>
      <c r="AX14" s="41"/>
      <c r="AY14" s="41">
        <v>63</v>
      </c>
      <c r="AZ14" s="41"/>
      <c r="BA14" s="41">
        <f>+AR14+AS14+AU14+AW14+AY14+AZ14</f>
        <v>63</v>
      </c>
      <c r="BB14" s="37"/>
      <c r="BC14" s="57"/>
      <c r="BD14" s="57"/>
      <c r="BE14" s="37">
        <v>1</v>
      </c>
      <c r="BF14" s="57"/>
    </row>
    <row r="15" spans="1:58" ht="12.95" customHeight="1">
      <c r="A15" s="346"/>
      <c r="B15" s="45"/>
      <c r="C15" s="452"/>
      <c r="D15" s="45"/>
      <c r="E15" s="46"/>
      <c r="F15" s="46"/>
      <c r="G15" s="465"/>
      <c r="H15" s="48"/>
      <c r="I15" s="49"/>
      <c r="J15" s="91"/>
      <c r="K15" s="91"/>
      <c r="L15" s="39"/>
      <c r="M15" s="39"/>
      <c r="N15" s="50"/>
      <c r="O15" s="51"/>
      <c r="P15" s="52"/>
      <c r="Q15" s="51"/>
      <c r="R15" s="422"/>
      <c r="S15" s="422"/>
      <c r="T15" s="41"/>
      <c r="U15" s="41"/>
      <c r="V15" s="41"/>
      <c r="W15" s="41"/>
      <c r="X15" s="419"/>
      <c r="Y15" s="223"/>
      <c r="Z15" s="41"/>
      <c r="AA15" s="53"/>
      <c r="AB15" s="53"/>
      <c r="AC15" s="41"/>
      <c r="AD15" s="41"/>
      <c r="AE15" s="241"/>
      <c r="AF15" s="41"/>
      <c r="AG15" s="41"/>
      <c r="AH15" s="41"/>
      <c r="AI15" s="46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37"/>
      <c r="BC15" s="55"/>
      <c r="BD15" s="55"/>
      <c r="BE15" s="55"/>
      <c r="BF15" s="55"/>
    </row>
    <row r="16" spans="1:58" ht="12.95" customHeight="1">
      <c r="A16" s="346">
        <v>45964</v>
      </c>
      <c r="B16" s="45" t="s">
        <v>234</v>
      </c>
      <c r="C16" s="452">
        <f>(M16*E16*O16*Q16)/100000000</f>
        <v>77.980046384842097</v>
      </c>
      <c r="D16" s="45" t="s">
        <v>455</v>
      </c>
      <c r="E16" s="46">
        <v>16.5</v>
      </c>
      <c r="F16" s="46">
        <v>1</v>
      </c>
      <c r="G16" s="465">
        <v>1210</v>
      </c>
      <c r="H16" s="48">
        <v>0</v>
      </c>
      <c r="I16" s="49">
        <v>0.88</v>
      </c>
      <c r="J16" s="91">
        <f>E16*G16*(1-H16)*1440/1000000*2.77</f>
        <v>79.636392000000001</v>
      </c>
      <c r="K16" s="91">
        <f>(IF(G16&lt;L16,L16,G16)*(1-IF(H16&lt;N16,H16,N16))*E16*O16*Q16)/100000000</f>
        <v>82.223855999999998</v>
      </c>
      <c r="L16" s="39">
        <v>1151.578947368421</v>
      </c>
      <c r="M16" s="39">
        <v>1147.5484210526315</v>
      </c>
      <c r="N16" s="50">
        <f>1-(M16/L16)</f>
        <v>3.5000000000000586E-3</v>
      </c>
      <c r="O16" s="51">
        <f>+'Trim Rwd'!H12</f>
        <v>286</v>
      </c>
      <c r="P16" s="52">
        <f>O16*(Q16-R16-S16)</f>
        <v>156728</v>
      </c>
      <c r="Q16" s="51">
        <v>1440</v>
      </c>
      <c r="R16" s="422">
        <f>805+65</f>
        <v>870</v>
      </c>
      <c r="S16" s="422">
        <v>22</v>
      </c>
      <c r="T16" s="41">
        <f>E16*M16*O16*Q16/100000000</f>
        <v>77.980046384842097</v>
      </c>
      <c r="U16" s="41">
        <f>E16*M16*O16*(Q16-R16-S16)/100000000</f>
        <v>29.675739874231578</v>
      </c>
      <c r="V16" s="41">
        <f>E16*G16*(1-N16)*O16/100*(R16+S16)/1000000</f>
        <v>50.754844912199992</v>
      </c>
      <c r="W16" s="41">
        <f>+'3'!K34/1000</f>
        <v>23.981000000000002</v>
      </c>
      <c r="X16" s="419">
        <f>SUM(W16:W19)/SUM(K16:K19)</f>
        <v>0.29165501554682627</v>
      </c>
      <c r="Y16" s="223">
        <v>0</v>
      </c>
      <c r="Z16" s="41">
        <f>+'3'!D34/1000</f>
        <v>1.5389999999999999</v>
      </c>
      <c r="AA16" s="53">
        <f>SUM(U16:U19)-SUM(W16:W19)-SUM(Z16:Z19)-SUM(Y16:Y19)</f>
        <v>4.1557398742315765</v>
      </c>
      <c r="AB16" s="53">
        <f>(SUM(K16:K19)-SUM(W16:W19)-SUM(Y16:Y19)-SUM(Z16:Z19)-SUM(AC16:AC19)-SUM(V16:V19))-AA16</f>
        <v>-2.4505384015894744</v>
      </c>
      <c r="AC16" s="41">
        <f>K16-T16</f>
        <v>4.2438096151579003</v>
      </c>
      <c r="AD16" s="41">
        <f>+AM16+BA16</f>
        <v>0</v>
      </c>
      <c r="AE16" s="241" t="s">
        <v>492</v>
      </c>
      <c r="AF16" s="41">
        <v>0</v>
      </c>
      <c r="AG16" s="41"/>
      <c r="AH16" s="41"/>
      <c r="AI16" s="461"/>
      <c r="AJ16" s="41"/>
      <c r="AK16" s="41"/>
      <c r="AL16" s="41"/>
      <c r="AM16" s="41">
        <f>SUM(AF16:AL16)+AT16+AV16+AX16</f>
        <v>0</v>
      </c>
      <c r="AN16" s="41"/>
      <c r="AO16" s="41"/>
      <c r="AP16" s="41"/>
      <c r="AQ16" s="41"/>
      <c r="AR16" s="41">
        <f>SUM(AN16:AQ16)</f>
        <v>0</v>
      </c>
      <c r="AS16" s="41"/>
      <c r="AT16" s="41"/>
      <c r="AU16" s="41"/>
      <c r="AV16" s="41"/>
      <c r="AW16" s="41"/>
      <c r="AX16" s="41"/>
      <c r="AY16" s="41"/>
      <c r="AZ16" s="41"/>
      <c r="BA16" s="41">
        <f>+AR16+AS16+AU16+AW16+AY16+AZ16</f>
        <v>0</v>
      </c>
      <c r="BB16" s="37">
        <v>0</v>
      </c>
      <c r="BC16" s="55"/>
      <c r="BD16" s="55"/>
      <c r="BE16" s="37"/>
      <c r="BF16" s="55"/>
    </row>
    <row r="17" spans="1:58" ht="12.95" customHeight="1">
      <c r="A17" s="346"/>
      <c r="B17" s="45"/>
      <c r="C17" s="452"/>
      <c r="D17" s="45"/>
      <c r="E17" s="46"/>
      <c r="F17" s="46"/>
      <c r="G17" s="465"/>
      <c r="H17" s="48"/>
      <c r="I17" s="49"/>
      <c r="J17" s="91"/>
      <c r="K17" s="91"/>
      <c r="L17" s="39"/>
      <c r="M17" s="39"/>
      <c r="N17" s="50"/>
      <c r="O17" s="51"/>
      <c r="P17" s="52"/>
      <c r="Q17" s="51"/>
      <c r="R17" s="422"/>
      <c r="S17" s="422"/>
      <c r="T17" s="41"/>
      <c r="U17" s="41"/>
      <c r="V17" s="41"/>
      <c r="W17" s="41"/>
      <c r="X17" s="42"/>
      <c r="Y17" s="223"/>
      <c r="Z17" s="41"/>
      <c r="AA17" s="41"/>
      <c r="AB17" s="41"/>
      <c r="AC17" s="41"/>
      <c r="AD17" s="41">
        <f>+AM17+BA17</f>
        <v>2</v>
      </c>
      <c r="AE17" s="241" t="s">
        <v>494</v>
      </c>
      <c r="AF17" s="41"/>
      <c r="AG17" s="41">
        <v>2</v>
      </c>
      <c r="AH17" s="41"/>
      <c r="AI17" s="461"/>
      <c r="AJ17" s="41"/>
      <c r="AK17" s="41"/>
      <c r="AL17" s="41"/>
      <c r="AM17" s="41">
        <f>SUM(AF17:AL17)+AT17+AV17+AX17</f>
        <v>2</v>
      </c>
      <c r="AN17" s="92"/>
      <c r="AO17" s="41"/>
      <c r="AP17" s="41"/>
      <c r="AQ17" s="41"/>
      <c r="AR17" s="41">
        <f>SUM(AN17:AQ17)</f>
        <v>0</v>
      </c>
      <c r="AS17" s="41"/>
      <c r="AT17" s="41"/>
      <c r="AU17" s="41"/>
      <c r="AV17" s="41"/>
      <c r="AW17" s="41"/>
      <c r="AX17" s="41"/>
      <c r="AY17" s="41"/>
      <c r="AZ17" s="41"/>
      <c r="BA17" s="41">
        <f>+AR17+AS17+AU17+AW17+AY17+AZ17</f>
        <v>0</v>
      </c>
      <c r="BB17" s="54"/>
      <c r="BC17" s="55">
        <v>0</v>
      </c>
      <c r="BD17" s="55"/>
      <c r="BE17" s="54"/>
      <c r="BF17" s="55"/>
    </row>
    <row r="18" spans="1:58" ht="12.95" customHeight="1">
      <c r="A18" s="44"/>
      <c r="B18" s="45"/>
      <c r="C18" s="452"/>
      <c r="D18" s="45"/>
      <c r="E18" s="46"/>
      <c r="F18" s="46"/>
      <c r="G18" s="465"/>
      <c r="H18" s="48"/>
      <c r="I18" s="49"/>
      <c r="J18" s="91"/>
      <c r="K18" s="91"/>
      <c r="L18" s="39"/>
      <c r="M18" s="39"/>
      <c r="N18" s="50"/>
      <c r="O18" s="51"/>
      <c r="P18" s="52"/>
      <c r="Q18" s="51"/>
      <c r="R18" s="422"/>
      <c r="S18" s="422"/>
      <c r="T18" s="41"/>
      <c r="U18" s="41"/>
      <c r="V18" s="41"/>
      <c r="W18" s="41"/>
      <c r="X18" s="42"/>
      <c r="Y18" s="223"/>
      <c r="Z18" s="41"/>
      <c r="AA18" s="41"/>
      <c r="AB18" s="41"/>
      <c r="AC18" s="41"/>
      <c r="AD18" s="41">
        <f>+AM18+BA18</f>
        <v>20</v>
      </c>
      <c r="AE18" s="241" t="s">
        <v>497</v>
      </c>
      <c r="AF18" s="37"/>
      <c r="AG18" s="37"/>
      <c r="AH18" s="37">
        <v>20</v>
      </c>
      <c r="AJ18" s="41"/>
      <c r="AK18" s="41"/>
      <c r="AL18" s="41"/>
      <c r="AM18" s="41">
        <f>SUM(AF18:AL18)+AT18+AV18+AX18</f>
        <v>20</v>
      </c>
      <c r="AN18" s="41"/>
      <c r="AO18" s="41"/>
      <c r="AP18" s="41"/>
      <c r="AQ18" s="41"/>
      <c r="AR18" s="41">
        <f>SUM(AN18:AQ18)</f>
        <v>0</v>
      </c>
      <c r="AS18" s="41"/>
      <c r="AT18" s="41"/>
      <c r="AU18" s="41"/>
      <c r="AV18" s="41"/>
      <c r="AW18" s="41"/>
      <c r="AX18" s="41"/>
      <c r="AY18" s="41"/>
      <c r="AZ18" s="41"/>
      <c r="BA18" s="41">
        <f>+AR18+AS18+AU18+AW18+AY18+AZ18</f>
        <v>0</v>
      </c>
      <c r="BB18" s="37"/>
      <c r="BC18" s="57"/>
      <c r="BD18" s="57"/>
      <c r="BE18" s="37"/>
      <c r="BF18" s="57"/>
    </row>
    <row r="19" spans="1:58" ht="12.95" customHeight="1">
      <c r="A19" s="44"/>
      <c r="B19" s="45"/>
      <c r="C19" s="452"/>
      <c r="D19" s="45"/>
      <c r="E19" s="46"/>
      <c r="F19" s="46"/>
      <c r="G19" s="47"/>
      <c r="H19" s="48"/>
      <c r="I19" s="49"/>
      <c r="J19" s="91"/>
      <c r="K19" s="91"/>
      <c r="L19" s="39"/>
      <c r="M19" s="39"/>
      <c r="N19" s="50"/>
      <c r="O19" s="51"/>
      <c r="P19" s="52"/>
      <c r="Q19" s="38"/>
      <c r="R19" s="422"/>
      <c r="S19" s="422"/>
      <c r="T19" s="41"/>
      <c r="U19" s="41"/>
      <c r="V19" s="41"/>
      <c r="W19" s="41"/>
      <c r="X19" s="42"/>
      <c r="Y19" s="223"/>
      <c r="Z19" s="41"/>
      <c r="AA19" s="41"/>
      <c r="AB19" s="41"/>
      <c r="AC19" s="41"/>
      <c r="AD19" s="41">
        <f>+AM19+BA19</f>
        <v>805</v>
      </c>
      <c r="AE19" s="244" t="s">
        <v>499</v>
      </c>
      <c r="AF19" s="41"/>
      <c r="AG19" s="41"/>
      <c r="AH19" s="41"/>
      <c r="AI19" s="461"/>
      <c r="AJ19" s="41"/>
      <c r="AK19" s="41"/>
      <c r="AL19" s="41"/>
      <c r="AM19" s="41">
        <f>SUM(AF19:AL19)+AT19+AV19+AX19</f>
        <v>0</v>
      </c>
      <c r="AN19" s="41"/>
      <c r="AO19" s="41"/>
      <c r="AP19" s="41"/>
      <c r="AQ19" s="41"/>
      <c r="AR19" s="41">
        <f>SUM(AN19:AQ19)</f>
        <v>0</v>
      </c>
      <c r="AS19" s="41">
        <v>805</v>
      </c>
      <c r="AT19" s="41"/>
      <c r="AU19" s="41"/>
      <c r="AV19" s="41"/>
      <c r="AW19" s="41"/>
      <c r="AX19" s="41"/>
      <c r="AY19" s="41"/>
      <c r="AZ19" s="41"/>
      <c r="BA19" s="41">
        <f>+AR19+AS19+AU19+AW19+AY19+AZ19</f>
        <v>805</v>
      </c>
      <c r="BB19" s="37"/>
      <c r="BC19" s="57"/>
      <c r="BD19" s="57"/>
      <c r="BE19" s="37"/>
      <c r="BF19" s="57"/>
    </row>
    <row r="20" spans="1:58" ht="12.95" customHeight="1">
      <c r="A20" s="346"/>
      <c r="B20" s="45"/>
      <c r="C20" s="452"/>
      <c r="D20" s="45"/>
      <c r="E20" s="46"/>
      <c r="F20" s="46"/>
      <c r="G20" s="465"/>
      <c r="H20" s="48"/>
      <c r="I20" s="49"/>
      <c r="J20" s="91"/>
      <c r="K20" s="91"/>
      <c r="L20" s="39"/>
      <c r="M20" s="39"/>
      <c r="N20" s="50"/>
      <c r="O20" s="51"/>
      <c r="P20" s="52"/>
      <c r="Q20" s="51"/>
      <c r="R20" s="422"/>
      <c r="S20" s="422"/>
      <c r="T20" s="41"/>
      <c r="U20" s="41"/>
      <c r="V20" s="41"/>
      <c r="W20" s="41"/>
      <c r="X20" s="419"/>
      <c r="Y20" s="223"/>
      <c r="Z20" s="41"/>
      <c r="AA20" s="53"/>
      <c r="AB20" s="53"/>
      <c r="AC20" s="41"/>
      <c r="AD20" s="41">
        <f>+AM20+BA20</f>
        <v>65</v>
      </c>
      <c r="AE20" s="244" t="s">
        <v>486</v>
      </c>
      <c r="AF20" s="41"/>
      <c r="AG20" s="41"/>
      <c r="AH20" s="41"/>
      <c r="AI20" s="461"/>
      <c r="AJ20" s="41"/>
      <c r="AK20" s="41"/>
      <c r="AL20" s="41"/>
      <c r="AM20" s="41">
        <f>SUM(AF20:AL20)+AT20+AV20+AX20</f>
        <v>0</v>
      </c>
      <c r="AN20" s="41"/>
      <c r="AO20" s="41"/>
      <c r="AP20" s="41">
        <v>65</v>
      </c>
      <c r="AQ20" s="41"/>
      <c r="AR20" s="41">
        <f>SUM(AN20:AQ20)</f>
        <v>65</v>
      </c>
      <c r="AS20" s="41"/>
      <c r="AT20" s="41"/>
      <c r="AU20" s="41"/>
      <c r="AV20" s="41"/>
      <c r="AW20" s="41"/>
      <c r="AX20" s="41"/>
      <c r="AY20" s="41"/>
      <c r="AZ20" s="41"/>
      <c r="BA20" s="41">
        <f>+AR20+AS20+AU20+AW20+AY20+AZ20</f>
        <v>65</v>
      </c>
      <c r="BB20" s="37"/>
      <c r="BC20" s="57"/>
      <c r="BD20" s="57"/>
      <c r="BE20" s="37"/>
      <c r="BF20" s="57"/>
    </row>
    <row r="21" spans="1:58" ht="12.95" customHeight="1">
      <c r="A21" s="346"/>
      <c r="B21" s="45"/>
      <c r="C21" s="452"/>
      <c r="D21" s="45"/>
      <c r="E21" s="46"/>
      <c r="F21" s="46"/>
      <c r="G21" s="465"/>
      <c r="H21" s="48"/>
      <c r="I21" s="49"/>
      <c r="J21" s="91"/>
      <c r="K21" s="91"/>
      <c r="L21" s="39"/>
      <c r="M21" s="39"/>
      <c r="N21" s="50"/>
      <c r="O21" s="51"/>
      <c r="P21" s="52"/>
      <c r="Q21" s="51"/>
      <c r="R21" s="422"/>
      <c r="S21" s="422"/>
      <c r="T21" s="41"/>
      <c r="U21" s="41"/>
      <c r="V21" s="41"/>
      <c r="W21" s="41"/>
      <c r="X21" s="419"/>
      <c r="Y21" s="223"/>
      <c r="Z21" s="41"/>
      <c r="AA21" s="53"/>
      <c r="AB21" s="53"/>
      <c r="AC21" s="41"/>
      <c r="AD21" s="41"/>
      <c r="AE21" s="241"/>
      <c r="AF21" s="41"/>
      <c r="AG21" s="41"/>
      <c r="AH21" s="41"/>
      <c r="AI21" s="46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37"/>
      <c r="BC21" s="55"/>
      <c r="BD21" s="55"/>
      <c r="BE21" s="37"/>
      <c r="BF21" s="55"/>
    </row>
    <row r="22" spans="1:58" ht="12.95" customHeight="1">
      <c r="A22" s="346">
        <v>45995</v>
      </c>
      <c r="B22" s="45" t="s">
        <v>234</v>
      </c>
      <c r="C22" s="452">
        <f>(M22*E22*O22*Q22)/100000000</f>
        <v>76.807258971428581</v>
      </c>
      <c r="D22" s="45" t="s">
        <v>455</v>
      </c>
      <c r="E22" s="46">
        <v>17</v>
      </c>
      <c r="F22" s="46">
        <v>1</v>
      </c>
      <c r="G22" s="465">
        <v>1210</v>
      </c>
      <c r="H22" s="48">
        <v>0</v>
      </c>
      <c r="I22" s="49">
        <v>0.88</v>
      </c>
      <c r="J22" s="91">
        <f>E22*G22*(1-H22)*1440/1000000*2.77</f>
        <v>82.049616</v>
      </c>
      <c r="K22" s="91">
        <f>(IF(G22&lt;L22,L22,G22)*(1-IF(H22&lt;N22,H22,N22))*E22*O22*Q22)/100000000</f>
        <v>77.719337142857157</v>
      </c>
      <c r="L22" s="39">
        <v>1200</v>
      </c>
      <c r="M22" s="39">
        <v>1195.8</v>
      </c>
      <c r="N22" s="50">
        <f>1-(M22/L22)</f>
        <v>3.5000000000000586E-3</v>
      </c>
      <c r="O22" s="51">
        <f>+'Trim Rwd'!H14</f>
        <v>262.38095238095241</v>
      </c>
      <c r="P22" s="52">
        <f>O22*(Q22-R22-S22)</f>
        <v>370744.28571428574</v>
      </c>
      <c r="Q22" s="51">
        <v>1440</v>
      </c>
      <c r="R22" s="422">
        <v>0</v>
      </c>
      <c r="S22" s="422">
        <v>27</v>
      </c>
      <c r="T22" s="41">
        <f>E22*M22*O22*Q22/100000000</f>
        <v>76.807258971428581</v>
      </c>
      <c r="U22" s="41">
        <f>E22*M22*O22*(Q22-R22-S22)/100000000</f>
        <v>75.367122865714293</v>
      </c>
      <c r="V22" s="41">
        <f>E22*G22*(1-N22)*O22/100*(R22+S22)/1000000</f>
        <v>1.4521372399285715</v>
      </c>
      <c r="W22" s="41">
        <f>+'4'!K34/1000</f>
        <v>70.632000000000005</v>
      </c>
      <c r="X22" s="419">
        <f>SUM(W22:W25)/SUM(K22:K25)</f>
        <v>0.90880857450148078</v>
      </c>
      <c r="Y22" s="223">
        <v>0</v>
      </c>
      <c r="Z22" s="41">
        <f>+'4'!D34/1000</f>
        <v>0.58899999999999997</v>
      </c>
      <c r="AA22" s="53">
        <f>SUM(U22:U25)-SUM(W22:W25)-SUM(Z22:Z25)-SUM(Y22:Y25)</f>
        <v>4.1461228657142879</v>
      </c>
      <c r="AB22" s="53">
        <f>(SUM(K22:K25)-SUM(W22:W25)-SUM(Y22:Y25)-SUM(Z22:Z25)-SUM(AC22:AC25)-SUM(V22:V25))-AA22</f>
        <v>-1.2001134214283837E-2</v>
      </c>
      <c r="AC22" s="41">
        <f>K22-T22</f>
        <v>0.9120781714285755</v>
      </c>
      <c r="AD22" s="41">
        <f>+AM22+BA22</f>
        <v>0</v>
      </c>
      <c r="AE22" s="241" t="s">
        <v>492</v>
      </c>
      <c r="AF22" s="41">
        <v>0</v>
      </c>
      <c r="AG22" s="41"/>
      <c r="AH22" s="41"/>
      <c r="AI22" s="461"/>
      <c r="AJ22" s="41"/>
      <c r="AK22" s="41"/>
      <c r="AL22" s="41"/>
      <c r="AM22" s="41">
        <f>SUM(AF22:AL22)+AT22+AV22+AX22</f>
        <v>0</v>
      </c>
      <c r="AN22" s="41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37">
        <v>0</v>
      </c>
      <c r="BC22" s="55"/>
      <c r="BD22" s="55"/>
      <c r="BE22" s="37"/>
      <c r="BF22" s="55"/>
    </row>
    <row r="23" spans="1:58" ht="12.95" customHeight="1">
      <c r="A23" s="346"/>
      <c r="B23" s="45"/>
      <c r="C23" s="452"/>
      <c r="D23" s="45"/>
      <c r="E23" s="46"/>
      <c r="F23" s="46"/>
      <c r="G23" s="465"/>
      <c r="H23" s="48"/>
      <c r="I23" s="49"/>
      <c r="J23" s="91"/>
      <c r="K23" s="91"/>
      <c r="L23" s="39"/>
      <c r="M23" s="39"/>
      <c r="N23" s="50"/>
      <c r="O23" s="51"/>
      <c r="P23" s="52"/>
      <c r="Q23" s="51"/>
      <c r="R23" s="422"/>
      <c r="S23" s="422"/>
      <c r="T23" s="41"/>
      <c r="U23" s="41"/>
      <c r="V23" s="41"/>
      <c r="W23" s="41"/>
      <c r="X23" s="42"/>
      <c r="Y23" s="223"/>
      <c r="Z23" s="41"/>
      <c r="AA23" s="41"/>
      <c r="AB23" s="41"/>
      <c r="AC23" s="41"/>
      <c r="AD23" s="41">
        <f>+AM23+BA23</f>
        <v>0</v>
      </c>
      <c r="AE23" s="241" t="s">
        <v>448</v>
      </c>
      <c r="AF23" s="41"/>
      <c r="AG23" s="41">
        <v>0</v>
      </c>
      <c r="AH23" s="41"/>
      <c r="AI23" s="461"/>
      <c r="AJ23" s="41"/>
      <c r="AK23" s="41"/>
      <c r="AL23" s="41"/>
      <c r="AM23" s="41">
        <f>SUM(AF23:AL23)+AT23+AV23+AX23</f>
        <v>0</v>
      </c>
      <c r="AN23" s="92"/>
      <c r="AO23" s="41"/>
      <c r="AP23" s="41"/>
      <c r="AQ23" s="41"/>
      <c r="AR23" s="41">
        <f>SUM(AN23:AQ23)</f>
        <v>0</v>
      </c>
      <c r="AS23" s="41"/>
      <c r="AT23" s="41"/>
      <c r="AU23" s="41"/>
      <c r="AV23" s="41"/>
      <c r="AW23" s="41"/>
      <c r="AX23" s="41"/>
      <c r="AY23" s="41"/>
      <c r="AZ23" s="41"/>
      <c r="BA23" s="41">
        <f>+AR23+AS23+AU23+AW23+AY23+AZ23</f>
        <v>0</v>
      </c>
      <c r="BB23" s="54"/>
      <c r="BC23" s="55">
        <v>0</v>
      </c>
      <c r="BD23" s="55"/>
      <c r="BE23" s="54"/>
      <c r="BF23" s="55"/>
    </row>
    <row r="24" spans="1:58" ht="12.95" customHeight="1">
      <c r="A24" s="44"/>
      <c r="B24" s="45"/>
      <c r="C24" s="452"/>
      <c r="D24" s="45"/>
      <c r="E24" s="46"/>
      <c r="F24" s="46"/>
      <c r="G24" s="465"/>
      <c r="H24" s="48"/>
      <c r="I24" s="49"/>
      <c r="J24" s="91"/>
      <c r="K24" s="91"/>
      <c r="L24" s="39"/>
      <c r="M24" s="39"/>
      <c r="N24" s="50"/>
      <c r="O24" s="51"/>
      <c r="P24" s="52"/>
      <c r="Q24" s="51"/>
      <c r="R24" s="422"/>
      <c r="S24" s="422"/>
      <c r="T24" s="41"/>
      <c r="U24" s="41"/>
      <c r="V24" s="41"/>
      <c r="W24" s="41"/>
      <c r="X24" s="42"/>
      <c r="Y24" s="223"/>
      <c r="Z24" s="41"/>
      <c r="AA24" s="41"/>
      <c r="AB24" s="41"/>
      <c r="AC24" s="41"/>
      <c r="AD24" s="41">
        <f>+AM24+BA24</f>
        <v>27</v>
      </c>
      <c r="AE24" s="241" t="s">
        <v>510</v>
      </c>
      <c r="AF24" s="37"/>
      <c r="AG24" s="37"/>
      <c r="AH24" s="37">
        <v>27</v>
      </c>
      <c r="AJ24" s="41"/>
      <c r="AK24" s="41"/>
      <c r="AL24" s="41"/>
      <c r="AM24" s="41">
        <f>SUM(AF24:AL24)+AT24+AV24+AX24</f>
        <v>27</v>
      </c>
      <c r="AN24" s="41"/>
      <c r="AO24" s="41"/>
      <c r="AP24" s="41"/>
      <c r="AQ24" s="41"/>
      <c r="AR24" s="41">
        <f>SUM(AN24:AQ24)</f>
        <v>0</v>
      </c>
      <c r="AS24" s="41"/>
      <c r="AT24" s="41"/>
      <c r="AU24" s="41"/>
      <c r="AV24" s="41"/>
      <c r="AW24" s="41"/>
      <c r="AX24" s="41"/>
      <c r="AY24" s="41"/>
      <c r="AZ24" s="41"/>
      <c r="BA24" s="41">
        <f>+AR24+AS24+AU24+AW24+AY24+AZ24</f>
        <v>0</v>
      </c>
      <c r="BB24" s="37"/>
      <c r="BC24" s="57"/>
      <c r="BD24" s="57"/>
      <c r="BE24" s="37"/>
      <c r="BF24" s="57"/>
    </row>
    <row r="25" spans="1:58" ht="12.95" customHeight="1">
      <c r="A25" s="44"/>
      <c r="B25" s="45"/>
      <c r="C25" s="452"/>
      <c r="D25" s="45"/>
      <c r="E25" s="46"/>
      <c r="F25" s="46"/>
      <c r="G25" s="47"/>
      <c r="H25" s="48"/>
      <c r="I25" s="49"/>
      <c r="J25" s="91"/>
      <c r="K25" s="91"/>
      <c r="L25" s="39"/>
      <c r="M25" s="39"/>
      <c r="N25" s="50"/>
      <c r="O25" s="51"/>
      <c r="P25" s="52"/>
      <c r="Q25" s="38"/>
      <c r="R25" s="422"/>
      <c r="S25" s="422"/>
      <c r="T25" s="41"/>
      <c r="U25" s="41"/>
      <c r="V25" s="41"/>
      <c r="W25" s="41"/>
      <c r="X25" s="42"/>
      <c r="Y25" s="223"/>
      <c r="Z25" s="41"/>
      <c r="AA25" s="41"/>
      <c r="AB25" s="41"/>
      <c r="AC25" s="41"/>
      <c r="AD25" s="41"/>
      <c r="AE25" s="244"/>
      <c r="AF25" s="41"/>
      <c r="AG25" s="41"/>
      <c r="AH25" s="41"/>
      <c r="AI25" s="46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37"/>
      <c r="BC25" s="57"/>
      <c r="BD25" s="57"/>
      <c r="BE25" s="37"/>
      <c r="BF25" s="57"/>
    </row>
    <row r="26" spans="1:58" ht="12.95" customHeight="1">
      <c r="A26" s="346">
        <v>46361</v>
      </c>
      <c r="B26" s="45" t="s">
        <v>234</v>
      </c>
      <c r="C26" s="452">
        <f>(M26*E26*O26*Q26)/100000000</f>
        <v>77.991207774874994</v>
      </c>
      <c r="D26" s="45" t="s">
        <v>455</v>
      </c>
      <c r="E26" s="46">
        <v>17</v>
      </c>
      <c r="F26" s="46">
        <v>1</v>
      </c>
      <c r="G26" s="465">
        <v>1210</v>
      </c>
      <c r="H26" s="48">
        <v>0</v>
      </c>
      <c r="I26" s="49">
        <v>0.88</v>
      </c>
      <c r="J26" s="91">
        <f>E26*G26*(1-H26)*1440/1000000*2.77</f>
        <v>82.049616</v>
      </c>
      <c r="K26" s="91">
        <f>(IF(G26&lt;L26,L26,G26)*(1-IF(H26&lt;N26,H26,N26))*E26*O26*Q26)/100000000</f>
        <v>78.265135749999999</v>
      </c>
      <c r="L26" s="39">
        <v>1230</v>
      </c>
      <c r="M26" s="39">
        <f>+L26-L26*0.0035</f>
        <v>1225.6949999999999</v>
      </c>
      <c r="N26" s="50">
        <f>1-(M26/L26)</f>
        <v>3.5000000000000586E-3</v>
      </c>
      <c r="O26" s="51">
        <f>+'Trim Rwd'!H17</f>
        <v>264.51960784313724</v>
      </c>
      <c r="P26" s="52">
        <f>O26*(Q26-R26-S26)</f>
        <v>366095.13725490193</v>
      </c>
      <c r="Q26" s="51">
        <v>1415</v>
      </c>
      <c r="R26" s="422">
        <v>0</v>
      </c>
      <c r="S26" s="422">
        <v>31</v>
      </c>
      <c r="T26" s="41">
        <f>E26*M26*O26*Q26/100000000</f>
        <v>77.991207774874994</v>
      </c>
      <c r="U26" s="41">
        <f>E26*M26*O26*(Q26-R26-S26)/100000000</f>
        <v>76.282566473799989</v>
      </c>
      <c r="V26" s="41">
        <f>E26*G26*(1-N26)*O26/100*(R26+S26)/1000000</f>
        <v>1.6808585156916664</v>
      </c>
      <c r="W26" s="41">
        <f>+'5'!K10/1000</f>
        <v>76.335999999999999</v>
      </c>
      <c r="X26" s="419">
        <f>SUM(W26:W29)/SUM(K26:K29)</f>
        <v>0.96078194782398096</v>
      </c>
      <c r="Y26" s="223">
        <v>0</v>
      </c>
      <c r="Z26" s="41">
        <f>+'5'!D34/1000</f>
        <v>1.014</v>
      </c>
      <c r="AA26" s="53">
        <f>SUM(U26:U29)-SUM(W26:W29)-SUM(Z26:Z29)-SUM(Y26:Y29)</f>
        <v>-0.35783683770001029</v>
      </c>
      <c r="AB26" s="53">
        <f>(SUM(K26:K29)-SUM(W26:W29)-SUM(Y26:Y29)-SUM(Z26:Z29)-SUM(AC26:AC29)-SUM(V26:V29))-AA26</f>
        <v>2.7782785383334341E-2</v>
      </c>
      <c r="AC26" s="41">
        <f>K26-T26</f>
        <v>0.27392797512500522</v>
      </c>
      <c r="AD26" s="41">
        <f>+AM26+BA26</f>
        <v>0</v>
      </c>
      <c r="AE26" s="241" t="s">
        <v>492</v>
      </c>
      <c r="AF26" s="41">
        <v>0</v>
      </c>
      <c r="AG26" s="41"/>
      <c r="AH26" s="41"/>
      <c r="AI26" s="461"/>
      <c r="AJ26" s="41"/>
      <c r="AK26" s="41"/>
      <c r="AL26" s="41"/>
      <c r="AM26" s="41">
        <f>SUM(AF26:AL26)+AT26+AV26+AX26</f>
        <v>0</v>
      </c>
      <c r="AN26" s="41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37">
        <v>0</v>
      </c>
      <c r="BC26" s="55"/>
      <c r="BD26" s="55"/>
      <c r="BE26" s="37"/>
      <c r="BF26" s="55"/>
    </row>
    <row r="27" spans="1:58" ht="12.95" customHeight="1">
      <c r="A27" s="346"/>
      <c r="B27" s="45" t="s">
        <v>234</v>
      </c>
      <c r="C27" s="452">
        <f>(M27*E27*O27*Q27)/100000000</f>
        <v>1.1826611475</v>
      </c>
      <c r="D27" s="45" t="s">
        <v>455</v>
      </c>
      <c r="E27" s="46">
        <v>14</v>
      </c>
      <c r="F27" s="46">
        <v>1</v>
      </c>
      <c r="G27" s="465">
        <v>1270</v>
      </c>
      <c r="H27" s="48">
        <v>0</v>
      </c>
      <c r="I27" s="49">
        <v>0.88</v>
      </c>
      <c r="J27" s="91">
        <f>E27*G27*(1-H27)*1440/1000000*2.77</f>
        <v>70.920864000000009</v>
      </c>
      <c r="K27" s="91">
        <f>(IF(G27&lt;L27,L27,G27)*(1-IF(H27&lt;N27,H27,N27))*E27*O27*Q27)/100000000</f>
        <v>1.186815</v>
      </c>
      <c r="L27" s="39">
        <v>1270</v>
      </c>
      <c r="M27" s="39">
        <f>+L27-L27*0.0035</f>
        <v>1265.5550000000001</v>
      </c>
      <c r="N27" s="50">
        <f>1-(M27/L27)</f>
        <v>3.4999999999999476E-3</v>
      </c>
      <c r="O27" s="51">
        <f>+'Trim Rwd'!H21</f>
        <v>267</v>
      </c>
      <c r="P27" s="52">
        <f>O27*(Q27-R27-S27)</f>
        <v>4005</v>
      </c>
      <c r="Q27" s="51">
        <v>25</v>
      </c>
      <c r="R27" s="422">
        <v>0</v>
      </c>
      <c r="S27" s="422">
        <v>10</v>
      </c>
      <c r="T27" s="41">
        <f>E27*M27*O27*Q27/100000000</f>
        <v>1.1826611475</v>
      </c>
      <c r="U27" s="41">
        <f>E27*M27*O27*(Q27-R27-S27)/100000000</f>
        <v>0.70959668849999991</v>
      </c>
      <c r="V27" s="41">
        <f>E27*G27*(1-N27)*O27/100*(R27+S27)/1000000</f>
        <v>0.47306445899999999</v>
      </c>
      <c r="W27" s="41">
        <f>+'5'!K11/1000</f>
        <v>0</v>
      </c>
      <c r="X27" s="42"/>
      <c r="Y27" s="223"/>
      <c r="Z27" s="41"/>
      <c r="AA27" s="41"/>
      <c r="AB27" s="41"/>
      <c r="AC27" s="41">
        <f>K27-T27</f>
        <v>4.1538524999999993E-3</v>
      </c>
      <c r="AD27" s="41">
        <f>+AM27+BA27</f>
        <v>0</v>
      </c>
      <c r="AE27" s="241" t="s">
        <v>448</v>
      </c>
      <c r="AF27" s="41"/>
      <c r="AG27" s="41">
        <v>0</v>
      </c>
      <c r="AH27" s="41"/>
      <c r="AI27" s="461"/>
      <c r="AJ27" s="41"/>
      <c r="AK27" s="41"/>
      <c r="AL27" s="41"/>
      <c r="AM27" s="41">
        <f>SUM(AF27:AL27)+AT27+AV27+AX27</f>
        <v>0</v>
      </c>
      <c r="AN27" s="92"/>
      <c r="AO27" s="41"/>
      <c r="AP27" s="41"/>
      <c r="AQ27" s="41"/>
      <c r="AR27" s="41">
        <f>SUM(AN27:AQ27)</f>
        <v>0</v>
      </c>
      <c r="AS27" s="41"/>
      <c r="AT27" s="41"/>
      <c r="AU27" s="41"/>
      <c r="AV27" s="41"/>
      <c r="AW27" s="41"/>
      <c r="AX27" s="41"/>
      <c r="AY27" s="41"/>
      <c r="AZ27" s="41"/>
      <c r="BA27" s="41">
        <f>+AR27+AS27+AU27+AW27+AY27+AZ27</f>
        <v>0</v>
      </c>
      <c r="BB27" s="54"/>
      <c r="BC27" s="55">
        <v>0</v>
      </c>
      <c r="BD27" s="55"/>
      <c r="BE27" s="54"/>
      <c r="BF27" s="55"/>
    </row>
    <row r="28" spans="1:58" ht="12.95" customHeight="1">
      <c r="A28" s="44"/>
      <c r="B28" s="45"/>
      <c r="C28" s="452"/>
      <c r="D28" s="45"/>
      <c r="E28" s="46"/>
      <c r="F28" s="46"/>
      <c r="G28" s="465"/>
      <c r="H28" s="48"/>
      <c r="I28" s="49"/>
      <c r="J28" s="91"/>
      <c r="K28" s="91"/>
      <c r="L28" s="39"/>
      <c r="M28" s="39"/>
      <c r="N28" s="50"/>
      <c r="O28" s="51"/>
      <c r="P28" s="52"/>
      <c r="Q28" s="51"/>
      <c r="R28" s="422"/>
      <c r="S28" s="422"/>
      <c r="T28" s="41"/>
      <c r="U28" s="41"/>
      <c r="V28" s="41"/>
      <c r="W28" s="41"/>
      <c r="X28" s="42"/>
      <c r="Y28" s="223"/>
      <c r="Z28" s="41"/>
      <c r="AA28" s="41"/>
      <c r="AB28" s="41"/>
      <c r="AC28" s="41"/>
      <c r="AD28" s="41">
        <f>+AM28+BA28</f>
        <v>31</v>
      </c>
      <c r="AE28" s="241" t="s">
        <v>457</v>
      </c>
      <c r="AF28" s="37"/>
      <c r="AG28" s="37"/>
      <c r="AH28" s="37">
        <v>31</v>
      </c>
      <c r="AJ28" s="41"/>
      <c r="AK28" s="41"/>
      <c r="AL28" s="41"/>
      <c r="AM28" s="41">
        <f>SUM(AF28:AL28)+AT28+AV28+AX28</f>
        <v>31</v>
      </c>
      <c r="AN28" s="41"/>
      <c r="AO28" s="41"/>
      <c r="AP28" s="41"/>
      <c r="AQ28" s="41"/>
      <c r="AR28" s="41">
        <f>SUM(AN28:AQ28)</f>
        <v>0</v>
      </c>
      <c r="AS28" s="41"/>
      <c r="AT28" s="41"/>
      <c r="AU28" s="41"/>
      <c r="AV28" s="41"/>
      <c r="AW28" s="41"/>
      <c r="AX28" s="41"/>
      <c r="AY28" s="41"/>
      <c r="AZ28" s="41"/>
      <c r="BA28" s="41">
        <f>+AR28+AS28+AU28+AW28+AY28+AZ28</f>
        <v>0</v>
      </c>
      <c r="BB28" s="37"/>
      <c r="BC28" s="57"/>
      <c r="BD28" s="57"/>
      <c r="BE28" s="37"/>
      <c r="BF28" s="57"/>
    </row>
    <row r="29" spans="1:58" ht="12.95" customHeight="1">
      <c r="A29" s="44"/>
      <c r="B29" s="45"/>
      <c r="C29" s="452"/>
      <c r="D29" s="45"/>
      <c r="E29" s="46"/>
      <c r="F29" s="46"/>
      <c r="G29" s="47"/>
      <c r="H29" s="48"/>
      <c r="I29" s="49"/>
      <c r="J29" s="91"/>
      <c r="K29" s="91"/>
      <c r="L29" s="39"/>
      <c r="M29" s="39"/>
      <c r="N29" s="50"/>
      <c r="O29" s="51"/>
      <c r="P29" s="52"/>
      <c r="Q29" s="38"/>
      <c r="R29" s="422"/>
      <c r="S29" s="422"/>
      <c r="T29" s="41"/>
      <c r="U29" s="41"/>
      <c r="V29" s="41"/>
      <c r="W29" s="41"/>
      <c r="X29" s="42"/>
      <c r="Y29" s="223"/>
      <c r="Z29" s="41"/>
      <c r="AA29" s="41"/>
      <c r="AB29" s="41"/>
      <c r="AC29" s="41"/>
      <c r="AD29" s="41">
        <f>+AM29+BA29</f>
        <v>10</v>
      </c>
      <c r="AE29" s="241" t="s">
        <v>420</v>
      </c>
      <c r="AF29" s="41"/>
      <c r="AG29" s="41"/>
      <c r="AH29" s="41"/>
      <c r="AI29" s="461">
        <v>10</v>
      </c>
      <c r="AJ29" s="41"/>
      <c r="AK29" s="41"/>
      <c r="AL29" s="41"/>
      <c r="AM29" s="41">
        <f>SUM(AF29:AL29)+AT29+AV29+AX29</f>
        <v>10</v>
      </c>
      <c r="AN29" s="41"/>
      <c r="AO29" s="41"/>
      <c r="AP29" s="41"/>
      <c r="AQ29" s="41"/>
      <c r="AR29" s="41">
        <f>SUM(AN29:AQ29)</f>
        <v>0</v>
      </c>
      <c r="AS29" s="41"/>
      <c r="AT29" s="41"/>
      <c r="AU29" s="41"/>
      <c r="AV29" s="41"/>
      <c r="AW29" s="41"/>
      <c r="AX29" s="41"/>
      <c r="AY29" s="41"/>
      <c r="AZ29" s="41"/>
      <c r="BA29" s="41">
        <f>+AR29+AS29+AU29+AW29+AY29+AZ29</f>
        <v>0</v>
      </c>
      <c r="BB29" s="37"/>
      <c r="BC29" s="57"/>
      <c r="BD29" s="57"/>
      <c r="BE29" s="37"/>
      <c r="BF29" s="57"/>
    </row>
    <row r="30" spans="1:58" ht="12.95" customHeight="1">
      <c r="A30" s="346"/>
      <c r="B30" s="45"/>
      <c r="C30" s="452"/>
      <c r="D30" s="45"/>
      <c r="E30" s="46"/>
      <c r="F30" s="46"/>
      <c r="G30" s="465"/>
      <c r="H30" s="48"/>
      <c r="I30" s="49"/>
      <c r="J30" s="91"/>
      <c r="K30" s="91"/>
      <c r="L30" s="39"/>
      <c r="M30" s="39"/>
      <c r="N30" s="50"/>
      <c r="O30" s="51"/>
      <c r="P30" s="52"/>
      <c r="Q30" s="51"/>
      <c r="R30" s="422"/>
      <c r="S30" s="422"/>
      <c r="T30" s="41"/>
      <c r="U30" s="41"/>
      <c r="V30" s="41"/>
      <c r="W30" s="41"/>
      <c r="X30" s="419"/>
      <c r="Y30" s="223"/>
      <c r="Z30" s="41"/>
      <c r="AA30" s="53"/>
      <c r="AB30" s="53"/>
      <c r="AC30" s="41"/>
      <c r="AD30" s="41"/>
      <c r="AE30" s="241"/>
      <c r="AF30" s="41"/>
      <c r="AG30" s="41"/>
      <c r="AH30" s="41"/>
      <c r="AI30" s="46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37"/>
      <c r="BC30" s="55"/>
      <c r="BD30" s="55"/>
      <c r="BE30" s="37"/>
      <c r="BF30" s="55"/>
    </row>
    <row r="31" spans="1:58" ht="12.95" customHeight="1">
      <c r="A31" s="346">
        <v>46362</v>
      </c>
      <c r="B31" s="45" t="s">
        <v>234</v>
      </c>
      <c r="C31" s="452">
        <f>(M31*E31*O31*Q31)/100000000</f>
        <v>68.121282095999987</v>
      </c>
      <c r="D31" s="45" t="s">
        <v>455</v>
      </c>
      <c r="E31" s="46">
        <v>14</v>
      </c>
      <c r="F31" s="46">
        <v>1</v>
      </c>
      <c r="G31" s="465">
        <v>1270</v>
      </c>
      <c r="H31" s="48">
        <v>0</v>
      </c>
      <c r="I31" s="49">
        <v>0.88</v>
      </c>
      <c r="J31" s="91">
        <f>E31*G31*(1-H31)*1440/1000000*2.77</f>
        <v>70.920864000000009</v>
      </c>
      <c r="K31" s="91">
        <f>(IF(G31&lt;L31,L31,G31)*(1-IF(H31&lt;N31,H31,N31))*E31*O31*Q31)/100000000</f>
        <v>68.360544000000004</v>
      </c>
      <c r="L31" s="39">
        <v>1270</v>
      </c>
      <c r="M31" s="39">
        <f>+L31-L31*0.0035</f>
        <v>1265.5550000000001</v>
      </c>
      <c r="N31" s="50">
        <f>1-(M31/L31)</f>
        <v>3.4999999999999476E-3</v>
      </c>
      <c r="O31" s="51">
        <f>+'Trim Rwd'!H25</f>
        <v>267</v>
      </c>
      <c r="P31" s="52">
        <f>O31*(Q31-R31-S31)</f>
        <v>379407</v>
      </c>
      <c r="Q31" s="51">
        <v>1440</v>
      </c>
      <c r="R31" s="422">
        <v>0</v>
      </c>
      <c r="S31" s="422">
        <v>19</v>
      </c>
      <c r="T31" s="41">
        <f>E31*M31*O31*Q31/100000000</f>
        <v>68.121282095999987</v>
      </c>
      <c r="U31" s="41">
        <f>E31*M31*O31*(Q31-R31-S31)/100000000</f>
        <v>67.222459623899994</v>
      </c>
      <c r="V31" s="41">
        <f>E31*G31*(1-N31)*O31/100*(R31+S31)/1000000</f>
        <v>0.89882247209999999</v>
      </c>
      <c r="W31" s="41">
        <f>+'6'!K11/1000</f>
        <v>50.54</v>
      </c>
      <c r="X31" s="419">
        <f>SUM(W31:W34)/SUM(K31:K34)</f>
        <v>1.0548482469653839</v>
      </c>
      <c r="Y31" s="223">
        <v>0</v>
      </c>
      <c r="Z31" s="41">
        <f>+'6'!D7/1000</f>
        <v>0.65300000000000002</v>
      </c>
      <c r="AA31" s="53">
        <f>SUM(U31:U34)-SUM(W31:W34)-SUM(Z31:Z34)-SUM(Y31:Y34)</f>
        <v>-5.6555403761000056</v>
      </c>
      <c r="AB31" s="53">
        <f>(SUM(K31:K34)-SUM(W31:W34)-SUM(Y31:Y34)-SUM(Z31:Z34)-SUM(AC31:AC34)-SUM(V31:V34))-AA31</f>
        <v>0</v>
      </c>
      <c r="AC31" s="41">
        <f>K31-T31</f>
        <v>0.23926190400001701</v>
      </c>
      <c r="AD31" s="41">
        <f>+AM31+BA31</f>
        <v>0</v>
      </c>
      <c r="AE31" s="241" t="s">
        <v>492</v>
      </c>
      <c r="AF31" s="41">
        <v>0</v>
      </c>
      <c r="AG31" s="41"/>
      <c r="AH31" s="41"/>
      <c r="AI31" s="461"/>
      <c r="AJ31" s="41"/>
      <c r="AK31" s="41"/>
      <c r="AL31" s="41"/>
      <c r="AM31" s="41">
        <f>SUM(AF31:AL31)+AT31+AV31+AX31</f>
        <v>0</v>
      </c>
      <c r="AN31" s="41"/>
      <c r="AO31" s="41"/>
      <c r="AP31" s="41"/>
      <c r="AQ31" s="41"/>
      <c r="AR31" s="41">
        <f>SUM(AN31:AQ31)</f>
        <v>0</v>
      </c>
      <c r="AS31" s="41"/>
      <c r="AT31" s="41"/>
      <c r="AU31" s="41"/>
      <c r="AV31" s="41"/>
      <c r="AW31" s="41"/>
      <c r="AX31" s="41"/>
      <c r="AY31" s="41"/>
      <c r="AZ31" s="41"/>
      <c r="BA31" s="41">
        <f>+AR31+AS31+AU31+AW31+AY31+AZ31</f>
        <v>0</v>
      </c>
      <c r="BB31" s="37">
        <v>0</v>
      </c>
      <c r="BC31" s="55"/>
      <c r="BD31" s="55"/>
      <c r="BE31" s="37"/>
      <c r="BF31" s="55"/>
    </row>
    <row r="32" spans="1:58" ht="12.95" customHeight="1">
      <c r="A32" s="346"/>
      <c r="B32" s="45" t="s">
        <v>234</v>
      </c>
      <c r="C32" s="452"/>
      <c r="D32" s="45"/>
      <c r="E32" s="46">
        <v>17</v>
      </c>
      <c r="F32" s="46"/>
      <c r="G32" s="465"/>
      <c r="H32" s="48"/>
      <c r="I32" s="49"/>
      <c r="J32" s="91"/>
      <c r="K32" s="91"/>
      <c r="L32" s="39"/>
      <c r="M32" s="39"/>
      <c r="N32" s="50"/>
      <c r="O32" s="51"/>
      <c r="P32" s="52"/>
      <c r="Q32" s="51"/>
      <c r="R32" s="422"/>
      <c r="S32" s="422"/>
      <c r="T32" s="41"/>
      <c r="U32" s="41"/>
      <c r="V32" s="41"/>
      <c r="W32" s="41">
        <f>+'6'!K10/1000</f>
        <v>21.57</v>
      </c>
      <c r="X32" s="42"/>
      <c r="Y32" s="223"/>
      <c r="Z32" s="41">
        <f>+'6'!D16/1000</f>
        <v>0.115</v>
      </c>
      <c r="AA32" s="41"/>
      <c r="AB32" s="41"/>
      <c r="AC32" s="41"/>
      <c r="AD32" s="41">
        <f>+AM32+BA32</f>
        <v>0</v>
      </c>
      <c r="AE32" s="241" t="s">
        <v>448</v>
      </c>
      <c r="AF32" s="41"/>
      <c r="AG32" s="41">
        <v>0</v>
      </c>
      <c r="AH32" s="41"/>
      <c r="AI32" s="461"/>
      <c r="AJ32" s="41"/>
      <c r="AK32" s="41"/>
      <c r="AL32" s="41"/>
      <c r="AM32" s="41">
        <f>SUM(AF32:AL32)+AT32+AV32+AX32</f>
        <v>0</v>
      </c>
      <c r="AN32" s="92"/>
      <c r="AO32" s="41"/>
      <c r="AP32" s="41"/>
      <c r="AQ32" s="41"/>
      <c r="AR32" s="41">
        <f>SUM(AN32:AQ32)</f>
        <v>0</v>
      </c>
      <c r="AS32" s="41"/>
      <c r="AT32" s="41"/>
      <c r="AU32" s="41"/>
      <c r="AV32" s="41"/>
      <c r="AW32" s="41"/>
      <c r="AX32" s="41"/>
      <c r="AY32" s="41"/>
      <c r="AZ32" s="41"/>
      <c r="BA32" s="41">
        <f>+AR32+AS32+AU32+AW32+AY32+AZ32</f>
        <v>0</v>
      </c>
      <c r="BB32" s="54"/>
      <c r="BC32" s="55">
        <v>0</v>
      </c>
      <c r="BD32" s="55"/>
      <c r="BE32" s="54"/>
      <c r="BF32" s="55"/>
    </row>
    <row r="33" spans="1:58" ht="12.95" customHeight="1">
      <c r="A33" s="44"/>
      <c r="B33" s="45"/>
      <c r="C33" s="452"/>
      <c r="D33" s="45"/>
      <c r="E33" s="46"/>
      <c r="F33" s="46"/>
      <c r="G33" s="465"/>
      <c r="H33" s="48"/>
      <c r="I33" s="49"/>
      <c r="J33" s="91"/>
      <c r="K33" s="91"/>
      <c r="L33" s="39"/>
      <c r="M33" s="39"/>
      <c r="N33" s="50"/>
      <c r="O33" s="51"/>
      <c r="P33" s="52"/>
      <c r="Q33" s="51"/>
      <c r="R33" s="422"/>
      <c r="S33" s="422"/>
      <c r="T33" s="41"/>
      <c r="U33" s="41"/>
      <c r="V33" s="41"/>
      <c r="W33" s="41"/>
      <c r="X33" s="42"/>
      <c r="Y33" s="223"/>
      <c r="Z33" s="41"/>
      <c r="AA33" s="41"/>
      <c r="AB33" s="41"/>
      <c r="AC33" s="41"/>
      <c r="AD33" s="41">
        <f>+AM33+BA33</f>
        <v>19</v>
      </c>
      <c r="AE33" s="241" t="s">
        <v>531</v>
      </c>
      <c r="AF33" s="37"/>
      <c r="AG33" s="37"/>
      <c r="AH33" s="37">
        <v>19</v>
      </c>
      <c r="AJ33" s="41"/>
      <c r="AK33" s="41"/>
      <c r="AL33" s="41"/>
      <c r="AM33" s="41">
        <f>SUM(AF33:AL33)+AT33+AV33+AX33</f>
        <v>19</v>
      </c>
      <c r="AN33" s="41"/>
      <c r="AO33" s="41"/>
      <c r="AP33" s="41"/>
      <c r="AQ33" s="41"/>
      <c r="AR33" s="41">
        <f>SUM(AN33:AQ33)</f>
        <v>0</v>
      </c>
      <c r="AS33" s="41"/>
      <c r="AT33" s="41"/>
      <c r="AU33" s="41"/>
      <c r="AV33" s="41"/>
      <c r="AW33" s="41"/>
      <c r="AX33" s="41"/>
      <c r="AY33" s="41"/>
      <c r="AZ33" s="41"/>
      <c r="BA33" s="41">
        <f>+AR33+AS33+AU33+AW33+AY33+AZ33</f>
        <v>0</v>
      </c>
      <c r="BB33" s="37"/>
      <c r="BC33" s="57"/>
      <c r="BD33" s="57"/>
      <c r="BE33" s="37"/>
      <c r="BF33" s="57"/>
    </row>
    <row r="34" spans="1:58" ht="12.95" customHeight="1">
      <c r="A34" s="44"/>
      <c r="B34" s="45"/>
      <c r="C34" s="452"/>
      <c r="D34" s="45"/>
      <c r="E34" s="46"/>
      <c r="F34" s="46"/>
      <c r="G34" s="47"/>
      <c r="H34" s="48"/>
      <c r="I34" s="49"/>
      <c r="J34" s="91"/>
      <c r="K34" s="91"/>
      <c r="L34" s="39"/>
      <c r="M34" s="39"/>
      <c r="N34" s="50"/>
      <c r="O34" s="51"/>
      <c r="P34" s="52"/>
      <c r="Q34" s="38"/>
      <c r="R34" s="422"/>
      <c r="S34" s="422"/>
      <c r="T34" s="41"/>
      <c r="U34" s="41"/>
      <c r="V34" s="41"/>
      <c r="W34" s="41"/>
      <c r="X34" s="42"/>
      <c r="Y34" s="223"/>
      <c r="Z34" s="41"/>
      <c r="AA34" s="41"/>
      <c r="AB34" s="41"/>
      <c r="AC34" s="41"/>
      <c r="AD34" s="41"/>
      <c r="AE34" s="241"/>
      <c r="AF34" s="41"/>
      <c r="AG34" s="41"/>
      <c r="AH34" s="41"/>
      <c r="AI34" s="46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37"/>
      <c r="BC34" s="57"/>
      <c r="BD34" s="57"/>
      <c r="BE34" s="37"/>
      <c r="BF34" s="57"/>
    </row>
    <row r="35" spans="1:58" ht="12.95" customHeight="1">
      <c r="A35" s="346">
        <v>46363</v>
      </c>
      <c r="B35" s="45" t="s">
        <v>234</v>
      </c>
      <c r="C35" s="452">
        <f>(M35*E35*O35*Q35)/100000000</f>
        <v>58.659992915999993</v>
      </c>
      <c r="D35" s="45" t="s">
        <v>455</v>
      </c>
      <c r="E35" s="46">
        <v>14</v>
      </c>
      <c r="F35" s="46">
        <v>1</v>
      </c>
      <c r="G35" s="465">
        <v>1270</v>
      </c>
      <c r="H35" s="48">
        <v>0</v>
      </c>
      <c r="I35" s="49">
        <v>0.88</v>
      </c>
      <c r="J35" s="91">
        <f>E35*G35*(1-H35)*1440/1000000*2.77</f>
        <v>70.920864000000009</v>
      </c>
      <c r="K35" s="91">
        <f>(IF(G35&lt;L35,L35,G35)*(1-IF(H35&lt;N35,H35,N35))*E35*O35*Q35)/100000000</f>
        <v>58.866024000000003</v>
      </c>
      <c r="L35" s="39">
        <v>1270</v>
      </c>
      <c r="M35" s="39">
        <f>+L35-L35*0.0035</f>
        <v>1265.5550000000001</v>
      </c>
      <c r="N35" s="50">
        <f>1-(M35/L35)</f>
        <v>3.4999999999999476E-3</v>
      </c>
      <c r="O35" s="51">
        <f>+'Trim Rwd'!H27</f>
        <v>267</v>
      </c>
      <c r="P35" s="52">
        <f>O35*(Q35-R35-S35)</f>
        <v>328410</v>
      </c>
      <c r="Q35" s="51">
        <v>1240</v>
      </c>
      <c r="R35" s="422">
        <v>0</v>
      </c>
      <c r="S35" s="422">
        <v>10</v>
      </c>
      <c r="T35" s="41">
        <f>E35*M35*O35*Q35/100000000</f>
        <v>58.659992915999993</v>
      </c>
      <c r="U35" s="41">
        <f>E35*M35*O35*(Q35-R35-S35)/100000000</f>
        <v>58.186928457</v>
      </c>
      <c r="V35" s="41">
        <f>E35*G35*(1-N35)*O35/100*(R35+S35)/1000000</f>
        <v>0.47306445899999999</v>
      </c>
      <c r="W35" s="41">
        <f>+'7'!K11/1000</f>
        <v>71.72</v>
      </c>
      <c r="X35" s="419">
        <f>SUM(W35:W38)/SUM(K35:K38)</f>
        <v>1.059755142791432</v>
      </c>
      <c r="Y35" s="223">
        <v>0</v>
      </c>
      <c r="Z35" s="41">
        <f>+'7'!D34/1000</f>
        <v>0.90100000000000002</v>
      </c>
      <c r="AA35" s="53">
        <f>SUM(U35:U38)-SUM(W35:W38)-SUM(Z35:Z38)-SUM(Y35:Y38)</f>
        <v>-6.421992613000004</v>
      </c>
      <c r="AB35" s="53">
        <f>(SUM(K35:K38)-SUM(W35:W38)-SUM(Y35:Y38)-SUM(Z35:Z38)-SUM(AC35:AC38)-SUM(V35:V38))-AA35</f>
        <v>3.2982156999990409E-2</v>
      </c>
      <c r="AC35" s="41">
        <f>K35-T35</f>
        <v>0.20603108400000991</v>
      </c>
      <c r="AD35" s="41">
        <f>+AM35+BA35</f>
        <v>0</v>
      </c>
      <c r="AE35" s="241" t="s">
        <v>492</v>
      </c>
      <c r="AF35" s="41">
        <v>0</v>
      </c>
      <c r="AG35" s="41"/>
      <c r="AH35" s="41"/>
      <c r="AI35" s="461"/>
      <c r="AJ35" s="41"/>
      <c r="AK35" s="41"/>
      <c r="AL35" s="41"/>
      <c r="AM35" s="41">
        <f>SUM(AF35:AL35)+AT35+AV35+AX35</f>
        <v>0</v>
      </c>
      <c r="AN35" s="41"/>
      <c r="AO35" s="41"/>
      <c r="AP35" s="41"/>
      <c r="AQ35" s="41"/>
      <c r="AR35" s="41">
        <f>SUM(AN35:AQ35)</f>
        <v>0</v>
      </c>
      <c r="AS35" s="41"/>
      <c r="AT35" s="41"/>
      <c r="AU35" s="41"/>
      <c r="AV35" s="41"/>
      <c r="AW35" s="41"/>
      <c r="AX35" s="41"/>
      <c r="AY35" s="41"/>
      <c r="AZ35" s="41"/>
      <c r="BA35" s="41">
        <f>+AR35+AS35+AU35+AW35+AY35+AZ35</f>
        <v>0</v>
      </c>
      <c r="BB35" s="37">
        <v>0</v>
      </c>
      <c r="BC35" s="55"/>
      <c r="BD35" s="55"/>
      <c r="BE35" s="37"/>
      <c r="BF35" s="55"/>
    </row>
    <row r="36" spans="1:58" ht="12.95" customHeight="1">
      <c r="A36" s="346"/>
      <c r="B36" s="45" t="s">
        <v>234</v>
      </c>
      <c r="C36" s="452">
        <f>(M36*E36*O36*Q36)/100000000</f>
        <v>11.670609399999998</v>
      </c>
      <c r="D36" s="45" t="s">
        <v>455</v>
      </c>
      <c r="E36" s="46">
        <v>19</v>
      </c>
      <c r="F36" s="46">
        <v>1</v>
      </c>
      <c r="G36" s="465">
        <v>1085</v>
      </c>
      <c r="H36" s="48">
        <v>0</v>
      </c>
      <c r="I36" s="49">
        <v>0.88</v>
      </c>
      <c r="J36" s="91">
        <f>E36*G36*(1-H36)*1440/1000000*2.77</f>
        <v>82.229112000000001</v>
      </c>
      <c r="K36" s="91">
        <f>(IF(G36&lt;L36,L36,G36)*(1-IF(H36&lt;N36,H36,N36))*E36*O36*Q36)/100000000</f>
        <v>11.711600000000001</v>
      </c>
      <c r="L36" s="39">
        <v>1150</v>
      </c>
      <c r="M36" s="39">
        <f>+L36-L36*0.0035</f>
        <v>1145.9749999999999</v>
      </c>
      <c r="N36" s="50">
        <f>1-(M36/L36)</f>
        <v>3.5000000000000586E-3</v>
      </c>
      <c r="O36" s="51">
        <f>+'Trim Rwd'!H28</f>
        <v>268</v>
      </c>
      <c r="P36" s="52">
        <f>O36*(Q36-R36-S36)</f>
        <v>50920</v>
      </c>
      <c r="Q36" s="51">
        <v>200</v>
      </c>
      <c r="R36" s="422">
        <v>0</v>
      </c>
      <c r="S36" s="422">
        <v>10</v>
      </c>
      <c r="T36" s="41">
        <f>E36*M36*O36*Q36/100000000</f>
        <v>11.670609399999998</v>
      </c>
      <c r="U36" s="41">
        <f>E36*M36*O36*(Q36-R36-S36)/100000000</f>
        <v>11.087078929999997</v>
      </c>
      <c r="V36" s="41">
        <f>E36*G36*(1-N36)*O36/100*(R36+S36)/1000000</f>
        <v>0.55054831299999996</v>
      </c>
      <c r="W36" s="41">
        <f>+'7'!K12/1000</f>
        <v>3.0750000000000002</v>
      </c>
      <c r="X36" s="42"/>
      <c r="Y36" s="223"/>
      <c r="Z36" s="41"/>
      <c r="AA36" s="41"/>
      <c r="AB36" s="41"/>
      <c r="AC36" s="41">
        <f>K36-T36</f>
        <v>4.0990600000002431E-2</v>
      </c>
      <c r="AD36" s="41">
        <f>+AM36+BA36</f>
        <v>0</v>
      </c>
      <c r="AE36" s="241" t="s">
        <v>448</v>
      </c>
      <c r="AF36" s="41"/>
      <c r="AG36" s="41">
        <v>0</v>
      </c>
      <c r="AH36" s="41"/>
      <c r="AI36" s="461"/>
      <c r="AJ36" s="41"/>
      <c r="AK36" s="41"/>
      <c r="AL36" s="41"/>
      <c r="AM36" s="41">
        <f>SUM(AF36:AL36)+AT36+AV36+AX36</f>
        <v>0</v>
      </c>
      <c r="AN36" s="92"/>
      <c r="AO36" s="41"/>
      <c r="AP36" s="41"/>
      <c r="AQ36" s="41"/>
      <c r="AR36" s="41">
        <f>SUM(AN36:AQ36)</f>
        <v>0</v>
      </c>
      <c r="AS36" s="41"/>
      <c r="AT36" s="41"/>
      <c r="AU36" s="41"/>
      <c r="AV36" s="41"/>
      <c r="AW36" s="41"/>
      <c r="AX36" s="41"/>
      <c r="AY36" s="41"/>
      <c r="AZ36" s="41"/>
      <c r="BA36" s="41">
        <f>+AR36+AS36+AU36+AW36+AY36+AZ36</f>
        <v>0</v>
      </c>
      <c r="BB36" s="54"/>
      <c r="BC36" s="55">
        <v>0</v>
      </c>
      <c r="BD36" s="55"/>
      <c r="BE36" s="54"/>
      <c r="BF36" s="55"/>
    </row>
    <row r="37" spans="1:58" ht="12.95" customHeight="1">
      <c r="A37" s="44"/>
      <c r="B37" s="45"/>
      <c r="C37" s="452"/>
      <c r="D37" s="45"/>
      <c r="E37" s="46"/>
      <c r="F37" s="46"/>
      <c r="G37" s="465"/>
      <c r="H37" s="48"/>
      <c r="I37" s="49"/>
      <c r="J37" s="91"/>
      <c r="K37" s="91"/>
      <c r="L37" s="39"/>
      <c r="M37" s="39"/>
      <c r="N37" s="50"/>
      <c r="O37" s="51"/>
      <c r="P37" s="52"/>
      <c r="Q37" s="51"/>
      <c r="R37" s="422"/>
      <c r="S37" s="422"/>
      <c r="T37" s="41"/>
      <c r="U37" s="41"/>
      <c r="V37" s="41"/>
      <c r="W37" s="41"/>
      <c r="X37" s="42"/>
      <c r="Y37" s="223"/>
      <c r="Z37" s="41"/>
      <c r="AA37" s="41"/>
      <c r="AB37" s="41"/>
      <c r="AC37" s="41"/>
      <c r="AD37" s="41">
        <f>+AM37+BA37</f>
        <v>10</v>
      </c>
      <c r="AE37" s="241" t="s">
        <v>510</v>
      </c>
      <c r="AF37" s="37"/>
      <c r="AG37" s="37"/>
      <c r="AH37" s="37">
        <v>10</v>
      </c>
      <c r="AJ37" s="41"/>
      <c r="AK37" s="41"/>
      <c r="AL37" s="41"/>
      <c r="AM37" s="41">
        <f>SUM(AF37:AL37)+AT37+AV37+AX37</f>
        <v>10</v>
      </c>
      <c r="AN37" s="41"/>
      <c r="AO37" s="41"/>
      <c r="AP37" s="41"/>
      <c r="AQ37" s="41"/>
      <c r="AR37" s="41">
        <f>SUM(AN37:AQ37)</f>
        <v>0</v>
      </c>
      <c r="AS37" s="41"/>
      <c r="AT37" s="41"/>
      <c r="AU37" s="41"/>
      <c r="AV37" s="41"/>
      <c r="AW37" s="41"/>
      <c r="AX37" s="41"/>
      <c r="AY37" s="41"/>
      <c r="AZ37" s="41"/>
      <c r="BA37" s="41">
        <f>+AR37+AS37+AU37+AW37+AY37+AZ37</f>
        <v>0</v>
      </c>
      <c r="BB37" s="37"/>
      <c r="BC37" s="57"/>
      <c r="BD37" s="57"/>
      <c r="BE37" s="37"/>
      <c r="BF37" s="57"/>
    </row>
    <row r="38" spans="1:58" ht="12.95" customHeight="1">
      <c r="A38" s="44"/>
      <c r="B38" s="45"/>
      <c r="C38" s="452"/>
      <c r="D38" s="45"/>
      <c r="E38" s="46"/>
      <c r="F38" s="46"/>
      <c r="G38" s="47"/>
      <c r="H38" s="48"/>
      <c r="I38" s="49"/>
      <c r="J38" s="91"/>
      <c r="K38" s="91"/>
      <c r="L38" s="39"/>
      <c r="M38" s="39"/>
      <c r="N38" s="50"/>
      <c r="O38" s="51"/>
      <c r="P38" s="52"/>
      <c r="Q38" s="38"/>
      <c r="R38" s="422"/>
      <c r="S38" s="422"/>
      <c r="T38" s="41"/>
      <c r="U38" s="41"/>
      <c r="V38" s="41"/>
      <c r="W38" s="41"/>
      <c r="X38" s="42"/>
      <c r="Y38" s="223"/>
      <c r="Z38" s="41"/>
      <c r="AA38" s="41"/>
      <c r="AB38" s="41"/>
      <c r="AC38" s="41"/>
      <c r="AD38" s="41">
        <f>+AM38+BA38</f>
        <v>10</v>
      </c>
      <c r="AE38" s="241" t="s">
        <v>420</v>
      </c>
      <c r="AF38" s="41"/>
      <c r="AG38" s="41"/>
      <c r="AH38" s="41"/>
      <c r="AI38" s="461">
        <v>10</v>
      </c>
      <c r="AJ38" s="41"/>
      <c r="AK38" s="41"/>
      <c r="AL38" s="41"/>
      <c r="AM38" s="41">
        <f>SUM(AF38:AL38)+AT38+AV38+AX38</f>
        <v>10</v>
      </c>
      <c r="AN38" s="41"/>
      <c r="AO38" s="41"/>
      <c r="AP38" s="41"/>
      <c r="AQ38" s="41"/>
      <c r="AR38" s="41">
        <f>SUM(AN38:AQ38)</f>
        <v>0</v>
      </c>
      <c r="AS38" s="41"/>
      <c r="AT38" s="41"/>
      <c r="AU38" s="41"/>
      <c r="AV38" s="41"/>
      <c r="AW38" s="41"/>
      <c r="AX38" s="41"/>
      <c r="AY38" s="41"/>
      <c r="AZ38" s="41"/>
      <c r="BA38" s="41">
        <f>+AR38+AS38+AU38+AW38+AY38+AZ38</f>
        <v>0</v>
      </c>
      <c r="BB38" s="37"/>
      <c r="BC38" s="57"/>
      <c r="BD38" s="57"/>
      <c r="BE38" s="37"/>
      <c r="BF38" s="57"/>
    </row>
    <row r="39" spans="1:58" ht="12.95" customHeight="1">
      <c r="A39" s="346"/>
      <c r="B39" s="45"/>
      <c r="C39" s="452"/>
      <c r="D39" s="45"/>
      <c r="E39" s="46"/>
      <c r="F39" s="46"/>
      <c r="G39" s="465"/>
      <c r="H39" s="48"/>
      <c r="I39" s="49"/>
      <c r="J39" s="91"/>
      <c r="K39" s="91"/>
      <c r="L39" s="39"/>
      <c r="M39" s="39"/>
      <c r="N39" s="50"/>
      <c r="O39" s="51"/>
      <c r="P39" s="52"/>
      <c r="Q39" s="51"/>
      <c r="R39" s="422"/>
      <c r="S39" s="422"/>
      <c r="T39" s="41"/>
      <c r="U39" s="41"/>
      <c r="V39" s="41"/>
      <c r="W39" s="41"/>
      <c r="X39" s="419"/>
      <c r="Y39" s="223"/>
      <c r="Z39" s="41"/>
      <c r="AA39" s="53"/>
      <c r="AB39" s="53"/>
      <c r="AC39" s="41"/>
      <c r="AD39" s="41"/>
      <c r="AE39" s="241"/>
      <c r="AF39" s="41"/>
      <c r="AG39" s="41"/>
      <c r="AH39" s="41"/>
      <c r="AI39" s="46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37"/>
      <c r="BC39" s="55"/>
      <c r="BD39" s="55"/>
      <c r="BE39" s="37"/>
      <c r="BF39" s="55"/>
    </row>
    <row r="40" spans="1:58" ht="12.95" customHeight="1">
      <c r="A40" s="346">
        <v>45999</v>
      </c>
      <c r="B40" s="45" t="s">
        <v>234</v>
      </c>
      <c r="C40" s="452">
        <f>(M40*E40*O40*Q40)/100000000</f>
        <v>8.9863692379999982</v>
      </c>
      <c r="D40" s="45" t="s">
        <v>455</v>
      </c>
      <c r="E40" s="46">
        <v>19</v>
      </c>
      <c r="F40" s="46">
        <v>1</v>
      </c>
      <c r="G40" s="465">
        <v>1085</v>
      </c>
      <c r="H40" s="48">
        <v>0</v>
      </c>
      <c r="I40" s="49">
        <v>0.88</v>
      </c>
      <c r="J40" s="91">
        <f>E40*G40*(1-H40)*1440/1000000*2.77</f>
        <v>82.229112000000001</v>
      </c>
      <c r="K40" s="91">
        <f>(IF(G40&lt;L40,L40,G40)*(1-IF(H40&lt;N40,H40,N40))*E40*O40*Q40)/100000000</f>
        <v>9.0179320000000001</v>
      </c>
      <c r="L40" s="39">
        <v>1150</v>
      </c>
      <c r="M40" s="39">
        <f>+L40-L40*0.0035</f>
        <v>1145.9749999999999</v>
      </c>
      <c r="N40" s="50">
        <f>1-(M40/L40)</f>
        <v>3.5000000000000586E-3</v>
      </c>
      <c r="O40" s="51">
        <f>+'Trim Rwd'!H31</f>
        <v>268</v>
      </c>
      <c r="P40" s="52">
        <f>O40*(Q40-R40-S40)</f>
        <v>40736</v>
      </c>
      <c r="Q40" s="51">
        <f>120+34</f>
        <v>154</v>
      </c>
      <c r="R40" s="422">
        <v>0</v>
      </c>
      <c r="S40" s="422">
        <v>2</v>
      </c>
      <c r="T40" s="41">
        <f>E40*M40*O40*Q40/100000000</f>
        <v>8.9863692379999982</v>
      </c>
      <c r="U40" s="41">
        <f>E40*M40*O40*(Q40-R40-S40)/100000000</f>
        <v>8.8696631439999987</v>
      </c>
      <c r="V40" s="41">
        <f>E40*G40*(1-N40)*O40/100*(R40+S40)/1000000</f>
        <v>0.11010966259999999</v>
      </c>
      <c r="W40" s="41">
        <f>+'8'!K12/1000</f>
        <v>16.977</v>
      </c>
      <c r="X40" s="419">
        <f>SUM(W40:W44)/SUM(K40:K44)</f>
        <v>1.0979342164706634</v>
      </c>
      <c r="Y40" s="223">
        <v>0</v>
      </c>
      <c r="Z40" s="41">
        <v>0</v>
      </c>
      <c r="AA40" s="53">
        <f>SUM(U40:U44)-SUM(W40:W44)-SUM(Z40:Z44)-SUM(Y40:Y44)</f>
        <v>-9.4653662509917993</v>
      </c>
      <c r="AB40" s="53">
        <f>(SUM(K40:K44)-SUM(W40:W44)-SUM(Y40:Y44)-SUM(Z40:Z44)-SUM(AC40:AC44)-SUM(V40:V44))-AA40</f>
        <v>2.683801721929413E-2</v>
      </c>
      <c r="AC40" s="41">
        <f>K40-T40</f>
        <v>3.1562762000001854E-2</v>
      </c>
      <c r="AD40" s="41">
        <f>+AM40+BA40</f>
        <v>0</v>
      </c>
      <c r="AE40" s="241" t="s">
        <v>492</v>
      </c>
      <c r="AF40" s="41">
        <v>0</v>
      </c>
      <c r="AG40" s="41"/>
      <c r="AH40" s="41"/>
      <c r="AI40" s="461"/>
      <c r="AJ40" s="41"/>
      <c r="AK40" s="41"/>
      <c r="AL40" s="41"/>
      <c r="AM40" s="41">
        <f>SUM(AF40:AL40)+AT40+AV40+AX40</f>
        <v>0</v>
      </c>
      <c r="AN40" s="41"/>
      <c r="AO40" s="41"/>
      <c r="AP40" s="41"/>
      <c r="AQ40" s="41"/>
      <c r="AR40" s="41">
        <f>SUM(AN40:AQ40)</f>
        <v>0</v>
      </c>
      <c r="AS40" s="41"/>
      <c r="AT40" s="41"/>
      <c r="AU40" s="41"/>
      <c r="AV40" s="41"/>
      <c r="AW40" s="41"/>
      <c r="AX40" s="41"/>
      <c r="AY40" s="41"/>
      <c r="AZ40" s="41"/>
      <c r="BA40" s="41">
        <f>+AR40+AS40+AU40+AW40+AY40+AZ40</f>
        <v>0</v>
      </c>
      <c r="BB40" s="37">
        <v>0</v>
      </c>
      <c r="BC40" s="55"/>
      <c r="BD40" s="55"/>
      <c r="BE40" s="37"/>
      <c r="BF40" s="55"/>
    </row>
    <row r="41" spans="1:58" ht="12.95" customHeight="1">
      <c r="A41" s="346"/>
      <c r="B41" s="45" t="s">
        <v>234</v>
      </c>
      <c r="C41" s="452">
        <f>(M41*E41*O41*Q41)/100000000</f>
        <v>6.5585145750000002</v>
      </c>
      <c r="D41" s="45" t="s">
        <v>455</v>
      </c>
      <c r="E41" s="46">
        <v>17</v>
      </c>
      <c r="F41" s="46">
        <v>1</v>
      </c>
      <c r="G41" s="465">
        <v>1210</v>
      </c>
      <c r="H41" s="48">
        <v>0</v>
      </c>
      <c r="I41" s="49">
        <v>0.88</v>
      </c>
      <c r="J41" s="91">
        <f>E41*G41*(1-H41)*1440/1000000*2.77</f>
        <v>82.049616</v>
      </c>
      <c r="K41" s="91">
        <f>(IF(G41&lt;L41,L41,G41)*(1-IF(H41&lt;N41,H41,N41))*E41*O41*Q41)/100000000</f>
        <v>6.58155</v>
      </c>
      <c r="L41" s="39">
        <v>1250</v>
      </c>
      <c r="M41" s="39">
        <f>+L41-L41*0.0035</f>
        <v>1245.625</v>
      </c>
      <c r="N41" s="50">
        <f>1-(M41/L41)</f>
        <v>3.4999999999999476E-3</v>
      </c>
      <c r="O41" s="51">
        <f>+'Trim Rwd'!H32</f>
        <v>267</v>
      </c>
      <c r="P41" s="52">
        <f>O41*(Q41-R41-S41)</f>
        <v>30438</v>
      </c>
      <c r="Q41" s="51">
        <f>26+60+30</f>
        <v>116</v>
      </c>
      <c r="R41" s="422">
        <v>0</v>
      </c>
      <c r="S41" s="422">
        <v>2</v>
      </c>
      <c r="T41" s="41">
        <f>E41*M41*O41*Q41/100000000</f>
        <v>6.5585145750000002</v>
      </c>
      <c r="U41" s="41">
        <f>E41*M41*O41*(Q41-R41-S41)/100000000</f>
        <v>6.4454367374999997</v>
      </c>
      <c r="V41" s="41">
        <f>E41*G41*(1-N41)*O41/100*(R41+S41)/1000000</f>
        <v>0.1094593467</v>
      </c>
      <c r="W41" s="41">
        <f>+'8'!K10/1000</f>
        <v>2.2749999999999999</v>
      </c>
      <c r="X41" s="42"/>
      <c r="Y41" s="223"/>
      <c r="Z41" s="41">
        <v>0</v>
      </c>
      <c r="AA41" s="41"/>
      <c r="AB41" s="41"/>
      <c r="AC41" s="41">
        <f>K41-T41</f>
        <v>2.3035424999999776E-2</v>
      </c>
      <c r="AD41" s="41">
        <f>+AM41+BA41</f>
        <v>2</v>
      </c>
      <c r="AE41" s="241" t="s">
        <v>550</v>
      </c>
      <c r="AF41" s="41"/>
      <c r="AG41" s="41">
        <v>2</v>
      </c>
      <c r="AH41" s="41"/>
      <c r="AI41" s="461"/>
      <c r="AJ41" s="41"/>
      <c r="AK41" s="41"/>
      <c r="AL41" s="41"/>
      <c r="AM41" s="41">
        <f>SUM(AF41:AL41)+AT41+AV41+AX41</f>
        <v>2</v>
      </c>
      <c r="AN41" s="92"/>
      <c r="AO41" s="41"/>
      <c r="AP41" s="41"/>
      <c r="AQ41" s="41"/>
      <c r="AR41" s="41">
        <f>SUM(AN41:AQ41)</f>
        <v>0</v>
      </c>
      <c r="AS41" s="41"/>
      <c r="AT41" s="41"/>
      <c r="AU41" s="41"/>
      <c r="AV41" s="41"/>
      <c r="AW41" s="41"/>
      <c r="AX41" s="41"/>
      <c r="AY41" s="41"/>
      <c r="AZ41" s="41"/>
      <c r="BA41" s="41">
        <f>+AR41+AS41+AU41+AW41+AY41+AZ41</f>
        <v>0</v>
      </c>
      <c r="BB41" s="54"/>
      <c r="BC41" s="55">
        <v>7</v>
      </c>
      <c r="BD41" s="55"/>
      <c r="BE41" s="54"/>
      <c r="BF41" s="55"/>
    </row>
    <row r="42" spans="1:58" ht="12.95" customHeight="1">
      <c r="A42" s="44"/>
      <c r="B42" s="45" t="s">
        <v>234</v>
      </c>
      <c r="C42" s="452">
        <f>(M42*E42*O42*Q42)/100000000</f>
        <v>2.4966061874999999</v>
      </c>
      <c r="D42" s="45" t="s">
        <v>410</v>
      </c>
      <c r="E42" s="46">
        <v>17</v>
      </c>
      <c r="F42" s="46">
        <v>1</v>
      </c>
      <c r="G42" s="465">
        <v>1210</v>
      </c>
      <c r="H42" s="48">
        <v>0</v>
      </c>
      <c r="I42" s="49">
        <v>0.88</v>
      </c>
      <c r="J42" s="91">
        <f>E42*G42*(1-H42)*1440/1000000*2.77</f>
        <v>82.049616</v>
      </c>
      <c r="K42" s="91">
        <f>(IF(G42&lt;L42,L42,G42)*(1-IF(H42&lt;N42,H42,N42))*E42*O42*Q42)/100000000</f>
        <v>2.5053749999999999</v>
      </c>
      <c r="L42" s="39">
        <v>1250</v>
      </c>
      <c r="M42" s="39">
        <f>+L42-L42*0.0035</f>
        <v>1245.625</v>
      </c>
      <c r="N42" s="50">
        <f>1-(M42/L42)</f>
        <v>3.4999999999999476E-3</v>
      </c>
      <c r="O42" s="51">
        <f>+'Trim Rwd'!H33</f>
        <v>262</v>
      </c>
      <c r="P42" s="52">
        <f>O42*(Q42-R42-S42)</f>
        <v>11790</v>
      </c>
      <c r="Q42" s="51">
        <f>30+15</f>
        <v>45</v>
      </c>
      <c r="R42" s="422">
        <v>0</v>
      </c>
      <c r="S42" s="422">
        <v>0</v>
      </c>
      <c r="T42" s="41">
        <f>E42*M42*O42*Q42/100000000</f>
        <v>2.4966061874999999</v>
      </c>
      <c r="U42" s="41">
        <f>E42*M42*O42*(Q42-R42-S42)/100000000</f>
        <v>2.4966061874999999</v>
      </c>
      <c r="V42" s="41">
        <f>E42*G42*(1-N42)*O42/100*(R42+S42)/1000000</f>
        <v>0</v>
      </c>
      <c r="W42" s="41">
        <f>+'8'!K13/1000</f>
        <v>6.4790000000000001</v>
      </c>
      <c r="X42" s="42"/>
      <c r="Y42" s="223"/>
      <c r="Z42" s="41">
        <v>0</v>
      </c>
      <c r="AA42" s="41"/>
      <c r="AB42" s="41"/>
      <c r="AC42" s="41">
        <f>K42-T42</f>
        <v>8.7688125000000561E-3</v>
      </c>
      <c r="AD42" s="41">
        <f>+AM42+BA42</f>
        <v>9</v>
      </c>
      <c r="AE42" s="241" t="s">
        <v>479</v>
      </c>
      <c r="AF42" s="37"/>
      <c r="AG42" s="37"/>
      <c r="AH42" s="37">
        <v>9</v>
      </c>
      <c r="AJ42" s="41"/>
      <c r="AK42" s="41"/>
      <c r="AL42" s="41"/>
      <c r="AM42" s="41">
        <f>SUM(AF42:AL42)+AT42+AV42+AX42</f>
        <v>9</v>
      </c>
      <c r="AN42" s="41"/>
      <c r="AO42" s="41"/>
      <c r="AP42" s="41"/>
      <c r="AQ42" s="41"/>
      <c r="AR42" s="41">
        <f>SUM(AN42:AQ42)</f>
        <v>0</v>
      </c>
      <c r="AS42" s="41"/>
      <c r="AT42" s="41"/>
      <c r="AU42" s="41"/>
      <c r="AV42" s="41"/>
      <c r="AW42" s="41"/>
      <c r="AX42" s="41"/>
      <c r="AY42" s="41"/>
      <c r="AZ42" s="41"/>
      <c r="BA42" s="41">
        <f>+AR42+AS42+AU42+AW42+AY42+AZ42</f>
        <v>0</v>
      </c>
      <c r="BB42" s="37"/>
      <c r="BC42" s="57"/>
      <c r="BD42" s="57"/>
      <c r="BE42" s="37"/>
      <c r="BF42" s="57"/>
    </row>
    <row r="43" spans="1:58" ht="12.95" customHeight="1">
      <c r="A43" s="44"/>
      <c r="B43" s="45" t="s">
        <v>234</v>
      </c>
      <c r="C43" s="452">
        <f>(M43*E43*O43*Q43)/100000000</f>
        <v>64.521394132387499</v>
      </c>
      <c r="D43" s="45" t="s">
        <v>410</v>
      </c>
      <c r="E43" s="46">
        <v>21.5</v>
      </c>
      <c r="F43" s="46">
        <v>1</v>
      </c>
      <c r="G43" s="465">
        <v>960</v>
      </c>
      <c r="H43" s="48">
        <v>0</v>
      </c>
      <c r="I43" s="49">
        <v>0.88</v>
      </c>
      <c r="J43" s="91">
        <f>E43*G43*(1-H43)*1440/1000000*2.77</f>
        <v>82.328831999999991</v>
      </c>
      <c r="K43" s="91">
        <f>(IF(G43&lt;L43,L43,G43)*(1-IF(H43&lt;N43,H43,N43))*E43*O43*Q43)/100000000</f>
        <v>64.748012175</v>
      </c>
      <c r="L43" s="39">
        <v>1001.4666666666667</v>
      </c>
      <c r="M43" s="39">
        <v>997.96153333333336</v>
      </c>
      <c r="N43" s="50">
        <f>1-(M43/L43)</f>
        <v>3.4999999999999476E-3</v>
      </c>
      <c r="O43" s="51">
        <f>+'Trim Rwd'!H34</f>
        <v>267.3</v>
      </c>
      <c r="P43" s="52">
        <f>O43*(Q43-R43-S43)</f>
        <v>298841.40000000002</v>
      </c>
      <c r="Q43" s="51">
        <v>1125</v>
      </c>
      <c r="R43" s="422">
        <v>0</v>
      </c>
      <c r="S43" s="422">
        <v>7</v>
      </c>
      <c r="T43" s="41">
        <f>E43*M43*O43*Q43/100000000</f>
        <v>64.521394132387499</v>
      </c>
      <c r="U43" s="41">
        <f>E43*M43*O43*(Q43-R43-S43)/100000000</f>
        <v>64.119927680008203</v>
      </c>
      <c r="V43" s="41">
        <f>E43*G43*(1-N43)*O43/100*(R43+S43)/1000000</f>
        <v>0.38484335736000003</v>
      </c>
      <c r="W43" s="41">
        <f>+'8'!K14/1000</f>
        <v>57.116999999999997</v>
      </c>
      <c r="X43" s="42"/>
      <c r="Y43" s="223"/>
      <c r="Z43" s="41">
        <v>0</v>
      </c>
      <c r="AA43" s="41"/>
      <c r="AB43" s="41"/>
      <c r="AC43" s="41">
        <f>K43-T43</f>
        <v>0.2266180426125004</v>
      </c>
      <c r="AD43" s="41"/>
      <c r="AE43" s="241"/>
      <c r="AF43" s="41"/>
      <c r="AG43" s="41"/>
      <c r="AH43" s="41"/>
      <c r="AI43" s="46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37"/>
      <c r="BC43" s="57"/>
      <c r="BD43" s="57"/>
      <c r="BE43" s="37"/>
      <c r="BF43" s="57"/>
    </row>
    <row r="44" spans="1:58" ht="12.95" customHeight="1">
      <c r="A44" s="346"/>
      <c r="B44" s="45" t="s">
        <v>234</v>
      </c>
      <c r="C44" s="452"/>
      <c r="D44" s="45"/>
      <c r="E44" s="46">
        <v>14</v>
      </c>
      <c r="F44" s="46"/>
      <c r="G44" s="465"/>
      <c r="H44" s="48"/>
      <c r="I44" s="49"/>
      <c r="J44" s="91"/>
      <c r="K44" s="91"/>
      <c r="L44" s="39"/>
      <c r="M44" s="39"/>
      <c r="N44" s="50"/>
      <c r="O44" s="51"/>
      <c r="P44" s="52"/>
      <c r="Q44" s="51"/>
      <c r="R44" s="422"/>
      <c r="S44" s="422"/>
      <c r="T44" s="41"/>
      <c r="U44" s="41"/>
      <c r="V44" s="41"/>
      <c r="W44" s="41">
        <f>+'8'!K11/1000</f>
        <v>8.1189999999999998</v>
      </c>
      <c r="X44" s="419"/>
      <c r="Y44" s="223"/>
      <c r="Z44" s="41">
        <f>+'8'!D10/1000</f>
        <v>0.43</v>
      </c>
      <c r="AA44" s="53"/>
      <c r="AB44" s="53"/>
      <c r="AC44" s="41"/>
      <c r="AD44" s="41"/>
      <c r="AE44" s="241"/>
      <c r="AF44" s="41"/>
      <c r="AG44" s="41"/>
      <c r="AH44" s="41"/>
      <c r="AI44" s="46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37"/>
      <c r="BC44" s="55"/>
      <c r="BD44" s="55"/>
      <c r="BE44" s="37"/>
      <c r="BF44" s="55"/>
    </row>
    <row r="45" spans="1:58" ht="12.75" customHeight="1">
      <c r="A45" s="44"/>
      <c r="B45" s="45"/>
      <c r="C45" s="452"/>
      <c r="D45" s="45"/>
      <c r="E45" s="46"/>
      <c r="F45" s="46"/>
      <c r="G45" s="47"/>
      <c r="H45" s="48"/>
      <c r="I45" s="49"/>
      <c r="J45" s="91"/>
      <c r="K45" s="91"/>
      <c r="L45" s="39"/>
      <c r="M45" s="39"/>
      <c r="N45" s="50"/>
      <c r="O45" s="51"/>
      <c r="P45" s="52"/>
      <c r="Q45" s="51"/>
      <c r="R45" s="422"/>
      <c r="S45" s="422"/>
      <c r="T45" s="41"/>
      <c r="U45" s="41"/>
      <c r="V45" s="41"/>
      <c r="W45" s="41"/>
      <c r="X45" s="42"/>
      <c r="Y45" s="223"/>
      <c r="Z45" s="41"/>
      <c r="AA45" s="41"/>
      <c r="AB45" s="41"/>
      <c r="AC45" s="41"/>
      <c r="AD45" s="41"/>
      <c r="AE45" s="241"/>
      <c r="AF45" s="37"/>
      <c r="AG45" s="37"/>
      <c r="AH45" s="37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37"/>
      <c r="BC45" s="57"/>
      <c r="BD45" s="55"/>
      <c r="BE45" s="55"/>
      <c r="BF45" s="55"/>
    </row>
    <row r="46" spans="1:58" ht="12.95" customHeight="1">
      <c r="A46" s="346">
        <v>46000</v>
      </c>
      <c r="B46" s="45" t="s">
        <v>234</v>
      </c>
      <c r="C46" s="452">
        <f>(M46*E46*O46*Q46)/100000000</f>
        <v>1.8738569937214284</v>
      </c>
      <c r="D46" s="45" t="s">
        <v>410</v>
      </c>
      <c r="E46" s="46">
        <v>21.5</v>
      </c>
      <c r="F46" s="46">
        <v>1</v>
      </c>
      <c r="G46" s="465">
        <v>960</v>
      </c>
      <c r="H46" s="48">
        <v>0</v>
      </c>
      <c r="I46" s="49">
        <v>0.88</v>
      </c>
      <c r="J46" s="91">
        <f>E46*G46*(1-H46)*1440/1000000*2.77</f>
        <v>82.328831999999991</v>
      </c>
      <c r="K46" s="91">
        <f>(IF(G46&lt;L46,L46,G46)*(1-IF(H46&lt;N46,H46,N46))*E46*O46*Q46)/100000000</f>
        <v>1.8804385285714287</v>
      </c>
      <c r="L46" s="39">
        <v>990</v>
      </c>
      <c r="M46" s="39">
        <f>+L46-L46*0.0035</f>
        <v>986.53499999999997</v>
      </c>
      <c r="N46" s="50">
        <f>1-(M46/L46)</f>
        <v>3.5000000000000586E-3</v>
      </c>
      <c r="O46" s="51">
        <f>+'Trim Rwd'!H37</f>
        <v>267.71428571428572</v>
      </c>
      <c r="P46" s="52">
        <f>O46*(Q46-R46-S46)</f>
        <v>8834.5714285714294</v>
      </c>
      <c r="Q46" s="51">
        <v>33</v>
      </c>
      <c r="R46" s="422">
        <v>0</v>
      </c>
      <c r="S46" s="422">
        <v>0</v>
      </c>
      <c r="T46" s="41">
        <f>E46*M46*O46*Q46/100000000</f>
        <v>1.8738569937214284</v>
      </c>
      <c r="U46" s="41">
        <f>E46*M46*O46*(Q46-R46-S46)/100000000</f>
        <v>1.8738569937214284</v>
      </c>
      <c r="V46" s="41">
        <f>E46*G46*(1-N46)*O46/100*(R46+S46)/1000000</f>
        <v>0</v>
      </c>
      <c r="W46" s="41">
        <f>+'9'!K14/1000</f>
        <v>7.95</v>
      </c>
      <c r="X46" s="419">
        <f>SUM(W46:W49)/SUM(K46:K50)</f>
        <v>0.47689937437414981</v>
      </c>
      <c r="Y46" s="223">
        <v>0</v>
      </c>
      <c r="Z46" s="41">
        <f>+'9'!D34/1000</f>
        <v>1.45</v>
      </c>
      <c r="AA46" s="53">
        <f>SUM(U46:U49)-SUM(W46:W49)-SUM(Z46:Z49)-SUM(Y46:Y49)</f>
        <v>5.91010587372143</v>
      </c>
      <c r="AB46" s="53">
        <f>(SUM(K46:K49)-SUM(W46:W49)-SUM(Y46:Y49)-SUM(Z46:Z49)-SUM(AC46:AC49)-SUM(V46:V49))-AA46</f>
        <v>-5.1241932151893543E-2</v>
      </c>
      <c r="AC46" s="41">
        <f>K46-T46</f>
        <v>6.5815348500002369E-3</v>
      </c>
      <c r="AD46" s="41">
        <f>+AM46+BA46</f>
        <v>30</v>
      </c>
      <c r="AE46" s="241" t="s">
        <v>449</v>
      </c>
      <c r="AF46" s="41">
        <v>30</v>
      </c>
      <c r="AG46" s="41"/>
      <c r="AH46" s="41"/>
      <c r="AI46" s="461"/>
      <c r="AJ46" s="41"/>
      <c r="AK46" s="41"/>
      <c r="AL46" s="41"/>
      <c r="AM46" s="41">
        <f>SUM(AF46:AL46)+AT46+AV46+AX46</f>
        <v>30</v>
      </c>
      <c r="AN46" s="41"/>
      <c r="AO46" s="41"/>
      <c r="AP46" s="41"/>
      <c r="AQ46" s="41"/>
      <c r="AR46" s="41">
        <f>SUM(AN46:AQ46)</f>
        <v>0</v>
      </c>
      <c r="AS46" s="41"/>
      <c r="AT46" s="41"/>
      <c r="AU46" s="41"/>
      <c r="AV46" s="41"/>
      <c r="AW46" s="41"/>
      <c r="AX46" s="41"/>
      <c r="AY46" s="41"/>
      <c r="AZ46" s="41"/>
      <c r="BA46" s="41">
        <f>+AR46+AS46+AU46+AW46+AY46+AZ46</f>
        <v>0</v>
      </c>
      <c r="BB46" s="37">
        <v>6</v>
      </c>
      <c r="BC46" s="55"/>
      <c r="BD46" s="55"/>
      <c r="BE46" s="37"/>
      <c r="BF46" s="55"/>
    </row>
    <row r="47" spans="1:58" ht="12.95" customHeight="1">
      <c r="A47" s="346"/>
      <c r="B47" s="45" t="s">
        <v>7</v>
      </c>
      <c r="C47" s="452">
        <f>(M47*E47*O47*Q47)/100000000</f>
        <v>62.709716436455707</v>
      </c>
      <c r="D47" s="45" t="s">
        <v>410</v>
      </c>
      <c r="E47" s="46">
        <v>13</v>
      </c>
      <c r="F47" s="46">
        <v>1</v>
      </c>
      <c r="G47" s="465">
        <v>1700</v>
      </c>
      <c r="H47" s="48">
        <v>0.24</v>
      </c>
      <c r="I47" s="49">
        <v>0.88</v>
      </c>
      <c r="J47" s="91">
        <f>E47*G47*(1-H47)*1440/1000000*2.77</f>
        <v>66.995884799999999</v>
      </c>
      <c r="K47" s="91">
        <f>(IF(G47&lt;L47,L47,G47)*(1-IF(H47&lt;N47,H47,N47))*E47*O47*Q47)/100000000</f>
        <v>63.836238288607596</v>
      </c>
      <c r="L47" s="39">
        <v>1670</v>
      </c>
      <c r="M47" s="39">
        <f>+L47-L47*0.24</f>
        <v>1269.2</v>
      </c>
      <c r="N47" s="50">
        <f>1-(M47/L47)</f>
        <v>0.24</v>
      </c>
      <c r="O47" s="51">
        <f>+'Trim Rwd'!H39</f>
        <v>270.12658227848101</v>
      </c>
      <c r="P47" s="52">
        <f>O47*(Q47-R47-S47)</f>
        <v>362780</v>
      </c>
      <c r="Q47" s="51">
        <v>1407</v>
      </c>
      <c r="R47" s="422">
        <v>0</v>
      </c>
      <c r="S47" s="422">
        <v>64</v>
      </c>
      <c r="T47" s="41">
        <f>E47*M47*O47*Q47/100000000</f>
        <v>62.709716436455707</v>
      </c>
      <c r="U47" s="41">
        <f>E47*M47*O47*(Q47-R47-S47)/100000000</f>
        <v>59.857248880000007</v>
      </c>
      <c r="V47" s="41">
        <f>E47*G47*(1-N47)*O47/100*(R47+S47)/1000000</f>
        <v>2.9037094886075949</v>
      </c>
      <c r="W47" s="41">
        <f>+'9'!K7/1000</f>
        <v>46.420999999999999</v>
      </c>
      <c r="X47" s="42"/>
      <c r="Y47" s="223"/>
      <c r="Z47" s="41"/>
      <c r="AA47" s="41"/>
      <c r="AB47" s="41"/>
      <c r="AC47" s="41">
        <f>K47-T47</f>
        <v>1.1265218521518889</v>
      </c>
      <c r="AD47" s="41">
        <f>+AM47+BA47</f>
        <v>9</v>
      </c>
      <c r="AE47" s="241" t="s">
        <v>550</v>
      </c>
      <c r="AF47" s="41"/>
      <c r="AG47" s="41">
        <v>9</v>
      </c>
      <c r="AH47" s="41"/>
      <c r="AI47" s="461"/>
      <c r="AJ47" s="41"/>
      <c r="AK47" s="41"/>
      <c r="AL47" s="41"/>
      <c r="AM47" s="41">
        <f>SUM(AF47:AL47)+AT47+AV47+AX47</f>
        <v>9</v>
      </c>
      <c r="AN47" s="92"/>
      <c r="AO47" s="41"/>
      <c r="AP47" s="41"/>
      <c r="AQ47" s="41"/>
      <c r="AR47" s="41">
        <f>SUM(AN47:AQ47)</f>
        <v>0</v>
      </c>
      <c r="AS47" s="41"/>
      <c r="AT47" s="41"/>
      <c r="AU47" s="41"/>
      <c r="AV47" s="41"/>
      <c r="AW47" s="41"/>
      <c r="AX47" s="41"/>
      <c r="AY47" s="41"/>
      <c r="AZ47" s="41"/>
      <c r="BA47" s="41">
        <f>+AR47+AS47+AU47+AW47+AY47+AZ47</f>
        <v>0</v>
      </c>
      <c r="BB47" s="54"/>
      <c r="BC47" s="55">
        <v>9</v>
      </c>
      <c r="BD47" s="55"/>
      <c r="BE47" s="54"/>
      <c r="BF47" s="55"/>
    </row>
    <row r="48" spans="1:58" ht="12.95" customHeight="1">
      <c r="A48" s="44"/>
      <c r="B48" s="45"/>
      <c r="C48" s="452"/>
      <c r="D48" s="45"/>
      <c r="E48" s="46"/>
      <c r="F48" s="46"/>
      <c r="G48" s="465"/>
      <c r="H48" s="48"/>
      <c r="I48" s="49"/>
      <c r="J48" s="91"/>
      <c r="K48" s="91"/>
      <c r="L48" s="39"/>
      <c r="M48" s="39"/>
      <c r="N48" s="50"/>
      <c r="O48" s="51"/>
      <c r="P48" s="52"/>
      <c r="Q48" s="51"/>
      <c r="R48" s="422"/>
      <c r="S48" s="422"/>
      <c r="T48" s="41"/>
      <c r="U48" s="41"/>
      <c r="V48" s="41"/>
      <c r="W48" s="41"/>
      <c r="X48" s="42"/>
      <c r="Y48" s="223"/>
      <c r="Z48" s="41"/>
      <c r="AA48" s="41"/>
      <c r="AB48" s="41"/>
      <c r="AC48" s="41"/>
      <c r="AD48" s="41">
        <f>+AM48+BA48</f>
        <v>25</v>
      </c>
      <c r="AE48" s="241" t="s">
        <v>564</v>
      </c>
      <c r="AF48" s="37"/>
      <c r="AG48" s="37"/>
      <c r="AH48" s="37">
        <v>25</v>
      </c>
      <c r="AJ48" s="41"/>
      <c r="AK48" s="41"/>
      <c r="AL48" s="41"/>
      <c r="AM48" s="41">
        <f>SUM(AF48:AL48)+AT48+AV48+AX48</f>
        <v>25</v>
      </c>
      <c r="AN48" s="41"/>
      <c r="AO48" s="41"/>
      <c r="AP48" s="41"/>
      <c r="AQ48" s="41"/>
      <c r="AR48" s="41">
        <f>SUM(AN48:AQ48)</f>
        <v>0</v>
      </c>
      <c r="AS48" s="41"/>
      <c r="AT48" s="41"/>
      <c r="AU48" s="41"/>
      <c r="AV48" s="41"/>
      <c r="AW48" s="41"/>
      <c r="AX48" s="41"/>
      <c r="AY48" s="41"/>
      <c r="AZ48" s="41"/>
      <c r="BA48" s="41">
        <f>+AR48+AS48+AU48+AW48+AY48+AZ48</f>
        <v>0</v>
      </c>
      <c r="BB48" s="37"/>
      <c r="BC48" s="57"/>
      <c r="BD48" s="57"/>
      <c r="BE48" s="37"/>
      <c r="BF48" s="57"/>
    </row>
    <row r="49" spans="1:58" ht="12.95" customHeight="1">
      <c r="A49" s="44"/>
      <c r="B49" s="45"/>
      <c r="C49" s="452"/>
      <c r="D49" s="45"/>
      <c r="E49" s="46"/>
      <c r="F49" s="46"/>
      <c r="G49" s="465"/>
      <c r="H49" s="48"/>
      <c r="I49" s="49"/>
      <c r="J49" s="91"/>
      <c r="K49" s="91"/>
      <c r="L49" s="39"/>
      <c r="M49" s="39"/>
      <c r="N49" s="50"/>
      <c r="O49" s="51"/>
      <c r="P49" s="52"/>
      <c r="Q49" s="51"/>
      <c r="R49" s="422"/>
      <c r="S49" s="422"/>
      <c r="T49" s="41"/>
      <c r="U49" s="41"/>
      <c r="V49" s="41"/>
      <c r="W49" s="41"/>
      <c r="X49" s="42"/>
      <c r="Y49" s="223"/>
      <c r="Z49" s="41"/>
      <c r="AA49" s="41"/>
      <c r="AB49" s="41"/>
      <c r="AC49" s="41"/>
      <c r="AD49" s="41"/>
      <c r="AE49" s="241"/>
      <c r="AF49" s="41"/>
      <c r="AG49" s="41"/>
      <c r="AH49" s="41"/>
      <c r="AI49" s="46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37"/>
      <c r="BC49" s="57"/>
      <c r="BD49" s="57"/>
      <c r="BE49" s="37"/>
      <c r="BF49" s="57"/>
    </row>
    <row r="50" spans="1:58" ht="12.95" customHeight="1">
      <c r="A50" s="346">
        <v>46001</v>
      </c>
      <c r="B50" s="45" t="s">
        <v>7</v>
      </c>
      <c r="C50" s="452">
        <f>(M50*E50*O50*Q50)/100000000</f>
        <v>47.6977501</v>
      </c>
      <c r="D50" s="45" t="s">
        <v>410</v>
      </c>
      <c r="E50" s="46">
        <v>13</v>
      </c>
      <c r="F50" s="46">
        <v>1</v>
      </c>
      <c r="G50" s="465">
        <v>1700</v>
      </c>
      <c r="H50" s="48">
        <v>0.24</v>
      </c>
      <c r="I50" s="49">
        <v>0.88</v>
      </c>
      <c r="J50" s="91">
        <f>E50*G50*(1-H50)*1440/1000000*2.77</f>
        <v>66.995884799999999</v>
      </c>
      <c r="K50" s="91">
        <f>(IF(G50&lt;L50,L50,G50)*(1-IF(H50&lt;N50,H50,N50))*E50*O50*Q50)/100000000</f>
        <v>48.292698999999999</v>
      </c>
      <c r="L50" s="39">
        <v>1679.0566037735848</v>
      </c>
      <c r="M50" s="39">
        <v>1276.0830188679245</v>
      </c>
      <c r="N50" s="50">
        <f>1-(M50/L50)</f>
        <v>0.24</v>
      </c>
      <c r="O50" s="51">
        <f>+'Trim Rwd'!H43</f>
        <v>271.25</v>
      </c>
      <c r="P50" s="52">
        <f>O50*(Q50-R50-S50)</f>
        <v>276132.5</v>
      </c>
      <c r="Q50" s="51">
        <v>1060</v>
      </c>
      <c r="R50" s="422">
        <v>0</v>
      </c>
      <c r="S50" s="422">
        <v>42</v>
      </c>
      <c r="T50" s="41">
        <f>E50*M50*O50*Q50/100000000</f>
        <v>47.6977501</v>
      </c>
      <c r="U50" s="41">
        <f>E50*M50*O50*(Q50-R50-S50)/100000000</f>
        <v>45.807839246981132</v>
      </c>
      <c r="V50" s="41">
        <f>E50*G50*(1-N50)*O50/100*(R50+S50)/1000000</f>
        <v>1.9134843000000001</v>
      </c>
      <c r="W50" s="41">
        <f>+'10'!K7/1000</f>
        <v>58.976999999999997</v>
      </c>
      <c r="X50" s="419">
        <f>SUM(W50:W54)/SUM(K50:K54)</f>
        <v>0.94746434440753069</v>
      </c>
      <c r="Y50" s="223">
        <v>0</v>
      </c>
      <c r="Z50" s="41">
        <f>+'10'!D34/1000</f>
        <v>0.26</v>
      </c>
      <c r="AA50" s="53">
        <f>SUM(U50:U54)-SUM(W50:W54)-SUM(Z50:Z54)-SUM(Y50:Y54)</f>
        <v>-1.3899454250188674</v>
      </c>
      <c r="AB50" s="53">
        <f>(SUM(K50:K54)-SUM(W50:W54)-SUM(Y50:Y54)-SUM(Z50:Z54)-SUM(AC50:AC54)-SUM(V50:V54))-AA50</f>
        <v>-8.917543098113101E-2</v>
      </c>
      <c r="AC50" s="41">
        <f>K50-T50</f>
        <v>0.59494889999999856</v>
      </c>
      <c r="AD50" s="41">
        <f>+AM50+BA50</f>
        <v>0</v>
      </c>
      <c r="AE50" s="241" t="s">
        <v>492</v>
      </c>
      <c r="AF50" s="41">
        <v>0</v>
      </c>
      <c r="AG50" s="41"/>
      <c r="AH50" s="41"/>
      <c r="AI50" s="461"/>
      <c r="AJ50" s="41"/>
      <c r="AK50" s="41"/>
      <c r="AL50" s="41"/>
      <c r="AM50" s="41">
        <f>SUM(AF50:AL50)+AT50+AV50+AX50</f>
        <v>0</v>
      </c>
      <c r="AN50" s="41"/>
      <c r="AO50" s="41"/>
      <c r="AP50" s="41"/>
      <c r="AQ50" s="41"/>
      <c r="AR50" s="41">
        <f>SUM(AN50:AQ50)</f>
        <v>0</v>
      </c>
      <c r="AS50" s="41"/>
      <c r="AT50" s="41"/>
      <c r="AU50" s="41"/>
      <c r="AV50" s="41"/>
      <c r="AW50" s="41"/>
      <c r="AX50" s="41"/>
      <c r="AY50" s="41"/>
      <c r="AZ50" s="41"/>
      <c r="BA50" s="41">
        <f>+AR50+AS50+AU50+AW50+AY50+AZ50</f>
        <v>0</v>
      </c>
      <c r="BB50" s="37">
        <v>0</v>
      </c>
      <c r="BC50" s="55"/>
      <c r="BD50" s="55"/>
      <c r="BE50" s="37"/>
      <c r="BF50" s="55"/>
    </row>
    <row r="51" spans="1:58" ht="12.95" customHeight="1">
      <c r="A51" s="346"/>
      <c r="B51" s="45" t="s">
        <v>7</v>
      </c>
      <c r="C51" s="452">
        <f>(M51*E51*O51*Q51)/100000000</f>
        <v>12.708060624000002</v>
      </c>
      <c r="D51" s="45" t="s">
        <v>410</v>
      </c>
      <c r="E51" s="46">
        <v>10.5</v>
      </c>
      <c r="F51" s="46">
        <v>1</v>
      </c>
      <c r="G51" s="465">
        <v>1730</v>
      </c>
      <c r="H51" s="48">
        <v>0.24</v>
      </c>
      <c r="I51" s="49">
        <v>0.88</v>
      </c>
      <c r="J51" s="91">
        <f>E51*G51*(1-H51)*1440/1000000*2.77</f>
        <v>55.066979519999997</v>
      </c>
      <c r="K51" s="91">
        <f>(IF(G51&lt;L51,L51,G51)*(1-IF(H51&lt;N51,H51,N51))*E51*O51*Q51)/100000000</f>
        <v>13.954498320000003</v>
      </c>
      <c r="L51" s="39">
        <v>1575.4736842105262</v>
      </c>
      <c r="M51" s="39">
        <v>1197.3600000000001</v>
      </c>
      <c r="N51" s="50">
        <f>1-(M51/L51)</f>
        <v>0.23999999999999988</v>
      </c>
      <c r="O51" s="51">
        <f>+'Trim Rwd'!H45</f>
        <v>266</v>
      </c>
      <c r="P51" s="52">
        <f>O51*(Q51-R51-S51)</f>
        <v>95760</v>
      </c>
      <c r="Q51" s="51">
        <v>380</v>
      </c>
      <c r="R51" s="422">
        <v>0</v>
      </c>
      <c r="S51" s="422">
        <v>20</v>
      </c>
      <c r="T51" s="41">
        <f>E51*M51*O51*Q51/100000000</f>
        <v>12.708060624000002</v>
      </c>
      <c r="U51" s="41">
        <f>E51*M51*O51*(Q51-R51-S51)/100000000</f>
        <v>12.039215327999999</v>
      </c>
      <c r="V51" s="41">
        <f>E51*G51*(1-N51)*O51/100*(R51+S51)/1000000</f>
        <v>0.73444728000000004</v>
      </c>
      <c r="W51" s="41">
        <f>+'10'!K15/1000</f>
        <v>0</v>
      </c>
      <c r="X51" s="42"/>
      <c r="Y51" s="223"/>
      <c r="Z51" s="41"/>
      <c r="AA51" s="41"/>
      <c r="AB51" s="41"/>
      <c r="AC51" s="41">
        <f>K51-T51</f>
        <v>1.246437696000001</v>
      </c>
      <c r="AD51" s="41">
        <f>+AM51+BA51</f>
        <v>19</v>
      </c>
      <c r="AE51" s="241" t="s">
        <v>582</v>
      </c>
      <c r="AF51" s="41"/>
      <c r="AG51" s="41">
        <v>19</v>
      </c>
      <c r="AH51" s="41"/>
      <c r="AI51" s="461"/>
      <c r="AJ51" s="41"/>
      <c r="AK51" s="41"/>
      <c r="AL51" s="41"/>
      <c r="AM51" s="41">
        <f>SUM(AF51:AL51)+AT51+AV51+AX51</f>
        <v>19</v>
      </c>
      <c r="AN51" s="92"/>
      <c r="AO51" s="41"/>
      <c r="AP51" s="41"/>
      <c r="AQ51" s="41"/>
      <c r="AR51" s="41">
        <f>SUM(AN51:AQ51)</f>
        <v>0</v>
      </c>
      <c r="AS51" s="41"/>
      <c r="AT51" s="41"/>
      <c r="AU51" s="41"/>
      <c r="AV51" s="41"/>
      <c r="AW51" s="41"/>
      <c r="AX51" s="41"/>
      <c r="AY51" s="41"/>
      <c r="AZ51" s="41"/>
      <c r="BA51" s="41">
        <f>+AR51+AS51+AU51+AW51+AY51+AZ51</f>
        <v>0</v>
      </c>
      <c r="BB51" s="54"/>
      <c r="BC51" s="55">
        <v>13</v>
      </c>
      <c r="BD51" s="55"/>
      <c r="BE51" s="54"/>
      <c r="BF51" s="55"/>
    </row>
    <row r="52" spans="1:58" ht="12.95" customHeight="1">
      <c r="A52" s="44"/>
      <c r="B52" s="45"/>
      <c r="C52" s="452"/>
      <c r="D52" s="45"/>
      <c r="E52" s="46"/>
      <c r="F52" s="46"/>
      <c r="G52" s="465"/>
      <c r="H52" s="48"/>
      <c r="I52" s="49"/>
      <c r="J52" s="91"/>
      <c r="K52" s="91"/>
      <c r="L52" s="39"/>
      <c r="M52" s="39"/>
      <c r="N52" s="50"/>
      <c r="O52" s="51"/>
      <c r="P52" s="52"/>
      <c r="Q52" s="51"/>
      <c r="R52" s="422"/>
      <c r="S52" s="422"/>
      <c r="T52" s="41"/>
      <c r="U52" s="41"/>
      <c r="V52" s="41"/>
      <c r="W52" s="41"/>
      <c r="X52" s="42"/>
      <c r="Y52" s="223"/>
      <c r="Z52" s="41"/>
      <c r="AA52" s="41"/>
      <c r="AB52" s="41"/>
      <c r="AC52" s="41"/>
      <c r="AD52" s="41">
        <f>+AM52+BA52</f>
        <v>25</v>
      </c>
      <c r="AE52" s="241" t="s">
        <v>583</v>
      </c>
      <c r="AF52" s="37"/>
      <c r="AG52" s="37"/>
      <c r="AH52" s="37">
        <v>25</v>
      </c>
      <c r="AJ52" s="41"/>
      <c r="AK52" s="41"/>
      <c r="AL52" s="41"/>
      <c r="AM52" s="41">
        <f>SUM(AF52:AL52)+AT52+AV52+AX52</f>
        <v>25</v>
      </c>
      <c r="AN52" s="41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37"/>
      <c r="BC52" s="57"/>
      <c r="BD52" s="57"/>
      <c r="BE52" s="37"/>
      <c r="BF52" s="57"/>
    </row>
    <row r="53" spans="1:58" ht="12.95" customHeight="1">
      <c r="A53" s="44"/>
      <c r="B53" s="45"/>
      <c r="C53" s="452"/>
      <c r="D53" s="45"/>
      <c r="E53" s="46"/>
      <c r="F53" s="46"/>
      <c r="G53" s="465"/>
      <c r="H53" s="48"/>
      <c r="I53" s="49"/>
      <c r="J53" s="91"/>
      <c r="K53" s="91"/>
      <c r="L53" s="39"/>
      <c r="M53" s="39"/>
      <c r="N53" s="50"/>
      <c r="O53" s="51"/>
      <c r="P53" s="52"/>
      <c r="Q53" s="51"/>
      <c r="R53" s="422"/>
      <c r="S53" s="422"/>
      <c r="T53" s="41"/>
      <c r="U53" s="41"/>
      <c r="V53" s="41"/>
      <c r="W53" s="41"/>
      <c r="X53" s="42"/>
      <c r="Y53" s="223"/>
      <c r="Z53" s="41"/>
      <c r="AA53" s="41"/>
      <c r="AB53" s="41"/>
      <c r="AC53" s="41"/>
      <c r="AD53" s="41">
        <f>+AM53+BA53</f>
        <v>18</v>
      </c>
      <c r="AE53" s="241" t="s">
        <v>420</v>
      </c>
      <c r="AF53" s="41"/>
      <c r="AG53" s="41"/>
      <c r="AH53" s="41"/>
      <c r="AI53" s="461">
        <v>18</v>
      </c>
      <c r="AJ53" s="41"/>
      <c r="AK53" s="41"/>
      <c r="AL53" s="41"/>
      <c r="AM53" s="41">
        <f>SUM(AF53:AL53)+AT53+AV53+AX53</f>
        <v>18</v>
      </c>
      <c r="AN53" s="41"/>
      <c r="AO53" s="41"/>
      <c r="AP53" s="41"/>
      <c r="AQ53" s="41"/>
      <c r="AR53" s="41">
        <f>SUM(AN53:AQ53)</f>
        <v>0</v>
      </c>
      <c r="AS53" s="41"/>
      <c r="AT53" s="41"/>
      <c r="AU53" s="41"/>
      <c r="AV53" s="41"/>
      <c r="AW53" s="41"/>
      <c r="AX53" s="41"/>
      <c r="AY53" s="41"/>
      <c r="AZ53" s="41"/>
      <c r="BA53" s="41">
        <f>+AR53+AS53+AU53+AW53+AY53+AZ53</f>
        <v>0</v>
      </c>
      <c r="BB53" s="37"/>
      <c r="BC53" s="57"/>
      <c r="BD53" s="57"/>
      <c r="BE53" s="37"/>
      <c r="BF53" s="57"/>
    </row>
    <row r="54" spans="1:58" ht="12.75" customHeight="1">
      <c r="A54" s="44"/>
      <c r="B54" s="45"/>
      <c r="C54" s="452"/>
      <c r="D54" s="45"/>
      <c r="E54" s="46"/>
      <c r="F54" s="46"/>
      <c r="G54" s="47"/>
      <c r="H54" s="48"/>
      <c r="I54" s="49"/>
      <c r="J54" s="91"/>
      <c r="K54" s="91"/>
      <c r="L54" s="39"/>
      <c r="M54" s="39"/>
      <c r="N54" s="50"/>
      <c r="O54" s="51"/>
      <c r="P54" s="52"/>
      <c r="Q54" s="51"/>
      <c r="R54" s="422"/>
      <c r="S54" s="422"/>
      <c r="T54" s="41"/>
      <c r="U54" s="41"/>
      <c r="V54" s="41"/>
      <c r="W54" s="41"/>
      <c r="X54" s="42"/>
      <c r="Y54" s="223"/>
      <c r="Z54" s="41"/>
      <c r="AA54" s="41"/>
      <c r="AB54" s="41"/>
      <c r="AC54" s="41"/>
      <c r="AD54" s="41"/>
      <c r="AE54" s="241"/>
      <c r="AF54" s="37"/>
      <c r="AG54" s="37"/>
      <c r="AH54" s="37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37"/>
      <c r="BC54" s="57"/>
      <c r="BD54" s="55"/>
      <c r="BE54" s="55"/>
      <c r="BF54" s="55"/>
    </row>
    <row r="55" spans="1:58" ht="12.95" customHeight="1">
      <c r="A55" s="346">
        <v>46002</v>
      </c>
      <c r="B55" s="45" t="s">
        <v>7</v>
      </c>
      <c r="C55" s="452">
        <f>(M55*E55*O55*Q55)/100000000</f>
        <v>5.5602597120000015</v>
      </c>
      <c r="D55" s="45" t="s">
        <v>410</v>
      </c>
      <c r="E55" s="46">
        <v>10.3</v>
      </c>
      <c r="F55" s="46">
        <v>1</v>
      </c>
      <c r="G55" s="465">
        <v>1730</v>
      </c>
      <c r="H55" s="48">
        <f>+N55</f>
        <v>0.15999999999999992</v>
      </c>
      <c r="I55" s="49">
        <v>0.88</v>
      </c>
      <c r="J55" s="91">
        <f>E55*G55*(1-H55)*1440/1000000*2.77</f>
        <v>59.704198848000011</v>
      </c>
      <c r="K55" s="91">
        <f>(IF(G55&lt;L55,L55,G55)*(1-IF(H55&lt;N55,H55,N55))*E55*O55*Q55)/100000000</f>
        <v>6.3703637760000005</v>
      </c>
      <c r="L55" s="39">
        <v>1510</v>
      </c>
      <c r="M55" s="39">
        <v>1268.4000000000001</v>
      </c>
      <c r="N55" s="50">
        <f>1-(M55/L55)</f>
        <v>0.15999999999999992</v>
      </c>
      <c r="O55" s="51">
        <f>+'Trim Rwd'!H47</f>
        <v>266</v>
      </c>
      <c r="P55" s="52">
        <f>O55*(Q55-R55-S55)</f>
        <v>39368</v>
      </c>
      <c r="Q55" s="51">
        <v>160</v>
      </c>
      <c r="R55" s="422">
        <v>0</v>
      </c>
      <c r="S55" s="422">
        <v>12</v>
      </c>
      <c r="T55" s="41">
        <f>E55*M55*O55*Q55/100000000</f>
        <v>5.5602597120000015</v>
      </c>
      <c r="U55" s="41">
        <f>E55*M55*O55*(Q55-R55-S55)/100000000</f>
        <v>5.1432402336000012</v>
      </c>
      <c r="V55" s="41">
        <f>E55*G55*(1-N55)*O55/100*(R55+S55)/1000000</f>
        <v>0.47777728320000001</v>
      </c>
      <c r="W55" s="41">
        <f>+'11'!K16/1000</f>
        <v>9.1530000000000005</v>
      </c>
      <c r="X55" s="419">
        <f>SUM(W55:W58)/SUM(K55:K58)</f>
        <v>0.89446437914319621</v>
      </c>
      <c r="Y55" s="223">
        <v>0</v>
      </c>
      <c r="Z55" s="41">
        <v>0</v>
      </c>
      <c r="AA55" s="53">
        <f>SUM(U55:U58)-SUM(W55:W58)-SUM(Z55:Z58)-SUM(Y55:Y58)</f>
        <v>0.58206023360000647</v>
      </c>
      <c r="AB55" s="53">
        <f>(SUM(K55:K58)-SUM(W55:W58)-SUM(Y55:Y58)-SUM(Z55:Z58)-SUM(AC55:AC58)-SUM(V55:V58))-AA55</f>
        <v>-3.7097804800002576E-2</v>
      </c>
      <c r="AC55" s="41">
        <f>K55-T55</f>
        <v>0.81010406399999901</v>
      </c>
      <c r="AD55" s="41">
        <f>+AM55+BA55</f>
        <v>0</v>
      </c>
      <c r="AE55" s="241" t="s">
        <v>492</v>
      </c>
      <c r="AF55" s="41">
        <v>0</v>
      </c>
      <c r="AG55" s="41"/>
      <c r="AH55" s="41"/>
      <c r="AI55" s="461"/>
      <c r="AJ55" s="41"/>
      <c r="AK55" s="41"/>
      <c r="AL55" s="41"/>
      <c r="AM55" s="41">
        <f>SUM(AF55:AL55)+AT55+AV55+AX55</f>
        <v>0</v>
      </c>
      <c r="AN55" s="41"/>
      <c r="AO55" s="41"/>
      <c r="AP55" s="41"/>
      <c r="AQ55" s="41"/>
      <c r="AR55" s="41">
        <f>SUM(AN55:AQ55)</f>
        <v>0</v>
      </c>
      <c r="AS55" s="41"/>
      <c r="AT55" s="41"/>
      <c r="AU55" s="41"/>
      <c r="AV55" s="41"/>
      <c r="AW55" s="41"/>
      <c r="AX55" s="41"/>
      <c r="AY55" s="41"/>
      <c r="AZ55" s="41"/>
      <c r="BA55" s="41">
        <f>+AR55+AS55+AU55+AW55+AY55+AZ55</f>
        <v>0</v>
      </c>
      <c r="BB55" s="37">
        <v>0</v>
      </c>
      <c r="BC55" s="55"/>
      <c r="BD55" s="55"/>
      <c r="BE55" s="37"/>
      <c r="BF55" s="55"/>
    </row>
    <row r="56" spans="1:58" ht="12.95" customHeight="1">
      <c r="A56" s="346"/>
      <c r="B56" s="45" t="s">
        <v>599</v>
      </c>
      <c r="C56" s="452">
        <f>(M56*E56*O56*Q56)/100000000</f>
        <v>47.157760000000003</v>
      </c>
      <c r="D56" s="45" t="s">
        <v>410</v>
      </c>
      <c r="E56" s="46">
        <v>13</v>
      </c>
      <c r="F56" s="46">
        <v>1</v>
      </c>
      <c r="G56" s="465">
        <v>1350</v>
      </c>
      <c r="H56" s="48">
        <f>+N56</f>
        <v>0.19999999999999996</v>
      </c>
      <c r="I56" s="49">
        <v>0.88</v>
      </c>
      <c r="J56" s="91">
        <f>E56*G56*(1-H56)*1440/1000000*2.77</f>
        <v>56.002752000000001</v>
      </c>
      <c r="K56" s="91">
        <f>(IF(G56&lt;L56,L56,G56)*(1-IF(H56&lt;N56,H56,N56))*E56*O56*Q56)/100000000</f>
        <v>47.157760000000003</v>
      </c>
      <c r="L56" s="39">
        <v>1362.5</v>
      </c>
      <c r="M56" s="39">
        <v>1090</v>
      </c>
      <c r="N56" s="50">
        <f>1-(M56/L56)</f>
        <v>0.19999999999999996</v>
      </c>
      <c r="O56" s="51">
        <f>+'Trim Rwd'!H49</f>
        <v>260</v>
      </c>
      <c r="P56" s="52">
        <f>O56*(Q56-R56-S56)</f>
        <v>314600</v>
      </c>
      <c r="Q56" s="51">
        <v>1280</v>
      </c>
      <c r="R56" s="422">
        <v>0</v>
      </c>
      <c r="S56" s="422">
        <v>70</v>
      </c>
      <c r="T56" s="41">
        <f>E56*M56*O56*Q56/100000000</f>
        <v>47.157760000000003</v>
      </c>
      <c r="U56" s="41">
        <f>E56*M56*O56*(Q56-R56-S56)/100000000</f>
        <v>44.57882</v>
      </c>
      <c r="V56" s="41">
        <f>E56*G56*(1-N56)*O56/100*(R56+S56)/1000000</f>
        <v>2.5552800000000002</v>
      </c>
      <c r="W56" s="41">
        <f>+'11'!K17/1000</f>
        <v>38.725999999999999</v>
      </c>
      <c r="X56" s="42"/>
      <c r="Y56" s="223"/>
      <c r="Z56" s="41">
        <f>+'11'!D34/1000</f>
        <v>1.2609999999999999</v>
      </c>
      <c r="AA56" s="41"/>
      <c r="AB56" s="41"/>
      <c r="AC56" s="41">
        <f>K56-T56</f>
        <v>0</v>
      </c>
      <c r="AD56" s="41">
        <f>+AM56+BA56</f>
        <v>4</v>
      </c>
      <c r="AE56" s="241" t="s">
        <v>563</v>
      </c>
      <c r="AF56" s="41"/>
      <c r="AG56" s="41">
        <v>4</v>
      </c>
      <c r="AH56" s="41"/>
      <c r="AI56" s="461"/>
      <c r="AJ56" s="41"/>
      <c r="AK56" s="41"/>
      <c r="AL56" s="41"/>
      <c r="AM56" s="41">
        <f>SUM(AF56:AL56)+AT56+AV56+AX56</f>
        <v>4</v>
      </c>
      <c r="AN56" s="92"/>
      <c r="AO56" s="41"/>
      <c r="AP56" s="41"/>
      <c r="AQ56" s="41"/>
      <c r="AR56" s="41">
        <f>SUM(AN56:AQ56)</f>
        <v>0</v>
      </c>
      <c r="AS56" s="41"/>
      <c r="AT56" s="41"/>
      <c r="AU56" s="41"/>
      <c r="AV56" s="41"/>
      <c r="AW56" s="41"/>
      <c r="AX56" s="41"/>
      <c r="AY56" s="41"/>
      <c r="AZ56" s="41"/>
      <c r="BA56" s="41">
        <f>+AR56+AS56+AU56+AW56+AY56+AZ56</f>
        <v>0</v>
      </c>
      <c r="BB56" s="54"/>
      <c r="BC56" s="55">
        <v>3</v>
      </c>
      <c r="BD56" s="55"/>
      <c r="BE56" s="54"/>
      <c r="BF56" s="55"/>
    </row>
    <row r="57" spans="1:58" ht="12.95" customHeight="1">
      <c r="A57" s="44"/>
      <c r="B57" s="45"/>
      <c r="C57" s="452"/>
      <c r="D57" s="45"/>
      <c r="E57" s="46"/>
      <c r="F57" s="46"/>
      <c r="G57" s="465"/>
      <c r="H57" s="48"/>
      <c r="I57" s="49"/>
      <c r="J57" s="91"/>
      <c r="K57" s="91"/>
      <c r="L57" s="39"/>
      <c r="M57" s="39"/>
      <c r="N57" s="50"/>
      <c r="O57" s="51"/>
      <c r="P57" s="52"/>
      <c r="Q57" s="51"/>
      <c r="R57" s="422"/>
      <c r="S57" s="422"/>
      <c r="T57" s="41"/>
      <c r="U57" s="41"/>
      <c r="V57" s="41"/>
      <c r="W57" s="41"/>
      <c r="X57" s="42"/>
      <c r="Y57" s="223"/>
      <c r="Z57" s="41"/>
      <c r="AA57" s="41"/>
      <c r="AB57" s="41"/>
      <c r="AC57" s="41"/>
      <c r="AD57" s="41">
        <f>+AM57+BA57</f>
        <v>18</v>
      </c>
      <c r="AE57" s="241" t="s">
        <v>457</v>
      </c>
      <c r="AF57" s="37"/>
      <c r="AG57" s="37"/>
      <c r="AH57" s="37">
        <v>18</v>
      </c>
      <c r="AJ57" s="41"/>
      <c r="AK57" s="41"/>
      <c r="AL57" s="41"/>
      <c r="AM57" s="41">
        <f>SUM(AF57:AL57)+AT57+AV57+AX57</f>
        <v>18</v>
      </c>
      <c r="AN57" s="41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37"/>
      <c r="BC57" s="57"/>
      <c r="BD57" s="57"/>
      <c r="BE57" s="37"/>
      <c r="BF57" s="57"/>
    </row>
    <row r="58" spans="1:58" ht="12.95" customHeight="1">
      <c r="A58" s="44"/>
      <c r="B58" s="45"/>
      <c r="C58" s="452"/>
      <c r="D58" s="45"/>
      <c r="E58" s="46"/>
      <c r="F58" s="46"/>
      <c r="G58" s="465"/>
      <c r="H58" s="48"/>
      <c r="I58" s="49"/>
      <c r="J58" s="91"/>
      <c r="K58" s="91"/>
      <c r="L58" s="39"/>
      <c r="M58" s="39"/>
      <c r="N58" s="50"/>
      <c r="O58" s="51"/>
      <c r="P58" s="52"/>
      <c r="Q58" s="51"/>
      <c r="R58" s="422"/>
      <c r="S58" s="422"/>
      <c r="T58" s="41"/>
      <c r="U58" s="41"/>
      <c r="V58" s="41"/>
      <c r="W58" s="41"/>
      <c r="X58" s="42"/>
      <c r="Y58" s="223"/>
      <c r="Z58" s="41"/>
      <c r="AA58" s="41"/>
      <c r="AB58" s="41"/>
      <c r="AC58" s="41"/>
      <c r="AD58" s="41">
        <f>+AM58+BA58</f>
        <v>60</v>
      </c>
      <c r="AE58" s="241" t="s">
        <v>600</v>
      </c>
      <c r="AF58" s="41"/>
      <c r="AG58" s="41"/>
      <c r="AH58" s="41"/>
      <c r="AI58" s="461"/>
      <c r="AJ58" s="41"/>
      <c r="AK58" s="41"/>
      <c r="AL58" s="41"/>
      <c r="AM58" s="41">
        <f>SUM(AF58:AL58)+AT58+AV58+AX58</f>
        <v>60</v>
      </c>
      <c r="AN58" s="41"/>
      <c r="AO58" s="41"/>
      <c r="AP58" s="41"/>
      <c r="AQ58" s="41"/>
      <c r="AR58" s="41">
        <f>SUM(AN58:AQ58)</f>
        <v>0</v>
      </c>
      <c r="AS58" s="41"/>
      <c r="AT58" s="41">
        <v>60</v>
      </c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37"/>
      <c r="BC58" s="57"/>
      <c r="BD58" s="57"/>
      <c r="BE58" s="37"/>
      <c r="BF58" s="57"/>
    </row>
    <row r="59" spans="1:58" ht="12.95" customHeight="1">
      <c r="A59" s="346"/>
      <c r="B59" s="45"/>
      <c r="C59" s="452"/>
      <c r="D59" s="45"/>
      <c r="E59" s="46"/>
      <c r="F59" s="46"/>
      <c r="G59" s="47"/>
      <c r="H59" s="48"/>
      <c r="I59" s="49"/>
      <c r="J59" s="91"/>
      <c r="K59" s="91"/>
      <c r="L59" s="39"/>
      <c r="M59" s="39"/>
      <c r="N59" s="50"/>
      <c r="O59" s="51"/>
      <c r="P59" s="52"/>
      <c r="Q59" s="51"/>
      <c r="R59" s="422"/>
      <c r="S59" s="422"/>
      <c r="T59" s="41"/>
      <c r="U59" s="41"/>
      <c r="V59" s="41"/>
      <c r="W59" s="41"/>
      <c r="X59" s="419"/>
      <c r="Y59" s="223"/>
      <c r="Z59" s="41"/>
      <c r="AA59" s="53"/>
      <c r="AB59" s="53"/>
      <c r="AC59" s="41"/>
      <c r="AD59" s="41"/>
      <c r="AE59" s="2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37"/>
      <c r="BC59" s="55"/>
      <c r="BD59" s="55"/>
      <c r="BE59" s="55"/>
      <c r="BF59" s="55"/>
    </row>
    <row r="60" spans="1:58" ht="12.95" customHeight="1">
      <c r="A60" s="346">
        <v>46003</v>
      </c>
      <c r="B60" s="45" t="s">
        <v>599</v>
      </c>
      <c r="C60" s="452">
        <f>(M60*E60*O60*Q60)/100000000</f>
        <v>52.658057739130427</v>
      </c>
      <c r="D60" s="45" t="s">
        <v>410</v>
      </c>
      <c r="E60" s="46">
        <v>13</v>
      </c>
      <c r="F60" s="46">
        <v>1</v>
      </c>
      <c r="G60" s="465">
        <v>1350</v>
      </c>
      <c r="H60" s="48">
        <f>+N60</f>
        <v>0.19999999999999996</v>
      </c>
      <c r="I60" s="49">
        <v>0.88</v>
      </c>
      <c r="J60" s="91">
        <f>E60*G60*(1-H60)*1440/1000000*2.77</f>
        <v>56.002752000000001</v>
      </c>
      <c r="K60" s="91">
        <f>(IF(G60&lt;L60,L60,G60)*(1-IF(H60&lt;N60,H60,N60))*E60*O60*Q60)/100000000</f>
        <v>52.658057739130427</v>
      </c>
      <c r="L60" s="39">
        <v>1350</v>
      </c>
      <c r="M60" s="39">
        <f>+L60-L60*0.2</f>
        <v>1080</v>
      </c>
      <c r="N60" s="50">
        <f>1-(M60/L60)</f>
        <v>0.19999999999999996</v>
      </c>
      <c r="O60" s="51">
        <f>+'Trim Rwd'!H51</f>
        <v>260.45652173913044</v>
      </c>
      <c r="P60" s="52">
        <f>O60*(Q60-R60-S60)</f>
        <v>374015.5652173913</v>
      </c>
      <c r="Q60" s="51">
        <v>1440</v>
      </c>
      <c r="R60" s="422">
        <v>0</v>
      </c>
      <c r="S60" s="422">
        <v>4</v>
      </c>
      <c r="T60" s="41">
        <f>E60*M60*O60*Q60/100000000</f>
        <v>52.658057739130427</v>
      </c>
      <c r="U60" s="41">
        <f>E60*M60*O60*(Q60-R60-S60)/100000000</f>
        <v>52.511785356521742</v>
      </c>
      <c r="V60" s="41">
        <f>E60*G60*(1-N60)*O60/100*(R60+S60)/1000000</f>
        <v>0.14627238260869566</v>
      </c>
      <c r="W60" s="41">
        <f>+'12'!K34/1000</f>
        <v>54.314999999999998</v>
      </c>
      <c r="X60" s="419">
        <f>SUM(W60:W63)/SUM(K60:K63)</f>
        <v>1.031466072468493</v>
      </c>
      <c r="Y60" s="223">
        <v>0</v>
      </c>
      <c r="Z60" s="41">
        <f>+'12'!D34/1000</f>
        <v>0.27300000000000002</v>
      </c>
      <c r="AA60" s="53">
        <f>SUM(U60:U63)-SUM(W60:W63)-SUM(Z60:Z63)-SUM(Y60:Y63)</f>
        <v>-2.0762146434782562</v>
      </c>
      <c r="AB60" s="53">
        <f>(SUM(K60:K63)-SUM(W60:W63)-SUM(Y60:Y63)-SUM(Z60:Z63)-SUM(AC60:AC63)-SUM(V60:V63))-AA60</f>
        <v>-9.7699626167013776E-15</v>
      </c>
      <c r="AC60" s="41">
        <f>K60-T60</f>
        <v>0</v>
      </c>
      <c r="AD60" s="41">
        <f>+AM60+BA60</f>
        <v>0</v>
      </c>
      <c r="AE60" s="241" t="s">
        <v>492</v>
      </c>
      <c r="AF60" s="41">
        <v>0</v>
      </c>
      <c r="AG60" s="41"/>
      <c r="AH60" s="41"/>
      <c r="AI60" s="461"/>
      <c r="AJ60" s="41"/>
      <c r="AK60" s="41"/>
      <c r="AL60" s="41"/>
      <c r="AM60" s="41">
        <f>SUM(AF60:AL60)+AT60+AV60+AX60</f>
        <v>0</v>
      </c>
      <c r="AN60" s="41"/>
      <c r="AO60" s="41"/>
      <c r="AP60" s="41"/>
      <c r="AQ60" s="41"/>
      <c r="AR60" s="41">
        <f>SUM(AN60:AQ60)</f>
        <v>0</v>
      </c>
      <c r="AS60" s="41"/>
      <c r="AT60" s="41"/>
      <c r="AU60" s="41"/>
      <c r="AV60" s="41"/>
      <c r="AW60" s="41"/>
      <c r="AX60" s="41"/>
      <c r="AY60" s="41"/>
      <c r="AZ60" s="41"/>
      <c r="BA60" s="41">
        <f>+AR60+AS60+AU60+AW60+AY60+AZ60</f>
        <v>0</v>
      </c>
      <c r="BB60" s="37">
        <v>0</v>
      </c>
      <c r="BC60" s="55"/>
      <c r="BD60" s="55"/>
      <c r="BE60" s="37"/>
      <c r="BF60" s="55"/>
    </row>
    <row r="61" spans="1:58" ht="12.95" customHeight="1">
      <c r="A61" s="346"/>
      <c r="B61" s="45"/>
      <c r="C61" s="452"/>
      <c r="D61" s="45"/>
      <c r="E61" s="46"/>
      <c r="F61" s="46"/>
      <c r="G61" s="465"/>
      <c r="H61" s="48"/>
      <c r="I61" s="49"/>
      <c r="J61" s="91"/>
      <c r="K61" s="91"/>
      <c r="L61" s="39"/>
      <c r="M61" s="39"/>
      <c r="N61" s="50"/>
      <c r="O61" s="51"/>
      <c r="P61" s="52"/>
      <c r="Q61" s="51"/>
      <c r="R61" s="422"/>
      <c r="S61" s="422"/>
      <c r="T61" s="41"/>
      <c r="U61" s="41"/>
      <c r="V61" s="41"/>
      <c r="W61" s="41"/>
      <c r="X61" s="42"/>
      <c r="Y61" s="223"/>
      <c r="Z61" s="41"/>
      <c r="AA61" s="41"/>
      <c r="AB61" s="41"/>
      <c r="AC61" s="41"/>
      <c r="AD61" s="41">
        <f>+AM61+BA61</f>
        <v>0</v>
      </c>
      <c r="AE61" s="241" t="s">
        <v>448</v>
      </c>
      <c r="AF61" s="41"/>
      <c r="AG61" s="41">
        <v>0</v>
      </c>
      <c r="AH61" s="41"/>
      <c r="AI61" s="461"/>
      <c r="AJ61" s="41"/>
      <c r="AK61" s="41"/>
      <c r="AL61" s="41"/>
      <c r="AM61" s="41">
        <f>SUM(AF61:AL61)+AT61+AV61+AX61</f>
        <v>0</v>
      </c>
      <c r="AN61" s="92"/>
      <c r="AO61" s="41"/>
      <c r="AP61" s="41"/>
      <c r="AQ61" s="41"/>
      <c r="AR61" s="41">
        <f>SUM(AN61:AQ61)</f>
        <v>0</v>
      </c>
      <c r="AS61" s="41"/>
      <c r="AT61" s="41"/>
      <c r="AU61" s="41"/>
      <c r="AV61" s="41"/>
      <c r="AW61" s="41"/>
      <c r="AX61" s="41"/>
      <c r="AY61" s="41"/>
      <c r="AZ61" s="41"/>
      <c r="BA61" s="41">
        <f>+AR61+AS61+AU61+AW61+AY61+AZ61</f>
        <v>0</v>
      </c>
      <c r="BB61" s="54"/>
      <c r="BC61" s="55">
        <v>0</v>
      </c>
      <c r="BD61" s="55"/>
      <c r="BE61" s="54"/>
      <c r="BF61" s="55"/>
    </row>
    <row r="62" spans="1:58" ht="12.95" customHeight="1">
      <c r="A62" s="44"/>
      <c r="B62" s="45"/>
      <c r="C62" s="452"/>
      <c r="D62" s="45"/>
      <c r="E62" s="46"/>
      <c r="F62" s="46"/>
      <c r="G62" s="465"/>
      <c r="H62" s="48"/>
      <c r="I62" s="49"/>
      <c r="J62" s="91"/>
      <c r="K62" s="91"/>
      <c r="L62" s="39"/>
      <c r="M62" s="39"/>
      <c r="N62" s="50"/>
      <c r="O62" s="51"/>
      <c r="P62" s="52"/>
      <c r="Q62" s="51"/>
      <c r="R62" s="422"/>
      <c r="S62" s="422"/>
      <c r="T62" s="41"/>
      <c r="U62" s="41"/>
      <c r="V62" s="41"/>
      <c r="W62" s="41"/>
      <c r="X62" s="42"/>
      <c r="Y62" s="223"/>
      <c r="Z62" s="41"/>
      <c r="AA62" s="41"/>
      <c r="AB62" s="41"/>
      <c r="AC62" s="41"/>
      <c r="AD62" s="41">
        <f>+AM62+BA62</f>
        <v>4</v>
      </c>
      <c r="AE62" s="241" t="s">
        <v>607</v>
      </c>
      <c r="AF62" s="37"/>
      <c r="AG62" s="37"/>
      <c r="AH62" s="37">
        <v>4</v>
      </c>
      <c r="AJ62" s="41"/>
      <c r="AK62" s="41"/>
      <c r="AL62" s="41"/>
      <c r="AM62" s="41">
        <f>SUM(AF62:AL62)+AT62+AV62+AX62</f>
        <v>4</v>
      </c>
      <c r="AN62" s="41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37"/>
      <c r="BC62" s="57"/>
      <c r="BD62" s="57"/>
      <c r="BE62" s="37"/>
      <c r="BF62" s="57"/>
    </row>
    <row r="63" spans="1:58" ht="12.95" customHeight="1">
      <c r="A63" s="346"/>
      <c r="B63" s="45"/>
      <c r="C63" s="452"/>
      <c r="D63" s="45"/>
      <c r="E63" s="46"/>
      <c r="F63" s="46"/>
      <c r="G63" s="465"/>
      <c r="H63" s="48"/>
      <c r="I63" s="49"/>
      <c r="J63" s="91"/>
      <c r="K63" s="91"/>
      <c r="L63" s="39"/>
      <c r="M63" s="39"/>
      <c r="N63" s="50"/>
      <c r="O63" s="51"/>
      <c r="P63" s="52"/>
      <c r="Q63" s="51"/>
      <c r="R63" s="422"/>
      <c r="S63" s="422"/>
      <c r="T63" s="41"/>
      <c r="U63" s="41"/>
      <c r="V63" s="41"/>
      <c r="W63" s="41"/>
      <c r="X63" s="419"/>
      <c r="Y63" s="223"/>
      <c r="Z63" s="41"/>
      <c r="AA63" s="53"/>
      <c r="AB63" s="53"/>
      <c r="AC63" s="41"/>
      <c r="AD63" s="41"/>
      <c r="AE63" s="241"/>
      <c r="AF63" s="41"/>
      <c r="AG63" s="41"/>
      <c r="AH63" s="41"/>
      <c r="AI63" s="461"/>
      <c r="AJ63" s="41"/>
      <c r="AK63" s="41"/>
      <c r="AL63" s="41"/>
      <c r="AM63" s="41"/>
      <c r="AN63" s="92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54"/>
      <c r="BC63" s="55"/>
      <c r="BD63" s="55"/>
      <c r="BE63" s="55"/>
      <c r="BF63" s="55"/>
    </row>
    <row r="64" spans="1:58" ht="12.95" customHeight="1">
      <c r="A64" s="346">
        <v>46004</v>
      </c>
      <c r="B64" s="45" t="s">
        <v>599</v>
      </c>
      <c r="C64" s="452">
        <f>(M64*E64*O64*Q64)/100000000</f>
        <v>27.998441187096773</v>
      </c>
      <c r="D64" s="45" t="s">
        <v>410</v>
      </c>
      <c r="E64" s="46">
        <v>13</v>
      </c>
      <c r="F64" s="46">
        <v>1</v>
      </c>
      <c r="G64" s="465">
        <v>1350</v>
      </c>
      <c r="H64" s="48">
        <f>+N64</f>
        <v>0.19999999999999996</v>
      </c>
      <c r="I64" s="49">
        <v>0.88</v>
      </c>
      <c r="J64" s="91">
        <f>E64*G64*(1-H64)*1440/1000000*2.77</f>
        <v>56.002752000000001</v>
      </c>
      <c r="K64" s="91">
        <f>(IF(G64&lt;L64,L64,G64)*(1-IF(H64&lt;N64,H64,N64))*E64*O64*Q64)/100000000</f>
        <v>27.998441187096773</v>
      </c>
      <c r="L64" s="39">
        <v>1350</v>
      </c>
      <c r="M64" s="39">
        <v>1080</v>
      </c>
      <c r="N64" s="50">
        <f>1-(M64/L64)</f>
        <v>0.19999999999999996</v>
      </c>
      <c r="O64" s="51">
        <f>+'Trim Rwd'!H54</f>
        <v>262.39354838709676</v>
      </c>
      <c r="P64" s="52">
        <f>O64*(Q64-R64-S64)</f>
        <v>197319.94838709675</v>
      </c>
      <c r="Q64" s="51">
        <v>760</v>
      </c>
      <c r="R64" s="422">
        <v>0</v>
      </c>
      <c r="S64" s="422">
        <v>8</v>
      </c>
      <c r="T64" s="41">
        <f>E64*M64*O64*Q64/100000000</f>
        <v>27.998441187096773</v>
      </c>
      <c r="U64" s="41">
        <f>E64*M64*O64*(Q64-R64-S64)/100000000</f>
        <v>27.703720753548385</v>
      </c>
      <c r="V64" s="41">
        <f>E64*G64*(1-N64)*O64/100*(R64+S64)/1000000</f>
        <v>0.29472043354838706</v>
      </c>
      <c r="W64" s="41">
        <f>+'13'!K17/1000</f>
        <v>39.387999999999998</v>
      </c>
      <c r="X64" s="419">
        <f>SUM(W64:W68)/SUM(K64:K68)</f>
        <v>0.88974941535176078</v>
      </c>
      <c r="Y64" s="223">
        <v>0</v>
      </c>
      <c r="Z64" s="41">
        <f>+'13'!D34/1000</f>
        <v>1.427</v>
      </c>
      <c r="AA64" s="53">
        <f>SUM(U64:U68)-SUM(W64:W68)-SUM(Z64:Z68)-SUM(Y64:Y68)</f>
        <v>4.162173553548385</v>
      </c>
      <c r="AB64" s="53">
        <f>(SUM(K64:K68)-SUM(W64:W68)-SUM(Y64:Y68)-SUM(Z64:Z68)-SUM(AC64:AC68)-SUM(V64:V68))-AA64</f>
        <v>0</v>
      </c>
      <c r="AC64" s="41">
        <f>K64-T64</f>
        <v>0</v>
      </c>
      <c r="AD64" s="41">
        <f>+AM64+BA64</f>
        <v>0</v>
      </c>
      <c r="AE64" s="241" t="s">
        <v>492</v>
      </c>
      <c r="AF64" s="41">
        <v>0</v>
      </c>
      <c r="AG64" s="41"/>
      <c r="AH64" s="41"/>
      <c r="AI64" s="461"/>
      <c r="AJ64" s="41"/>
      <c r="AK64" s="41"/>
      <c r="AL64" s="41"/>
      <c r="AM64" s="41">
        <f>SUM(AF64:AL64)+AT64+AV64+AX64</f>
        <v>0</v>
      </c>
      <c r="AN64" s="41"/>
      <c r="AO64" s="41"/>
      <c r="AP64" s="41"/>
      <c r="AQ64" s="41"/>
      <c r="AR64" s="41">
        <f>SUM(AN64:AQ64)</f>
        <v>0</v>
      </c>
      <c r="AS64" s="41"/>
      <c r="AT64" s="41"/>
      <c r="AU64" s="41"/>
      <c r="AV64" s="41"/>
      <c r="AW64" s="41"/>
      <c r="AX64" s="41"/>
      <c r="AY64" s="41"/>
      <c r="AZ64" s="41"/>
      <c r="BA64" s="41">
        <f>+AR64+AS64+AU64+AW64+AY64+AZ64</f>
        <v>0</v>
      </c>
      <c r="BB64" s="37">
        <v>0</v>
      </c>
      <c r="BC64" s="55"/>
      <c r="BD64" s="55"/>
      <c r="BE64" s="37"/>
      <c r="BF64" s="55"/>
    </row>
    <row r="65" spans="1:58" ht="12.95" customHeight="1">
      <c r="A65" s="346"/>
      <c r="B65" s="45" t="s">
        <v>599</v>
      </c>
      <c r="C65" s="452">
        <f>(M65*E65*O65*Q65)/100000000</f>
        <v>13.970879999999999</v>
      </c>
      <c r="D65" s="45" t="s">
        <v>410</v>
      </c>
      <c r="E65" s="46">
        <v>14</v>
      </c>
      <c r="F65" s="46">
        <v>1</v>
      </c>
      <c r="G65" s="465">
        <v>1350</v>
      </c>
      <c r="H65" s="48">
        <f>+N65</f>
        <v>0.19999999999999996</v>
      </c>
      <c r="I65" s="49">
        <v>0.88</v>
      </c>
      <c r="J65" s="91">
        <f>E65*G65*(1-H65)*1440/1000000*2.77</f>
        <v>60.310656000000002</v>
      </c>
      <c r="K65" s="91">
        <f>(IF(G65&lt;L65,L65,G65)*(1-IF(H65&lt;N65,H65,N65))*E65*O65*Q65)/100000000</f>
        <v>13.970879999999999</v>
      </c>
      <c r="L65" s="39">
        <v>1350</v>
      </c>
      <c r="M65" s="39">
        <f>+L65-L65*0.2</f>
        <v>1080</v>
      </c>
      <c r="N65" s="50">
        <f>1-(M65/L65)</f>
        <v>0.19999999999999996</v>
      </c>
      <c r="O65" s="51">
        <f>+'Trim Rwd'!H56</f>
        <v>264</v>
      </c>
      <c r="P65" s="52">
        <f>O65*(Q65-R65-S65)</f>
        <v>91344</v>
      </c>
      <c r="Q65" s="51">
        <v>350</v>
      </c>
      <c r="R65" s="422">
        <v>0</v>
      </c>
      <c r="S65" s="422">
        <v>4</v>
      </c>
      <c r="T65" s="41">
        <f>E65*M65*O65*Q65/100000000</f>
        <v>13.970879999999999</v>
      </c>
      <c r="U65" s="41">
        <f>E65*M65*O65*(Q65-R65-S65)/100000000</f>
        <v>13.8112128</v>
      </c>
      <c r="V65" s="41">
        <f>E65*G65*(1-N65)*O65/100*(R65+S65)/1000000</f>
        <v>0.15966720000000001</v>
      </c>
      <c r="W65" s="41">
        <f>+'13'!K18/1000</f>
        <v>10.797000000000001</v>
      </c>
      <c r="X65" s="42"/>
      <c r="Y65" s="223"/>
      <c r="Z65" s="41"/>
      <c r="AA65" s="41"/>
      <c r="AB65" s="41"/>
      <c r="AC65" s="41">
        <f>K65-T65</f>
        <v>0</v>
      </c>
      <c r="AD65" s="41">
        <f>+AM65+BA65</f>
        <v>1</v>
      </c>
      <c r="AE65" s="241" t="s">
        <v>494</v>
      </c>
      <c r="AF65" s="41"/>
      <c r="AG65" s="41">
        <v>1</v>
      </c>
      <c r="AH65" s="41"/>
      <c r="AI65" s="461"/>
      <c r="AJ65" s="41"/>
      <c r="AK65" s="41"/>
      <c r="AL65" s="41"/>
      <c r="AM65" s="41">
        <f>SUM(AF65:AL65)+AT65+AV65+AX65</f>
        <v>1</v>
      </c>
      <c r="AN65" s="92"/>
      <c r="AO65" s="41"/>
      <c r="AP65" s="41"/>
      <c r="AQ65" s="41"/>
      <c r="AR65" s="41">
        <f>SUM(AN65:AQ65)</f>
        <v>0</v>
      </c>
      <c r="AS65" s="41"/>
      <c r="AT65" s="41"/>
      <c r="AU65" s="41"/>
      <c r="AV65" s="41"/>
      <c r="AW65" s="41"/>
      <c r="AX65" s="41"/>
      <c r="AY65" s="41"/>
      <c r="AZ65" s="41"/>
      <c r="BA65" s="41">
        <f>+AR65+AS65+AU65+AW65+AY65+AZ65</f>
        <v>0</v>
      </c>
      <c r="BB65" s="54"/>
      <c r="BC65" s="55">
        <v>1</v>
      </c>
      <c r="BD65" s="55"/>
      <c r="BE65" s="54"/>
      <c r="BF65" s="55"/>
    </row>
    <row r="66" spans="1:58" ht="12.95" customHeight="1">
      <c r="A66" s="44"/>
      <c r="B66" s="45" t="s">
        <v>599</v>
      </c>
      <c r="C66" s="452">
        <f>(M66*E66*O66*Q66)/100000000</f>
        <v>14.434200000000001</v>
      </c>
      <c r="D66" s="45" t="s">
        <v>410</v>
      </c>
      <c r="E66" s="46">
        <v>15</v>
      </c>
      <c r="F66" s="46">
        <v>1</v>
      </c>
      <c r="G66" s="465">
        <v>1350</v>
      </c>
      <c r="H66" s="48">
        <f>+N66</f>
        <v>0.19999999999999996</v>
      </c>
      <c r="I66" s="49">
        <v>0.88</v>
      </c>
      <c r="J66" s="91">
        <f>E66*G66*(1-H66)*1440/1000000*2.77</f>
        <v>64.618560000000002</v>
      </c>
      <c r="K66" s="91">
        <f>(IF(G66&lt;L66,L66,G66)*(1-IF(H66&lt;N66,H66,N66))*E66*O66*Q66)/100000000</f>
        <v>14.434200000000001</v>
      </c>
      <c r="L66" s="39">
        <v>1350</v>
      </c>
      <c r="M66" s="39">
        <f>+L66-L66*0.2</f>
        <v>1080</v>
      </c>
      <c r="N66" s="50">
        <f>1-(M66/L66)</f>
        <v>0.19999999999999996</v>
      </c>
      <c r="O66" s="51">
        <f>+'Trim Rwd'!H57</f>
        <v>270</v>
      </c>
      <c r="P66" s="52">
        <f>O66*(Q66-R66-S66)</f>
        <v>88020</v>
      </c>
      <c r="Q66" s="51">
        <v>330</v>
      </c>
      <c r="R66" s="422">
        <v>0</v>
      </c>
      <c r="S66" s="422">
        <v>4</v>
      </c>
      <c r="T66" s="41">
        <f>E66*M66*O66*Q66/100000000</f>
        <v>14.434200000000001</v>
      </c>
      <c r="U66" s="41">
        <f>E66*M66*O66*(Q66-R66-S66)/100000000</f>
        <v>14.25924</v>
      </c>
      <c r="V66" s="41">
        <f>E66*G66*(1-N66)*O66/100*(R66+S66)/1000000</f>
        <v>0.17496</v>
      </c>
      <c r="W66" s="41">
        <f>+'13'!K19/1000</f>
        <v>0</v>
      </c>
      <c r="X66" s="42"/>
      <c r="Y66" s="223"/>
      <c r="Z66" s="41"/>
      <c r="AA66" s="41"/>
      <c r="AB66" s="41"/>
      <c r="AC66" s="41">
        <f>K66-T66</f>
        <v>0</v>
      </c>
      <c r="AD66" s="41">
        <f>+AM66+BA66</f>
        <v>7</v>
      </c>
      <c r="AE66" s="241" t="s">
        <v>607</v>
      </c>
      <c r="AF66" s="37"/>
      <c r="AG66" s="37"/>
      <c r="AH66" s="37">
        <v>7</v>
      </c>
      <c r="AJ66" s="41"/>
      <c r="AK66" s="41"/>
      <c r="AL66" s="41"/>
      <c r="AM66" s="41">
        <f>SUM(AF66:AL66)+AT66+AV66+AX66</f>
        <v>7</v>
      </c>
      <c r="AN66" s="41"/>
      <c r="AO66" s="41"/>
      <c r="AP66" s="41"/>
      <c r="AQ66" s="41"/>
      <c r="AR66" s="41">
        <f>SUM(AN66:AQ66)</f>
        <v>0</v>
      </c>
      <c r="AS66" s="41"/>
      <c r="AT66" s="41"/>
      <c r="AU66" s="41"/>
      <c r="AV66" s="41"/>
      <c r="AW66" s="41"/>
      <c r="AX66" s="41"/>
      <c r="AY66" s="41"/>
      <c r="AZ66" s="41"/>
      <c r="BA66" s="41">
        <f>+AR66+AS66+AU66+AW66+AY66+AZ66</f>
        <v>0</v>
      </c>
      <c r="BB66" s="37"/>
      <c r="BC66" s="57"/>
      <c r="BD66" s="57"/>
      <c r="BE66" s="37"/>
      <c r="BF66" s="57"/>
    </row>
    <row r="67" spans="1:58" ht="12.95" customHeight="1">
      <c r="A67" s="346"/>
      <c r="B67" s="45"/>
      <c r="C67" s="452"/>
      <c r="D67" s="45"/>
      <c r="E67" s="46"/>
      <c r="F67" s="46"/>
      <c r="G67" s="465"/>
      <c r="H67" s="48"/>
      <c r="I67" s="49"/>
      <c r="J67" s="91"/>
      <c r="K67" s="91"/>
      <c r="L67" s="39"/>
      <c r="M67" s="39"/>
      <c r="N67" s="50"/>
      <c r="O67" s="51"/>
      <c r="P67" s="52"/>
      <c r="Q67" s="51"/>
      <c r="R67" s="422"/>
      <c r="S67" s="422"/>
      <c r="T67" s="41"/>
      <c r="U67" s="41"/>
      <c r="V67" s="41"/>
      <c r="W67" s="41"/>
      <c r="X67" s="419"/>
      <c r="Y67" s="223"/>
      <c r="Z67" s="41"/>
      <c r="AA67" s="53"/>
      <c r="AB67" s="53"/>
      <c r="AC67" s="41"/>
      <c r="AD67" s="41">
        <f>+AM67+BA67</f>
        <v>8</v>
      </c>
      <c r="AE67" s="241" t="s">
        <v>420</v>
      </c>
      <c r="AF67" s="41"/>
      <c r="AG67" s="41"/>
      <c r="AH67" s="41"/>
      <c r="AI67" s="461">
        <v>8</v>
      </c>
      <c r="AJ67" s="41"/>
      <c r="AK67" s="41"/>
      <c r="AL67" s="41"/>
      <c r="AM67" s="41">
        <f>SUM(AF67:AL67)+AT67+AV67+AX67</f>
        <v>8</v>
      </c>
      <c r="AN67" s="41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37"/>
      <c r="BC67" s="57"/>
      <c r="BD67" s="57"/>
      <c r="BE67" s="37"/>
      <c r="BF67" s="57"/>
    </row>
    <row r="68" spans="1:58" ht="12.95" customHeight="1">
      <c r="A68" s="44"/>
      <c r="B68" s="45"/>
      <c r="C68" s="452"/>
      <c r="D68" s="45"/>
      <c r="E68" s="46"/>
      <c r="F68" s="46"/>
      <c r="G68" s="47"/>
      <c r="H68" s="48"/>
      <c r="I68" s="49"/>
      <c r="J68" s="91"/>
      <c r="K68" s="91"/>
      <c r="L68" s="39"/>
      <c r="M68" s="39"/>
      <c r="N68" s="50"/>
      <c r="O68" s="51"/>
      <c r="P68" s="52"/>
      <c r="Q68" s="51"/>
      <c r="R68" s="422"/>
      <c r="S68" s="422"/>
      <c r="T68" s="41"/>
      <c r="U68" s="41"/>
      <c r="V68" s="41"/>
      <c r="W68" s="41"/>
      <c r="X68" s="42"/>
      <c r="Y68" s="223"/>
      <c r="Z68" s="41"/>
      <c r="AA68" s="41"/>
      <c r="AB68" s="41"/>
      <c r="AC68" s="41"/>
      <c r="AD68" s="41"/>
      <c r="AE68" s="241"/>
      <c r="AF68" s="37"/>
      <c r="AG68" s="37"/>
      <c r="AH68" s="37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37"/>
      <c r="BC68" s="57"/>
      <c r="BD68" s="55"/>
      <c r="BE68" s="55"/>
      <c r="BF68" s="55"/>
    </row>
    <row r="69" spans="1:58" ht="12.95" customHeight="1">
      <c r="A69" s="346">
        <v>46005</v>
      </c>
      <c r="B69" s="45" t="s">
        <v>599</v>
      </c>
      <c r="C69" s="452">
        <f>(M69*E69*O69*Q69)/100000000</f>
        <v>57.643175635359114</v>
      </c>
      <c r="D69" s="45" t="s">
        <v>410</v>
      </c>
      <c r="E69" s="46">
        <v>15</v>
      </c>
      <c r="F69" s="46">
        <v>1</v>
      </c>
      <c r="G69" s="465">
        <v>1350</v>
      </c>
      <c r="H69" s="48">
        <f>+N69</f>
        <v>0.19999999999999996</v>
      </c>
      <c r="I69" s="49">
        <v>0.88</v>
      </c>
      <c r="J69" s="91">
        <f>E69*G69*(1-H69)*1440/1000000*2.77</f>
        <v>64.618560000000002</v>
      </c>
      <c r="K69" s="91">
        <f>(IF(G69&lt;L69,L69,G69)*(1-IF(H69&lt;N69,H69,N69))*E69*O69*Q69)/100000000</f>
        <v>57.643175635359114</v>
      </c>
      <c r="L69" s="39">
        <v>1350</v>
      </c>
      <c r="M69" s="39">
        <f>+L69-L69*0.2</f>
        <v>1080</v>
      </c>
      <c r="N69" s="50">
        <f>1-(M69/L69)</f>
        <v>0.19999999999999996</v>
      </c>
      <c r="O69" s="51">
        <f>+'Trim Rwd'!H60</f>
        <v>253.25414364640883</v>
      </c>
      <c r="P69" s="52">
        <f>O69*(Q69-R69-S69)</f>
        <v>339107.29834254144</v>
      </c>
      <c r="Q69" s="51">
        <v>1405</v>
      </c>
      <c r="R69" s="422">
        <v>0</v>
      </c>
      <c r="S69" s="422">
        <v>66</v>
      </c>
      <c r="T69" s="41">
        <f>E69*M69*O69*Q69/100000000</f>
        <v>57.643175635359114</v>
      </c>
      <c r="U69" s="41">
        <f>E69*M69*O69*(Q69-R69-S69)/100000000</f>
        <v>54.935382331491709</v>
      </c>
      <c r="V69" s="41">
        <f>E69*G69*(1-N69)*O69/100*(R69+S69)/1000000</f>
        <v>2.7077933038674034</v>
      </c>
      <c r="W69" s="41">
        <f>+'14'!K19/1000</f>
        <v>37.658999999999999</v>
      </c>
      <c r="X69" s="419">
        <f>SUM(W69:W73)/SUM(K69:K73)</f>
        <v>0.80756556321839434</v>
      </c>
      <c r="Y69" s="223">
        <v>0</v>
      </c>
      <c r="Z69" s="41">
        <f>+('14'!D8+'14'!D16+'14'!D25)/1000</f>
        <v>1.522</v>
      </c>
      <c r="AA69" s="53">
        <f>SUM(U69:U73)-SUM(W69:W73)-SUM(Z69:Z73)-SUM(Y69:Y73)</f>
        <v>6.3899642034917061</v>
      </c>
      <c r="AB69" s="53">
        <f>(SUM(K69:K73)-SUM(W69:W73)-SUM(Y69:Y73)-SUM(Z69:Z73)-SUM(AC69:AC73)-SUM(V69:V73))-AA69</f>
        <v>0</v>
      </c>
      <c r="AC69" s="41">
        <f>K69-T69</f>
        <v>0</v>
      </c>
      <c r="AD69" s="41">
        <f>+AM69+BA69</f>
        <v>10</v>
      </c>
      <c r="AE69" s="241" t="s">
        <v>477</v>
      </c>
      <c r="AF69" s="41">
        <v>10</v>
      </c>
      <c r="AG69" s="41"/>
      <c r="AH69" s="41"/>
      <c r="AI69" s="461"/>
      <c r="AJ69" s="41"/>
      <c r="AK69" s="41"/>
      <c r="AL69" s="41"/>
      <c r="AM69" s="41">
        <f>SUM(AF69:AL69)+AT69+AV69+AX69</f>
        <v>10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>
        <v>2</v>
      </c>
      <c r="BC69" s="55"/>
      <c r="BD69" s="55"/>
      <c r="BE69" s="37"/>
      <c r="BF69" s="55"/>
    </row>
    <row r="70" spans="1:58" ht="12.95" customHeight="1">
      <c r="A70" s="346"/>
      <c r="B70" s="45" t="s">
        <v>7</v>
      </c>
      <c r="C70" s="452">
        <f>(M70*E70*O70*Q70)/100000000</f>
        <v>1.2565818720000004</v>
      </c>
      <c r="D70" s="45" t="s">
        <v>410</v>
      </c>
      <c r="E70" s="46">
        <v>10.3</v>
      </c>
      <c r="F70" s="46">
        <v>1</v>
      </c>
      <c r="G70" s="465">
        <v>1730</v>
      </c>
      <c r="H70" s="48">
        <f>+N70</f>
        <v>0.15999999999999992</v>
      </c>
      <c r="I70" s="49">
        <v>0.88</v>
      </c>
      <c r="J70" s="91">
        <f>E70*G70*(1-H70)*1440/1000000*2.77</f>
        <v>59.704198848000011</v>
      </c>
      <c r="K70" s="91">
        <f>(IF(G70&lt;L70,L70,G70)*(1-IF(H70&lt;N70,H70,N70))*E70*O70*Q70)/100000000</f>
        <v>1.3935170760000002</v>
      </c>
      <c r="L70" s="39">
        <v>1560</v>
      </c>
      <c r="M70" s="39">
        <v>1310.4000000000001</v>
      </c>
      <c r="N70" s="50">
        <f>1-(M70/L70)</f>
        <v>0.15999999999999992</v>
      </c>
      <c r="O70" s="51">
        <f>+'Trim Rwd'!H62</f>
        <v>266</v>
      </c>
      <c r="P70" s="52">
        <f>O70*(Q70-R70-S70)</f>
        <v>9310</v>
      </c>
      <c r="Q70" s="51">
        <v>35</v>
      </c>
      <c r="R70" s="422">
        <v>0</v>
      </c>
      <c r="S70" s="422">
        <v>0</v>
      </c>
      <c r="T70" s="41">
        <f>E70*M70*O70*Q70/100000000</f>
        <v>1.2565818720000004</v>
      </c>
      <c r="U70" s="41">
        <f>E70*M70*O70*(Q70-R70-S70)/100000000</f>
        <v>1.2565818720000004</v>
      </c>
      <c r="V70" s="41">
        <f>E70*G70*(1-N70)*O70/100*(R70+S70)/1000000</f>
        <v>0</v>
      </c>
      <c r="W70" s="41">
        <f>+'14'!K16/1000</f>
        <v>0</v>
      </c>
      <c r="X70" s="42"/>
      <c r="Y70" s="223"/>
      <c r="Z70" s="41">
        <v>0</v>
      </c>
      <c r="AA70" s="41"/>
      <c r="AB70" s="41"/>
      <c r="AC70" s="41">
        <f>K70-T70</f>
        <v>0.13693520399999981</v>
      </c>
      <c r="AD70" s="41">
        <f>+AM70+BA70</f>
        <v>10</v>
      </c>
      <c r="AE70" s="241" t="s">
        <v>628</v>
      </c>
      <c r="AF70" s="41"/>
      <c r="AG70" s="41">
        <v>10</v>
      </c>
      <c r="AH70" s="41"/>
      <c r="AI70" s="461"/>
      <c r="AJ70" s="41"/>
      <c r="AK70" s="41"/>
      <c r="AL70" s="41"/>
      <c r="AM70" s="41">
        <f>SUM(AF70:AL70)+AT70+AV70+AX70</f>
        <v>10</v>
      </c>
      <c r="AN70" s="92"/>
      <c r="AO70" s="41"/>
      <c r="AP70" s="41"/>
      <c r="AQ70" s="41"/>
      <c r="AR70" s="41">
        <f>SUM(AN70:AQ70)</f>
        <v>0</v>
      </c>
      <c r="AS70" s="41"/>
      <c r="AT70" s="41"/>
      <c r="AU70" s="41"/>
      <c r="AV70" s="41"/>
      <c r="AW70" s="41"/>
      <c r="AX70" s="41"/>
      <c r="AY70" s="41"/>
      <c r="AZ70" s="41"/>
      <c r="BA70" s="41">
        <f>+AR70+AS70+AU70+AW70+AY70+AZ70</f>
        <v>0</v>
      </c>
      <c r="BB70" s="54"/>
      <c r="BC70" s="55">
        <v>9</v>
      </c>
      <c r="BD70" s="55"/>
      <c r="BE70" s="54"/>
      <c r="BF70" s="55"/>
    </row>
    <row r="71" spans="1:58" ht="12.95" customHeight="1">
      <c r="A71" s="44"/>
      <c r="B71" s="45" t="s">
        <v>599</v>
      </c>
      <c r="C71" s="452"/>
      <c r="D71" s="45"/>
      <c r="E71" s="46">
        <v>14</v>
      </c>
      <c r="F71" s="46"/>
      <c r="G71" s="465"/>
      <c r="H71" s="48"/>
      <c r="I71" s="49"/>
      <c r="J71" s="91"/>
      <c r="K71" s="91"/>
      <c r="L71" s="39"/>
      <c r="M71" s="39"/>
      <c r="N71" s="50"/>
      <c r="O71" s="51"/>
      <c r="P71" s="52"/>
      <c r="Q71" s="51"/>
      <c r="R71" s="422"/>
      <c r="S71" s="422"/>
      <c r="T71" s="41"/>
      <c r="U71" s="41"/>
      <c r="V71" s="41"/>
      <c r="W71" s="41">
        <f>+'14'!K18/1000</f>
        <v>10.016999999999999</v>
      </c>
      <c r="X71" s="42"/>
      <c r="Y71" s="223"/>
      <c r="Z71" s="41">
        <f>('14'!D7+'14'!D17+'14'!D26)/1000</f>
        <v>0.60399999999999998</v>
      </c>
      <c r="AA71" s="41"/>
      <c r="AB71" s="41"/>
      <c r="AC71" s="41"/>
      <c r="AD71" s="41">
        <f>+AM71+BA71</f>
        <v>21</v>
      </c>
      <c r="AE71" s="241" t="s">
        <v>607</v>
      </c>
      <c r="AF71" s="37"/>
      <c r="AG71" s="37"/>
      <c r="AH71" s="37">
        <v>21</v>
      </c>
      <c r="AJ71" s="41"/>
      <c r="AK71" s="41"/>
      <c r="AL71" s="41"/>
      <c r="AM71" s="41">
        <f>SUM(AF71:AL71)+AT71+AV71+AX71</f>
        <v>21</v>
      </c>
      <c r="AN71" s="41"/>
      <c r="AO71" s="41"/>
      <c r="AP71" s="41"/>
      <c r="AQ71" s="41"/>
      <c r="AR71" s="41">
        <f>SUM(AN71:AQ71)</f>
        <v>0</v>
      </c>
      <c r="AS71" s="41"/>
      <c r="AT71" s="41"/>
      <c r="AU71" s="41"/>
      <c r="AV71" s="41"/>
      <c r="AW71" s="41"/>
      <c r="AX71" s="41"/>
      <c r="AY71" s="41"/>
      <c r="AZ71" s="41"/>
      <c r="BA71" s="41">
        <f>+AR71+AS71+AU71+AW71+AY71+AZ71</f>
        <v>0</v>
      </c>
      <c r="BB71" s="37"/>
      <c r="BC71" s="57"/>
      <c r="BD71" s="57"/>
      <c r="BE71" s="37"/>
      <c r="BF71" s="57"/>
    </row>
    <row r="72" spans="1:58" ht="12.95" customHeight="1">
      <c r="A72" s="346"/>
      <c r="B72" s="45"/>
      <c r="C72" s="452"/>
      <c r="D72" s="45"/>
      <c r="E72" s="46"/>
      <c r="F72" s="46"/>
      <c r="G72" s="465"/>
      <c r="H72" s="48"/>
      <c r="I72" s="49"/>
      <c r="J72" s="91"/>
      <c r="K72" s="91"/>
      <c r="L72" s="39"/>
      <c r="M72" s="39"/>
      <c r="N72" s="50"/>
      <c r="O72" s="51"/>
      <c r="P72" s="52"/>
      <c r="Q72" s="51"/>
      <c r="R72" s="422"/>
      <c r="S72" s="422"/>
      <c r="T72" s="41"/>
      <c r="U72" s="41"/>
      <c r="V72" s="41"/>
      <c r="W72" s="41"/>
      <c r="X72" s="419"/>
      <c r="Y72" s="223"/>
      <c r="Z72" s="41"/>
      <c r="AA72" s="53"/>
      <c r="AB72" s="53"/>
      <c r="AC72" s="41"/>
      <c r="AD72" s="41">
        <f>+AM72+BA72</f>
        <v>15</v>
      </c>
      <c r="AE72" s="241" t="s">
        <v>420</v>
      </c>
      <c r="AF72" s="41"/>
      <c r="AG72" s="41"/>
      <c r="AH72" s="41"/>
      <c r="AI72" s="461">
        <v>15</v>
      </c>
      <c r="AJ72" s="41"/>
      <c r="AK72" s="41"/>
      <c r="AL72" s="41"/>
      <c r="AM72" s="41">
        <f>SUM(AF72:AL72)+AT72+AV72+AX72</f>
        <v>15</v>
      </c>
      <c r="AN72" s="41"/>
      <c r="AO72" s="41"/>
      <c r="AP72" s="41"/>
      <c r="AQ72" s="41"/>
      <c r="AR72" s="41">
        <f>SUM(AN72:AQ72)</f>
        <v>0</v>
      </c>
      <c r="AS72" s="41"/>
      <c r="AT72" s="41"/>
      <c r="AU72" s="41"/>
      <c r="AV72" s="41"/>
      <c r="AW72" s="41"/>
      <c r="AX72" s="41"/>
      <c r="AY72" s="41"/>
      <c r="AZ72" s="41"/>
      <c r="BA72" s="41">
        <f>+AR72+AS72+AU72+AW72+AY72+AZ72</f>
        <v>0</v>
      </c>
      <c r="BB72" s="37"/>
      <c r="BC72" s="57"/>
      <c r="BD72" s="57"/>
      <c r="BE72" s="37"/>
      <c r="BF72" s="57"/>
    </row>
    <row r="73" spans="1:58" ht="12.95" customHeight="1">
      <c r="A73" s="44"/>
      <c r="B73" s="45"/>
      <c r="C73" s="452"/>
      <c r="D73" s="45"/>
      <c r="E73" s="46"/>
      <c r="F73" s="46"/>
      <c r="G73" s="47"/>
      <c r="H73" s="48"/>
      <c r="I73" s="49"/>
      <c r="J73" s="91"/>
      <c r="K73" s="91"/>
      <c r="L73" s="39"/>
      <c r="M73" s="39"/>
      <c r="N73" s="50"/>
      <c r="O73" s="51"/>
      <c r="P73" s="52"/>
      <c r="Q73" s="51"/>
      <c r="R73" s="422"/>
      <c r="S73" s="422"/>
      <c r="T73" s="41"/>
      <c r="U73" s="41"/>
      <c r="V73" s="41"/>
      <c r="W73" s="41"/>
      <c r="X73" s="42"/>
      <c r="Y73" s="223"/>
      <c r="Z73" s="41"/>
      <c r="AA73" s="41"/>
      <c r="AB73" s="41"/>
      <c r="AC73" s="41"/>
      <c r="AD73" s="41">
        <f>+AM73+BA73</f>
        <v>10</v>
      </c>
      <c r="AE73" s="244" t="s">
        <v>619</v>
      </c>
      <c r="AF73" s="37">
        <v>10</v>
      </c>
      <c r="AG73" s="37"/>
      <c r="AH73" s="37"/>
      <c r="AJ73" s="41"/>
      <c r="AK73" s="41"/>
      <c r="AL73" s="41"/>
      <c r="AM73" s="41">
        <f>SUM(AF73:AL73)+AT73+AV73+AX73</f>
        <v>10</v>
      </c>
      <c r="AN73" s="41"/>
      <c r="AO73" s="41"/>
      <c r="AP73" s="41"/>
      <c r="AQ73" s="41"/>
      <c r="AR73" s="41">
        <f>SUM(AN73:AQ73)</f>
        <v>0</v>
      </c>
      <c r="AS73" s="41"/>
      <c r="AT73" s="41"/>
      <c r="AU73" s="41"/>
      <c r="AV73" s="41"/>
      <c r="AW73" s="41"/>
      <c r="AX73" s="41"/>
      <c r="AY73" s="41"/>
      <c r="AZ73" s="41"/>
      <c r="BA73" s="41">
        <f>+AR73+AS73+AU73+AW73+AY73+AZ73</f>
        <v>0</v>
      </c>
      <c r="BB73" s="37"/>
      <c r="BC73" s="57"/>
      <c r="BD73" s="57"/>
      <c r="BE73" s="37"/>
      <c r="BF73" s="57"/>
    </row>
    <row r="74" spans="1:58" ht="12.95" customHeight="1">
      <c r="A74" s="44"/>
      <c r="B74" s="45"/>
      <c r="C74" s="452"/>
      <c r="D74" s="45"/>
      <c r="E74" s="46"/>
      <c r="F74" s="46"/>
      <c r="G74" s="47"/>
      <c r="H74" s="48"/>
      <c r="I74" s="49"/>
      <c r="J74" s="91"/>
      <c r="K74" s="91"/>
      <c r="L74" s="39"/>
      <c r="M74" s="39"/>
      <c r="N74" s="50"/>
      <c r="O74" s="51"/>
      <c r="P74" s="52"/>
      <c r="Q74" s="51"/>
      <c r="R74" s="422"/>
      <c r="S74" s="422"/>
      <c r="T74" s="41"/>
      <c r="U74" s="41"/>
      <c r="V74" s="41"/>
      <c r="W74" s="41"/>
      <c r="X74" s="42"/>
      <c r="Y74" s="223"/>
      <c r="Z74" s="41"/>
      <c r="AA74" s="41"/>
      <c r="AB74" s="41"/>
      <c r="AC74" s="41"/>
      <c r="AD74" s="41"/>
      <c r="AE74" s="2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37"/>
      <c r="BC74" s="55"/>
      <c r="BD74" s="55"/>
      <c r="BE74" s="55"/>
      <c r="BF74" s="55"/>
    </row>
    <row r="75" spans="1:58" ht="12.95" customHeight="1">
      <c r="A75" s="346">
        <v>46006</v>
      </c>
      <c r="B75" s="45" t="s">
        <v>7</v>
      </c>
      <c r="C75" s="452">
        <f>(M75*E75*O75*Q75)/100000000</f>
        <v>53.135462016000005</v>
      </c>
      <c r="D75" s="45" t="s">
        <v>410</v>
      </c>
      <c r="E75" s="46">
        <v>10.3</v>
      </c>
      <c r="F75" s="46">
        <v>1</v>
      </c>
      <c r="G75" s="465">
        <v>1730</v>
      </c>
      <c r="H75" s="48">
        <f>+N75</f>
        <v>0.16000000000000003</v>
      </c>
      <c r="I75" s="49">
        <v>0.88</v>
      </c>
      <c r="J75" s="91">
        <f>E75*G75*(1-H75)*1440/1000000*2.77</f>
        <v>59.704198847999997</v>
      </c>
      <c r="K75" s="91">
        <f>(IF(G75&lt;L75,L75,G75)*(1-IF(H75&lt;N75,H75,N75))*E75*O75*Q75)/100000000</f>
        <v>57.333273984000009</v>
      </c>
      <c r="L75" s="39">
        <v>1603.3333333333333</v>
      </c>
      <c r="M75" s="39">
        <v>1346.8</v>
      </c>
      <c r="N75" s="50">
        <f>1-(M75/L75)</f>
        <v>0.16000000000000003</v>
      </c>
      <c r="O75" s="51">
        <f>+'Trim Rwd'!H64</f>
        <v>266</v>
      </c>
      <c r="P75" s="52">
        <f>O75*(Q75-R75-S75)</f>
        <v>375060</v>
      </c>
      <c r="Q75" s="51">
        <v>1440</v>
      </c>
      <c r="R75" s="422">
        <v>0</v>
      </c>
      <c r="S75" s="422">
        <v>30</v>
      </c>
      <c r="T75" s="41">
        <f>E75*M75*O75*Q75/100000000</f>
        <v>53.135462016000005</v>
      </c>
      <c r="U75" s="41">
        <f>E75*M75*O75*(Q75-R75-S75)/100000000</f>
        <v>52.028473224000003</v>
      </c>
      <c r="V75" s="41">
        <f>E75*G75*(1-N75)*O75/100*(R75+S75)/1000000</f>
        <v>1.194443208</v>
      </c>
      <c r="W75" s="41">
        <f>+'15'!K16/1000</f>
        <v>39.756</v>
      </c>
      <c r="X75" s="419">
        <f>SUM(W75:W78)/SUM(K75:K78)</f>
        <v>1.122437208416861</v>
      </c>
      <c r="Y75" s="223">
        <v>0</v>
      </c>
      <c r="Z75" s="41">
        <v>0</v>
      </c>
      <c r="AA75" s="53">
        <f>SUM(U75:U78)-SUM(W75:W78)-SUM(Z75:Z78)-SUM(Y75:Y78)</f>
        <v>-12.718526776000006</v>
      </c>
      <c r="AB75" s="53">
        <f>(SUM(K75:K78)-SUM(W75:W78)-SUM(Y75:Y78)-SUM(Z75:Z78)-SUM(AC75:AC78)-SUM(V75:V78))-AA75</f>
        <v>-8.7454415999998147E-2</v>
      </c>
      <c r="AC75" s="41">
        <f>K75-T75</f>
        <v>4.1978119680000034</v>
      </c>
      <c r="AD75" s="41">
        <f>+AM75+BA75</f>
        <v>10</v>
      </c>
      <c r="AE75" s="241" t="s">
        <v>477</v>
      </c>
      <c r="AF75" s="41">
        <v>10</v>
      </c>
      <c r="AG75" s="41"/>
      <c r="AH75" s="41"/>
      <c r="AI75" s="461"/>
      <c r="AJ75" s="41"/>
      <c r="AK75" s="41"/>
      <c r="AL75" s="41"/>
      <c r="AM75" s="41">
        <f>SUM(AF75:AL75)+AT75+AV75+AX75</f>
        <v>10</v>
      </c>
      <c r="AN75" s="41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37">
        <v>2</v>
      </c>
      <c r="BC75" s="55"/>
      <c r="BD75" s="55"/>
      <c r="BE75" s="37"/>
      <c r="BF75" s="55"/>
    </row>
    <row r="76" spans="1:58" ht="12.95" customHeight="1">
      <c r="A76" s="346"/>
      <c r="B76" s="45" t="s">
        <v>599</v>
      </c>
      <c r="C76" s="452"/>
      <c r="D76" s="45"/>
      <c r="E76" s="46">
        <v>15</v>
      </c>
      <c r="F76" s="46"/>
      <c r="G76" s="465"/>
      <c r="H76" s="48"/>
      <c r="I76" s="49"/>
      <c r="J76" s="91"/>
      <c r="K76" s="91"/>
      <c r="L76" s="39"/>
      <c r="M76" s="39"/>
      <c r="N76" s="50"/>
      <c r="O76" s="51"/>
      <c r="P76" s="52"/>
      <c r="Q76" s="51"/>
      <c r="R76" s="422"/>
      <c r="S76" s="422"/>
      <c r="T76" s="41"/>
      <c r="U76" s="41"/>
      <c r="V76" s="41"/>
      <c r="W76" s="41">
        <f>+'15'!K19/1000</f>
        <v>24.597000000000001</v>
      </c>
      <c r="X76" s="42"/>
      <c r="Y76" s="223"/>
      <c r="Z76" s="41">
        <f>+'15'!D34/1000</f>
        <v>0.39400000000000002</v>
      </c>
      <c r="AA76" s="41"/>
      <c r="AB76" s="41"/>
      <c r="AC76" s="41"/>
      <c r="AD76" s="41">
        <f>+AM76+BA76</f>
        <v>4</v>
      </c>
      <c r="AE76" s="241" t="s">
        <v>445</v>
      </c>
      <c r="AF76" s="41"/>
      <c r="AG76" s="41">
        <v>4</v>
      </c>
      <c r="AH76" s="41"/>
      <c r="AI76" s="461"/>
      <c r="AJ76" s="41"/>
      <c r="AK76" s="41"/>
      <c r="AL76" s="41"/>
      <c r="AM76" s="41">
        <f>SUM(AF76:AL76)+AT76+AV76+AX76</f>
        <v>4</v>
      </c>
      <c r="AN76" s="92"/>
      <c r="AO76" s="41"/>
      <c r="AP76" s="41"/>
      <c r="AQ76" s="41"/>
      <c r="AR76" s="41">
        <f>SUM(AN76:AQ76)</f>
        <v>0</v>
      </c>
      <c r="AS76" s="41"/>
      <c r="AT76" s="41"/>
      <c r="AU76" s="41"/>
      <c r="AV76" s="41"/>
      <c r="AW76" s="41"/>
      <c r="AX76" s="41"/>
      <c r="AY76" s="41"/>
      <c r="AZ76" s="41"/>
      <c r="BA76" s="41">
        <f>+AR76+AS76+AU76+AW76+AY76+AZ76</f>
        <v>0</v>
      </c>
      <c r="BB76" s="54"/>
      <c r="BC76" s="55">
        <v>2</v>
      </c>
      <c r="BD76" s="55"/>
      <c r="BE76" s="54"/>
      <c r="BF76" s="55"/>
    </row>
    <row r="77" spans="1:58" ht="12.95" customHeight="1">
      <c r="A77" s="44"/>
      <c r="B77" s="45"/>
      <c r="C77" s="452"/>
      <c r="D77" s="45"/>
      <c r="E77" s="46"/>
      <c r="F77" s="46"/>
      <c r="G77" s="465"/>
      <c r="H77" s="48"/>
      <c r="I77" s="49"/>
      <c r="J77" s="91"/>
      <c r="K77" s="91"/>
      <c r="L77" s="39"/>
      <c r="M77" s="39"/>
      <c r="N77" s="50"/>
      <c r="O77" s="51"/>
      <c r="P77" s="52"/>
      <c r="Q77" s="51"/>
      <c r="R77" s="422"/>
      <c r="S77" s="422"/>
      <c r="T77" s="41"/>
      <c r="U77" s="41"/>
      <c r="V77" s="41"/>
      <c r="W77" s="41"/>
      <c r="X77" s="42"/>
      <c r="Y77" s="223"/>
      <c r="Z77" s="41"/>
      <c r="AA77" s="41"/>
      <c r="AB77" s="41"/>
      <c r="AC77" s="41"/>
      <c r="AD77" s="41">
        <f>+AM77+BA77</f>
        <v>16</v>
      </c>
      <c r="AE77" s="241" t="s">
        <v>651</v>
      </c>
      <c r="AF77" s="37"/>
      <c r="AG77" s="37"/>
      <c r="AH77" s="37">
        <v>16</v>
      </c>
      <c r="AJ77" s="41"/>
      <c r="AK77" s="41"/>
      <c r="AL77" s="41"/>
      <c r="AM77" s="41">
        <f>SUM(AF77:AL77)+AT77+AV77+AX77</f>
        <v>16</v>
      </c>
      <c r="AN77" s="41"/>
      <c r="AO77" s="41"/>
      <c r="AP77" s="41"/>
      <c r="AQ77" s="41"/>
      <c r="AR77" s="41">
        <f>SUM(AN77:AQ77)</f>
        <v>0</v>
      </c>
      <c r="AS77" s="41"/>
      <c r="AT77" s="41"/>
      <c r="AU77" s="41"/>
      <c r="AV77" s="41"/>
      <c r="AW77" s="41"/>
      <c r="AX77" s="41"/>
      <c r="AY77" s="41"/>
      <c r="AZ77" s="41"/>
      <c r="BA77" s="41">
        <f>+AR77+AS77+AU77+AW77+AY77+AZ77</f>
        <v>0</v>
      </c>
      <c r="BB77" s="37"/>
      <c r="BC77" s="57"/>
      <c r="BD77" s="57"/>
      <c r="BE77" s="37"/>
      <c r="BF77" s="57"/>
    </row>
    <row r="78" spans="1:58" ht="12.95" customHeight="1">
      <c r="A78" s="44"/>
      <c r="B78" s="45"/>
      <c r="C78" s="452"/>
      <c r="D78" s="45"/>
      <c r="E78" s="46"/>
      <c r="F78" s="46"/>
      <c r="G78" s="47"/>
      <c r="H78" s="48"/>
      <c r="I78" s="49"/>
      <c r="J78" s="91"/>
      <c r="K78" s="91"/>
      <c r="L78" s="39"/>
      <c r="M78" s="39"/>
      <c r="N78" s="50"/>
      <c r="O78" s="51"/>
      <c r="P78" s="52"/>
      <c r="Q78" s="51"/>
      <c r="R78" s="422"/>
      <c r="S78" s="422"/>
      <c r="T78" s="41"/>
      <c r="U78" s="41"/>
      <c r="V78" s="41"/>
      <c r="W78" s="41"/>
      <c r="X78" s="42"/>
      <c r="Y78" s="223"/>
      <c r="Z78" s="41"/>
      <c r="AA78" s="41"/>
      <c r="AB78" s="41"/>
      <c r="AC78" s="41"/>
      <c r="AD78" s="41"/>
      <c r="AE78" s="2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37"/>
      <c r="BC78" s="55"/>
      <c r="BD78" s="55"/>
      <c r="BE78" s="55"/>
      <c r="BF78" s="55"/>
    </row>
    <row r="79" spans="1:58" ht="12.95" customHeight="1">
      <c r="A79" s="346">
        <v>46007</v>
      </c>
      <c r="B79" s="45" t="s">
        <v>7</v>
      </c>
      <c r="C79" s="452">
        <f>(M79*E79*O79*Q79)/100000000</f>
        <v>52.396874443943659</v>
      </c>
      <c r="D79" s="45" t="s">
        <v>410</v>
      </c>
      <c r="E79" s="46">
        <v>10.3</v>
      </c>
      <c r="F79" s="46">
        <v>1</v>
      </c>
      <c r="G79" s="465">
        <v>1730</v>
      </c>
      <c r="H79" s="48">
        <f>+N79</f>
        <v>0.16024844720496889</v>
      </c>
      <c r="I79" s="49">
        <v>0.88</v>
      </c>
      <c r="J79" s="91">
        <f>E79*G79*(1-H79)*1440/1000000*2.77</f>
        <v>59.686540108322987</v>
      </c>
      <c r="K79" s="91">
        <f>(IF(G79&lt;L79,L79,G79)*(1-IF(H79&lt;N79,H79,N79))*E79*O79*Q79)/100000000</f>
        <v>56.302231545355625</v>
      </c>
      <c r="L79" s="39">
        <v>1610</v>
      </c>
      <c r="M79" s="39">
        <v>1352</v>
      </c>
      <c r="N79" s="50">
        <f>1-(M79/L79)</f>
        <v>0.16024844720496889</v>
      </c>
      <c r="O79" s="51">
        <f>+'Trim Rwd'!H68</f>
        <v>267.80281690140845</v>
      </c>
      <c r="P79" s="52">
        <f>O79*(Q79-R79-S79)</f>
        <v>337163.74647887325</v>
      </c>
      <c r="Q79" s="51">
        <v>1405</v>
      </c>
      <c r="R79" s="422">
        <v>0</v>
      </c>
      <c r="S79" s="422">
        <v>146</v>
      </c>
      <c r="T79" s="41">
        <f>E79*M79*O79*Q79/100000000</f>
        <v>52.396874443943659</v>
      </c>
      <c r="U79" s="41">
        <f>E79*M79*O79*(Q79-R79-S79)/100000000</f>
        <v>46.952074679661969</v>
      </c>
      <c r="V79" s="41">
        <f>E79*G79*(1-N79)*O79/100*(R79+S79)/1000000</f>
        <v>5.8506233491970958</v>
      </c>
      <c r="W79" s="41">
        <f>+'16'!K16/1000</f>
        <v>58.548000000000002</v>
      </c>
      <c r="X79" s="419">
        <f>SUM(W79:W82)/SUM(K79:K82)</f>
        <v>1.0111705652838401</v>
      </c>
      <c r="Y79" s="223">
        <v>0</v>
      </c>
      <c r="Z79" s="41">
        <f>+'16'!D34/1000</f>
        <v>1.6</v>
      </c>
      <c r="AA79" s="53">
        <f>SUM(U79:U82)-SUM(W79:W82)-SUM(Z79:Z82)-SUM(Y79:Y82)</f>
        <v>-11.67219220033803</v>
      </c>
      <c r="AB79" s="53">
        <f>(SUM(K79:K82)-SUM(W79:W82)-SUM(Y79:Y82)-SUM(Z79:Z82)-SUM(AC79:AC82)-SUM(V79:V82))-AA79</f>
        <v>-0.40582358491540838</v>
      </c>
      <c r="AC79" s="41">
        <f>K79-T79</f>
        <v>3.9053571014119655</v>
      </c>
      <c r="AD79" s="41">
        <f>+AM79+BA79</f>
        <v>15</v>
      </c>
      <c r="AE79" s="241" t="s">
        <v>671</v>
      </c>
      <c r="AF79" s="41">
        <v>15</v>
      </c>
      <c r="AG79" s="41"/>
      <c r="AH79" s="41"/>
      <c r="AI79" s="461"/>
      <c r="AJ79" s="41"/>
      <c r="AK79" s="41"/>
      <c r="AL79" s="41"/>
      <c r="AM79" s="41">
        <f>SUM(AF79:AL79)+AT79+AV79+AX79</f>
        <v>15</v>
      </c>
      <c r="AN79" s="41"/>
      <c r="AO79" s="41"/>
      <c r="AP79" s="41"/>
      <c r="AQ79" s="41"/>
      <c r="AR79" s="41">
        <f>SUM(AN79:AQ79)</f>
        <v>0</v>
      </c>
      <c r="AS79" s="41"/>
      <c r="AT79" s="41"/>
      <c r="AU79" s="41"/>
      <c r="AV79" s="41"/>
      <c r="AW79" s="41"/>
      <c r="AX79" s="41"/>
      <c r="AY79" s="41"/>
      <c r="AZ79" s="41"/>
      <c r="BA79" s="41">
        <f>+AR79+AS79+AU79+AW79+AY79+AZ79</f>
        <v>0</v>
      </c>
      <c r="BB79" s="37">
        <v>3</v>
      </c>
      <c r="BC79" s="55"/>
      <c r="BD79" s="55"/>
      <c r="BE79" s="37"/>
      <c r="BF79" s="55"/>
    </row>
    <row r="80" spans="1:58" ht="12.95" customHeight="1">
      <c r="A80" s="346"/>
      <c r="B80" s="45" t="s">
        <v>7</v>
      </c>
      <c r="C80" s="452">
        <f>(M80*E80*O80*Q80)/100000000</f>
        <v>1.5237331199999999</v>
      </c>
      <c r="D80" s="45" t="s">
        <v>410</v>
      </c>
      <c r="E80" s="46">
        <v>13</v>
      </c>
      <c r="F80" s="46">
        <v>1</v>
      </c>
      <c r="G80" s="465">
        <v>1700</v>
      </c>
      <c r="H80" s="605">
        <f>+N80</f>
        <v>0.24</v>
      </c>
      <c r="I80" s="49">
        <v>0.88</v>
      </c>
      <c r="J80" s="91">
        <f>E80*G80*(1-H80)*1440/1000000*2.77</f>
        <v>66.995884799999999</v>
      </c>
      <c r="K80" s="91">
        <f>(IF(G80&lt;L80,L80,G80)*(1-IF(H80&lt;N80,H80,N80))*E80*O80*Q80)/100000000</f>
        <v>1.5989792</v>
      </c>
      <c r="L80" s="39">
        <v>1620</v>
      </c>
      <c r="M80" s="39">
        <v>1231.2</v>
      </c>
      <c r="N80" s="50">
        <f>1-(M80/L80)</f>
        <v>0.24</v>
      </c>
      <c r="O80" s="51">
        <f>+'Trim Rwd'!H70</f>
        <v>272</v>
      </c>
      <c r="P80" s="52">
        <f>O80*(Q80-R80-S80)</f>
        <v>9520</v>
      </c>
      <c r="Q80" s="51">
        <v>35</v>
      </c>
      <c r="R80" s="422">
        <v>0</v>
      </c>
      <c r="S80" s="422">
        <v>0</v>
      </c>
      <c r="T80" s="41">
        <f>E80*M80*O80*Q80/100000000</f>
        <v>1.5237331199999999</v>
      </c>
      <c r="U80" s="41">
        <f>E80*M80*O80*(Q80-R80-S80)/100000000</f>
        <v>1.5237331199999999</v>
      </c>
      <c r="V80" s="41">
        <f>E80*G80*(1-N80)*O80/100*(R80+S80)/1000000</f>
        <v>0</v>
      </c>
      <c r="W80" s="41">
        <f>+'16'!K20/1000</f>
        <v>0</v>
      </c>
      <c r="X80" s="42"/>
      <c r="Y80" s="223"/>
      <c r="Z80" s="41"/>
      <c r="AA80" s="41"/>
      <c r="AB80" s="41"/>
      <c r="AC80" s="41">
        <f>K80-T80</f>
        <v>7.5246080000000104E-2</v>
      </c>
      <c r="AD80" s="41">
        <f>+AM80+BA80</f>
        <v>8</v>
      </c>
      <c r="AE80" s="241" t="s">
        <v>672</v>
      </c>
      <c r="AF80" s="41"/>
      <c r="AG80" s="41">
        <v>8</v>
      </c>
      <c r="AH80" s="41"/>
      <c r="AI80" s="461"/>
      <c r="AJ80" s="41"/>
      <c r="AK80" s="41"/>
      <c r="AL80" s="41"/>
      <c r="AM80" s="41">
        <f>SUM(AF80:AL80)+AT80+AV80+AX80</f>
        <v>8</v>
      </c>
      <c r="AN80" s="92"/>
      <c r="AO80" s="41"/>
      <c r="AP80" s="41"/>
      <c r="AQ80" s="41"/>
      <c r="AR80" s="41">
        <f>SUM(AN80:AQ80)</f>
        <v>0</v>
      </c>
      <c r="AS80" s="41"/>
      <c r="AT80" s="41"/>
      <c r="AU80" s="41"/>
      <c r="AV80" s="41"/>
      <c r="AW80" s="41"/>
      <c r="AX80" s="41"/>
      <c r="AY80" s="41"/>
      <c r="AZ80" s="41"/>
      <c r="BA80" s="41">
        <f>+AR80+AS80+AU80+AW80+AY80+AZ80</f>
        <v>0</v>
      </c>
      <c r="BB80" s="54"/>
      <c r="BC80" s="55">
        <v>8</v>
      </c>
      <c r="BD80" s="55"/>
      <c r="BE80" s="54"/>
      <c r="BF80" s="55"/>
    </row>
    <row r="81" spans="1:58" ht="12.95" customHeight="1">
      <c r="A81" s="44"/>
      <c r="B81" s="45"/>
      <c r="C81" s="452"/>
      <c r="D81" s="45"/>
      <c r="E81" s="46"/>
      <c r="F81" s="46"/>
      <c r="G81" s="465"/>
      <c r="H81" s="48"/>
      <c r="I81" s="49"/>
      <c r="J81" s="91"/>
      <c r="K81" s="91"/>
      <c r="L81" s="39"/>
      <c r="M81" s="39"/>
      <c r="N81" s="50"/>
      <c r="O81" s="51"/>
      <c r="P81" s="52"/>
      <c r="Q81" s="51"/>
      <c r="R81" s="422"/>
      <c r="S81" s="422"/>
      <c r="T81" s="41"/>
      <c r="U81" s="41"/>
      <c r="V81" s="41"/>
      <c r="W81" s="41"/>
      <c r="X81" s="42"/>
      <c r="Y81" s="223"/>
      <c r="Z81" s="41"/>
      <c r="AA81" s="41"/>
      <c r="AB81" s="41"/>
      <c r="AC81" s="41"/>
      <c r="AD81" s="41">
        <f>+AM81+BA81</f>
        <v>14</v>
      </c>
      <c r="AE81" s="241" t="s">
        <v>673</v>
      </c>
      <c r="AF81" s="37"/>
      <c r="AG81" s="37"/>
      <c r="AH81" s="37">
        <v>14</v>
      </c>
      <c r="AJ81" s="41"/>
      <c r="AK81" s="41"/>
      <c r="AL81" s="41"/>
      <c r="AM81" s="41">
        <f>SUM(AF81:AL81)+AT81+AV81+AX81</f>
        <v>14</v>
      </c>
      <c r="AN81" s="41"/>
      <c r="AO81" s="41"/>
      <c r="AP81" s="41"/>
      <c r="AQ81" s="41"/>
      <c r="AR81" s="41">
        <f>SUM(AN81:AQ81)</f>
        <v>0</v>
      </c>
      <c r="AS81" s="41"/>
      <c r="AT81" s="41"/>
      <c r="AU81" s="41"/>
      <c r="AV81" s="41"/>
      <c r="AW81" s="41"/>
      <c r="AX81" s="41"/>
      <c r="AY81" s="41"/>
      <c r="AZ81" s="41"/>
      <c r="BA81" s="41">
        <f>+AR81+AS81+AU81+AW81+AY81+AZ81</f>
        <v>0</v>
      </c>
      <c r="BB81" s="37"/>
      <c r="BC81" s="57"/>
      <c r="BD81" s="57"/>
      <c r="BE81" s="37"/>
      <c r="BF81" s="57"/>
    </row>
    <row r="82" spans="1:58" ht="12.95" customHeight="1">
      <c r="A82" s="44"/>
      <c r="B82" s="45"/>
      <c r="C82" s="452"/>
      <c r="D82" s="45"/>
      <c r="E82" s="46"/>
      <c r="F82" s="46"/>
      <c r="G82" s="47"/>
      <c r="H82" s="48"/>
      <c r="I82" s="49"/>
      <c r="J82" s="91"/>
      <c r="K82" s="91"/>
      <c r="L82" s="39"/>
      <c r="M82" s="39"/>
      <c r="N82" s="50"/>
      <c r="O82" s="51"/>
      <c r="P82" s="52"/>
      <c r="Q82" s="51"/>
      <c r="R82" s="422"/>
      <c r="S82" s="422"/>
      <c r="T82" s="41"/>
      <c r="U82" s="41"/>
      <c r="V82" s="41"/>
      <c r="W82" s="41"/>
      <c r="X82" s="42"/>
      <c r="Y82" s="223"/>
      <c r="Z82" s="41"/>
      <c r="AA82" s="41"/>
      <c r="AB82" s="41"/>
      <c r="AC82" s="41"/>
      <c r="AD82" s="41">
        <f>+AM82+BA82</f>
        <v>109</v>
      </c>
      <c r="AE82" s="244" t="s">
        <v>674</v>
      </c>
      <c r="AF82" s="41"/>
      <c r="AG82" s="41"/>
      <c r="AH82" s="41"/>
      <c r="AI82" s="41"/>
      <c r="AJ82" s="41">
        <v>49</v>
      </c>
      <c r="AK82" s="41">
        <v>60</v>
      </c>
      <c r="AL82" s="41"/>
      <c r="AM82" s="41">
        <f>SUM(AF82:AL82)+AT82+AV82+AX82</f>
        <v>109</v>
      </c>
      <c r="AN82" s="41"/>
      <c r="AO82" s="41"/>
      <c r="AP82" s="41"/>
      <c r="AQ82" s="41"/>
      <c r="AR82" s="41">
        <f>SUM(AN82:AQ82)</f>
        <v>0</v>
      </c>
      <c r="AS82" s="41"/>
      <c r="AT82" s="41"/>
      <c r="AU82" s="41"/>
      <c r="AV82" s="41"/>
      <c r="AW82" s="41"/>
      <c r="AX82" s="41"/>
      <c r="AY82" s="41"/>
      <c r="AZ82" s="41"/>
      <c r="BA82" s="41">
        <f>+AR82+AS82+AU82+AW82+AY82+AZ82</f>
        <v>0</v>
      </c>
      <c r="BB82" s="37"/>
      <c r="BC82" s="57"/>
      <c r="BD82" s="57"/>
      <c r="BE82" s="37"/>
      <c r="BF82" s="57"/>
    </row>
    <row r="83" spans="1:58" ht="12.95" customHeight="1">
      <c r="A83" s="346"/>
      <c r="B83" s="45"/>
      <c r="C83" s="452"/>
      <c r="D83" s="45"/>
      <c r="E83" s="46"/>
      <c r="F83" s="46"/>
      <c r="G83" s="465"/>
      <c r="H83" s="48"/>
      <c r="I83" s="49"/>
      <c r="J83" s="91"/>
      <c r="K83" s="91"/>
      <c r="L83" s="39"/>
      <c r="M83" s="39"/>
      <c r="N83" s="50"/>
      <c r="O83" s="51"/>
      <c r="P83" s="52"/>
      <c r="Q83" s="51"/>
      <c r="R83" s="422"/>
      <c r="S83" s="422"/>
      <c r="T83" s="41"/>
      <c r="U83" s="41"/>
      <c r="V83" s="41"/>
      <c r="W83" s="41"/>
      <c r="X83" s="419"/>
      <c r="Y83" s="223"/>
      <c r="Z83" s="41"/>
      <c r="AA83" s="53"/>
      <c r="AB83" s="53"/>
      <c r="AC83" s="41"/>
      <c r="AD83" s="41"/>
      <c r="AE83" s="241"/>
      <c r="AF83" s="41"/>
      <c r="AG83" s="41"/>
      <c r="AH83" s="41"/>
      <c r="AI83" s="46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37"/>
      <c r="BC83" s="55"/>
      <c r="BD83" s="55"/>
      <c r="BE83" s="55"/>
      <c r="BF83" s="55"/>
    </row>
    <row r="84" spans="1:58" ht="12.95" customHeight="1">
      <c r="A84" s="346">
        <v>46008</v>
      </c>
      <c r="B84" s="45" t="s">
        <v>7</v>
      </c>
      <c r="C84" s="452">
        <f>(M84*E84*O84*Q84)/100000000</f>
        <v>62.690734079999999</v>
      </c>
      <c r="D84" s="45" t="s">
        <v>410</v>
      </c>
      <c r="E84" s="46">
        <v>13</v>
      </c>
      <c r="F84" s="46">
        <v>1</v>
      </c>
      <c r="G84" s="465">
        <v>1700</v>
      </c>
      <c r="H84" s="605">
        <f>+N84</f>
        <v>0.24</v>
      </c>
      <c r="I84" s="49">
        <v>0.88</v>
      </c>
      <c r="J84" s="91">
        <f>E84*G84*(1-H84)*1440/1000000*2.77</f>
        <v>66.995884799999999</v>
      </c>
      <c r="K84" s="91">
        <f>(IF(G84&lt;L84,L84,G84)*(1-IF(H84&lt;N84,H84,N84))*E84*O84*Q84)/100000000</f>
        <v>65.786572800000002</v>
      </c>
      <c r="L84" s="39">
        <v>1620</v>
      </c>
      <c r="M84" s="39">
        <v>1231.2</v>
      </c>
      <c r="N84" s="50">
        <f>1-(M84/L84)</f>
        <v>0.24</v>
      </c>
      <c r="O84" s="51">
        <f>+'Trim Rwd'!H72</f>
        <v>272</v>
      </c>
      <c r="P84" s="52">
        <f>O84*(Q84-R84-S84)</f>
        <v>378080</v>
      </c>
      <c r="Q84" s="51">
        <v>1440</v>
      </c>
      <c r="R84" s="422">
        <v>0</v>
      </c>
      <c r="S84" s="422">
        <v>50</v>
      </c>
      <c r="T84" s="41">
        <f>E84*M84*O84*Q84/100000000</f>
        <v>62.690734079999999</v>
      </c>
      <c r="U84" s="41">
        <f>E84*M84*O84*(Q84-R84-S84)/100000000</f>
        <v>60.51397248</v>
      </c>
      <c r="V84" s="41">
        <f>E84*G84*(1-N84)*O84/100*(R84+S84)/1000000</f>
        <v>2.2842560000000001</v>
      </c>
      <c r="W84" s="41">
        <f>+'17'!K7/1000</f>
        <v>51.134</v>
      </c>
      <c r="X84" s="419">
        <f>SUM(W84:W87)/SUM(K84:K87)</f>
        <v>0.86017552809803766</v>
      </c>
      <c r="Y84" s="223">
        <v>0</v>
      </c>
      <c r="Z84" s="41">
        <f>+('17'!D9+'17'!D16+'17'!D25)/1000</f>
        <v>1.5249999999999999</v>
      </c>
      <c r="AA84" s="53">
        <f>SUM(U84:U87)-SUM(W84:W87)-SUM(Z84:Z87)-SUM(Y84:Y87)</f>
        <v>1.2489724799999986</v>
      </c>
      <c r="AB84" s="53">
        <f>(SUM(K84:K87)-SUM(W84:W87)-SUM(Y84:Y87)-SUM(Z84:Z87)-SUM(AC84:AC87)-SUM(V84:V87))-AA84</f>
        <v>-0.10749440000000066</v>
      </c>
      <c r="AC84" s="41">
        <f>K84-T84</f>
        <v>3.0958387200000033</v>
      </c>
      <c r="AD84" s="41">
        <f>+AM84+BA84</f>
        <v>10</v>
      </c>
      <c r="AE84" s="241" t="s">
        <v>477</v>
      </c>
      <c r="AF84" s="41">
        <v>10</v>
      </c>
      <c r="AG84" s="41"/>
      <c r="AH84" s="41"/>
      <c r="AI84" s="461"/>
      <c r="AJ84" s="41"/>
      <c r="AK84" s="41"/>
      <c r="AL84" s="41"/>
      <c r="AM84" s="41">
        <f>SUM(AF84:AL84)+AT84+AV84+AX84</f>
        <v>10</v>
      </c>
      <c r="AN84" s="41"/>
      <c r="AO84" s="41"/>
      <c r="AP84" s="41"/>
      <c r="AQ84" s="41"/>
      <c r="AR84" s="41">
        <f>SUM(AN84:AQ84)</f>
        <v>0</v>
      </c>
      <c r="AS84" s="41"/>
      <c r="AT84" s="41"/>
      <c r="AU84" s="41"/>
      <c r="AV84" s="41"/>
      <c r="AW84" s="41"/>
      <c r="AX84" s="41"/>
      <c r="AY84" s="41"/>
      <c r="AZ84" s="41"/>
      <c r="BA84" s="41">
        <f>+AR84+AS84+AU84+AW84+AY84+AZ84</f>
        <v>0</v>
      </c>
      <c r="BB84" s="37">
        <v>2</v>
      </c>
      <c r="BC84" s="55"/>
      <c r="BD84" s="55"/>
      <c r="BE84" s="37"/>
      <c r="BF84" s="55"/>
    </row>
    <row r="85" spans="1:58" ht="12.95" customHeight="1">
      <c r="A85" s="346"/>
      <c r="B85" s="45" t="s">
        <v>7</v>
      </c>
      <c r="C85" s="452"/>
      <c r="D85" s="45"/>
      <c r="E85" s="46">
        <v>10.3</v>
      </c>
      <c r="F85" s="46"/>
      <c r="G85" s="465"/>
      <c r="H85" s="48"/>
      <c r="I85" s="49"/>
      <c r="J85" s="91"/>
      <c r="K85" s="91"/>
      <c r="L85" s="39"/>
      <c r="M85" s="39"/>
      <c r="N85" s="50"/>
      <c r="O85" s="51"/>
      <c r="P85" s="52"/>
      <c r="Q85" s="51"/>
      <c r="R85" s="422"/>
      <c r="S85" s="422"/>
      <c r="T85" s="41"/>
      <c r="U85" s="41"/>
      <c r="V85" s="41"/>
      <c r="W85" s="41">
        <f>+'17'!K16/1000</f>
        <v>5.2050000000000001</v>
      </c>
      <c r="X85" s="42"/>
      <c r="Y85" s="223"/>
      <c r="Z85" s="41">
        <f>+'17'!D7/1000</f>
        <v>0.39800000000000002</v>
      </c>
      <c r="AA85" s="41"/>
      <c r="AB85" s="41"/>
      <c r="AC85" s="41">
        <f>K85-T85</f>
        <v>0</v>
      </c>
      <c r="AD85" s="41">
        <f>+AM85+BA85</f>
        <v>17</v>
      </c>
      <c r="AE85" s="241" t="s">
        <v>628</v>
      </c>
      <c r="AF85" s="41"/>
      <c r="AG85" s="41">
        <v>17</v>
      </c>
      <c r="AH85" s="41"/>
      <c r="AI85" s="461"/>
      <c r="AJ85" s="41"/>
      <c r="AK85" s="41"/>
      <c r="AL85" s="41"/>
      <c r="AM85" s="41">
        <f>SUM(AF85:AL85)+AT85+AV85+AX85</f>
        <v>17</v>
      </c>
      <c r="AN85" s="92"/>
      <c r="AO85" s="41"/>
      <c r="AP85" s="41"/>
      <c r="AQ85" s="41"/>
      <c r="AR85" s="41">
        <f>SUM(AN85:AQ85)</f>
        <v>0</v>
      </c>
      <c r="AS85" s="41"/>
      <c r="AT85" s="41"/>
      <c r="AU85" s="41"/>
      <c r="AV85" s="41"/>
      <c r="AW85" s="41"/>
      <c r="AX85" s="41"/>
      <c r="AY85" s="41"/>
      <c r="AZ85" s="41"/>
      <c r="BA85" s="41">
        <f>+AR85+AS85+AU85+AW85+AY85+AZ85</f>
        <v>0</v>
      </c>
      <c r="BB85" s="54"/>
      <c r="BC85" s="55">
        <v>9</v>
      </c>
      <c r="BD85" s="55"/>
      <c r="BE85" s="54"/>
      <c r="BF85" s="55"/>
    </row>
    <row r="86" spans="1:58" ht="12.95" customHeight="1">
      <c r="A86" s="44"/>
      <c r="B86" s="45" t="s">
        <v>599</v>
      </c>
      <c r="C86" s="452"/>
      <c r="D86" s="45"/>
      <c r="E86" s="46">
        <v>15</v>
      </c>
      <c r="F86" s="46"/>
      <c r="G86" s="465"/>
      <c r="H86" s="48"/>
      <c r="I86" s="49"/>
      <c r="J86" s="91"/>
      <c r="K86" s="91"/>
      <c r="L86" s="39"/>
      <c r="M86" s="39"/>
      <c r="N86" s="50"/>
      <c r="O86" s="51"/>
      <c r="P86" s="52"/>
      <c r="Q86" s="51"/>
      <c r="R86" s="422"/>
      <c r="S86" s="422"/>
      <c r="T86" s="41"/>
      <c r="U86" s="41"/>
      <c r="V86" s="41"/>
      <c r="W86" s="41">
        <f>+'17'!K19/1000</f>
        <v>0.249</v>
      </c>
      <c r="X86" s="42"/>
      <c r="Y86" s="223"/>
      <c r="Z86" s="41">
        <f>+'17'!D8/1000</f>
        <v>0.754</v>
      </c>
      <c r="AA86" s="41"/>
      <c r="AB86" s="41"/>
      <c r="AC86" s="41">
        <f>K86-T86</f>
        <v>0</v>
      </c>
      <c r="AD86" s="41">
        <f>+AM86+BA86</f>
        <v>23</v>
      </c>
      <c r="AE86" s="241" t="s">
        <v>457</v>
      </c>
      <c r="AF86" s="37"/>
      <c r="AG86" s="37"/>
      <c r="AH86" s="37">
        <v>23</v>
      </c>
      <c r="AJ86" s="41"/>
      <c r="AK86" s="41"/>
      <c r="AL86" s="41"/>
      <c r="AM86" s="41">
        <f>SUM(AF86:AL86)+AT86+AV86+AX86</f>
        <v>23</v>
      </c>
      <c r="AN86" s="41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37"/>
      <c r="BC86" s="57"/>
      <c r="BD86" s="57"/>
      <c r="BE86" s="37"/>
      <c r="BF86" s="57"/>
    </row>
    <row r="87" spans="1:58" ht="12.95" customHeight="1">
      <c r="A87" s="44"/>
      <c r="B87" s="45"/>
      <c r="C87" s="452"/>
      <c r="D87" s="45"/>
      <c r="E87" s="46"/>
      <c r="F87" s="46"/>
      <c r="G87" s="47"/>
      <c r="H87" s="48"/>
      <c r="I87" s="49"/>
      <c r="J87" s="91"/>
      <c r="K87" s="91"/>
      <c r="L87" s="39"/>
      <c r="M87" s="39"/>
      <c r="N87" s="50"/>
      <c r="O87" s="51"/>
      <c r="P87" s="52"/>
      <c r="Q87" s="51"/>
      <c r="R87" s="422"/>
      <c r="S87" s="422"/>
      <c r="T87" s="41"/>
      <c r="U87" s="41"/>
      <c r="V87" s="41"/>
      <c r="W87" s="41"/>
      <c r="X87" s="42"/>
      <c r="Y87" s="223"/>
      <c r="Z87" s="41"/>
      <c r="AA87" s="41"/>
      <c r="AB87" s="41"/>
      <c r="AC87" s="41"/>
      <c r="AD87" s="41"/>
      <c r="AE87" s="244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37"/>
      <c r="BC87" s="57"/>
      <c r="BD87" s="57"/>
      <c r="BE87" s="37"/>
      <c r="BF87" s="57"/>
    </row>
    <row r="88" spans="1:58" ht="12.95" customHeight="1">
      <c r="A88" s="346">
        <v>46009</v>
      </c>
      <c r="B88" s="45" t="s">
        <v>7</v>
      </c>
      <c r="C88" s="452">
        <f>(M88*E88*O88*Q88)/100000000</f>
        <v>60.629461034999999</v>
      </c>
      <c r="D88" s="45" t="s">
        <v>410</v>
      </c>
      <c r="E88" s="46">
        <v>13</v>
      </c>
      <c r="F88" s="46">
        <v>1</v>
      </c>
      <c r="G88" s="465">
        <v>1700</v>
      </c>
      <c r="H88" s="605">
        <f>+N88</f>
        <v>0.2400000000000001</v>
      </c>
      <c r="I88" s="49">
        <v>0.88</v>
      </c>
      <c r="J88" s="91">
        <f>E88*G88*(1-H88)*1440/1000000*2.77</f>
        <v>66.995884799999999</v>
      </c>
      <c r="K88" s="91">
        <f>(IF(G88&lt;L88,L88,G88)*(1-IF(H88&lt;N88,H88,N88))*E88*O88*Q88)/100000000</f>
        <v>63.69066617499999</v>
      </c>
      <c r="L88" s="39">
        <v>1618.2918149466193</v>
      </c>
      <c r="M88" s="39">
        <v>1229.9017793594305</v>
      </c>
      <c r="N88" s="50">
        <f>1-(M88/L88)</f>
        <v>0.2400000000000001</v>
      </c>
      <c r="O88" s="51">
        <f>+'Trim Rwd'!H76</f>
        <v>269.89423076923077</v>
      </c>
      <c r="P88" s="52">
        <f>O88*(Q88-R88-S88)</f>
        <v>369485.20192307694</v>
      </c>
      <c r="Q88" s="51">
        <v>1405</v>
      </c>
      <c r="R88" s="422">
        <v>0</v>
      </c>
      <c r="S88" s="422">
        <v>36</v>
      </c>
      <c r="T88" s="41">
        <f>E88*M88*O88*Q88/100000000</f>
        <v>60.629461034999999</v>
      </c>
      <c r="U88" s="41">
        <f>E88*M88*O88*(Q88-R88-S88)/100000000</f>
        <v>59.075965947982205</v>
      </c>
      <c r="V88" s="41">
        <f>E88*G88*(1-N88)*O88/100*(R88+S88)/1000000</f>
        <v>1.6319316599999998</v>
      </c>
      <c r="W88" s="41">
        <f>+'18'!K7/1000</f>
        <v>59.009</v>
      </c>
      <c r="X88" s="419">
        <f>SUM(W88:W91)/SUM(K88:K91)</f>
        <v>0.9023961760704744</v>
      </c>
      <c r="Y88" s="223">
        <v>0</v>
      </c>
      <c r="Z88" s="41">
        <f>+'18'!D34/1000</f>
        <v>0.32500000000000001</v>
      </c>
      <c r="AA88" s="53">
        <f>SUM(U88:U91)-SUM(W88:W91)-SUM(Z88:Z91)-SUM(Y88:Y91)</f>
        <v>1.4368031829822059</v>
      </c>
      <c r="AB88" s="53">
        <f>(SUM(K88:K91)-SUM(W88:W91)-SUM(Y88:Y91)-SUM(Z88:Z91)-SUM(AC88:AC91)-SUM(V88:V91))-AA88</f>
        <v>-7.8436572982209851E-2</v>
      </c>
      <c r="AC88" s="41">
        <f>K88-T88</f>
        <v>3.0612051399999913</v>
      </c>
      <c r="AD88" s="41">
        <f>+AM88+BA88</f>
        <v>0</v>
      </c>
      <c r="AE88" s="241" t="s">
        <v>492</v>
      </c>
      <c r="AF88" s="41">
        <v>0</v>
      </c>
      <c r="AG88" s="41"/>
      <c r="AH88" s="41"/>
      <c r="AI88" s="461"/>
      <c r="AJ88" s="41"/>
      <c r="AK88" s="41"/>
      <c r="AL88" s="41"/>
      <c r="AM88" s="41">
        <f>SUM(AF88:AL88)+AT88+AV88+AX88</f>
        <v>0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/>
      <c r="AX88" s="41"/>
      <c r="AY88" s="41"/>
      <c r="AZ88" s="41"/>
      <c r="BA88" s="41">
        <f>+AR88+AS88+AU88+AW88+AY88+AZ88</f>
        <v>0</v>
      </c>
      <c r="BB88" s="37">
        <v>0</v>
      </c>
      <c r="BC88" s="55"/>
      <c r="BD88" s="55"/>
      <c r="BE88" s="37"/>
      <c r="BF88" s="55"/>
    </row>
    <row r="89" spans="1:58" ht="12.95" customHeight="1">
      <c r="A89" s="346"/>
      <c r="B89" s="45" t="s">
        <v>234</v>
      </c>
      <c r="C89" s="452">
        <f>(M89*E89*O89*Q89)/100000000</f>
        <v>1.6948372350000001</v>
      </c>
      <c r="D89" s="45" t="s">
        <v>410</v>
      </c>
      <c r="E89" s="46">
        <v>14</v>
      </c>
      <c r="F89" s="46">
        <v>1</v>
      </c>
      <c r="G89" s="465">
        <v>1270</v>
      </c>
      <c r="H89" s="48">
        <v>0</v>
      </c>
      <c r="I89" s="49">
        <v>0.88</v>
      </c>
      <c r="J89" s="91">
        <f>E89*G89*(1-H89)*1440/1000000*2.77</f>
        <v>70.920864000000009</v>
      </c>
      <c r="K89" s="91">
        <f>(IF(G89&lt;L89,L89,G89)*(1-IF(H89&lt;N89,H89,N89))*E89*O89*Q89)/100000000</f>
        <v>1.70079</v>
      </c>
      <c r="L89" s="39">
        <v>1300</v>
      </c>
      <c r="M89" s="39">
        <f>+L89-L89*0.0035</f>
        <v>1295.45</v>
      </c>
      <c r="N89" s="50">
        <f>1-(M89/L89)</f>
        <v>3.4999999999999476E-3</v>
      </c>
      <c r="O89" s="51">
        <f>+'Trim Rwd'!H78</f>
        <v>267</v>
      </c>
      <c r="P89" s="52">
        <f>O89*(Q89-R89-S89)</f>
        <v>9345</v>
      </c>
      <c r="Q89" s="51">
        <v>35</v>
      </c>
      <c r="R89" s="422">
        <v>0</v>
      </c>
      <c r="S89" s="422">
        <v>0</v>
      </c>
      <c r="T89" s="41">
        <f>E89*M89*O89*Q89/100000000</f>
        <v>1.6948372350000001</v>
      </c>
      <c r="U89" s="41">
        <f>E89*M89*O89*(Q89-R89-S89)/100000000</f>
        <v>1.6948372350000001</v>
      </c>
      <c r="V89" s="41">
        <f>E89*G89*(1-N89)*O89/100*(R89+S89)/1000000</f>
        <v>0</v>
      </c>
      <c r="W89" s="41">
        <f>+'18'!K11/1000</f>
        <v>0</v>
      </c>
      <c r="X89" s="419"/>
      <c r="Y89" s="223"/>
      <c r="Z89" s="41"/>
      <c r="AA89" s="53"/>
      <c r="AB89" s="53"/>
      <c r="AC89" s="41">
        <f>K89-T89</f>
        <v>5.952764999999971E-3</v>
      </c>
      <c r="AD89" s="41">
        <f>+AM89+BA89</f>
        <v>10</v>
      </c>
      <c r="AE89" s="241" t="s">
        <v>672</v>
      </c>
      <c r="AF89" s="41"/>
      <c r="AG89" s="41">
        <v>10</v>
      </c>
      <c r="AH89" s="41"/>
      <c r="AI89" s="461"/>
      <c r="AJ89" s="41"/>
      <c r="AK89" s="41"/>
      <c r="AL89" s="41"/>
      <c r="AM89" s="41">
        <f>SUM(AF89:AL89)+AT89+AV89+AX89</f>
        <v>10</v>
      </c>
      <c r="AN89" s="92"/>
      <c r="AO89" s="41"/>
      <c r="AP89" s="41"/>
      <c r="AQ89" s="41"/>
      <c r="AR89" s="41">
        <f>SUM(AN89:AQ89)</f>
        <v>0</v>
      </c>
      <c r="AS89" s="41"/>
      <c r="AT89" s="41"/>
      <c r="AU89" s="41"/>
      <c r="AV89" s="41"/>
      <c r="AW89" s="41"/>
      <c r="AX89" s="41"/>
      <c r="AY89" s="41"/>
      <c r="AZ89" s="41"/>
      <c r="BA89" s="41">
        <f>+AR89+AS89+AU89+AW89+AY89+AZ89</f>
        <v>0</v>
      </c>
      <c r="BB89" s="54"/>
      <c r="BC89" s="55">
        <v>8</v>
      </c>
      <c r="BD89" s="55"/>
      <c r="BE89" s="54"/>
      <c r="BF89" s="55"/>
    </row>
    <row r="90" spans="1:58" ht="12.95" customHeight="1">
      <c r="A90" s="44"/>
      <c r="B90" s="45"/>
      <c r="C90" s="452"/>
      <c r="D90" s="45"/>
      <c r="E90" s="46"/>
      <c r="F90" s="46"/>
      <c r="G90" s="47"/>
      <c r="H90" s="48"/>
      <c r="I90" s="49"/>
      <c r="J90" s="91"/>
      <c r="K90" s="91"/>
      <c r="L90" s="39"/>
      <c r="M90" s="39"/>
      <c r="N90" s="50"/>
      <c r="O90" s="51"/>
      <c r="P90" s="52"/>
      <c r="Q90" s="51"/>
      <c r="R90" s="422"/>
      <c r="S90" s="422"/>
      <c r="T90" s="41"/>
      <c r="U90" s="41"/>
      <c r="V90" s="41"/>
      <c r="W90" s="41"/>
      <c r="X90" s="42"/>
      <c r="Y90" s="223"/>
      <c r="Z90" s="41"/>
      <c r="AA90" s="41"/>
      <c r="AB90" s="41"/>
      <c r="AC90" s="41"/>
      <c r="AD90" s="41">
        <f>+AM90+BA90</f>
        <v>26</v>
      </c>
      <c r="AE90" s="241" t="s">
        <v>479</v>
      </c>
      <c r="AF90" s="37"/>
      <c r="AG90" s="37"/>
      <c r="AH90" s="37">
        <v>26</v>
      </c>
      <c r="AJ90" s="41"/>
      <c r="AK90" s="41"/>
      <c r="AL90" s="41"/>
      <c r="AM90" s="41">
        <f>SUM(AF90:AL90)+AT90+AV90+AX90</f>
        <v>26</v>
      </c>
      <c r="AN90" s="41"/>
      <c r="AO90" s="41"/>
      <c r="AP90" s="41"/>
      <c r="AQ90" s="41"/>
      <c r="AR90" s="41">
        <f>SUM(AN90:AQ90)</f>
        <v>0</v>
      </c>
      <c r="AS90" s="41"/>
      <c r="AT90" s="41"/>
      <c r="AU90" s="41"/>
      <c r="AV90" s="41"/>
      <c r="AW90" s="41"/>
      <c r="AX90" s="41"/>
      <c r="AY90" s="41"/>
      <c r="AZ90" s="41"/>
      <c r="BA90" s="41">
        <f>+AR90+AS90+AU90+AW90+AY90+AZ90</f>
        <v>0</v>
      </c>
      <c r="BB90" s="37"/>
      <c r="BC90" s="57"/>
      <c r="BD90" s="57"/>
      <c r="BE90" s="37"/>
      <c r="BF90" s="57"/>
    </row>
    <row r="91" spans="1:58" ht="12.95" customHeight="1">
      <c r="A91" s="44"/>
      <c r="B91" s="45"/>
      <c r="C91" s="452"/>
      <c r="D91" s="45"/>
      <c r="E91" s="46"/>
      <c r="F91" s="46"/>
      <c r="G91" s="465"/>
      <c r="H91" s="48"/>
      <c r="I91" s="49"/>
      <c r="J91" s="91"/>
      <c r="K91" s="91"/>
      <c r="L91" s="39"/>
      <c r="M91" s="39"/>
      <c r="N91" s="50"/>
      <c r="O91" s="51"/>
      <c r="P91" s="52"/>
      <c r="Q91" s="51"/>
      <c r="R91" s="422"/>
      <c r="S91" s="422"/>
      <c r="T91" s="41"/>
      <c r="U91" s="41"/>
      <c r="V91" s="41"/>
      <c r="W91" s="41"/>
      <c r="X91" s="42"/>
      <c r="Y91" s="223"/>
      <c r="Z91" s="41"/>
      <c r="AA91" s="41"/>
      <c r="AB91" s="41"/>
      <c r="AC91" s="41"/>
      <c r="AD91" s="41"/>
      <c r="AE91" s="244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37"/>
      <c r="BC91" s="57"/>
      <c r="BD91" s="57"/>
      <c r="BE91" s="37"/>
      <c r="BF91" s="57"/>
    </row>
    <row r="92" spans="1:58" ht="12.95" customHeight="1">
      <c r="A92" s="346">
        <v>46010</v>
      </c>
      <c r="B92" s="45" t="s">
        <v>234</v>
      </c>
      <c r="C92" s="452">
        <f>(M92*E92*O92*Q92)/100000000</f>
        <v>28.428566543999995</v>
      </c>
      <c r="D92" s="45" t="s">
        <v>410</v>
      </c>
      <c r="E92" s="46">
        <v>14</v>
      </c>
      <c r="F92" s="46">
        <v>1</v>
      </c>
      <c r="G92" s="465">
        <v>1270</v>
      </c>
      <c r="H92" s="48">
        <v>0</v>
      </c>
      <c r="I92" s="49">
        <v>0.88</v>
      </c>
      <c r="J92" s="91">
        <f>E92*G92*(1-H92)*1440/1000000*2.77</f>
        <v>70.920864000000009</v>
      </c>
      <c r="K92" s="91">
        <f>(IF(G92&lt;L92,L92,G92)*(1-IF(H92&lt;N92,H92,N92))*E92*O92*Q92)/100000000</f>
        <v>28.528416</v>
      </c>
      <c r="L92" s="39">
        <v>1272</v>
      </c>
      <c r="M92" s="39">
        <f>+L92-L92*0.0035</f>
        <v>1267.548</v>
      </c>
      <c r="N92" s="50">
        <f>1-(M92/L92)</f>
        <v>3.4999999999999476E-3</v>
      </c>
      <c r="O92" s="51">
        <f>+'Trim Rwd'!H81</f>
        <v>267</v>
      </c>
      <c r="P92" s="52">
        <f>O92*(Q92-R92-S92)</f>
        <v>150855</v>
      </c>
      <c r="Q92" s="51">
        <v>600</v>
      </c>
      <c r="R92" s="422">
        <v>0</v>
      </c>
      <c r="S92" s="422">
        <v>35</v>
      </c>
      <c r="T92" s="41">
        <f>E92*M92*O92*Q92/100000000</f>
        <v>28.428566543999995</v>
      </c>
      <c r="U92" s="41">
        <f>E92*M92*O92*(Q92-R92-S92)/100000000</f>
        <v>26.770233495599999</v>
      </c>
      <c r="V92" s="41">
        <f>E92*G92*(1-N92)*O92/100*(R92+S92)/1000000</f>
        <v>1.6557256064999999</v>
      </c>
      <c r="W92" s="41">
        <f>+'19'!K11/1000</f>
        <v>21.422999999999998</v>
      </c>
      <c r="X92" s="419">
        <f>SUM(W92:W95)/SUM(K92:K95)</f>
        <v>0.78447446008401678</v>
      </c>
      <c r="Y92" s="223">
        <v>0</v>
      </c>
      <c r="Z92" s="41">
        <f>+('19'!D7+'19'!D16)/1000</f>
        <v>1.919</v>
      </c>
      <c r="AA92" s="53">
        <f>SUM(U92:U95)-SUM(W92:W95)-SUM(Z92:Z95)-SUM(Y92:Y95)</f>
        <v>8.8100388876000046</v>
      </c>
      <c r="AB92" s="53">
        <f>(SUM(K92:K95)-SUM(W92:W95)-SUM(Y92:Y95)-SUM(Z92:Z95)-SUM(AC92:AC95)-SUM(V92:V95))-AA92</f>
        <v>4.5297501899991488E-2</v>
      </c>
      <c r="AC92" s="41">
        <f>K92-T92</f>
        <v>9.9849456000004722E-2</v>
      </c>
      <c r="AD92" s="41">
        <f>+AM92+BA92</f>
        <v>40</v>
      </c>
      <c r="AE92" s="241" t="s">
        <v>451</v>
      </c>
      <c r="AF92" s="41">
        <v>40</v>
      </c>
      <c r="AG92" s="41"/>
      <c r="AH92" s="41"/>
      <c r="AI92" s="461"/>
      <c r="AJ92" s="41"/>
      <c r="AK92" s="41"/>
      <c r="AL92" s="41"/>
      <c r="AM92" s="41">
        <f>SUM(AF92:AL92)+AT92+AV92+AX92</f>
        <v>40</v>
      </c>
      <c r="AN92" s="41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37">
        <v>8</v>
      </c>
      <c r="BC92" s="55"/>
      <c r="BD92" s="55"/>
      <c r="BE92" s="37"/>
      <c r="BF92" s="55"/>
    </row>
    <row r="93" spans="1:58" ht="12.95" customHeight="1">
      <c r="A93" s="346"/>
      <c r="B93" s="45" t="s">
        <v>234</v>
      </c>
      <c r="C93" s="452">
        <f>(M93*E93*O93*Q93)/100000000</f>
        <v>20.393651519999999</v>
      </c>
      <c r="D93" s="45" t="s">
        <v>410</v>
      </c>
      <c r="E93" s="46">
        <v>16.5</v>
      </c>
      <c r="F93" s="46">
        <v>1</v>
      </c>
      <c r="G93" s="465">
        <v>1250</v>
      </c>
      <c r="H93" s="48">
        <v>0</v>
      </c>
      <c r="I93" s="49">
        <v>0.88</v>
      </c>
      <c r="J93" s="91">
        <f>E93*G93*(1-H93)*1440/1000000*2.77</f>
        <v>82.269000000000005</v>
      </c>
      <c r="K93" s="91">
        <f>(IF(G93&lt;L93,L93,G93)*(1-IF(H93&lt;N93,H93,N93))*E93*O93*Q93)/100000000</f>
        <v>20.46528</v>
      </c>
      <c r="L93" s="39">
        <v>1266.6666666666667</v>
      </c>
      <c r="M93" s="39">
        <v>1262.2333333333333</v>
      </c>
      <c r="N93" s="50">
        <f>1-(M93/L93)</f>
        <v>3.5000000000000586E-3</v>
      </c>
      <c r="O93" s="51">
        <f>+'Trim Rwd'!H82</f>
        <v>272</v>
      </c>
      <c r="P93" s="52">
        <f>O93*(Q93-R93-S93)</f>
        <v>95200</v>
      </c>
      <c r="Q93" s="51">
        <v>360</v>
      </c>
      <c r="R93" s="422">
        <v>0</v>
      </c>
      <c r="S93" s="422">
        <v>10</v>
      </c>
      <c r="T93" s="41">
        <f>E93*M93*O93*Q93/100000000</f>
        <v>20.393651519999999</v>
      </c>
      <c r="U93" s="41">
        <f>E93*M93*O93*(Q93-R93-S93)/100000000</f>
        <v>19.827161199999999</v>
      </c>
      <c r="V93" s="41">
        <f>E93*G93*(1-N93)*O93/100*(R93+S93)/1000000</f>
        <v>0.55903650000000005</v>
      </c>
      <c r="W93" s="41">
        <f>+'19'!K9/1000</f>
        <v>12.087999999999999</v>
      </c>
      <c r="X93" s="419"/>
      <c r="Y93" s="223"/>
      <c r="Z93" s="41">
        <f>+('19'!D17+'19'!D25)/1000</f>
        <v>1.19</v>
      </c>
      <c r="AA93" s="53"/>
      <c r="AB93" s="53"/>
      <c r="AC93" s="41">
        <f>K93-T93</f>
        <v>7.1628480000001105E-2</v>
      </c>
      <c r="AD93" s="41">
        <f>+AM93+BA93</f>
        <v>0</v>
      </c>
      <c r="AE93" s="241" t="s">
        <v>448</v>
      </c>
      <c r="AF93" s="41"/>
      <c r="AG93" s="41">
        <v>0</v>
      </c>
      <c r="AH93" s="41"/>
      <c r="AI93" s="461"/>
      <c r="AJ93" s="41"/>
      <c r="AK93" s="41"/>
      <c r="AL93" s="41"/>
      <c r="AM93" s="41">
        <f>SUM(AF93:AL93)+AT93+AV93+AX93</f>
        <v>0</v>
      </c>
      <c r="AN93" s="92"/>
      <c r="AO93" s="41"/>
      <c r="AP93" s="41"/>
      <c r="AQ93" s="41"/>
      <c r="AR93" s="41">
        <f>SUM(AN93:AQ93)</f>
        <v>0</v>
      </c>
      <c r="AS93" s="41"/>
      <c r="AT93" s="41"/>
      <c r="AU93" s="41"/>
      <c r="AV93" s="41"/>
      <c r="AW93" s="41"/>
      <c r="AX93" s="41"/>
      <c r="AY93" s="41"/>
      <c r="AZ93" s="41"/>
      <c r="BA93" s="41">
        <f>+AR93+AS93+AU93+AW93+AY93+AZ93</f>
        <v>0</v>
      </c>
      <c r="BB93" s="54"/>
      <c r="BC93" s="55">
        <v>0</v>
      </c>
      <c r="BD93" s="55"/>
      <c r="BE93" s="54"/>
      <c r="BF93" s="55"/>
    </row>
    <row r="94" spans="1:58" ht="12.95" customHeight="1">
      <c r="A94" s="44"/>
      <c r="B94" s="45" t="s">
        <v>234</v>
      </c>
      <c r="C94" s="452">
        <f>(M94*E94*O94*Q94)/100000000</f>
        <v>26.638597440000002</v>
      </c>
      <c r="D94" s="45" t="s">
        <v>455</v>
      </c>
      <c r="E94" s="46">
        <v>17</v>
      </c>
      <c r="F94" s="46">
        <v>1</v>
      </c>
      <c r="G94" s="465">
        <v>1210</v>
      </c>
      <c r="H94" s="48">
        <v>0</v>
      </c>
      <c r="I94" s="49">
        <v>0.88</v>
      </c>
      <c r="J94" s="91">
        <f>E94*G94*(1-H94)*1440/1000000*2.77</f>
        <v>82.049616</v>
      </c>
      <c r="K94" s="91">
        <f>(IF(G94&lt;L94,L94,G94)*(1-IF(H94&lt;N94,H94,N94))*E94*O94*Q94)/100000000</f>
        <v>26.73216</v>
      </c>
      <c r="L94" s="39">
        <v>1260</v>
      </c>
      <c r="M94" s="39">
        <f>+L94-L94*0.0035</f>
        <v>1255.5899999999999</v>
      </c>
      <c r="N94" s="50">
        <f>1-(M94/L94)</f>
        <v>3.5000000000000586E-3</v>
      </c>
      <c r="O94" s="51">
        <f>+'Trim Rwd'!H83</f>
        <v>260</v>
      </c>
      <c r="P94" s="52">
        <f>O94*(Q94-R94-S94)</f>
        <v>120640</v>
      </c>
      <c r="Q94" s="51">
        <v>480</v>
      </c>
      <c r="R94" s="422">
        <v>0</v>
      </c>
      <c r="S94" s="422">
        <v>16</v>
      </c>
      <c r="T94" s="41">
        <f>E94*M94*O94*Q94/100000000</f>
        <v>26.638597440000002</v>
      </c>
      <c r="U94" s="41">
        <f>E94*M94*O94*(Q94-R94-S94)/100000000</f>
        <v>25.750644191999999</v>
      </c>
      <c r="V94" s="41">
        <f>E94*G94*(1-N94)*O94/100*(R94+S94)/1000000</f>
        <v>0.85271700799999983</v>
      </c>
      <c r="W94" s="41">
        <f>+'19'!K10/1000</f>
        <v>20.898</v>
      </c>
      <c r="X94" s="42"/>
      <c r="Y94" s="223"/>
      <c r="Z94" s="41">
        <f>+'19'!D26/1000</f>
        <v>0.44800000000000001</v>
      </c>
      <c r="AA94" s="41"/>
      <c r="AB94" s="41"/>
      <c r="AC94" s="41">
        <f>K94-T94</f>
        <v>9.356255999999874E-2</v>
      </c>
      <c r="AD94" s="41">
        <f>+AM94+BA94</f>
        <v>21</v>
      </c>
      <c r="AE94" s="241" t="s">
        <v>531</v>
      </c>
      <c r="AF94" s="37"/>
      <c r="AG94" s="37"/>
      <c r="AH94" s="37">
        <v>21</v>
      </c>
      <c r="AJ94" s="41"/>
      <c r="AK94" s="41"/>
      <c r="AL94" s="41"/>
      <c r="AM94" s="41">
        <f>SUM(AF94:AL94)+AT94+AV94+AX94</f>
        <v>21</v>
      </c>
      <c r="AN94" s="41"/>
      <c r="AO94" s="41"/>
      <c r="AP94" s="41"/>
      <c r="AQ94" s="41"/>
      <c r="AR94" s="41">
        <f>SUM(AN94:AQ94)</f>
        <v>0</v>
      </c>
      <c r="AS94" s="41"/>
      <c r="AT94" s="41"/>
      <c r="AU94" s="41"/>
      <c r="AV94" s="41"/>
      <c r="AW94" s="41"/>
      <c r="AX94" s="41"/>
      <c r="AY94" s="41"/>
      <c r="AZ94" s="41"/>
      <c r="BA94" s="41">
        <f>+AR94+AS94+AU94+AW94+AY94+AZ94</f>
        <v>0</v>
      </c>
      <c r="BB94" s="37"/>
      <c r="BC94" s="57"/>
      <c r="BD94" s="57"/>
      <c r="BE94" s="37"/>
      <c r="BF94" s="57"/>
    </row>
    <row r="95" spans="1:58" ht="12.95" customHeight="1">
      <c r="A95" s="44"/>
      <c r="B95" s="45" t="s">
        <v>7</v>
      </c>
      <c r="C95" s="452"/>
      <c r="D95" s="45"/>
      <c r="E95" s="46">
        <v>13</v>
      </c>
      <c r="F95" s="46"/>
      <c r="G95" s="465"/>
      <c r="H95" s="48"/>
      <c r="I95" s="49"/>
      <c r="J95" s="91"/>
      <c r="K95" s="91"/>
      <c r="L95" s="39"/>
      <c r="M95" s="39"/>
      <c r="N95" s="50"/>
      <c r="O95" s="51"/>
      <c r="P95" s="52"/>
      <c r="Q95" s="51"/>
      <c r="R95" s="422"/>
      <c r="S95" s="422"/>
      <c r="T95" s="41"/>
      <c r="U95" s="41"/>
      <c r="V95" s="41"/>
      <c r="W95" s="41">
        <f>+'19'!K7/1000</f>
        <v>4.9960000000000004</v>
      </c>
      <c r="X95" s="42"/>
      <c r="Y95" s="223"/>
      <c r="Z95" s="41">
        <f>+'19'!D8/1000</f>
        <v>0.57599999999999996</v>
      </c>
      <c r="AA95" s="41"/>
      <c r="AB95" s="41"/>
      <c r="AC95" s="41"/>
      <c r="AD95" s="41"/>
      <c r="AE95" s="244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37"/>
      <c r="BC95" s="57"/>
      <c r="BD95" s="57"/>
      <c r="BE95" s="37"/>
      <c r="BF95" s="57"/>
    </row>
    <row r="96" spans="1:58" ht="12.75" customHeight="1">
      <c r="A96" s="44"/>
      <c r="B96" s="45"/>
      <c r="C96" s="452"/>
      <c r="D96" s="45"/>
      <c r="E96" s="46"/>
      <c r="F96" s="46"/>
      <c r="G96" s="47"/>
      <c r="H96" s="48"/>
      <c r="I96" s="49"/>
      <c r="J96" s="91"/>
      <c r="K96" s="91"/>
      <c r="L96" s="39"/>
      <c r="M96" s="39"/>
      <c r="N96" s="50"/>
      <c r="O96" s="51"/>
      <c r="P96" s="52"/>
      <c r="Q96" s="51"/>
      <c r="R96" s="422"/>
      <c r="S96" s="422"/>
      <c r="T96" s="41"/>
      <c r="U96" s="41"/>
      <c r="V96" s="41"/>
      <c r="W96" s="41"/>
      <c r="X96" s="42"/>
      <c r="Y96" s="223"/>
      <c r="Z96" s="41"/>
      <c r="AA96" s="41"/>
      <c r="AB96" s="41"/>
      <c r="AC96" s="41"/>
      <c r="AD96" s="41"/>
      <c r="AE96" s="2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37"/>
      <c r="BC96" s="55"/>
      <c r="BD96" s="55"/>
      <c r="BE96" s="55"/>
      <c r="BF96" s="55"/>
    </row>
    <row r="97" spans="1:58" ht="12.95" customHeight="1">
      <c r="A97" s="346">
        <v>46011</v>
      </c>
      <c r="B97" s="45" t="s">
        <v>234</v>
      </c>
      <c r="C97" s="452">
        <f>(M97*E97*O97*Q97)/100000000</f>
        <v>27.140423451428571</v>
      </c>
      <c r="D97" s="45" t="s">
        <v>455</v>
      </c>
      <c r="E97" s="46">
        <v>17</v>
      </c>
      <c r="F97" s="46">
        <v>1</v>
      </c>
      <c r="G97" s="465">
        <v>1210</v>
      </c>
      <c r="H97" s="48">
        <v>0</v>
      </c>
      <c r="I97" s="49">
        <v>0.88</v>
      </c>
      <c r="J97" s="91">
        <f>E97*G97*(1-H97)*1440/1000000*2.77</f>
        <v>82.049616</v>
      </c>
      <c r="K97" s="91">
        <f>(IF(G97&lt;L97,L97,G97)*(1-IF(H97&lt;N97,H97,N97))*E97*O97*Q97)/100000000</f>
        <v>27.235748571428577</v>
      </c>
      <c r="L97" s="39">
        <v>1260</v>
      </c>
      <c r="M97" s="39">
        <f>+L97-L97*0.0035</f>
        <v>1255.5899999999999</v>
      </c>
      <c r="N97" s="50">
        <f>1-(M97/L97)</f>
        <v>3.5000000000000586E-3</v>
      </c>
      <c r="O97" s="51">
        <f>+'Trim Rwd'!H85</f>
        <v>264.89795918367349</v>
      </c>
      <c r="P97" s="52">
        <f>O97*(Q97-R97-S97)</f>
        <v>122117.95918367348</v>
      </c>
      <c r="Q97" s="51">
        <v>480</v>
      </c>
      <c r="R97" s="422">
        <v>0</v>
      </c>
      <c r="S97" s="422">
        <v>19</v>
      </c>
      <c r="T97" s="41">
        <f>E97*M97*O97*Q97/100000000</f>
        <v>27.140423451428571</v>
      </c>
      <c r="U97" s="41">
        <f>E97*M97*O97*(Q97-R97-S97)/100000000</f>
        <v>26.066115023142856</v>
      </c>
      <c r="V97" s="41">
        <f>E97*G97*(1-N97)*O97/100*(R97+S97)/1000000</f>
        <v>1.0316771414489796</v>
      </c>
      <c r="W97" s="41">
        <f>+'20'!K10/1000</f>
        <v>54.866999999999997</v>
      </c>
      <c r="X97" s="419">
        <f>SUM(W97:W100)/SUM(K97:K100)</f>
        <v>0.82633525617302994</v>
      </c>
      <c r="Y97" s="223">
        <v>0</v>
      </c>
      <c r="Z97" s="41">
        <f>+'20'!D34/1000</f>
        <v>1.012</v>
      </c>
      <c r="AA97" s="53">
        <f>SUM(U97:U100)-SUM(W97:W100)-SUM(Z97:Z100)-SUM(Y97:Y100)</f>
        <v>7.6694865412197828</v>
      </c>
      <c r="AB97" s="53">
        <f>(SUM(K97:K100)-SUM(W97:W100)-SUM(Y97:Y100)-SUM(Z97:Z100)-SUM(AC97:AC100)-SUM(V97:V100))-AA97</f>
        <v>-1.2280769009420212E-2</v>
      </c>
      <c r="AC97" s="41">
        <f>K97-T97</f>
        <v>9.532512000000537E-2</v>
      </c>
      <c r="AD97" s="41">
        <f>+AM97+BA97</f>
        <v>60</v>
      </c>
      <c r="AE97" s="241" t="s">
        <v>478</v>
      </c>
      <c r="AF97" s="41">
        <v>60</v>
      </c>
      <c r="AG97" s="41"/>
      <c r="AH97" s="41"/>
      <c r="AI97" s="461"/>
      <c r="AJ97" s="41"/>
      <c r="AK97" s="41"/>
      <c r="AL97" s="41"/>
      <c r="AM97" s="41">
        <f>SUM(AF97:AL97)+AT97+AV97+AX97</f>
        <v>60</v>
      </c>
      <c r="AN97" s="41"/>
      <c r="AO97" s="41"/>
      <c r="AP97" s="41"/>
      <c r="AQ97" s="41"/>
      <c r="AR97" s="41">
        <f>SUM(AN97:AQ97)</f>
        <v>0</v>
      </c>
      <c r="AS97" s="41"/>
      <c r="AT97" s="41"/>
      <c r="AU97" s="41"/>
      <c r="AV97" s="41"/>
      <c r="AW97" s="41"/>
      <c r="AX97" s="41"/>
      <c r="AY97" s="41"/>
      <c r="AZ97" s="41"/>
      <c r="BA97" s="41">
        <f>+AR97+AS97+AU97+AW97+AY97+AZ97</f>
        <v>0</v>
      </c>
      <c r="BB97" s="37">
        <v>12</v>
      </c>
      <c r="BC97" s="55"/>
      <c r="BD97" s="55"/>
      <c r="BE97" s="37"/>
      <c r="BF97" s="55"/>
    </row>
    <row r="98" spans="1:58" ht="12.95" customHeight="1">
      <c r="A98" s="346"/>
      <c r="B98" s="45" t="s">
        <v>234</v>
      </c>
      <c r="C98" s="452">
        <f>(M98*E98*O98*Q98)/100000000</f>
        <v>54.033462952615388</v>
      </c>
      <c r="D98" s="45" t="s">
        <v>455</v>
      </c>
      <c r="E98" s="46">
        <v>16.5</v>
      </c>
      <c r="F98" s="46">
        <v>1</v>
      </c>
      <c r="G98" s="465">
        <v>1250</v>
      </c>
      <c r="H98" s="48">
        <v>0</v>
      </c>
      <c r="I98" s="49">
        <v>0.88</v>
      </c>
      <c r="J98" s="91">
        <f>E98*G98*(1-H98)*1440/1000000*2.77</f>
        <v>82.269000000000005</v>
      </c>
      <c r="K98" s="91">
        <f>(IF(G98&lt;L98,L98,G98)*(1-IF(H98&lt;N98,H98,N98))*E98*O98*Q98)/100000000</f>
        <v>55.104923076923072</v>
      </c>
      <c r="L98" s="39">
        <v>1230</v>
      </c>
      <c r="M98" s="39">
        <v>1225.6949999999999</v>
      </c>
      <c r="N98" s="50">
        <f>1-(M98/L98)</f>
        <v>3.5000000000000586E-3</v>
      </c>
      <c r="O98" s="51">
        <f>+'Trim Rwd'!H87</f>
        <v>278.30769230769232</v>
      </c>
      <c r="P98" s="52">
        <f>O98*(Q98-R98-S98)</f>
        <v>250476.92307692309</v>
      </c>
      <c r="Q98" s="51">
        <v>960</v>
      </c>
      <c r="R98" s="422">
        <v>0</v>
      </c>
      <c r="S98" s="422">
        <v>60</v>
      </c>
      <c r="T98" s="41">
        <f>E98*M98*O98*Q98/100000000</f>
        <v>54.033462952615388</v>
      </c>
      <c r="U98" s="41">
        <f>E98*M98*O98*(Q98-R98-S98)/100000000</f>
        <v>50.656371518076924</v>
      </c>
      <c r="V98" s="41">
        <f>E98*G98*(1-N98)*O98/100*(R98+S98)/1000000</f>
        <v>3.4320034903846155</v>
      </c>
      <c r="W98" s="41">
        <f>+'20'!K9/1000</f>
        <v>13.173999999999999</v>
      </c>
      <c r="X98" s="419"/>
      <c r="Y98" s="223"/>
      <c r="Z98" s="41">
        <v>0</v>
      </c>
      <c r="AA98" s="53"/>
      <c r="AB98" s="53"/>
      <c r="AC98" s="41">
        <f>K98-T98</f>
        <v>1.0714601243076842</v>
      </c>
      <c r="AD98" s="41">
        <f>+AM98+BA98</f>
        <v>0</v>
      </c>
      <c r="AE98" s="241" t="s">
        <v>448</v>
      </c>
      <c r="AF98" s="41"/>
      <c r="AG98" s="41">
        <v>0</v>
      </c>
      <c r="AH98" s="41"/>
      <c r="AI98" s="461"/>
      <c r="AJ98" s="41"/>
      <c r="AK98" s="41"/>
      <c r="AL98" s="41"/>
      <c r="AM98" s="41">
        <f>SUM(AF98:AL98)+AT98+AV98+AX98</f>
        <v>0</v>
      </c>
      <c r="AN98" s="92"/>
      <c r="AO98" s="41"/>
      <c r="AP98" s="41"/>
      <c r="AQ98" s="41"/>
      <c r="AR98" s="41">
        <f>SUM(AN98:AQ98)</f>
        <v>0</v>
      </c>
      <c r="AS98" s="41"/>
      <c r="AT98" s="41"/>
      <c r="AU98" s="41"/>
      <c r="AV98" s="41"/>
      <c r="AW98" s="41"/>
      <c r="AX98" s="41"/>
      <c r="AY98" s="41"/>
      <c r="AZ98" s="41"/>
      <c r="BA98" s="41">
        <f>+AR98+AS98+AU98+AW98+AY98+AZ98</f>
        <v>0</v>
      </c>
      <c r="BB98" s="54"/>
      <c r="BC98" s="55">
        <v>0</v>
      </c>
      <c r="BD98" s="55"/>
      <c r="BE98" s="54"/>
      <c r="BF98" s="55"/>
    </row>
    <row r="99" spans="1:58" ht="12.95" customHeight="1">
      <c r="A99" s="44"/>
      <c r="B99" s="45"/>
      <c r="C99" s="452"/>
      <c r="D99" s="45"/>
      <c r="E99" s="46"/>
      <c r="F99" s="46"/>
      <c r="G99" s="465"/>
      <c r="H99" s="48"/>
      <c r="I99" s="49"/>
      <c r="J99" s="91"/>
      <c r="K99" s="91"/>
      <c r="L99" s="39"/>
      <c r="M99" s="39"/>
      <c r="N99" s="50"/>
      <c r="O99" s="51"/>
      <c r="P99" s="52"/>
      <c r="Q99" s="51"/>
      <c r="R99" s="422"/>
      <c r="S99" s="422"/>
      <c r="T99" s="41"/>
      <c r="U99" s="41"/>
      <c r="V99" s="41"/>
      <c r="W99" s="41"/>
      <c r="X99" s="42"/>
      <c r="Y99" s="223"/>
      <c r="Z99" s="41"/>
      <c r="AA99" s="41"/>
      <c r="AB99" s="41"/>
      <c r="AC99" s="41"/>
      <c r="AD99" s="41">
        <f>+AM99+BA99</f>
        <v>19</v>
      </c>
      <c r="AE99" s="241" t="s">
        <v>510</v>
      </c>
      <c r="AF99" s="37"/>
      <c r="AG99" s="37"/>
      <c r="AH99" s="37">
        <v>19</v>
      </c>
      <c r="AJ99" s="41"/>
      <c r="AK99" s="41"/>
      <c r="AL99" s="41"/>
      <c r="AM99" s="41">
        <f>SUM(AF99:AL99)+AT99+AV99+AX99</f>
        <v>19</v>
      </c>
      <c r="AN99" s="41"/>
      <c r="AO99" s="41"/>
      <c r="AP99" s="41"/>
      <c r="AQ99" s="41"/>
      <c r="AR99" s="41">
        <f>SUM(AN99:AQ99)</f>
        <v>0</v>
      </c>
      <c r="AS99" s="41"/>
      <c r="AT99" s="41"/>
      <c r="AU99" s="41"/>
      <c r="AV99" s="41"/>
      <c r="AW99" s="41"/>
      <c r="AX99" s="41"/>
      <c r="AY99" s="41"/>
      <c r="AZ99" s="41"/>
      <c r="BA99" s="41">
        <f>+AR99+AS99+AU99+AW99+AY99+AZ99</f>
        <v>0</v>
      </c>
      <c r="BB99" s="37"/>
      <c r="BC99" s="57"/>
      <c r="BD99" s="57"/>
      <c r="BE99" s="37"/>
      <c r="BF99" s="57"/>
    </row>
    <row r="100" spans="1:58" ht="12.95" customHeight="1">
      <c r="A100" s="44"/>
      <c r="B100" s="45"/>
      <c r="C100" s="452"/>
      <c r="D100" s="45"/>
      <c r="E100" s="46"/>
      <c r="F100" s="46"/>
      <c r="G100" s="465"/>
      <c r="H100" s="48"/>
      <c r="I100" s="49"/>
      <c r="J100" s="91"/>
      <c r="K100" s="91"/>
      <c r="L100" s="39"/>
      <c r="M100" s="39"/>
      <c r="N100" s="50"/>
      <c r="O100" s="51"/>
      <c r="P100" s="52"/>
      <c r="Q100" s="51"/>
      <c r="R100" s="422"/>
      <c r="S100" s="422"/>
      <c r="T100" s="41"/>
      <c r="U100" s="41"/>
      <c r="V100" s="41"/>
      <c r="W100" s="41"/>
      <c r="X100" s="42"/>
      <c r="Y100" s="223"/>
      <c r="Z100" s="41"/>
      <c r="AA100" s="41"/>
      <c r="AB100" s="41"/>
      <c r="AC100" s="41"/>
      <c r="AD100" s="41"/>
      <c r="AE100" s="2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37"/>
      <c r="BC100" s="55"/>
      <c r="BD100" s="55"/>
      <c r="BE100" s="55"/>
      <c r="BF100" s="55"/>
    </row>
    <row r="101" spans="1:58" ht="12.95" customHeight="1">
      <c r="A101" s="346">
        <v>46012</v>
      </c>
      <c r="B101" s="45" t="s">
        <v>234</v>
      </c>
      <c r="C101" s="452">
        <f>(M101*E101*O101*Q101)/100000000</f>
        <v>36.753149454351522</v>
      </c>
      <c r="D101" s="45" t="s">
        <v>455</v>
      </c>
      <c r="E101" s="46">
        <v>17</v>
      </c>
      <c r="F101" s="46">
        <v>1</v>
      </c>
      <c r="G101" s="465">
        <v>1210</v>
      </c>
      <c r="H101" s="48">
        <v>0</v>
      </c>
      <c r="I101" s="49">
        <v>0.88</v>
      </c>
      <c r="J101" s="91">
        <f>E101*G101*(1-H101)*1440/1000000*2.77</f>
        <v>82.049616</v>
      </c>
      <c r="K101" s="91">
        <f>(IF(G101&lt;L101,L101,G101)*(1-IF(H101&lt;N101,H101,N101))*E101*O101*Q101)/100000000</f>
        <v>37.018619733333331</v>
      </c>
      <c r="L101" s="39">
        <v>1205.5421686746988</v>
      </c>
      <c r="M101" s="39">
        <v>1201.3227710843375</v>
      </c>
      <c r="N101" s="50">
        <f>1-(M101/L101)</f>
        <v>3.4999999999998366E-3</v>
      </c>
      <c r="O101" s="51">
        <f>+'Trim Rwd'!H90</f>
        <v>271.030303030303</v>
      </c>
      <c r="P101" s="52">
        <f>O101*(Q101-R101-S101)</f>
        <v>170749.09090909088</v>
      </c>
      <c r="Q101" s="51">
        <v>664</v>
      </c>
      <c r="R101" s="422">
        <v>0</v>
      </c>
      <c r="S101" s="422">
        <v>34</v>
      </c>
      <c r="T101" s="41">
        <f>E101*M101*O101*Q101/100000000</f>
        <v>36.753149454351522</v>
      </c>
      <c r="U101" s="41">
        <f>E101*M101*O101*(Q101-R101-S101)/100000000</f>
        <v>34.871211078676893</v>
      </c>
      <c r="V101" s="41">
        <f>E101*G101*(1-N101)*O101/100*(R101+S101)/1000000</f>
        <v>1.8888973722666669</v>
      </c>
      <c r="W101" s="41">
        <f>+'21'!K10/1000</f>
        <v>36.372</v>
      </c>
      <c r="X101" s="419">
        <f>SUM(W101:W104)/SUM(K101:K104)</f>
        <v>0.82681471258816286</v>
      </c>
      <c r="Y101" s="223">
        <v>0</v>
      </c>
      <c r="Z101" s="41">
        <f>+'21'!D34/1000</f>
        <v>0.65300000000000002</v>
      </c>
      <c r="AA101" s="53">
        <f>SUM(U101:U104)-SUM(W101:W104)-SUM(Z101:Z104)-SUM(Y101:Y104)</f>
        <v>6.8355567579254792</v>
      </c>
      <c r="AB101" s="53">
        <f>(SUM(K101:K104)-SUM(W101:W104)-SUM(Y101:Y104)-SUM(Z101:Z104)-SUM(AC101:AC104)-SUM(V101:V104))-AA101</f>
        <v>-0.10826612639197819</v>
      </c>
      <c r="AC101" s="41">
        <f>K101-T101</f>
        <v>0.26547027898180886</v>
      </c>
      <c r="AD101" s="41">
        <f>+AM101+BA101</f>
        <v>40</v>
      </c>
      <c r="AE101" s="241" t="s">
        <v>451</v>
      </c>
      <c r="AF101" s="41">
        <v>40</v>
      </c>
      <c r="AG101" s="41"/>
      <c r="AH101" s="41"/>
      <c r="AI101" s="461"/>
      <c r="AJ101" s="41"/>
      <c r="AK101" s="41"/>
      <c r="AL101" s="41"/>
      <c r="AM101" s="41">
        <f>SUM(AF101:AL101)+AT101+AV101+AX101</f>
        <v>40</v>
      </c>
      <c r="AN101" s="41"/>
      <c r="AO101" s="41"/>
      <c r="AP101" s="41"/>
      <c r="AQ101" s="41"/>
      <c r="AR101" s="41">
        <f>SUM(AN101:AQ101)</f>
        <v>0</v>
      </c>
      <c r="AS101" s="41"/>
      <c r="AT101" s="41"/>
      <c r="AU101" s="41"/>
      <c r="AV101" s="41"/>
      <c r="AW101" s="41"/>
      <c r="AX101" s="41"/>
      <c r="AY101" s="41"/>
      <c r="AZ101" s="41"/>
      <c r="BA101" s="41">
        <f>+AR101+AS101+AU101+AW101+AY101+AZ101</f>
        <v>0</v>
      </c>
      <c r="BB101" s="37">
        <v>8</v>
      </c>
      <c r="BC101" s="55"/>
      <c r="BD101" s="55"/>
      <c r="BE101" s="37"/>
      <c r="BF101" s="55"/>
    </row>
    <row r="102" spans="1:58" ht="12.95" customHeight="1">
      <c r="A102" s="346"/>
      <c r="B102" s="45" t="s">
        <v>234</v>
      </c>
      <c r="C102" s="452">
        <f>(M102*E102*O102*Q102)/100000000</f>
        <v>40.894299248772967</v>
      </c>
      <c r="D102" s="45" t="s">
        <v>455</v>
      </c>
      <c r="E102" s="46">
        <v>16.5</v>
      </c>
      <c r="F102" s="46">
        <v>1</v>
      </c>
      <c r="G102" s="465">
        <v>1250</v>
      </c>
      <c r="H102" s="48">
        <v>0</v>
      </c>
      <c r="I102" s="49">
        <v>0.88</v>
      </c>
      <c r="J102" s="91">
        <f>E102*G102*(1-H102)*1440/1000000*2.77</f>
        <v>82.269000000000005</v>
      </c>
      <c r="K102" s="91">
        <f>(IF(G102&lt;L102,L102,G102)*(1-IF(H102&lt;N102,H102,N102))*E102*O102*Q102)/100000000</f>
        <v>43.010193243243243</v>
      </c>
      <c r="L102" s="39">
        <v>1192.680412371134</v>
      </c>
      <c r="M102" s="39">
        <v>1188.5060309278349</v>
      </c>
      <c r="N102" s="50">
        <f>1-(M102/L102)</f>
        <v>3.5000000000001696E-3</v>
      </c>
      <c r="O102" s="51">
        <f>+'Trim Rwd'!H93</f>
        <v>268.72972972972974</v>
      </c>
      <c r="P102" s="52">
        <f>O102*(Q102-R102-S102)</f>
        <v>197785.08108108109</v>
      </c>
      <c r="Q102" s="51">
        <v>776</v>
      </c>
      <c r="R102" s="422">
        <v>0</v>
      </c>
      <c r="S102" s="422">
        <v>40</v>
      </c>
      <c r="T102" s="41">
        <f>E102*M102*O102*Q102/100000000</f>
        <v>40.894299248772967</v>
      </c>
      <c r="U102" s="41">
        <f>E102*M102*O102*(Q102-R102-S102)/100000000</f>
        <v>38.786345679248591</v>
      </c>
      <c r="V102" s="41">
        <f>E102*G102*(1-N102)*O102/100*(R102+S102)/1000000</f>
        <v>2.2092606993243242</v>
      </c>
      <c r="W102" s="41">
        <f>+'21'!K9/1000</f>
        <v>29.797000000000001</v>
      </c>
      <c r="X102" s="419"/>
      <c r="Y102" s="223"/>
      <c r="Z102" s="41">
        <v>0</v>
      </c>
      <c r="AA102" s="53"/>
      <c r="AB102" s="53"/>
      <c r="AC102" s="41">
        <f>K102-T102</f>
        <v>2.1158939944702766</v>
      </c>
      <c r="AD102" s="41">
        <f>+AM102+BA102</f>
        <v>0</v>
      </c>
      <c r="AE102" s="241" t="s">
        <v>448</v>
      </c>
      <c r="AF102" s="41"/>
      <c r="AG102" s="41">
        <v>0</v>
      </c>
      <c r="AH102" s="41"/>
      <c r="AI102" s="461"/>
      <c r="AJ102" s="41"/>
      <c r="AK102" s="41"/>
      <c r="AL102" s="41"/>
      <c r="AM102" s="41">
        <f>SUM(AF102:AL102)+AT102+AV102+AX102</f>
        <v>0</v>
      </c>
      <c r="AN102" s="92"/>
      <c r="AO102" s="41"/>
      <c r="AP102" s="41"/>
      <c r="AQ102" s="41"/>
      <c r="AR102" s="41">
        <f>SUM(AN102:AQ102)</f>
        <v>0</v>
      </c>
      <c r="AS102" s="41"/>
      <c r="AT102" s="41"/>
      <c r="AU102" s="41"/>
      <c r="AV102" s="41"/>
      <c r="AW102" s="41"/>
      <c r="AX102" s="41"/>
      <c r="AY102" s="41"/>
      <c r="AZ102" s="41"/>
      <c r="BA102" s="41">
        <f>+AR102+AS102+AU102+AW102+AY102+AZ102</f>
        <v>0</v>
      </c>
      <c r="BB102" s="54"/>
      <c r="BC102" s="55">
        <v>0</v>
      </c>
      <c r="BD102" s="55"/>
      <c r="BE102" s="54"/>
      <c r="BF102" s="55"/>
    </row>
    <row r="103" spans="1:58" ht="12.95" customHeight="1">
      <c r="A103" s="44"/>
      <c r="B103" s="45"/>
      <c r="C103" s="452"/>
      <c r="D103" s="45"/>
      <c r="E103" s="46"/>
      <c r="F103" s="46"/>
      <c r="G103" s="465"/>
      <c r="H103" s="48"/>
      <c r="I103" s="49"/>
      <c r="J103" s="91"/>
      <c r="K103" s="91"/>
      <c r="L103" s="39"/>
      <c r="M103" s="39"/>
      <c r="N103" s="50"/>
      <c r="O103" s="51"/>
      <c r="P103" s="52"/>
      <c r="Q103" s="51"/>
      <c r="R103" s="422"/>
      <c r="S103" s="422"/>
      <c r="T103" s="41"/>
      <c r="U103" s="41"/>
      <c r="V103" s="41"/>
      <c r="W103" s="41"/>
      <c r="X103" s="42"/>
      <c r="Y103" s="223"/>
      <c r="Z103" s="41"/>
      <c r="AA103" s="41"/>
      <c r="AB103" s="41"/>
      <c r="AC103" s="41"/>
      <c r="AD103" s="41">
        <f>+AM103+BA103</f>
        <v>34</v>
      </c>
      <c r="AE103" s="241" t="s">
        <v>728</v>
      </c>
      <c r="AF103" s="37"/>
      <c r="AG103" s="37"/>
      <c r="AH103" s="37">
        <v>34</v>
      </c>
      <c r="AJ103" s="41"/>
      <c r="AK103" s="41"/>
      <c r="AL103" s="41"/>
      <c r="AM103" s="41">
        <f>SUM(AF103:AL103)+AT103+AV103+AX103</f>
        <v>34</v>
      </c>
      <c r="AN103" s="41"/>
      <c r="AO103" s="41"/>
      <c r="AP103" s="41"/>
      <c r="AQ103" s="41"/>
      <c r="AR103" s="41">
        <f>SUM(AN103:AQ103)</f>
        <v>0</v>
      </c>
      <c r="AS103" s="41"/>
      <c r="AT103" s="41"/>
      <c r="AU103" s="41"/>
      <c r="AV103" s="41"/>
      <c r="AW103" s="41"/>
      <c r="AX103" s="41"/>
      <c r="AY103" s="41"/>
      <c r="AZ103" s="41"/>
      <c r="BA103" s="41">
        <f>+AR103+AS103+AU103+AW103+AY103+AZ103</f>
        <v>0</v>
      </c>
      <c r="BB103" s="37"/>
      <c r="BC103" s="57"/>
      <c r="BD103" s="57"/>
      <c r="BE103" s="37"/>
      <c r="BF103" s="57"/>
    </row>
    <row r="104" spans="1:58" ht="12.95" customHeight="1">
      <c r="A104" s="346"/>
      <c r="B104" s="45"/>
      <c r="C104" s="452"/>
      <c r="D104" s="45"/>
      <c r="E104" s="46"/>
      <c r="F104" s="46"/>
      <c r="G104" s="465"/>
      <c r="H104" s="48"/>
      <c r="I104" s="49"/>
      <c r="J104" s="91"/>
      <c r="K104" s="91"/>
      <c r="L104" s="39"/>
      <c r="M104" s="39"/>
      <c r="N104" s="50"/>
      <c r="O104" s="51"/>
      <c r="P104" s="52"/>
      <c r="Q104" s="51"/>
      <c r="R104" s="422"/>
      <c r="S104" s="422"/>
      <c r="T104" s="41"/>
      <c r="U104" s="41"/>
      <c r="V104" s="41"/>
      <c r="W104" s="41"/>
      <c r="X104" s="419"/>
      <c r="Y104" s="223"/>
      <c r="Z104" s="41"/>
      <c r="AA104" s="53"/>
      <c r="AB104" s="53"/>
      <c r="AC104" s="41"/>
      <c r="AD104" s="41"/>
      <c r="AE104" s="241"/>
      <c r="AF104" s="41"/>
      <c r="AG104" s="41"/>
      <c r="AH104" s="41"/>
      <c r="AI104" s="461"/>
      <c r="AJ104" s="41"/>
      <c r="AK104" s="41"/>
      <c r="AL104" s="41"/>
      <c r="AM104" s="41"/>
      <c r="AN104" s="92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54"/>
      <c r="BC104" s="55"/>
      <c r="BD104" s="55"/>
      <c r="BE104" s="55"/>
      <c r="BF104" s="55"/>
    </row>
    <row r="105" spans="1:58" ht="12.95" customHeight="1">
      <c r="A105" s="346">
        <v>46013</v>
      </c>
      <c r="B105" s="45" t="s">
        <v>234</v>
      </c>
      <c r="C105" s="452">
        <f>(M105*E105*O105*Q105)/100000000</f>
        <v>77.388540767999999</v>
      </c>
      <c r="D105" s="45" t="s">
        <v>455</v>
      </c>
      <c r="E105" s="46">
        <v>16.5</v>
      </c>
      <c r="F105" s="46">
        <v>1</v>
      </c>
      <c r="G105" s="465">
        <v>1250</v>
      </c>
      <c r="H105" s="48">
        <v>0</v>
      </c>
      <c r="I105" s="49">
        <v>0.88</v>
      </c>
      <c r="J105" s="91">
        <f>E105*G105*(1-H105)*1440/1000000*2.77</f>
        <v>82.269000000000005</v>
      </c>
      <c r="K105" s="91">
        <f>(IF(G105&lt;L105,L105,G105)*(1-IF(H105&lt;N105,H105,N105))*E105*O105*Q105)/100000000</f>
        <v>80.784000000000006</v>
      </c>
      <c r="L105" s="39">
        <v>1201.6666666666667</v>
      </c>
      <c r="M105" s="39">
        <v>1197.4608333333333</v>
      </c>
      <c r="N105" s="50">
        <f>1-(M105/L105)</f>
        <v>3.5000000000000586E-3</v>
      </c>
      <c r="O105" s="51">
        <f>+'Trim Rwd'!H96</f>
        <v>272</v>
      </c>
      <c r="P105" s="52">
        <f>O105*(Q105-R105-S105)</f>
        <v>382160</v>
      </c>
      <c r="Q105" s="51">
        <v>1440</v>
      </c>
      <c r="R105" s="422">
        <v>0</v>
      </c>
      <c r="S105" s="422">
        <v>35</v>
      </c>
      <c r="T105" s="41">
        <f>E105*M105*O105*Q105/100000000</f>
        <v>77.388540767999999</v>
      </c>
      <c r="U105" s="41">
        <f>E105*M105*O105*(Q105-R105-S105)/100000000</f>
        <v>75.507569290999996</v>
      </c>
      <c r="V105" s="41">
        <f>E105*G105*(1-N105)*O105/100*(R105+S105)/1000000</f>
        <v>1.95662775</v>
      </c>
      <c r="W105" s="41">
        <f>+'22'!K9/1000</f>
        <v>40.792000000000002</v>
      </c>
      <c r="X105" s="419">
        <f>SUM(W105:W108)/SUM(K105:K108)</f>
        <v>0.92336353733412557</v>
      </c>
      <c r="Y105" s="223">
        <v>0</v>
      </c>
      <c r="Z105" s="41">
        <f>+('22'!D16+'22'!D25)/1000</f>
        <v>0.59</v>
      </c>
      <c r="AA105" s="53">
        <f>SUM(U105:U108)-SUM(W105:W108)-SUM(Z105:Z108)-SUM(Y105:Y108)</f>
        <v>-0.14943070900000777</v>
      </c>
      <c r="AB105" s="53">
        <f>(SUM(K105:K108)-SUM(W105:W108)-SUM(Y105:Y108)-SUM(Z105:Z108)-SUM(AC105:AC108)-SUM(V105:V108))-AA105</f>
        <v>-7.5656272999997221E-2</v>
      </c>
      <c r="AC105" s="41">
        <f>K105-T105</f>
        <v>3.3954592320000074</v>
      </c>
      <c r="AD105" s="41">
        <f>+AM105+BA105</f>
        <v>0</v>
      </c>
      <c r="AE105" s="241" t="s">
        <v>492</v>
      </c>
      <c r="AF105" s="41">
        <v>0</v>
      </c>
      <c r="AG105" s="41"/>
      <c r="AH105" s="41"/>
      <c r="AI105" s="461"/>
      <c r="AJ105" s="41"/>
      <c r="AK105" s="41"/>
      <c r="AL105" s="41"/>
      <c r="AM105" s="41">
        <f>SUM(AF105:AL105)+AT105+AV105+AX105</f>
        <v>0</v>
      </c>
      <c r="AN105" s="41"/>
      <c r="AO105" s="41"/>
      <c r="AP105" s="41"/>
      <c r="AQ105" s="41"/>
      <c r="AR105" s="41">
        <f>SUM(AN105:AQ105)</f>
        <v>0</v>
      </c>
      <c r="AS105" s="41"/>
      <c r="AT105" s="41"/>
      <c r="AU105" s="41"/>
      <c r="AV105" s="41"/>
      <c r="AW105" s="41"/>
      <c r="AX105" s="41"/>
      <c r="AY105" s="41"/>
      <c r="AZ105" s="41"/>
      <c r="BA105" s="41">
        <f>+AR105+AS105+AU105+AW105+AY105+AZ105</f>
        <v>0</v>
      </c>
      <c r="BB105" s="37">
        <v>0</v>
      </c>
      <c r="BC105" s="55"/>
      <c r="BD105" s="55"/>
      <c r="BE105" s="37"/>
      <c r="BF105" s="55"/>
    </row>
    <row r="106" spans="1:58" ht="12.95" customHeight="1">
      <c r="A106" s="346"/>
      <c r="B106" s="45" t="s">
        <v>234</v>
      </c>
      <c r="C106" s="452"/>
      <c r="D106" s="45"/>
      <c r="E106" s="46">
        <v>17</v>
      </c>
      <c r="F106" s="46"/>
      <c r="G106" s="465"/>
      <c r="H106" s="48"/>
      <c r="I106" s="49"/>
      <c r="J106" s="91"/>
      <c r="K106" s="91"/>
      <c r="L106" s="39"/>
      <c r="M106" s="39"/>
      <c r="N106" s="50"/>
      <c r="O106" s="51"/>
      <c r="P106" s="52"/>
      <c r="Q106" s="51"/>
      <c r="R106" s="422"/>
      <c r="S106" s="422"/>
      <c r="T106" s="41"/>
      <c r="U106" s="41"/>
      <c r="V106" s="41"/>
      <c r="W106" s="41">
        <f>+'22'!K10/1000</f>
        <v>33.801000000000002</v>
      </c>
      <c r="X106" s="419"/>
      <c r="Y106" s="223"/>
      <c r="Z106" s="41">
        <f>+'22'!D8/1000</f>
        <v>0.47399999999999998</v>
      </c>
      <c r="AA106" s="53"/>
      <c r="AB106" s="53"/>
      <c r="AC106" s="41"/>
      <c r="AD106" s="41">
        <f>+AM106+BA106</f>
        <v>0</v>
      </c>
      <c r="AE106" s="241" t="s">
        <v>448</v>
      </c>
      <c r="AF106" s="41"/>
      <c r="AG106" s="41">
        <v>0</v>
      </c>
      <c r="AH106" s="41"/>
      <c r="AI106" s="461"/>
      <c r="AJ106" s="41"/>
      <c r="AK106" s="41"/>
      <c r="AL106" s="41"/>
      <c r="AM106" s="41">
        <f>SUM(AF106:AL106)+AT106+AV106+AX106</f>
        <v>0</v>
      </c>
      <c r="AN106" s="92"/>
      <c r="AO106" s="41"/>
      <c r="AP106" s="41"/>
      <c r="AQ106" s="41"/>
      <c r="AR106" s="41">
        <f>SUM(AN106:AQ106)</f>
        <v>0</v>
      </c>
      <c r="AS106" s="41"/>
      <c r="AT106" s="41"/>
      <c r="AU106" s="41"/>
      <c r="AV106" s="41"/>
      <c r="AW106" s="41"/>
      <c r="AX106" s="41"/>
      <c r="AY106" s="41"/>
      <c r="AZ106" s="41"/>
      <c r="BA106" s="41">
        <f>+AR106+AS106+AU106+AW106+AY106+AZ106</f>
        <v>0</v>
      </c>
      <c r="BB106" s="54"/>
      <c r="BC106" s="55">
        <v>0</v>
      </c>
      <c r="BD106" s="55"/>
      <c r="BE106" s="54"/>
      <c r="BF106" s="55"/>
    </row>
    <row r="107" spans="1:58" ht="12.95" customHeight="1">
      <c r="A107" s="44"/>
      <c r="B107" s="45"/>
      <c r="C107" s="452"/>
      <c r="D107" s="45"/>
      <c r="E107" s="46"/>
      <c r="F107" s="46"/>
      <c r="G107" s="465"/>
      <c r="H107" s="48"/>
      <c r="I107" s="49"/>
      <c r="J107" s="91"/>
      <c r="K107" s="91"/>
      <c r="L107" s="39"/>
      <c r="M107" s="39"/>
      <c r="N107" s="50"/>
      <c r="O107" s="51"/>
      <c r="P107" s="52"/>
      <c r="Q107" s="51"/>
      <c r="R107" s="422"/>
      <c r="S107" s="422"/>
      <c r="T107" s="41"/>
      <c r="U107" s="41"/>
      <c r="V107" s="41"/>
      <c r="W107" s="41"/>
      <c r="X107" s="42"/>
      <c r="Y107" s="223"/>
      <c r="Z107" s="41"/>
      <c r="AA107" s="41"/>
      <c r="AB107" s="41"/>
      <c r="AC107" s="41"/>
      <c r="AD107" s="41">
        <f>+AM107+BA107</f>
        <v>35</v>
      </c>
      <c r="AE107" s="241" t="s">
        <v>510</v>
      </c>
      <c r="AF107" s="37"/>
      <c r="AG107" s="37"/>
      <c r="AH107" s="37">
        <v>35</v>
      </c>
      <c r="AJ107" s="41"/>
      <c r="AK107" s="41"/>
      <c r="AL107" s="41"/>
      <c r="AM107" s="41">
        <f>SUM(AF107:AL107)+AT107+AV107+AX107</f>
        <v>35</v>
      </c>
      <c r="AN107" s="41"/>
      <c r="AO107" s="41"/>
      <c r="AP107" s="41"/>
      <c r="AQ107" s="41"/>
      <c r="AR107" s="41">
        <f>SUM(AN107:AQ107)</f>
        <v>0</v>
      </c>
      <c r="AS107" s="41"/>
      <c r="AT107" s="41"/>
      <c r="AU107" s="41"/>
      <c r="AV107" s="41"/>
      <c r="AW107" s="41"/>
      <c r="AX107" s="41"/>
      <c r="AY107" s="41"/>
      <c r="AZ107" s="41"/>
      <c r="BA107" s="41">
        <f>+AR107+AS107+AU107+AW107+AY107+AZ107</f>
        <v>0</v>
      </c>
      <c r="BB107" s="37"/>
      <c r="BC107" s="57"/>
      <c r="BD107" s="57"/>
      <c r="BE107" s="37"/>
      <c r="BF107" s="57"/>
    </row>
    <row r="108" spans="1:58" ht="12.95" customHeight="1">
      <c r="A108" s="346"/>
      <c r="B108" s="45"/>
      <c r="C108" s="452"/>
      <c r="D108" s="45"/>
      <c r="E108" s="46"/>
      <c r="F108" s="46"/>
      <c r="G108" s="465"/>
      <c r="H108" s="48"/>
      <c r="I108" s="49"/>
      <c r="J108" s="91"/>
      <c r="K108" s="91"/>
      <c r="L108" s="39"/>
      <c r="M108" s="39"/>
      <c r="N108" s="50"/>
      <c r="O108" s="51"/>
      <c r="P108" s="52"/>
      <c r="Q108" s="51"/>
      <c r="R108" s="422"/>
      <c r="S108" s="422"/>
      <c r="T108" s="41"/>
      <c r="U108" s="41"/>
      <c r="V108" s="41"/>
      <c r="W108" s="41"/>
      <c r="X108" s="419"/>
      <c r="Y108" s="223"/>
      <c r="Z108" s="41"/>
      <c r="AA108" s="53"/>
      <c r="AB108" s="53"/>
      <c r="AC108" s="41"/>
      <c r="AD108" s="41"/>
      <c r="AE108" s="241"/>
      <c r="AF108" s="41"/>
      <c r="AG108" s="41"/>
      <c r="AH108" s="41"/>
      <c r="AI108" s="461"/>
      <c r="AJ108" s="41"/>
      <c r="AK108" s="41"/>
      <c r="AL108" s="41"/>
      <c r="AM108" s="41"/>
      <c r="AN108" s="92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54"/>
      <c r="BC108" s="55"/>
      <c r="BD108" s="55"/>
      <c r="BE108" s="55"/>
      <c r="BF108" s="55"/>
    </row>
    <row r="109" spans="1:58" ht="12.95" customHeight="1">
      <c r="A109" s="346">
        <v>46014</v>
      </c>
      <c r="B109" s="45" t="s">
        <v>234</v>
      </c>
      <c r="C109" s="452">
        <f>(M109*E109*O109*Q109)/100000000</f>
        <v>25.975071936000003</v>
      </c>
      <c r="D109" s="45" t="s">
        <v>455</v>
      </c>
      <c r="E109" s="46">
        <v>16.5</v>
      </c>
      <c r="F109" s="46">
        <v>1</v>
      </c>
      <c r="G109" s="465">
        <v>1250</v>
      </c>
      <c r="H109" s="48">
        <v>0</v>
      </c>
      <c r="I109" s="49">
        <v>0.88</v>
      </c>
      <c r="J109" s="91">
        <f>E109*G109*(1-H109)*1440/1000000*2.77</f>
        <v>82.269000000000005</v>
      </c>
      <c r="K109" s="91">
        <f>(IF(G109&lt;L109,L109,G109)*(1-IF(H109&lt;N109,H109,N109))*E109*O109*Q109)/100000000</f>
        <v>26.928000000000001</v>
      </c>
      <c r="L109" s="39">
        <v>1210</v>
      </c>
      <c r="M109" s="39">
        <v>1205.7650000000001</v>
      </c>
      <c r="N109" s="50">
        <f>1-(M109/L109)</f>
        <v>3.4999999999999476E-3</v>
      </c>
      <c r="O109" s="51">
        <f>+'Trim Rwd'!H100</f>
        <v>272</v>
      </c>
      <c r="P109" s="52">
        <f>O109*(Q109-R109-S109)</f>
        <v>128384</v>
      </c>
      <c r="Q109" s="51">
        <v>480</v>
      </c>
      <c r="R109" s="422">
        <v>0</v>
      </c>
      <c r="S109" s="422">
        <v>8</v>
      </c>
      <c r="T109" s="41">
        <f>E109*M109*O109*Q109/100000000</f>
        <v>25.975071936000003</v>
      </c>
      <c r="U109" s="41">
        <f>E109*M109*O109*(Q109-R109-S109)/100000000</f>
        <v>25.542154070399999</v>
      </c>
      <c r="V109" s="41">
        <f>E109*G109*(1-N109)*O109/100*(R109+S109)/1000000</f>
        <v>0.44722919999999999</v>
      </c>
      <c r="W109" s="41">
        <f>+'23'!K9/1000</f>
        <v>4.843</v>
      </c>
      <c r="X109" s="419">
        <f>SUM(W109:W112)/SUM(K109:K112)</f>
        <v>0.99405536486462198</v>
      </c>
      <c r="Y109" s="223">
        <v>0</v>
      </c>
      <c r="Z109" s="41">
        <v>0</v>
      </c>
      <c r="AA109" s="53">
        <f>SUM(U109:U112)-SUM(W109:W112)-SUM(Z109:Z112)-SUM(Y109:Y112)</f>
        <v>-4.0035890823896185</v>
      </c>
      <c r="AB109" s="53">
        <f>(SUM(K109:K112)-SUM(W109:W112)-SUM(Y109:Y112)-SUM(Z109:Z112)-SUM(AC109:AC112)-SUM(V109:V112))-AA109</f>
        <v>0.18846789286234378</v>
      </c>
      <c r="AC109" s="41">
        <f>K109-T109</f>
        <v>0.95292806399999819</v>
      </c>
      <c r="AD109" s="41">
        <f>+AM109+BA109</f>
        <v>6</v>
      </c>
      <c r="AE109" s="241" t="s">
        <v>477</v>
      </c>
      <c r="AF109" s="41">
        <v>6</v>
      </c>
      <c r="AG109" s="41"/>
      <c r="AH109" s="41"/>
      <c r="AI109" s="461"/>
      <c r="AJ109" s="41"/>
      <c r="AK109" s="41"/>
      <c r="AL109" s="41"/>
      <c r="AM109" s="41">
        <f>SUM(AF109:AL109)+AT109+AV109+AX109</f>
        <v>6</v>
      </c>
      <c r="AN109" s="41"/>
      <c r="AO109" s="41"/>
      <c r="AP109" s="41"/>
      <c r="AQ109" s="41"/>
      <c r="AR109" s="41">
        <f>SUM(AN109:AQ109)</f>
        <v>0</v>
      </c>
      <c r="AS109" s="41"/>
      <c r="AT109" s="41"/>
      <c r="AU109" s="41"/>
      <c r="AV109" s="41"/>
      <c r="AW109" s="41"/>
      <c r="AX109" s="41"/>
      <c r="AY109" s="41"/>
      <c r="AZ109" s="41"/>
      <c r="BA109" s="41">
        <f>+AR109+AS109+AU109+AW109+AY109+AZ109</f>
        <v>0</v>
      </c>
      <c r="BB109" s="37">
        <v>0</v>
      </c>
      <c r="BC109" s="55"/>
      <c r="BD109" s="55"/>
      <c r="BE109" s="37"/>
      <c r="BF109" s="55"/>
    </row>
    <row r="110" spans="1:58" ht="12.95" customHeight="1">
      <c r="A110" s="346"/>
      <c r="B110" s="45" t="s">
        <v>234</v>
      </c>
      <c r="C110" s="452">
        <f>(M110*E110*O110*Q110)/100000000</f>
        <v>53.598566285298702</v>
      </c>
      <c r="D110" s="45" t="s">
        <v>455</v>
      </c>
      <c r="E110" s="46">
        <v>17</v>
      </c>
      <c r="F110" s="46">
        <v>1</v>
      </c>
      <c r="G110" s="465">
        <v>1210</v>
      </c>
      <c r="H110" s="48">
        <v>0</v>
      </c>
      <c r="I110" s="49">
        <v>0.88</v>
      </c>
      <c r="J110" s="91">
        <f>E110*G110*(1-H110)*1440/1000000*2.77</f>
        <v>82.049616</v>
      </c>
      <c r="K110" s="91">
        <f>(IF(G110&lt;L110,L110,G110)*(1-IF(H110&lt;N110,H110,N110))*E110*O110*Q110)/100000000</f>
        <v>53.786820155844154</v>
      </c>
      <c r="L110" s="39">
        <v>1230</v>
      </c>
      <c r="M110" s="39">
        <v>1225.6949999999999</v>
      </c>
      <c r="N110" s="50">
        <f>1-(M110/L110)</f>
        <v>3.5000000000000586E-3</v>
      </c>
      <c r="O110" s="51">
        <f>+'Trim Rwd'!H101</f>
        <v>267.94805194805195</v>
      </c>
      <c r="P110" s="52">
        <f>O110*(Q110-R110-S110)</f>
        <v>252942.96103896105</v>
      </c>
      <c r="Q110" s="51">
        <v>960</v>
      </c>
      <c r="R110" s="422">
        <v>0</v>
      </c>
      <c r="S110" s="422">
        <f>24-S109</f>
        <v>16</v>
      </c>
      <c r="T110" s="41">
        <f>E110*M110*O110*Q110/100000000</f>
        <v>53.598566285298702</v>
      </c>
      <c r="U110" s="41">
        <f>E110*M110*O110*(Q110-R110-S110)/100000000</f>
        <v>52.705256847210386</v>
      </c>
      <c r="V110" s="41">
        <f>E110*G110*(1-N110)*O110/100*(R110+S110)/1000000</f>
        <v>0.8787840813714286</v>
      </c>
      <c r="W110" s="41">
        <f>+'23'!K10/1000</f>
        <v>75.391999999999996</v>
      </c>
      <c r="X110" s="419"/>
      <c r="Y110" s="223"/>
      <c r="Z110" s="41">
        <f>+('23'!D34/1000)</f>
        <v>2.016</v>
      </c>
      <c r="AA110" s="53"/>
      <c r="AB110" s="53"/>
      <c r="AC110" s="41"/>
      <c r="AD110" s="41">
        <f>+AM110+BA110</f>
        <v>0</v>
      </c>
      <c r="AE110" s="241" t="s">
        <v>448</v>
      </c>
      <c r="AF110" s="41"/>
      <c r="AG110" s="41">
        <v>0</v>
      </c>
      <c r="AH110" s="41"/>
      <c r="AI110" s="461"/>
      <c r="AJ110" s="41"/>
      <c r="AK110" s="41"/>
      <c r="AL110" s="41"/>
      <c r="AM110" s="41">
        <f>SUM(AF110:AL110)+AT110+AV110+AX110</f>
        <v>0</v>
      </c>
      <c r="AN110" s="92"/>
      <c r="AO110" s="41"/>
      <c r="AP110" s="41"/>
      <c r="AQ110" s="41"/>
      <c r="AR110" s="41">
        <f>SUM(AN110:AQ110)</f>
        <v>0</v>
      </c>
      <c r="AS110" s="41"/>
      <c r="AT110" s="41"/>
      <c r="AU110" s="41"/>
      <c r="AV110" s="41"/>
      <c r="AW110" s="41"/>
      <c r="AX110" s="41"/>
      <c r="AY110" s="41"/>
      <c r="AZ110" s="41"/>
      <c r="BA110" s="41">
        <f>+AR110+AS110+AU110+AW110+AY110+AZ110</f>
        <v>0</v>
      </c>
      <c r="BB110" s="54"/>
      <c r="BC110" s="55">
        <v>0</v>
      </c>
      <c r="BD110" s="55"/>
      <c r="BE110" s="54"/>
      <c r="BF110" s="55"/>
    </row>
    <row r="111" spans="1:58" ht="12.95" customHeight="1">
      <c r="A111" s="44"/>
      <c r="B111" s="45"/>
      <c r="C111" s="452"/>
      <c r="D111" s="45"/>
      <c r="E111" s="46"/>
      <c r="F111" s="46"/>
      <c r="G111" s="465"/>
      <c r="H111" s="48"/>
      <c r="I111" s="49"/>
      <c r="J111" s="91"/>
      <c r="K111" s="91"/>
      <c r="L111" s="39"/>
      <c r="M111" s="39"/>
      <c r="N111" s="50"/>
      <c r="O111" s="51"/>
      <c r="P111" s="52"/>
      <c r="Q111" s="51"/>
      <c r="R111" s="422"/>
      <c r="S111" s="422"/>
      <c r="T111" s="41"/>
      <c r="U111" s="41"/>
      <c r="V111" s="41"/>
      <c r="W111" s="41"/>
      <c r="X111" s="42"/>
      <c r="Y111" s="223"/>
      <c r="Z111" s="41"/>
      <c r="AA111" s="41"/>
      <c r="AB111" s="41"/>
      <c r="AC111" s="41"/>
      <c r="AD111" s="41">
        <f>+AM111+BA111</f>
        <v>18</v>
      </c>
      <c r="AE111" s="241" t="s">
        <v>510</v>
      </c>
      <c r="AF111" s="37"/>
      <c r="AG111" s="37"/>
      <c r="AH111" s="37">
        <v>18</v>
      </c>
      <c r="AJ111" s="41"/>
      <c r="AK111" s="41"/>
      <c r="AL111" s="41"/>
      <c r="AM111" s="41">
        <f>SUM(AF111:AL111)+AT111+AV111+AX111</f>
        <v>18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/>
      <c r="BC111" s="57"/>
      <c r="BD111" s="57"/>
      <c r="BE111" s="37"/>
      <c r="BF111" s="57"/>
    </row>
    <row r="112" spans="1:58" ht="12.95" customHeight="1">
      <c r="A112" s="346"/>
      <c r="B112" s="45"/>
      <c r="C112" s="452"/>
      <c r="D112" s="45"/>
      <c r="E112" s="46"/>
      <c r="F112" s="46"/>
      <c r="G112" s="465"/>
      <c r="H112" s="48"/>
      <c r="I112" s="49"/>
      <c r="J112" s="91"/>
      <c r="K112" s="91"/>
      <c r="L112" s="39"/>
      <c r="M112" s="39"/>
      <c r="N112" s="50"/>
      <c r="O112" s="51"/>
      <c r="P112" s="52"/>
      <c r="Q112" s="51"/>
      <c r="R112" s="422"/>
      <c r="S112" s="422"/>
      <c r="T112" s="41"/>
      <c r="U112" s="41"/>
      <c r="V112" s="41"/>
      <c r="W112" s="41"/>
      <c r="X112" s="419"/>
      <c r="Y112" s="223"/>
      <c r="Z112" s="41"/>
      <c r="AA112" s="53"/>
      <c r="AB112" s="53"/>
      <c r="AC112" s="41"/>
      <c r="AD112" s="41"/>
      <c r="AE112" s="241"/>
      <c r="AF112" s="41"/>
      <c r="AG112" s="41"/>
      <c r="AH112" s="41"/>
      <c r="AI112" s="461"/>
      <c r="AJ112" s="41"/>
      <c r="AK112" s="41"/>
      <c r="AL112" s="41"/>
      <c r="AM112" s="41"/>
      <c r="AN112" s="92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54"/>
      <c r="BC112" s="55"/>
      <c r="BD112" s="55"/>
      <c r="BE112" s="55"/>
      <c r="BF112" s="55"/>
    </row>
    <row r="113" spans="1:58" ht="12.95" customHeight="1">
      <c r="A113" s="346">
        <v>46015</v>
      </c>
      <c r="B113" s="45" t="s">
        <v>234</v>
      </c>
      <c r="C113" s="452">
        <f>(M113*E113*O113*Q113)/100000000</f>
        <v>78.455756242632916</v>
      </c>
      <c r="D113" s="45" t="s">
        <v>455</v>
      </c>
      <c r="E113" s="46">
        <v>17</v>
      </c>
      <c r="F113" s="46">
        <v>1</v>
      </c>
      <c r="G113" s="465">
        <v>1210</v>
      </c>
      <c r="H113" s="48">
        <v>0</v>
      </c>
      <c r="I113" s="49">
        <v>0.88</v>
      </c>
      <c r="J113" s="91">
        <f>E113*G113*(1-H113)*1440/1000000*2.77</f>
        <v>82.049616</v>
      </c>
      <c r="K113" s="91">
        <f>(IF(G113&lt;L113,L113,G113)*(1-IF(H113&lt;N113,H113,N113))*E113*O113*Q113)/100000000</f>
        <v>78.948805670886074</v>
      </c>
      <c r="L113" s="39">
        <v>1206.6666666666667</v>
      </c>
      <c r="M113" s="39">
        <v>1202.4433333333334</v>
      </c>
      <c r="N113" s="50">
        <f>1-(M113/L113)</f>
        <v>3.5000000000000586E-3</v>
      </c>
      <c r="O113" s="51">
        <f>+'Trim Rwd'!H105</f>
        <v>266.53164556962025</v>
      </c>
      <c r="P113" s="52">
        <f>O113*(Q113-R113-S113)</f>
        <v>367813.67088607594</v>
      </c>
      <c r="Q113" s="51">
        <v>1440</v>
      </c>
      <c r="R113" s="422">
        <v>0</v>
      </c>
      <c r="S113" s="422">
        <v>60</v>
      </c>
      <c r="T113" s="41">
        <f>E113*M113*O113*Q113/100000000</f>
        <v>78.455756242632916</v>
      </c>
      <c r="U113" s="41">
        <f>E113*M113*O113*(Q113-R113-S113)/100000000</f>
        <v>75.186766399189878</v>
      </c>
      <c r="V113" s="41">
        <f>E113*G113*(1-N113)*O113/100*(R113+S113)/1000000</f>
        <v>3.2780202021265819</v>
      </c>
      <c r="W113" s="41">
        <f>+'24'!K10/1000</f>
        <v>76.366</v>
      </c>
      <c r="X113" s="419">
        <f>SUM(W113:W116)/SUM(K113:K116)</f>
        <v>0.96728505708302903</v>
      </c>
      <c r="Y113" s="223">
        <v>0</v>
      </c>
      <c r="Z113" s="41">
        <f>+'24'!D7/1000</f>
        <v>0.32700000000000001</v>
      </c>
      <c r="AA113" s="53">
        <f>SUM(U113:U116)-SUM(W113:W116)-SUM(Z113:Z116)-SUM(Y113:Y116)</f>
        <v>-1.5062336008101216</v>
      </c>
      <c r="AB113" s="53">
        <f>(SUM(K113:K116)-SUM(W113:W116)-SUM(Y113:Y116)-SUM(Z113:Z116)-SUM(AC113:AC116)-SUM(V113:V116))-AA113</f>
        <v>-9.0303586835442928E-3</v>
      </c>
      <c r="AC113" s="41">
        <f>K113-T113</f>
        <v>0.49304942825315834</v>
      </c>
      <c r="AD113" s="41">
        <f>+AM113+BA113</f>
        <v>24</v>
      </c>
      <c r="AE113" s="241" t="s">
        <v>446</v>
      </c>
      <c r="AF113" s="41">
        <v>24</v>
      </c>
      <c r="AG113" s="41"/>
      <c r="AH113" s="41"/>
      <c r="AI113" s="461"/>
      <c r="AJ113" s="41"/>
      <c r="AK113" s="41"/>
      <c r="AL113" s="41"/>
      <c r="AM113" s="41">
        <f>SUM(AF113:AL113)+AT113+AV113+AX113</f>
        <v>24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>
        <v>0</v>
      </c>
      <c r="BC113" s="55"/>
      <c r="BD113" s="55"/>
      <c r="BE113" s="37"/>
      <c r="BF113" s="55"/>
    </row>
    <row r="114" spans="1:58" ht="12.95" customHeight="1">
      <c r="A114" s="346"/>
      <c r="B114" s="45"/>
      <c r="C114" s="452"/>
      <c r="D114" s="45"/>
      <c r="E114" s="46"/>
      <c r="F114" s="46"/>
      <c r="G114" s="465"/>
      <c r="H114" s="48"/>
      <c r="I114" s="49"/>
      <c r="J114" s="91"/>
      <c r="K114" s="91"/>
      <c r="L114" s="39"/>
      <c r="M114" s="39"/>
      <c r="N114" s="50"/>
      <c r="O114" s="51"/>
      <c r="P114" s="52"/>
      <c r="Q114" s="51"/>
      <c r="R114" s="422"/>
      <c r="S114" s="422"/>
      <c r="T114" s="41"/>
      <c r="U114" s="41"/>
      <c r="V114" s="41"/>
      <c r="W114" s="41"/>
      <c r="X114" s="419"/>
      <c r="Y114" s="223"/>
      <c r="Z114" s="41"/>
      <c r="AA114" s="53"/>
      <c r="AB114" s="53"/>
      <c r="AC114" s="41"/>
      <c r="AD114" s="41">
        <f>+AM114+BA114</f>
        <v>0</v>
      </c>
      <c r="AE114" s="241" t="s">
        <v>448</v>
      </c>
      <c r="AF114" s="41"/>
      <c r="AG114" s="41">
        <v>0</v>
      </c>
      <c r="AH114" s="41"/>
      <c r="AI114" s="461"/>
      <c r="AJ114" s="41"/>
      <c r="AK114" s="41"/>
      <c r="AL114" s="41"/>
      <c r="AM114" s="41">
        <f>SUM(AF114:AL114)+AT114+AV114+AX114</f>
        <v>0</v>
      </c>
      <c r="AN114" s="92"/>
      <c r="AO114" s="41"/>
      <c r="AP114" s="41"/>
      <c r="AQ114" s="41"/>
      <c r="AR114" s="41">
        <f>SUM(AN114:AQ114)</f>
        <v>0</v>
      </c>
      <c r="AS114" s="41"/>
      <c r="AT114" s="41"/>
      <c r="AU114" s="41"/>
      <c r="AV114" s="41"/>
      <c r="AW114" s="41"/>
      <c r="AX114" s="41"/>
      <c r="AY114" s="41"/>
      <c r="AZ114" s="41"/>
      <c r="BA114" s="41">
        <f>+AR114+AS114+AU114+AW114+AY114+AZ114</f>
        <v>0</v>
      </c>
      <c r="BB114" s="54"/>
      <c r="BC114" s="55">
        <v>0</v>
      </c>
      <c r="BD114" s="55"/>
      <c r="BE114" s="54"/>
      <c r="BF114" s="55"/>
    </row>
    <row r="115" spans="1:58" ht="12.95" customHeight="1">
      <c r="A115" s="44"/>
      <c r="B115" s="45"/>
      <c r="C115" s="452"/>
      <c r="D115" s="45"/>
      <c r="E115" s="46"/>
      <c r="F115" s="46"/>
      <c r="G115" s="465"/>
      <c r="H115" s="48"/>
      <c r="I115" s="49"/>
      <c r="J115" s="91"/>
      <c r="K115" s="91"/>
      <c r="L115" s="39"/>
      <c r="M115" s="39"/>
      <c r="N115" s="50"/>
      <c r="O115" s="51"/>
      <c r="P115" s="52"/>
      <c r="Q115" s="51"/>
      <c r="R115" s="422"/>
      <c r="S115" s="422"/>
      <c r="T115" s="41"/>
      <c r="U115" s="41"/>
      <c r="V115" s="41"/>
      <c r="W115" s="41"/>
      <c r="X115" s="42"/>
      <c r="Y115" s="223"/>
      <c r="Z115" s="41"/>
      <c r="AA115" s="41"/>
      <c r="AB115" s="41"/>
      <c r="AC115" s="41"/>
      <c r="AD115" s="41">
        <f>+AM115+BA115</f>
        <v>36</v>
      </c>
      <c r="AE115" s="241" t="s">
        <v>564</v>
      </c>
      <c r="AF115" s="37"/>
      <c r="AG115" s="37"/>
      <c r="AH115" s="37">
        <v>36</v>
      </c>
      <c r="AJ115" s="41"/>
      <c r="AK115" s="41"/>
      <c r="AL115" s="41"/>
      <c r="AM115" s="41">
        <f>SUM(AF115:AL115)+AT115+AV115+AX115</f>
        <v>36</v>
      </c>
      <c r="AN115" s="41"/>
      <c r="AO115" s="41"/>
      <c r="AP115" s="41"/>
      <c r="AQ115" s="41"/>
      <c r="AR115" s="41">
        <f>SUM(AN115:AQ115)</f>
        <v>0</v>
      </c>
      <c r="AS115" s="41"/>
      <c r="AT115" s="41"/>
      <c r="AU115" s="41"/>
      <c r="AV115" s="41"/>
      <c r="AW115" s="41"/>
      <c r="AX115" s="41"/>
      <c r="AY115" s="41"/>
      <c r="AZ115" s="41"/>
      <c r="BA115" s="41">
        <f>+AR115+AS115+AU115+AW115+AY115+AZ115</f>
        <v>0</v>
      </c>
      <c r="BB115" s="37"/>
      <c r="BC115" s="57"/>
      <c r="BD115" s="57"/>
      <c r="BE115" s="37"/>
      <c r="BF115" s="57"/>
    </row>
    <row r="116" spans="1:58" ht="12.95" customHeight="1">
      <c r="A116" s="346"/>
      <c r="B116" s="45"/>
      <c r="C116" s="452"/>
      <c r="D116" s="45"/>
      <c r="E116" s="46"/>
      <c r="F116" s="46"/>
      <c r="G116" s="465"/>
      <c r="H116" s="48"/>
      <c r="I116" s="49"/>
      <c r="J116" s="91"/>
      <c r="K116" s="91"/>
      <c r="L116" s="39"/>
      <c r="M116" s="39"/>
      <c r="N116" s="50"/>
      <c r="O116" s="51"/>
      <c r="P116" s="52"/>
      <c r="Q116" s="51"/>
      <c r="R116" s="422"/>
      <c r="S116" s="422"/>
      <c r="T116" s="41"/>
      <c r="U116" s="41"/>
      <c r="V116" s="41"/>
      <c r="W116" s="41"/>
      <c r="X116" s="419"/>
      <c r="Y116" s="223"/>
      <c r="Z116" s="41"/>
      <c r="AA116" s="53"/>
      <c r="AB116" s="53"/>
      <c r="AC116" s="41"/>
      <c r="AD116" s="41"/>
      <c r="AE116" s="241"/>
      <c r="AF116" s="41"/>
      <c r="AG116" s="41"/>
      <c r="AH116" s="41"/>
      <c r="AI116" s="461"/>
      <c r="AJ116" s="41"/>
      <c r="AK116" s="41"/>
      <c r="AL116" s="41"/>
      <c r="AM116" s="41"/>
      <c r="AN116" s="92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54"/>
      <c r="BC116" s="55"/>
      <c r="BD116" s="55"/>
      <c r="BE116" s="55"/>
      <c r="BF116" s="55"/>
    </row>
    <row r="117" spans="1:58" ht="12.95" customHeight="1">
      <c r="A117" s="346">
        <v>46016</v>
      </c>
      <c r="B117" s="45" t="s">
        <v>234</v>
      </c>
      <c r="C117" s="452">
        <f>(M117*E117*O117*Q117)/100000000</f>
        <v>78.075137877760014</v>
      </c>
      <c r="D117" s="45" t="s">
        <v>455</v>
      </c>
      <c r="E117" s="46">
        <v>17</v>
      </c>
      <c r="F117" s="46">
        <v>1</v>
      </c>
      <c r="G117" s="465">
        <v>1210</v>
      </c>
      <c r="H117" s="48">
        <v>0</v>
      </c>
      <c r="I117" s="49">
        <v>0.88</v>
      </c>
      <c r="J117" s="91">
        <f>E117*G117*(1-H117)*1440/1000000*2.77</f>
        <v>82.049616</v>
      </c>
      <c r="K117" s="91">
        <f>(IF(G117&lt;L117,L117,G117)*(1-IF(H117&lt;N117,H117,N117))*E117*O117*Q117)/100000000</f>
        <v>78.783429119999994</v>
      </c>
      <c r="L117" s="39">
        <v>1203.3333333333333</v>
      </c>
      <c r="M117" s="39">
        <v>1199.1216666666669</v>
      </c>
      <c r="N117" s="50">
        <f>1-(M117/L117)</f>
        <v>3.4999999999997256E-3</v>
      </c>
      <c r="O117" s="51">
        <f>+'Trim Rwd'!H110</f>
        <v>265.97333333333336</v>
      </c>
      <c r="P117" s="52">
        <f>O117*(Q117-R117-S117)</f>
        <v>376884.21333333338</v>
      </c>
      <c r="Q117" s="51">
        <v>1440</v>
      </c>
      <c r="R117" s="422">
        <v>0</v>
      </c>
      <c r="S117" s="422">
        <v>23</v>
      </c>
      <c r="T117" s="41">
        <f>E117*M117*O117*Q117/100000000</f>
        <v>78.075137877760014</v>
      </c>
      <c r="U117" s="41">
        <f>E117*M117*O117*(Q117-R117-S117)/100000000</f>
        <v>76.828104425545803</v>
      </c>
      <c r="V117" s="41">
        <f>E117*G117*(1-N117)*O117/100*(R117+S117)/1000000</f>
        <v>1.253942224802667</v>
      </c>
      <c r="W117" s="41">
        <f>+'25'!K10/1000</f>
        <v>77.453999999999994</v>
      </c>
      <c r="X117" s="419">
        <f>SUM(W117:W120)/SUM(K117:K120)</f>
        <v>0.98312552354156779</v>
      </c>
      <c r="Y117" s="223">
        <v>0</v>
      </c>
      <c r="Z117" s="41">
        <v>0</v>
      </c>
      <c r="AA117" s="53">
        <f>SUM(U117:U120)-SUM(W117:W120)-SUM(Z117:Z120)-SUM(Y117:Y120)</f>
        <v>-0.62589557445419075</v>
      </c>
      <c r="AB117" s="53">
        <f>(SUM(K117:K120)-SUM(W117:W120)-SUM(Y117:Y120)-SUM(Z117:Z120)-SUM(AC117:AC120)-SUM(V117:V120))-AA117</f>
        <v>-6.9087725884560136E-3</v>
      </c>
      <c r="AC117" s="41">
        <f>K117-T117</f>
        <v>0.70829124223998008</v>
      </c>
      <c r="AD117" s="41">
        <f>+AM117+BA117</f>
        <v>0</v>
      </c>
      <c r="AE117" s="241" t="s">
        <v>492</v>
      </c>
      <c r="AF117" s="41">
        <v>0</v>
      </c>
      <c r="AG117" s="41"/>
      <c r="AH117" s="41"/>
      <c r="AI117" s="461"/>
      <c r="AJ117" s="41"/>
      <c r="AK117" s="41"/>
      <c r="AL117" s="41"/>
      <c r="AM117" s="41">
        <f>SUM(AF117:AL117)+AT117+AV117+AX117</f>
        <v>0</v>
      </c>
      <c r="AN117" s="41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37">
        <v>0</v>
      </c>
      <c r="BC117" s="55"/>
      <c r="BD117" s="55"/>
      <c r="BE117" s="37"/>
      <c r="BF117" s="55"/>
    </row>
    <row r="118" spans="1:58" ht="12.95" customHeight="1">
      <c r="A118" s="346"/>
      <c r="B118" s="45"/>
      <c r="C118" s="452"/>
      <c r="D118" s="45"/>
      <c r="E118" s="46"/>
      <c r="F118" s="46"/>
      <c r="G118" s="465"/>
      <c r="H118" s="48"/>
      <c r="I118" s="49"/>
      <c r="J118" s="91"/>
      <c r="K118" s="91"/>
      <c r="L118" s="39"/>
      <c r="M118" s="39"/>
      <c r="N118" s="50"/>
      <c r="O118" s="51"/>
      <c r="P118" s="52"/>
      <c r="Q118" s="51"/>
      <c r="R118" s="422"/>
      <c r="S118" s="422"/>
      <c r="T118" s="41"/>
      <c r="U118" s="41"/>
      <c r="V118" s="41"/>
      <c r="W118" s="41"/>
      <c r="X118" s="419"/>
      <c r="Y118" s="223"/>
      <c r="Z118" s="41"/>
      <c r="AA118" s="53"/>
      <c r="AB118" s="53"/>
      <c r="AC118" s="41"/>
      <c r="AD118" s="41">
        <f>+AM118+BA118</f>
        <v>0</v>
      </c>
      <c r="AE118" s="241" t="s">
        <v>448</v>
      </c>
      <c r="AF118" s="41"/>
      <c r="AG118" s="41">
        <v>0</v>
      </c>
      <c r="AH118" s="41"/>
      <c r="AI118" s="461"/>
      <c r="AJ118" s="41"/>
      <c r="AK118" s="41"/>
      <c r="AL118" s="41"/>
      <c r="AM118" s="41">
        <f>SUM(AF118:AL118)+AT118+AV118+AX118</f>
        <v>0</v>
      </c>
      <c r="AN118" s="92"/>
      <c r="AO118" s="41"/>
      <c r="AP118" s="41"/>
      <c r="AQ118" s="41"/>
      <c r="AR118" s="41">
        <f>SUM(AN118:AQ118)</f>
        <v>0</v>
      </c>
      <c r="AS118" s="41"/>
      <c r="AT118" s="41"/>
      <c r="AU118" s="41"/>
      <c r="AV118" s="41"/>
      <c r="AW118" s="41"/>
      <c r="AX118" s="41"/>
      <c r="AY118" s="41"/>
      <c r="AZ118" s="41"/>
      <c r="BA118" s="41">
        <f>+AR118+AS118+AU118+AW118+AY118+AZ118</f>
        <v>0</v>
      </c>
      <c r="BB118" s="54"/>
      <c r="BC118" s="55">
        <v>0</v>
      </c>
      <c r="BD118" s="55"/>
      <c r="BE118" s="54"/>
      <c r="BF118" s="55"/>
    </row>
    <row r="119" spans="1:58" ht="12.95" customHeight="1">
      <c r="A119" s="44"/>
      <c r="B119" s="45"/>
      <c r="C119" s="452"/>
      <c r="D119" s="45"/>
      <c r="E119" s="46"/>
      <c r="F119" s="46"/>
      <c r="G119" s="465"/>
      <c r="H119" s="48"/>
      <c r="I119" s="49"/>
      <c r="J119" s="91"/>
      <c r="K119" s="91"/>
      <c r="L119" s="39"/>
      <c r="M119" s="39"/>
      <c r="N119" s="50"/>
      <c r="O119" s="51"/>
      <c r="P119" s="52"/>
      <c r="Q119" s="51"/>
      <c r="R119" s="422"/>
      <c r="S119" s="422"/>
      <c r="T119" s="41"/>
      <c r="U119" s="41"/>
      <c r="V119" s="41"/>
      <c r="W119" s="41"/>
      <c r="X119" s="42"/>
      <c r="Y119" s="223"/>
      <c r="Z119" s="41"/>
      <c r="AA119" s="41"/>
      <c r="AB119" s="41"/>
      <c r="AC119" s="41"/>
      <c r="AD119" s="41">
        <f>+AM119+BA119</f>
        <v>23</v>
      </c>
      <c r="AE119" s="241" t="s">
        <v>479</v>
      </c>
      <c r="AF119" s="37"/>
      <c r="AG119" s="37"/>
      <c r="AH119" s="37">
        <v>23</v>
      </c>
      <c r="AJ119" s="41"/>
      <c r="AK119" s="41"/>
      <c r="AL119" s="41"/>
      <c r="AM119" s="41">
        <f>SUM(AF119:AL119)+AT119+AV119+AX119</f>
        <v>23</v>
      </c>
      <c r="AN119" s="41"/>
      <c r="AO119" s="41"/>
      <c r="AP119" s="41"/>
      <c r="AQ119" s="41"/>
      <c r="AR119" s="41">
        <f>SUM(AN119:AQ119)</f>
        <v>0</v>
      </c>
      <c r="AS119" s="41"/>
      <c r="AT119" s="41"/>
      <c r="AU119" s="41"/>
      <c r="AV119" s="41"/>
      <c r="AW119" s="41"/>
      <c r="AX119" s="41"/>
      <c r="AY119" s="41"/>
      <c r="AZ119" s="41"/>
      <c r="BA119" s="41">
        <f>+AR119+AS119+AU119+AW119+AY119+AZ119</f>
        <v>0</v>
      </c>
      <c r="BB119" s="37"/>
      <c r="BC119" s="57"/>
      <c r="BD119" s="57"/>
      <c r="BE119" s="37"/>
      <c r="BF119" s="57"/>
    </row>
    <row r="120" spans="1:58" ht="12.95" customHeight="1">
      <c r="A120" s="346"/>
      <c r="B120" s="45"/>
      <c r="C120" s="452"/>
      <c r="D120" s="45"/>
      <c r="E120" s="46"/>
      <c r="F120" s="46"/>
      <c r="G120" s="465"/>
      <c r="H120" s="48"/>
      <c r="I120" s="49"/>
      <c r="J120" s="91"/>
      <c r="K120" s="91"/>
      <c r="L120" s="39"/>
      <c r="M120" s="39"/>
      <c r="N120" s="50"/>
      <c r="O120" s="51"/>
      <c r="P120" s="52"/>
      <c r="Q120" s="51"/>
      <c r="R120" s="422"/>
      <c r="S120" s="422"/>
      <c r="T120" s="41"/>
      <c r="U120" s="41"/>
      <c r="V120" s="41"/>
      <c r="W120" s="41"/>
      <c r="X120" s="419"/>
      <c r="Y120" s="223"/>
      <c r="Z120" s="41"/>
      <c r="AA120" s="53"/>
      <c r="AB120" s="53"/>
      <c r="AC120" s="41"/>
      <c r="AD120" s="41"/>
      <c r="AE120" s="241"/>
      <c r="AF120" s="41"/>
      <c r="AG120" s="41"/>
      <c r="AH120" s="41"/>
      <c r="AI120" s="461"/>
      <c r="AJ120" s="41"/>
      <c r="AK120" s="41"/>
      <c r="AL120" s="41"/>
      <c r="AM120" s="41"/>
      <c r="AN120" s="92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54"/>
      <c r="BC120" s="55"/>
      <c r="BD120" s="55"/>
      <c r="BE120" s="55"/>
      <c r="BF120" s="55"/>
    </row>
    <row r="121" spans="1:58" ht="12.95" customHeight="1">
      <c r="A121" s="346">
        <v>46017</v>
      </c>
      <c r="B121" s="45" t="s">
        <v>234</v>
      </c>
      <c r="C121" s="452">
        <f>(M121*E121*O121*Q121)/100000000</f>
        <v>68.060255426886073</v>
      </c>
      <c r="D121" s="45" t="s">
        <v>455</v>
      </c>
      <c r="E121" s="46">
        <v>16</v>
      </c>
      <c r="F121" s="46">
        <v>1</v>
      </c>
      <c r="G121" s="465">
        <v>1210</v>
      </c>
      <c r="H121" s="48">
        <v>0</v>
      </c>
      <c r="I121" s="49">
        <v>0.88</v>
      </c>
      <c r="J121" s="91">
        <f>E121*G121*(1-H121)*1440/1000000*2.77</f>
        <v>77.223168000000001</v>
      </c>
      <c r="K121" s="91">
        <f>(IF(G121&lt;L121,L121,G121)*(1-IF(H121&lt;N121,H121,N121))*E121*O121*Q121)/100000000</f>
        <v>68.299302987341761</v>
      </c>
      <c r="L121" s="39">
        <v>1211.1867088607594</v>
      </c>
      <c r="M121" s="39">
        <v>1206.9475553797467</v>
      </c>
      <c r="N121" s="50">
        <f>1-(M121/L121)</f>
        <v>3.4999999999999476E-3</v>
      </c>
      <c r="O121" s="51">
        <f>+'Trim Rwd'!H115</f>
        <v>267</v>
      </c>
      <c r="P121" s="52">
        <f>O121*(Q121-R121-S121)</f>
        <v>321468</v>
      </c>
      <c r="Q121" s="51">
        <v>1320</v>
      </c>
      <c r="R121" s="422">
        <v>56</v>
      </c>
      <c r="S121" s="422">
        <v>60</v>
      </c>
      <c r="T121" s="41">
        <f>E121*M121*O121*Q121/100000000</f>
        <v>68.060255426886073</v>
      </c>
      <c r="U121" s="41">
        <f>E121*M121*O121*(Q121-R121-S121)/100000000</f>
        <v>62.07920267725062</v>
      </c>
      <c r="V121" s="41">
        <f>E121*G121*(1-N121)*O121/100*(R121+S121)/1000000</f>
        <v>5.9751925728000002</v>
      </c>
      <c r="W121" s="41">
        <f>+'26'!K20/1000</f>
        <v>63.832000000000001</v>
      </c>
      <c r="X121" s="419">
        <f>SUM(W121:W124)/SUM(K121:K124)</f>
        <v>0.91172477344274316</v>
      </c>
      <c r="Y121" s="223">
        <v>0</v>
      </c>
      <c r="Z121" s="41">
        <f>+'26'!D34/1000</f>
        <v>1.56</v>
      </c>
      <c r="AA121" s="53">
        <f>SUM(U121:U124)-SUM(W121:W124)-SUM(Z121:Z124)-SUM(Y121:Y124)</f>
        <v>-1.4099431524493844</v>
      </c>
      <c r="AB121" s="53">
        <f>(SUM(K121:K124)-SUM(W121:W124)-SUM(Y121:Y124)-SUM(Z121:Z124)-SUM(AC121:AC124)-SUM(V121:V124))-AA121</f>
        <v>5.8601768354624717E-3</v>
      </c>
      <c r="AC121" s="41">
        <f>K121-T121</f>
        <v>0.23904756045568831</v>
      </c>
      <c r="AD121" s="41">
        <f>+AM121+BA121</f>
        <v>40</v>
      </c>
      <c r="AE121" s="241" t="s">
        <v>451</v>
      </c>
      <c r="AF121" s="41">
        <v>40</v>
      </c>
      <c r="AG121" s="41"/>
      <c r="AH121" s="41"/>
      <c r="AI121" s="461"/>
      <c r="AJ121" s="41"/>
      <c r="AK121" s="41"/>
      <c r="AL121" s="41"/>
      <c r="AM121" s="41">
        <f>SUM(AF121:AL121)+AT121+AV121+AX121</f>
        <v>40</v>
      </c>
      <c r="AN121" s="41"/>
      <c r="AO121" s="41"/>
      <c r="AP121" s="41"/>
      <c r="AQ121" s="41"/>
      <c r="AR121" s="41">
        <f>SUM(AN121:AQ121)</f>
        <v>0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0</v>
      </c>
      <c r="BB121" s="37">
        <v>8</v>
      </c>
      <c r="BC121" s="55"/>
      <c r="BD121" s="55"/>
      <c r="BE121" s="37"/>
      <c r="BF121" s="55"/>
    </row>
    <row r="122" spans="1:58" ht="12.95" customHeight="1">
      <c r="A122" s="346"/>
      <c r="B122" s="45" t="s">
        <v>234</v>
      </c>
      <c r="C122" s="452">
        <f>(M122*E122*O122*Q122)/100000000</f>
        <v>5.6767735079999992</v>
      </c>
      <c r="D122" s="45" t="s">
        <v>455</v>
      </c>
      <c r="E122" s="46">
        <v>14</v>
      </c>
      <c r="F122" s="46">
        <v>1</v>
      </c>
      <c r="G122" s="465">
        <v>1270</v>
      </c>
      <c r="H122" s="48">
        <v>0</v>
      </c>
      <c r="I122" s="49">
        <v>0.88</v>
      </c>
      <c r="J122" s="91">
        <f>E122*G122*(1-H122)*1440/1000000*2.77</f>
        <v>70.920864000000009</v>
      </c>
      <c r="K122" s="91">
        <f>(IF(G122&lt;L122,L122,G122)*(1-IF(H122&lt;N122,H122,N122))*E122*O122*Q122)/100000000</f>
        <v>5.6967119999999998</v>
      </c>
      <c r="L122" s="39">
        <v>1270</v>
      </c>
      <c r="M122" s="39">
        <f>+L122-L122*0.0035</f>
        <v>1265.5550000000001</v>
      </c>
      <c r="N122" s="50">
        <f>1-(M122/L122)</f>
        <v>3.4999999999999476E-3</v>
      </c>
      <c r="O122" s="51">
        <f>+'Trim Rwd'!H116</f>
        <v>267</v>
      </c>
      <c r="P122" s="52">
        <f>O122*(Q122-R122-S122)</f>
        <v>31239</v>
      </c>
      <c r="Q122" s="51">
        <v>120</v>
      </c>
      <c r="R122" s="422">
        <v>0</v>
      </c>
      <c r="S122" s="422">
        <v>3</v>
      </c>
      <c r="T122" s="41">
        <f>E122*M122*O122*Q122/100000000</f>
        <v>5.6767735079999992</v>
      </c>
      <c r="U122" s="41">
        <f>E122*M122*O122*(Q122-R122-S122)/100000000</f>
        <v>5.5348541703</v>
      </c>
      <c r="V122" s="41">
        <f>E122*G122*(1-N122)*O122/100*(R122+S122)/1000000</f>
        <v>0.14191933770000001</v>
      </c>
      <c r="W122" s="41">
        <f>+'26'!K11/1000</f>
        <v>0</v>
      </c>
      <c r="X122" s="419"/>
      <c r="Y122" s="223"/>
      <c r="Z122" s="41"/>
      <c r="AA122" s="53"/>
      <c r="AB122" s="53"/>
      <c r="AC122" s="41">
        <f>K122-T122</f>
        <v>1.9938492000000529E-2</v>
      </c>
      <c r="AD122" s="41">
        <f>+AM122+BA122</f>
        <v>1</v>
      </c>
      <c r="AE122" s="241" t="s">
        <v>494</v>
      </c>
      <c r="AF122" s="41"/>
      <c r="AG122" s="41">
        <v>1</v>
      </c>
      <c r="AH122" s="41"/>
      <c r="AI122" s="461"/>
      <c r="AJ122" s="41"/>
      <c r="AK122" s="41"/>
      <c r="AL122" s="41"/>
      <c r="AM122" s="41">
        <f>SUM(AF122:AL122)+AT122+AV122+AX122</f>
        <v>1</v>
      </c>
      <c r="AN122" s="92"/>
      <c r="AO122" s="41"/>
      <c r="AP122" s="41"/>
      <c r="AQ122" s="41"/>
      <c r="AR122" s="41">
        <f>SUM(AN122:AQ122)</f>
        <v>0</v>
      </c>
      <c r="AS122" s="41"/>
      <c r="AT122" s="41"/>
      <c r="AU122" s="41"/>
      <c r="AV122" s="41"/>
      <c r="AW122" s="41"/>
      <c r="AX122" s="41"/>
      <c r="AY122" s="41"/>
      <c r="AZ122" s="41"/>
      <c r="BA122" s="41">
        <f>+AR122+AS122+AU122+AW122+AY122+AZ122</f>
        <v>0</v>
      </c>
      <c r="BB122" s="54"/>
      <c r="BC122" s="55">
        <v>1</v>
      </c>
      <c r="BD122" s="55"/>
      <c r="BE122" s="54"/>
      <c r="BF122" s="55"/>
    </row>
    <row r="123" spans="1:58" ht="12.95" customHeight="1">
      <c r="A123" s="44"/>
      <c r="B123" s="45" t="s">
        <v>234</v>
      </c>
      <c r="C123" s="452"/>
      <c r="D123" s="45"/>
      <c r="E123" s="46">
        <v>17</v>
      </c>
      <c r="F123" s="46"/>
      <c r="G123" s="465"/>
      <c r="H123" s="48"/>
      <c r="I123" s="49"/>
      <c r="J123" s="91"/>
      <c r="K123" s="91"/>
      <c r="L123" s="39"/>
      <c r="M123" s="39"/>
      <c r="N123" s="50"/>
      <c r="O123" s="51"/>
      <c r="P123" s="52"/>
      <c r="Q123" s="51"/>
      <c r="R123" s="422"/>
      <c r="S123" s="422"/>
      <c r="T123" s="41"/>
      <c r="U123" s="41"/>
      <c r="V123" s="41"/>
      <c r="W123" s="41">
        <f>+'26'!K10/1000</f>
        <v>3.6320000000000001</v>
      </c>
      <c r="X123" s="42"/>
      <c r="Y123" s="223"/>
      <c r="Z123" s="41"/>
      <c r="AA123" s="41"/>
      <c r="AB123" s="53"/>
      <c r="AC123" s="41"/>
      <c r="AD123" s="41">
        <f>+AM123+BA123</f>
        <v>22</v>
      </c>
      <c r="AE123" s="241" t="s">
        <v>510</v>
      </c>
      <c r="AF123" s="37"/>
      <c r="AG123" s="37"/>
      <c r="AH123" s="37">
        <v>22</v>
      </c>
      <c r="AJ123" s="41"/>
      <c r="AK123" s="41"/>
      <c r="AL123" s="41"/>
      <c r="AM123" s="41">
        <f>SUM(AF123:AL123)+AT123+AV123+AX123</f>
        <v>22</v>
      </c>
      <c r="AN123" s="41"/>
      <c r="AO123" s="41"/>
      <c r="AP123" s="41"/>
      <c r="AQ123" s="41"/>
      <c r="AR123" s="41">
        <f>SUM(AN123:AQ123)</f>
        <v>0</v>
      </c>
      <c r="AS123" s="41"/>
      <c r="AT123" s="41"/>
      <c r="AU123" s="41"/>
      <c r="AV123" s="41"/>
      <c r="AW123" s="41"/>
      <c r="AX123" s="41"/>
      <c r="AY123" s="41"/>
      <c r="AZ123" s="41"/>
      <c r="BA123" s="41">
        <f>+AR123+AS123+AU123+AW123+AY123+AZ123</f>
        <v>0</v>
      </c>
      <c r="BB123" s="37"/>
      <c r="BC123" s="57"/>
      <c r="BD123" s="57"/>
      <c r="BE123" s="37"/>
      <c r="BF123" s="57"/>
    </row>
    <row r="124" spans="1:58" ht="12.95" customHeight="1">
      <c r="A124" s="346"/>
      <c r="B124" s="45"/>
      <c r="C124" s="452"/>
      <c r="D124" s="45"/>
      <c r="E124" s="46"/>
      <c r="F124" s="46"/>
      <c r="G124" s="465"/>
      <c r="H124" s="48"/>
      <c r="I124" s="49"/>
      <c r="J124" s="91"/>
      <c r="K124" s="91"/>
      <c r="L124" s="39"/>
      <c r="M124" s="39"/>
      <c r="N124" s="50"/>
      <c r="O124" s="51"/>
      <c r="P124" s="52"/>
      <c r="Q124" s="51"/>
      <c r="R124" s="422"/>
      <c r="S124" s="422"/>
      <c r="T124" s="41"/>
      <c r="U124" s="41"/>
      <c r="V124" s="41"/>
      <c r="W124" s="41"/>
      <c r="X124" s="419"/>
      <c r="Y124" s="223"/>
      <c r="Z124" s="41"/>
      <c r="AA124" s="53"/>
      <c r="AB124" s="53"/>
      <c r="AC124" s="41"/>
      <c r="AD124" s="41">
        <f>+AM124+BA124</f>
        <v>56</v>
      </c>
      <c r="AE124" s="244" t="s">
        <v>770</v>
      </c>
      <c r="AF124" s="41"/>
      <c r="AG124" s="41"/>
      <c r="AH124" s="41"/>
      <c r="AI124" s="461"/>
      <c r="AJ124" s="41"/>
      <c r="AK124" s="41"/>
      <c r="AL124" s="41"/>
      <c r="AM124" s="41">
        <f>SUM(AF124:AL124)+AT124+AV124+AX124</f>
        <v>0</v>
      </c>
      <c r="AN124" s="41"/>
      <c r="AO124" s="41"/>
      <c r="AP124" s="41">
        <v>56</v>
      </c>
      <c r="AQ124" s="41"/>
      <c r="AR124" s="41">
        <f>SUM(AN124:AQ124)</f>
        <v>56</v>
      </c>
      <c r="AS124" s="41"/>
      <c r="AT124" s="41"/>
      <c r="AU124" s="41"/>
      <c r="AV124" s="41"/>
      <c r="AW124" s="41"/>
      <c r="AX124" s="41"/>
      <c r="AY124" s="41"/>
      <c r="AZ124" s="41"/>
      <c r="BA124" s="41">
        <f>+AR124+AS124+AU124+AW124+AY124+AZ124</f>
        <v>56</v>
      </c>
      <c r="BB124" s="37"/>
      <c r="BC124" s="57"/>
      <c r="BD124" s="57"/>
      <c r="BE124" s="37"/>
      <c r="BF124" s="57"/>
    </row>
    <row r="125" spans="1:58" ht="12.95" customHeight="1">
      <c r="A125" s="44"/>
      <c r="B125" s="45"/>
      <c r="C125" s="452"/>
      <c r="D125" s="45"/>
      <c r="E125" s="46"/>
      <c r="F125" s="46"/>
      <c r="G125" s="465"/>
      <c r="H125" s="48"/>
      <c r="I125" s="49"/>
      <c r="J125" s="91"/>
      <c r="K125" s="91"/>
      <c r="L125" s="39"/>
      <c r="M125" s="39"/>
      <c r="N125" s="50"/>
      <c r="O125" s="51"/>
      <c r="P125" s="52"/>
      <c r="Q125" s="51"/>
      <c r="R125" s="422"/>
      <c r="S125" s="422"/>
      <c r="T125" s="41"/>
      <c r="U125" s="41"/>
      <c r="V125" s="41"/>
      <c r="W125" s="41"/>
      <c r="X125" s="42"/>
      <c r="Y125" s="223"/>
      <c r="Z125" s="41"/>
      <c r="AA125" s="41"/>
      <c r="AB125" s="41"/>
      <c r="AC125" s="41"/>
      <c r="AD125" s="41"/>
      <c r="AE125" s="241"/>
      <c r="AF125" s="37"/>
      <c r="AG125" s="37"/>
      <c r="AH125" s="37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37"/>
      <c r="BC125" s="57"/>
      <c r="BD125" s="55"/>
      <c r="BE125" s="55"/>
      <c r="BF125" s="55"/>
    </row>
    <row r="126" spans="1:58" ht="12.95" customHeight="1">
      <c r="A126" s="346">
        <v>46018</v>
      </c>
      <c r="B126" s="45" t="s">
        <v>234</v>
      </c>
      <c r="C126" s="452">
        <f>(M126*E126*O126*Q126)/100000000</f>
        <v>66.261283199999994</v>
      </c>
      <c r="D126" s="45" t="s">
        <v>455</v>
      </c>
      <c r="E126" s="46">
        <v>14</v>
      </c>
      <c r="F126" s="46">
        <v>1</v>
      </c>
      <c r="G126" s="465">
        <v>1270</v>
      </c>
      <c r="H126" s="48">
        <v>0</v>
      </c>
      <c r="I126" s="49">
        <v>0.88</v>
      </c>
      <c r="J126" s="91">
        <f>E126*G126*(1-H126)*1440/1000000*2.77</f>
        <v>70.920864000000009</v>
      </c>
      <c r="K126" s="91">
        <f>(IF(G126&lt;L126,L126,G126)*(1-IF(H126&lt;N126,H126,N126))*E126*O126*Q126)/100000000</f>
        <v>68.360544000000004</v>
      </c>
      <c r="L126" s="39">
        <v>1235</v>
      </c>
      <c r="M126" s="39">
        <v>1231</v>
      </c>
      <c r="N126" s="50">
        <f>1-(M126/L126)</f>
        <v>3.2388663967611864E-3</v>
      </c>
      <c r="O126" s="51">
        <f>+'Trim Rwd'!H118</f>
        <v>267</v>
      </c>
      <c r="P126" s="52">
        <f>O126*(Q126-R126-S126)</f>
        <v>362586</v>
      </c>
      <c r="Q126" s="51">
        <v>1440</v>
      </c>
      <c r="R126" s="422">
        <v>0</v>
      </c>
      <c r="S126" s="422">
        <v>82</v>
      </c>
      <c r="T126" s="41">
        <f>E126*M126*O126*Q126/100000000</f>
        <v>66.261283199999994</v>
      </c>
      <c r="U126" s="41">
        <f>E126*M126*O126*(Q126-R126-S126)/100000000</f>
        <v>62.488071239999996</v>
      </c>
      <c r="V126" s="41">
        <f>E126*G126*(1-N126)*O126/100*(R126+S126)/1000000</f>
        <v>3.8801450924696348</v>
      </c>
      <c r="W126" s="41">
        <f>+'27'!K11/1000</f>
        <v>52.726999999999997</v>
      </c>
      <c r="X126" s="419">
        <f>SUM(W126:W129)/SUM(K126:K129)</f>
        <v>0.84346900457667495</v>
      </c>
      <c r="Y126" s="223">
        <v>0</v>
      </c>
      <c r="Z126" s="41">
        <f>+'27'!D34/1000</f>
        <v>2.9079999999999999</v>
      </c>
      <c r="AA126" s="53">
        <f>SUM(U126:U129)-SUM(W126:W129)-SUM(Z126:Z129)-SUM(Y126:Y129)</f>
        <v>1.92007124</v>
      </c>
      <c r="AB126" s="53">
        <f>(SUM(K126:K129)-SUM(W126:W129)-SUM(Y126:Y129)-SUM(Z126:Z129)-SUM(AC126:AC129)-SUM(V126:V129))-AA126</f>
        <v>-0.10693313246963676</v>
      </c>
      <c r="AC126" s="41">
        <f>K126-T126</f>
        <v>2.0992608000000104</v>
      </c>
      <c r="AD126" s="41">
        <f>+AM126+BA126</f>
        <v>50</v>
      </c>
      <c r="AE126" s="241" t="s">
        <v>796</v>
      </c>
      <c r="AF126" s="41">
        <v>50</v>
      </c>
      <c r="AG126" s="41"/>
      <c r="AH126" s="41"/>
      <c r="AI126" s="461"/>
      <c r="AJ126" s="41"/>
      <c r="AK126" s="41"/>
      <c r="AL126" s="41"/>
      <c r="AM126" s="41">
        <f>SUM(AF126:AL126)+AT126+AV126+AX126</f>
        <v>50</v>
      </c>
      <c r="AN126" s="41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37">
        <v>10</v>
      </c>
      <c r="BC126" s="55"/>
      <c r="BD126" s="55"/>
      <c r="BE126" s="37"/>
      <c r="BF126" s="55"/>
    </row>
    <row r="127" spans="1:58" ht="12.95" customHeight="1">
      <c r="A127" s="346"/>
      <c r="B127" s="45" t="s">
        <v>234</v>
      </c>
      <c r="C127" s="452"/>
      <c r="D127" s="45"/>
      <c r="E127" s="46">
        <v>17</v>
      </c>
      <c r="F127" s="46"/>
      <c r="G127" s="465"/>
      <c r="H127" s="48"/>
      <c r="I127" s="49"/>
      <c r="J127" s="91"/>
      <c r="K127" s="91"/>
      <c r="L127" s="39"/>
      <c r="M127" s="39"/>
      <c r="N127" s="50"/>
      <c r="O127" s="51"/>
      <c r="P127" s="52"/>
      <c r="Q127" s="51"/>
      <c r="R127" s="422"/>
      <c r="S127" s="422"/>
      <c r="T127" s="41"/>
      <c r="U127" s="41"/>
      <c r="V127" s="41"/>
      <c r="W127" s="41">
        <f>+'27'!K13/1000</f>
        <v>4.9329999999999998</v>
      </c>
      <c r="X127" s="419"/>
      <c r="Y127" s="223"/>
      <c r="Z127" s="41"/>
      <c r="AA127" s="53"/>
      <c r="AB127" s="53"/>
      <c r="AC127" s="41"/>
      <c r="AD127" s="41">
        <f>+AM127+BA127</f>
        <v>0</v>
      </c>
      <c r="AE127" s="241" t="s">
        <v>448</v>
      </c>
      <c r="AF127" s="41"/>
      <c r="AG127" s="41">
        <v>0</v>
      </c>
      <c r="AH127" s="41"/>
      <c r="AI127" s="461"/>
      <c r="AJ127" s="41"/>
      <c r="AK127" s="41"/>
      <c r="AL127" s="41"/>
      <c r="AM127" s="41">
        <f>SUM(AF127:AL127)+AT127+AV127+AX127</f>
        <v>0</v>
      </c>
      <c r="AN127" s="92"/>
      <c r="AO127" s="41"/>
      <c r="AP127" s="41"/>
      <c r="AQ127" s="41"/>
      <c r="AR127" s="41">
        <f>SUM(AN127:AQ127)</f>
        <v>0</v>
      </c>
      <c r="AS127" s="41"/>
      <c r="AT127" s="41"/>
      <c r="AU127" s="41"/>
      <c r="AV127" s="41"/>
      <c r="AW127" s="41"/>
      <c r="AX127" s="41"/>
      <c r="AY127" s="41"/>
      <c r="AZ127" s="41"/>
      <c r="BA127" s="41">
        <f>+AR127+AS127+AU127+AW127+AY127+AZ127</f>
        <v>0</v>
      </c>
      <c r="BB127" s="54"/>
      <c r="BC127" s="55">
        <v>0</v>
      </c>
      <c r="BD127" s="55"/>
      <c r="BE127" s="54"/>
      <c r="BF127" s="55"/>
    </row>
    <row r="128" spans="1:58" ht="12.95" customHeight="1">
      <c r="A128" s="44"/>
      <c r="B128" s="45"/>
      <c r="C128" s="452"/>
      <c r="D128" s="45"/>
      <c r="E128" s="46"/>
      <c r="F128" s="46"/>
      <c r="G128" s="465"/>
      <c r="H128" s="48"/>
      <c r="I128" s="49"/>
      <c r="J128" s="91"/>
      <c r="K128" s="91"/>
      <c r="L128" s="39"/>
      <c r="M128" s="39"/>
      <c r="N128" s="50"/>
      <c r="O128" s="51"/>
      <c r="P128" s="52"/>
      <c r="Q128" s="51"/>
      <c r="R128" s="422"/>
      <c r="S128" s="422"/>
      <c r="T128" s="41"/>
      <c r="U128" s="41"/>
      <c r="V128" s="41"/>
      <c r="W128" s="41"/>
      <c r="X128" s="42"/>
      <c r="Y128" s="223"/>
      <c r="Z128" s="41"/>
      <c r="AA128" s="41"/>
      <c r="AB128" s="53"/>
      <c r="AC128" s="41"/>
      <c r="AD128" s="41">
        <f>+AM128+BA128</f>
        <v>32</v>
      </c>
      <c r="AE128" s="241" t="s">
        <v>531</v>
      </c>
      <c r="AF128" s="37"/>
      <c r="AG128" s="37"/>
      <c r="AH128" s="37">
        <v>32</v>
      </c>
      <c r="AJ128" s="41"/>
      <c r="AK128" s="41"/>
      <c r="AL128" s="41"/>
      <c r="AM128" s="41">
        <f>SUM(AF128:AL128)+AT128+AV128+AX128</f>
        <v>32</v>
      </c>
      <c r="AN128" s="41"/>
      <c r="AO128" s="41"/>
      <c r="AP128" s="41"/>
      <c r="AQ128" s="41"/>
      <c r="AR128" s="41">
        <f>SUM(AN128:AQ128)</f>
        <v>0</v>
      </c>
      <c r="AS128" s="41"/>
      <c r="AT128" s="41"/>
      <c r="AU128" s="41"/>
      <c r="AV128" s="41"/>
      <c r="AW128" s="41"/>
      <c r="AX128" s="41"/>
      <c r="AY128" s="41"/>
      <c r="AZ128" s="41"/>
      <c r="BA128" s="41">
        <f>+AR128+AS128+AU128+AW128+AY128+AZ128</f>
        <v>0</v>
      </c>
      <c r="BB128" s="37"/>
      <c r="BC128" s="57"/>
      <c r="BD128" s="57"/>
      <c r="BE128" s="37"/>
      <c r="BF128" s="57"/>
    </row>
    <row r="129" spans="1:58" ht="12.95" customHeight="1">
      <c r="A129" s="346"/>
      <c r="B129" s="45"/>
      <c r="C129" s="452"/>
      <c r="D129" s="45"/>
      <c r="E129" s="46"/>
      <c r="F129" s="46"/>
      <c r="G129" s="465"/>
      <c r="H129" s="48"/>
      <c r="I129" s="49"/>
      <c r="J129" s="91"/>
      <c r="K129" s="91"/>
      <c r="L129" s="39"/>
      <c r="M129" s="39"/>
      <c r="N129" s="50"/>
      <c r="O129" s="51"/>
      <c r="P129" s="52"/>
      <c r="Q129" s="51"/>
      <c r="R129" s="422"/>
      <c r="S129" s="422"/>
      <c r="T129" s="41"/>
      <c r="U129" s="41"/>
      <c r="V129" s="41"/>
      <c r="W129" s="41"/>
      <c r="X129" s="419"/>
      <c r="Y129" s="223"/>
      <c r="Z129" s="41"/>
      <c r="AA129" s="53"/>
      <c r="AB129" s="53"/>
      <c r="AC129" s="41"/>
      <c r="AD129" s="41"/>
      <c r="AE129" s="244"/>
      <c r="AF129" s="41"/>
      <c r="AG129" s="41"/>
      <c r="AH129" s="41"/>
      <c r="AI129" s="46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37"/>
      <c r="BC129" s="57"/>
      <c r="BD129" s="57"/>
      <c r="BE129" s="37"/>
      <c r="BF129" s="57"/>
    </row>
    <row r="130" spans="1:58" ht="12.95" customHeight="1">
      <c r="A130" s="346">
        <v>46019</v>
      </c>
      <c r="B130" s="45" t="s">
        <v>234</v>
      </c>
      <c r="C130" s="452">
        <f>(M130*E130*O130*Q130)/100000000</f>
        <v>65.400047999999998</v>
      </c>
      <c r="D130" s="45" t="s">
        <v>455</v>
      </c>
      <c r="E130" s="46">
        <v>14</v>
      </c>
      <c r="F130" s="46">
        <v>1</v>
      </c>
      <c r="G130" s="465">
        <v>1270</v>
      </c>
      <c r="H130" s="48">
        <v>0</v>
      </c>
      <c r="I130" s="49">
        <v>0.88</v>
      </c>
      <c r="J130" s="91">
        <f>E130*G130*(1-H130)*1440/1000000*2.77</f>
        <v>70.920864000000009</v>
      </c>
      <c r="K130" s="91">
        <f>(IF(G130&lt;L130,L130,G130)*(1-IF(H130&lt;N130,H130,N130))*E130*O130*Q130)/100000000</f>
        <v>68.360544000000004</v>
      </c>
      <c r="L130" s="39">
        <v>1220</v>
      </c>
      <c r="M130" s="39">
        <v>1215</v>
      </c>
      <c r="N130" s="50">
        <f>1-(M130/L130)</f>
        <v>4.098360655737654E-3</v>
      </c>
      <c r="O130" s="51">
        <f>+'Trim Rwd'!H121</f>
        <v>267</v>
      </c>
      <c r="P130" s="52">
        <f>O130*(Q130-R130-S130)</f>
        <v>378873</v>
      </c>
      <c r="Q130" s="51">
        <v>1440</v>
      </c>
      <c r="R130" s="422">
        <v>0</v>
      </c>
      <c r="S130" s="422">
        <v>21</v>
      </c>
      <c r="T130" s="41">
        <f>E130*M130*O130*Q130/100000000</f>
        <v>65.400047999999998</v>
      </c>
      <c r="U130" s="41">
        <f>E130*M130*O130*(Q130-R130-S130)/100000000</f>
        <v>64.446297299999998</v>
      </c>
      <c r="V130" s="41">
        <f>E130*G130*(1-N130)*O130/100*(R130+S130)/1000000</f>
        <v>0.99283884344262319</v>
      </c>
      <c r="W130" s="41">
        <f>+'28'!K34/1000</f>
        <v>67.025000000000006</v>
      </c>
      <c r="X130" s="419">
        <f>SUM(W130:W133)/SUM(K130:K133)</f>
        <v>0.98046323329434015</v>
      </c>
      <c r="Y130" s="223">
        <v>0</v>
      </c>
      <c r="Z130" s="41">
        <f>+'28'!D34/1000</f>
        <v>0.57299999999999995</v>
      </c>
      <c r="AA130" s="53">
        <f>SUM(U130:U133)-SUM(W130:W133)-SUM(Z130:Z133)-SUM(Y130:Y133)</f>
        <v>-3.151702700000008</v>
      </c>
      <c r="AB130" s="53">
        <f>(SUM(K130:K133)-SUM(W130:W133)-SUM(Y130:Y133)-SUM(Z130:Z133)-SUM(AC130:AC133)-SUM(V130:V133))-AA130</f>
        <v>-3.908814344262268E-2</v>
      </c>
      <c r="AC130" s="41">
        <f>K130-T130</f>
        <v>2.9604960000000062</v>
      </c>
      <c r="AD130" s="41">
        <f>+AM130+BA130</f>
        <v>0</v>
      </c>
      <c r="AE130" s="241" t="s">
        <v>492</v>
      </c>
      <c r="AF130" s="41">
        <v>0</v>
      </c>
      <c r="AG130" s="41"/>
      <c r="AH130" s="41"/>
      <c r="AI130" s="461"/>
      <c r="AJ130" s="41"/>
      <c r="AK130" s="41"/>
      <c r="AL130" s="41"/>
      <c r="AM130" s="41">
        <f>SUM(AF130:AL130)+AT130+AV130+AX130</f>
        <v>0</v>
      </c>
      <c r="AN130" s="4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37">
        <v>0</v>
      </c>
      <c r="BC130" s="55"/>
      <c r="BD130" s="55"/>
      <c r="BE130" s="37"/>
      <c r="BF130" s="55"/>
    </row>
    <row r="131" spans="1:58" ht="12.95" customHeight="1">
      <c r="A131" s="346"/>
      <c r="B131" s="45"/>
      <c r="C131" s="452"/>
      <c r="D131" s="45"/>
      <c r="E131" s="46"/>
      <c r="F131" s="46"/>
      <c r="G131" s="465"/>
      <c r="H131" s="48"/>
      <c r="I131" s="49"/>
      <c r="J131" s="91"/>
      <c r="K131" s="91"/>
      <c r="L131" s="39"/>
      <c r="M131" s="39"/>
      <c r="N131" s="50"/>
      <c r="O131" s="51"/>
      <c r="P131" s="52"/>
      <c r="Q131" s="51"/>
      <c r="R131" s="422"/>
      <c r="S131" s="422"/>
      <c r="T131" s="41"/>
      <c r="U131" s="41"/>
      <c r="V131" s="41"/>
      <c r="W131" s="41"/>
      <c r="X131" s="419"/>
      <c r="Y131" s="223"/>
      <c r="Z131" s="41"/>
      <c r="AA131" s="53"/>
      <c r="AB131" s="53"/>
      <c r="AC131" s="41"/>
      <c r="AD131" s="41">
        <f>+AM131+BA131</f>
        <v>0</v>
      </c>
      <c r="AE131" s="241" t="s">
        <v>448</v>
      </c>
      <c r="AF131" s="41"/>
      <c r="AG131" s="41">
        <v>0</v>
      </c>
      <c r="AH131" s="41"/>
      <c r="AI131" s="461"/>
      <c r="AJ131" s="41"/>
      <c r="AK131" s="41"/>
      <c r="AL131" s="41"/>
      <c r="AM131" s="41">
        <f>SUM(AF131:AL131)+AT131+AV131+AX131</f>
        <v>0</v>
      </c>
      <c r="AN131" s="92"/>
      <c r="AO131" s="41"/>
      <c r="AP131" s="41"/>
      <c r="AQ131" s="41"/>
      <c r="AR131" s="41">
        <f>SUM(AN131:AQ131)</f>
        <v>0</v>
      </c>
      <c r="AS131" s="41"/>
      <c r="AT131" s="41"/>
      <c r="AU131" s="41"/>
      <c r="AV131" s="41"/>
      <c r="AW131" s="41"/>
      <c r="AX131" s="41"/>
      <c r="AY131" s="41"/>
      <c r="AZ131" s="41"/>
      <c r="BA131" s="41">
        <f>+AR131+AS131+AU131+AW131+AY131+AZ131</f>
        <v>0</v>
      </c>
      <c r="BB131" s="54"/>
      <c r="BC131" s="55">
        <v>0</v>
      </c>
      <c r="BD131" s="55"/>
      <c r="BE131" s="54"/>
      <c r="BF131" s="55"/>
    </row>
    <row r="132" spans="1:58" ht="12.95" customHeight="1">
      <c r="A132" s="44"/>
      <c r="B132" s="45"/>
      <c r="C132" s="452"/>
      <c r="D132" s="45"/>
      <c r="E132" s="46"/>
      <c r="F132" s="46"/>
      <c r="G132" s="465"/>
      <c r="H132" s="48"/>
      <c r="I132" s="49"/>
      <c r="J132" s="91"/>
      <c r="K132" s="91"/>
      <c r="L132" s="39"/>
      <c r="M132" s="39"/>
      <c r="N132" s="50"/>
      <c r="O132" s="51"/>
      <c r="P132" s="52"/>
      <c r="Q132" s="51"/>
      <c r="R132" s="422"/>
      <c r="S132" s="422"/>
      <c r="T132" s="41"/>
      <c r="U132" s="41"/>
      <c r="V132" s="41"/>
      <c r="W132" s="41"/>
      <c r="X132" s="42"/>
      <c r="Y132" s="223"/>
      <c r="Z132" s="41"/>
      <c r="AA132" s="41"/>
      <c r="AB132" s="53"/>
      <c r="AC132" s="41"/>
      <c r="AD132" s="41">
        <f>+AM132+BA132</f>
        <v>21</v>
      </c>
      <c r="AE132" s="241" t="s">
        <v>531</v>
      </c>
      <c r="AF132" s="37"/>
      <c r="AG132" s="37"/>
      <c r="AH132" s="37">
        <v>21</v>
      </c>
      <c r="AJ132" s="41"/>
      <c r="AK132" s="41"/>
      <c r="AL132" s="41"/>
      <c r="AM132" s="41">
        <f>SUM(AF132:AL132)+AT132+AV132+AX132</f>
        <v>21</v>
      </c>
      <c r="AN132" s="41"/>
      <c r="AO132" s="41"/>
      <c r="AP132" s="41"/>
      <c r="AQ132" s="41"/>
      <c r="AR132" s="41">
        <f>SUM(AN132:AQ132)</f>
        <v>0</v>
      </c>
      <c r="AS132" s="41"/>
      <c r="AT132" s="41"/>
      <c r="AU132" s="41"/>
      <c r="AV132" s="41"/>
      <c r="AW132" s="41"/>
      <c r="AX132" s="41"/>
      <c r="AY132" s="41"/>
      <c r="AZ132" s="41"/>
      <c r="BA132" s="41">
        <f>+AR132+AS132+AU132+AW132+AY132+AZ132</f>
        <v>0</v>
      </c>
      <c r="BB132" s="37"/>
      <c r="BC132" s="57"/>
      <c r="BD132" s="57"/>
      <c r="BE132" s="37"/>
      <c r="BF132" s="57"/>
    </row>
    <row r="133" spans="1:58" ht="12.95" customHeight="1">
      <c r="A133" s="346"/>
      <c r="B133" s="45"/>
      <c r="C133" s="452"/>
      <c r="D133" s="45"/>
      <c r="E133" s="46"/>
      <c r="F133" s="46"/>
      <c r="G133" s="465"/>
      <c r="H133" s="48"/>
      <c r="I133" s="49"/>
      <c r="J133" s="91"/>
      <c r="K133" s="91"/>
      <c r="L133" s="39"/>
      <c r="M133" s="39"/>
      <c r="N133" s="50"/>
      <c r="O133" s="51"/>
      <c r="P133" s="52"/>
      <c r="Q133" s="51"/>
      <c r="R133" s="422"/>
      <c r="S133" s="422"/>
      <c r="T133" s="41"/>
      <c r="U133" s="41"/>
      <c r="V133" s="41"/>
      <c r="W133" s="41"/>
      <c r="X133" s="419"/>
      <c r="Y133" s="223"/>
      <c r="Z133" s="41"/>
      <c r="AA133" s="53"/>
      <c r="AB133" s="53"/>
      <c r="AC133" s="41"/>
      <c r="AD133" s="41"/>
      <c r="AE133" s="244"/>
      <c r="AF133" s="41"/>
      <c r="AG133" s="41"/>
      <c r="AH133" s="41"/>
      <c r="AI133" s="46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37"/>
      <c r="BC133" s="57"/>
      <c r="BD133" s="57"/>
      <c r="BE133" s="37"/>
      <c r="BF133" s="57"/>
    </row>
    <row r="134" spans="1:58" ht="12.95" customHeight="1">
      <c r="A134" s="346">
        <v>46020</v>
      </c>
      <c r="B134" s="45" t="s">
        <v>234</v>
      </c>
      <c r="C134" s="452">
        <f>(M134*E134*O134*Q134)/100000000</f>
        <v>40.899588659999999</v>
      </c>
      <c r="D134" s="45" t="s">
        <v>455</v>
      </c>
      <c r="E134" s="46">
        <v>14</v>
      </c>
      <c r="F134" s="46">
        <v>1</v>
      </c>
      <c r="G134" s="465">
        <v>1270</v>
      </c>
      <c r="H134" s="48">
        <v>0</v>
      </c>
      <c r="I134" s="49">
        <v>0.88</v>
      </c>
      <c r="J134" s="91">
        <f>E134*G134*(1-H134)*1440/1000000*2.77</f>
        <v>70.920864000000009</v>
      </c>
      <c r="K134" s="91">
        <f>(IF(G134&lt;L134,L134,G134)*(1-IF(H134&lt;N134,H134,N134))*E134*O134*Q134)/100000000</f>
        <v>42.725340000000003</v>
      </c>
      <c r="L134" s="39">
        <v>1220</v>
      </c>
      <c r="M134" s="39">
        <v>1215.73</v>
      </c>
      <c r="N134" s="50">
        <f>1-(M134/L134)</f>
        <v>3.4999999999999476E-3</v>
      </c>
      <c r="O134" s="51">
        <f>+'Trim Rwd'!H123</f>
        <v>267</v>
      </c>
      <c r="P134" s="52">
        <f>O134*(Q134-R134-S134)</f>
        <v>236295</v>
      </c>
      <c r="Q134" s="51">
        <v>900</v>
      </c>
      <c r="R134" s="422">
        <v>0</v>
      </c>
      <c r="S134" s="422">
        <v>15</v>
      </c>
      <c r="T134" s="41">
        <f>E134*M134*O134*Q134/100000000</f>
        <v>40.899588659999999</v>
      </c>
      <c r="U134" s="41">
        <f>E134*M134*O134*(Q134-R134-S134)/100000000</f>
        <v>40.217928849000003</v>
      </c>
      <c r="V134" s="41">
        <f>E134*G134*(1-N134)*O134/100*(R134+S134)/1000000</f>
        <v>0.70959668849999991</v>
      </c>
      <c r="W134" s="41">
        <f>+'29'!K11/1000</f>
        <v>47.503</v>
      </c>
      <c r="X134" s="419">
        <f>SUM(W134:W137)/SUM(K134:K137)</f>
        <v>0.9089063643531452</v>
      </c>
      <c r="Y134" s="223">
        <v>0</v>
      </c>
      <c r="Z134" s="41">
        <f>+('29'!D7+'29'!D16+'29'!D25)/1000</f>
        <v>1.385</v>
      </c>
      <c r="AA134" s="53">
        <f>SUM(U134:U137)-SUM(W134:W137)-SUM(Z134:Z137)-SUM(Y134:Y137)</f>
        <v>-0.94166782974999652</v>
      </c>
      <c r="AB134" s="53">
        <f>(SUM(K134:K137)-SUM(W134:W137)-SUM(Y134:Y137)-SUM(Z134:Z137)-SUM(AC134:AC137)-SUM(V134:V137))-AA134</f>
        <v>-2.7936877500012169E-2</v>
      </c>
      <c r="AC134" s="41">
        <f>K134-T134</f>
        <v>1.8257513400000036</v>
      </c>
      <c r="AD134" s="41">
        <f>+AM134+BA134</f>
        <v>0</v>
      </c>
      <c r="AE134" s="241" t="s">
        <v>492</v>
      </c>
      <c r="AF134" s="41">
        <v>0</v>
      </c>
      <c r="AG134" s="41"/>
      <c r="AH134" s="41"/>
      <c r="AI134" s="461"/>
      <c r="AJ134" s="41"/>
      <c r="AK134" s="41"/>
      <c r="AL134" s="41"/>
      <c r="AM134" s="41">
        <f>SUM(AF134:AL134)+AT134+AV134+AX134</f>
        <v>0</v>
      </c>
      <c r="AN134" s="41"/>
      <c r="AO134" s="41"/>
      <c r="AP134" s="41"/>
      <c r="AQ134" s="41"/>
      <c r="AR134" s="41">
        <f>SUM(AN134:AQ134)</f>
        <v>0</v>
      </c>
      <c r="AS134" s="41"/>
      <c r="AT134" s="41"/>
      <c r="AU134" s="41"/>
      <c r="AV134" s="41"/>
      <c r="AW134" s="41"/>
      <c r="AX134" s="41"/>
      <c r="AY134" s="41"/>
      <c r="AZ134" s="41"/>
      <c r="BA134" s="41">
        <f>+AR134+AS134+AU134+AW134+AY134+AZ134</f>
        <v>0</v>
      </c>
      <c r="BB134" s="37">
        <v>0</v>
      </c>
      <c r="BC134" s="55"/>
      <c r="BD134" s="55"/>
      <c r="BE134" s="37"/>
      <c r="BF134" s="55"/>
    </row>
    <row r="135" spans="1:58" ht="12.95" customHeight="1">
      <c r="A135" s="346"/>
      <c r="B135" s="45" t="s">
        <v>234</v>
      </c>
      <c r="C135" s="452">
        <f>(M135*E135*O135*Q135)/100000000</f>
        <v>29.609368222499999</v>
      </c>
      <c r="D135" s="45" t="s">
        <v>410</v>
      </c>
      <c r="E135" s="46">
        <v>17</v>
      </c>
      <c r="F135" s="46">
        <v>1</v>
      </c>
      <c r="G135" s="465">
        <v>1210</v>
      </c>
      <c r="H135" s="48">
        <v>0</v>
      </c>
      <c r="I135" s="49">
        <v>0.88</v>
      </c>
      <c r="J135" s="91">
        <f>E135*G135*(1-H135)*1440/1000000*2.77</f>
        <v>82.049616</v>
      </c>
      <c r="K135" s="91">
        <f>(IF(G135&lt;L135,L135,G135)*(1-IF(H135&lt;N135,H135,N135))*E135*O135*Q135)/100000000</f>
        <v>29.713365</v>
      </c>
      <c r="L135" s="39">
        <v>1210</v>
      </c>
      <c r="M135" s="39">
        <v>1205.7650000000001</v>
      </c>
      <c r="N135" s="50">
        <f>1-(M135/L135)</f>
        <v>3.4999999999999476E-3</v>
      </c>
      <c r="O135" s="51">
        <f>+'Trim Rwd'!H124</f>
        <v>267.5</v>
      </c>
      <c r="P135" s="52">
        <f>O135*(Q135-R135-S135)</f>
        <v>136425</v>
      </c>
      <c r="Q135" s="51">
        <v>540</v>
      </c>
      <c r="R135" s="422">
        <v>0</v>
      </c>
      <c r="S135" s="422">
        <v>30</v>
      </c>
      <c r="T135" s="41">
        <f>E135*M135*O135*Q135/100000000</f>
        <v>29.609368222499999</v>
      </c>
      <c r="U135" s="41">
        <f>E135*M135*O135*(Q135-R135-S135)/100000000</f>
        <v>27.96440332125</v>
      </c>
      <c r="V135" s="41">
        <f>E135*G135*(1-N135)*O135/100*(R135+S135)/1000000</f>
        <v>1.6449649012500001</v>
      </c>
      <c r="W135" s="41">
        <f>+'29'!K10/1000</f>
        <v>18.337</v>
      </c>
      <c r="X135" s="419"/>
      <c r="Y135" s="223"/>
      <c r="Z135" s="41">
        <f>+'29'!D26/1000</f>
        <v>1.899</v>
      </c>
      <c r="AA135" s="53"/>
      <c r="AB135" s="53"/>
      <c r="AC135" s="41">
        <f>K135-T135</f>
        <v>0.1039967775000008</v>
      </c>
      <c r="AD135" s="41">
        <f>+AM135+BA135</f>
        <v>0</v>
      </c>
      <c r="AE135" s="241" t="s">
        <v>448</v>
      </c>
      <c r="AF135" s="41"/>
      <c r="AG135" s="41">
        <v>0</v>
      </c>
      <c r="AH135" s="41"/>
      <c r="AI135" s="461"/>
      <c r="AJ135" s="41"/>
      <c r="AK135" s="41"/>
      <c r="AL135" s="41"/>
      <c r="AM135" s="41">
        <f>SUM(AF135:AL135)+AT135+AV135+AX135</f>
        <v>0</v>
      </c>
      <c r="AN135" s="92"/>
      <c r="AO135" s="41"/>
      <c r="AP135" s="41"/>
      <c r="AQ135" s="41"/>
      <c r="AR135" s="41">
        <f>SUM(AN135:AQ135)</f>
        <v>0</v>
      </c>
      <c r="AS135" s="41"/>
      <c r="AT135" s="41"/>
      <c r="AU135" s="41"/>
      <c r="AV135" s="41"/>
      <c r="AW135" s="41"/>
      <c r="AX135" s="41"/>
      <c r="AY135" s="41"/>
      <c r="AZ135" s="41"/>
      <c r="BA135" s="41">
        <f>+AR135+AS135+AU135+AW135+AY135+AZ135</f>
        <v>0</v>
      </c>
      <c r="BB135" s="54"/>
      <c r="BC135" s="55">
        <v>0</v>
      </c>
      <c r="BD135" s="55"/>
      <c r="BE135" s="54"/>
      <c r="BF135" s="55"/>
    </row>
    <row r="136" spans="1:58" ht="12.95" customHeight="1">
      <c r="A136" s="44"/>
      <c r="B136" s="45"/>
      <c r="C136" s="452"/>
      <c r="D136" s="45"/>
      <c r="E136" s="46"/>
      <c r="F136" s="46"/>
      <c r="G136" s="465"/>
      <c r="H136" s="48"/>
      <c r="I136" s="49"/>
      <c r="J136" s="91"/>
      <c r="K136" s="91"/>
      <c r="L136" s="39"/>
      <c r="M136" s="39"/>
      <c r="N136" s="50"/>
      <c r="O136" s="51"/>
      <c r="P136" s="52"/>
      <c r="Q136" s="51"/>
      <c r="R136" s="422"/>
      <c r="S136" s="422"/>
      <c r="T136" s="41"/>
      <c r="U136" s="41"/>
      <c r="V136" s="41"/>
      <c r="W136" s="41"/>
      <c r="X136" s="42"/>
      <c r="Y136" s="223"/>
      <c r="Z136" s="41"/>
      <c r="AA136" s="41"/>
      <c r="AB136" s="53"/>
      <c r="AC136" s="41"/>
      <c r="AD136" s="41">
        <f>+AM136+BA136</f>
        <v>15</v>
      </c>
      <c r="AE136" s="241" t="s">
        <v>510</v>
      </c>
      <c r="AF136" s="37"/>
      <c r="AG136" s="37"/>
      <c r="AH136" s="37">
        <v>15</v>
      </c>
      <c r="AJ136" s="41"/>
      <c r="AK136" s="41"/>
      <c r="AL136" s="41"/>
      <c r="AM136" s="41">
        <f>SUM(AF136:AL136)+AT136+AV136+AX136</f>
        <v>15</v>
      </c>
      <c r="AN136" s="41"/>
      <c r="AO136" s="41"/>
      <c r="AP136" s="41"/>
      <c r="AQ136" s="41"/>
      <c r="AR136" s="41">
        <f>SUM(AN136:AQ136)</f>
        <v>0</v>
      </c>
      <c r="AS136" s="41"/>
      <c r="AT136" s="41"/>
      <c r="AU136" s="41"/>
      <c r="AV136" s="41"/>
      <c r="AW136" s="41"/>
      <c r="AX136" s="41"/>
      <c r="AY136" s="41"/>
      <c r="AZ136" s="41"/>
      <c r="BA136" s="41">
        <f>+AR136+AS136+AU136+AW136+AY136+AZ136</f>
        <v>0</v>
      </c>
      <c r="BB136" s="37"/>
      <c r="BC136" s="57"/>
      <c r="BD136" s="57"/>
      <c r="BE136" s="37"/>
      <c r="BF136" s="57"/>
    </row>
    <row r="137" spans="1:58" ht="12.95" customHeight="1">
      <c r="A137" s="346"/>
      <c r="B137" s="45"/>
      <c r="C137" s="452"/>
      <c r="D137" s="45"/>
      <c r="E137" s="46"/>
      <c r="F137" s="46"/>
      <c r="G137" s="465"/>
      <c r="H137" s="48"/>
      <c r="I137" s="49"/>
      <c r="J137" s="91"/>
      <c r="K137" s="91"/>
      <c r="L137" s="39"/>
      <c r="M137" s="39"/>
      <c r="N137" s="50"/>
      <c r="O137" s="51"/>
      <c r="P137" s="52"/>
      <c r="Q137" s="51"/>
      <c r="R137" s="422"/>
      <c r="S137" s="422"/>
      <c r="T137" s="41"/>
      <c r="U137" s="41"/>
      <c r="V137" s="41"/>
      <c r="W137" s="41"/>
      <c r="X137" s="419"/>
      <c r="Y137" s="223"/>
      <c r="Z137" s="41"/>
      <c r="AA137" s="53"/>
      <c r="AB137" s="53"/>
      <c r="AC137" s="41"/>
      <c r="AD137" s="41">
        <f>+AM137+BA137</f>
        <v>30</v>
      </c>
      <c r="AE137" s="244" t="s">
        <v>799</v>
      </c>
      <c r="AF137" s="41"/>
      <c r="AG137" s="41"/>
      <c r="AH137" s="41"/>
      <c r="AI137" s="461"/>
      <c r="AJ137" s="41"/>
      <c r="AK137" s="41">
        <v>30</v>
      </c>
      <c r="AL137" s="41"/>
      <c r="AM137" s="41">
        <f>SUM(AF137:AL137)+AT137+AV137+AX137</f>
        <v>30</v>
      </c>
      <c r="AN137" s="41"/>
      <c r="AO137" s="41"/>
      <c r="AP137" s="41"/>
      <c r="AQ137" s="41"/>
      <c r="AR137" s="41">
        <f>SUM(AN137:AQ137)</f>
        <v>0</v>
      </c>
      <c r="AS137" s="41"/>
      <c r="AT137" s="41"/>
      <c r="AU137" s="41"/>
      <c r="AV137" s="41"/>
      <c r="AW137" s="41"/>
      <c r="AX137" s="41"/>
      <c r="AY137" s="41"/>
      <c r="AZ137" s="41"/>
      <c r="BA137" s="41">
        <f>+AR137+AS137+AU137+AW137+AY137+AZ137</f>
        <v>0</v>
      </c>
      <c r="BB137" s="37"/>
      <c r="BC137" s="57"/>
      <c r="BD137" s="57"/>
      <c r="BE137" s="37"/>
      <c r="BF137" s="57"/>
    </row>
    <row r="138" spans="1:58" ht="12.95" customHeight="1">
      <c r="A138" s="44"/>
      <c r="B138" s="3"/>
      <c r="C138" s="452"/>
      <c r="D138" s="45"/>
      <c r="E138" s="258"/>
      <c r="F138" s="46"/>
      <c r="G138" s="47"/>
      <c r="H138" s="48"/>
      <c r="I138" s="49"/>
      <c r="J138" s="91"/>
      <c r="K138" s="91"/>
      <c r="L138" s="39"/>
      <c r="M138" s="39"/>
      <c r="N138" s="50"/>
      <c r="O138" s="51"/>
      <c r="P138" s="52"/>
      <c r="Q138" s="351"/>
      <c r="R138" s="54"/>
      <c r="S138" s="54"/>
      <c r="T138" s="41"/>
      <c r="U138" s="41"/>
      <c r="V138" s="41"/>
      <c r="W138" s="37"/>
      <c r="X138" s="42"/>
      <c r="Y138" s="42"/>
      <c r="Z138" s="621"/>
      <c r="AA138" s="53"/>
      <c r="AB138" s="53"/>
      <c r="AC138" s="41"/>
      <c r="AD138" s="41"/>
      <c r="AE138" s="22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37"/>
      <c r="BC138" s="55"/>
      <c r="BD138" s="55"/>
      <c r="BE138" s="55"/>
      <c r="BF138" s="55"/>
    </row>
    <row r="139" spans="1:58" ht="12.95" customHeight="1">
      <c r="A139" s="346">
        <v>46021</v>
      </c>
      <c r="B139" s="45" t="s">
        <v>234</v>
      </c>
      <c r="C139" s="452">
        <f>(M139*E139*O139*Q139)/100000000</f>
        <v>80.286585984000013</v>
      </c>
      <c r="D139" s="45" t="s">
        <v>410</v>
      </c>
      <c r="E139" s="46">
        <v>17</v>
      </c>
      <c r="F139" s="46">
        <v>1</v>
      </c>
      <c r="G139" s="465">
        <v>1210</v>
      </c>
      <c r="H139" s="48">
        <v>0</v>
      </c>
      <c r="I139" s="49">
        <v>0.88</v>
      </c>
      <c r="J139" s="91">
        <f>E139*G139*(1-H139)*1440/1000000*2.77</f>
        <v>82.049616</v>
      </c>
      <c r="K139" s="91">
        <f>(IF(G139&lt;L139,L139,G139)*(1-IF(H139&lt;N139,H139,N139))*E139*O139*Q139)/100000000</f>
        <v>80.568575999999993</v>
      </c>
      <c r="L139" s="39">
        <v>1210</v>
      </c>
      <c r="M139" s="39">
        <v>1205.7650000000001</v>
      </c>
      <c r="N139" s="50">
        <f>1-(M139/L139)</f>
        <v>3.4999999999999476E-3</v>
      </c>
      <c r="O139" s="51">
        <f>+'Trim Rwd'!H127</f>
        <v>272</v>
      </c>
      <c r="P139" s="52">
        <f>O139*(Q139-R139-S139)</f>
        <v>386784</v>
      </c>
      <c r="Q139" s="51">
        <v>1440</v>
      </c>
      <c r="R139" s="422">
        <v>0</v>
      </c>
      <c r="S139" s="422">
        <v>18</v>
      </c>
      <c r="T139" s="41">
        <f>E139*M139*O139*Q139/100000000</f>
        <v>80.286585984000013</v>
      </c>
      <c r="U139" s="41">
        <f>E139*M139*O139*(Q139-R139-S139)/100000000</f>
        <v>79.283003659200006</v>
      </c>
      <c r="V139" s="41">
        <f>E139*G139*(1-N139)*O139/100*(R139+S139)/1000000</f>
        <v>1.0035823248</v>
      </c>
      <c r="W139" s="41">
        <f>+'30'!K13/1000</f>
        <v>81.028000000000006</v>
      </c>
      <c r="X139" s="419">
        <f>SUM(W139:W142)/SUM(K139:K142)</f>
        <v>1.0057022728067084</v>
      </c>
      <c r="Y139" s="223">
        <v>0</v>
      </c>
      <c r="Z139" s="41">
        <f>+'30'!D34/1000</f>
        <v>1.111</v>
      </c>
      <c r="AA139" s="53">
        <f>SUM(U139:U142)-SUM(W139:W142)-SUM(Z139:Z142)-SUM(Y139:Y142)</f>
        <v>-2.8559963408</v>
      </c>
      <c r="AB139" s="53">
        <f>(SUM(K139:K142)-SUM(W139:W142)-SUM(Y139:Y142)-SUM(Z139:Z142)-SUM(AC139:AC142)-SUM(V139:V142))-AA139</f>
        <v>7.1054273576010019E-15</v>
      </c>
      <c r="AC139" s="41">
        <f>K139-T139</f>
        <v>0.28199001599998041</v>
      </c>
      <c r="AD139" s="41">
        <f>+AM139+BA139</f>
        <v>0</v>
      </c>
      <c r="AE139" s="241" t="s">
        <v>492</v>
      </c>
      <c r="AF139" s="41">
        <v>0</v>
      </c>
      <c r="AG139" s="41"/>
      <c r="AH139" s="41"/>
      <c r="AI139" s="461"/>
      <c r="AJ139" s="41"/>
      <c r="AK139" s="41"/>
      <c r="AL139" s="41"/>
      <c r="AM139" s="41">
        <f>SUM(AF139:AL139)+AT139+AV139+AX139</f>
        <v>0</v>
      </c>
      <c r="AN139" s="41"/>
      <c r="AO139" s="41"/>
      <c r="AP139" s="41"/>
      <c r="AQ139" s="41"/>
      <c r="AR139" s="41">
        <f>SUM(AN139:AQ139)</f>
        <v>0</v>
      </c>
      <c r="AS139" s="41"/>
      <c r="AT139" s="41"/>
      <c r="AU139" s="41"/>
      <c r="AV139" s="41"/>
      <c r="AW139" s="41"/>
      <c r="AX139" s="41"/>
      <c r="AY139" s="41"/>
      <c r="AZ139" s="41"/>
      <c r="BA139" s="41">
        <f>+AR139+AS139+AU139+AW139+AY139+AZ139</f>
        <v>0</v>
      </c>
      <c r="BB139" s="37">
        <v>0</v>
      </c>
      <c r="BC139" s="55"/>
      <c r="BD139" s="55"/>
      <c r="BE139" s="37"/>
      <c r="BF139" s="55"/>
    </row>
    <row r="140" spans="1:58" ht="12.95" customHeight="1">
      <c r="A140" s="346"/>
      <c r="B140" s="45"/>
      <c r="C140" s="452"/>
      <c r="D140" s="45"/>
      <c r="E140" s="46"/>
      <c r="F140" s="46"/>
      <c r="G140" s="465"/>
      <c r="H140" s="48"/>
      <c r="I140" s="49"/>
      <c r="J140" s="91"/>
      <c r="K140" s="91"/>
      <c r="L140" s="39"/>
      <c r="M140" s="39"/>
      <c r="N140" s="50"/>
      <c r="O140" s="51"/>
      <c r="P140" s="52"/>
      <c r="Q140" s="51"/>
      <c r="R140" s="422"/>
      <c r="S140" s="422"/>
      <c r="T140" s="41"/>
      <c r="U140" s="41"/>
      <c r="V140" s="41"/>
      <c r="W140" s="41"/>
      <c r="X140" s="419"/>
      <c r="Y140" s="223"/>
      <c r="Z140" s="41"/>
      <c r="AA140" s="53"/>
      <c r="AB140" s="53"/>
      <c r="AC140" s="41"/>
      <c r="AD140" s="41">
        <f>+AM140+BA140</f>
        <v>0</v>
      </c>
      <c r="AE140" s="241" t="s">
        <v>448</v>
      </c>
      <c r="AF140" s="41"/>
      <c r="AG140" s="41">
        <v>0</v>
      </c>
      <c r="AH140" s="41"/>
      <c r="AI140" s="461"/>
      <c r="AJ140" s="41"/>
      <c r="AK140" s="41"/>
      <c r="AL140" s="41"/>
      <c r="AM140" s="41">
        <f>SUM(AF140:AL140)+AT140+AV140+AX140</f>
        <v>0</v>
      </c>
      <c r="AN140" s="92"/>
      <c r="AO140" s="41"/>
      <c r="AP140" s="41"/>
      <c r="AQ140" s="41"/>
      <c r="AR140" s="41">
        <f>SUM(AN140:AQ140)</f>
        <v>0</v>
      </c>
      <c r="AS140" s="41"/>
      <c r="AT140" s="41"/>
      <c r="AU140" s="41"/>
      <c r="AV140" s="41"/>
      <c r="AW140" s="41"/>
      <c r="AX140" s="41"/>
      <c r="AY140" s="41"/>
      <c r="AZ140" s="41"/>
      <c r="BA140" s="41">
        <f>+AR140+AS140+AU140+AW140+AY140+AZ140</f>
        <v>0</v>
      </c>
      <c r="BB140" s="54"/>
      <c r="BC140" s="55">
        <v>0</v>
      </c>
      <c r="BD140" s="55"/>
      <c r="BE140" s="54"/>
      <c r="BF140" s="55"/>
    </row>
    <row r="141" spans="1:58" ht="12.95" customHeight="1">
      <c r="A141" s="44"/>
      <c r="B141" s="45"/>
      <c r="C141" s="452"/>
      <c r="D141" s="45"/>
      <c r="E141" s="46"/>
      <c r="F141" s="46"/>
      <c r="G141" s="465"/>
      <c r="H141" s="48"/>
      <c r="I141" s="49"/>
      <c r="J141" s="91"/>
      <c r="K141" s="91"/>
      <c r="L141" s="39"/>
      <c r="M141" s="39"/>
      <c r="N141" s="50"/>
      <c r="O141" s="51"/>
      <c r="P141" s="52"/>
      <c r="Q141" s="51"/>
      <c r="R141" s="422"/>
      <c r="S141" s="422"/>
      <c r="T141" s="41"/>
      <c r="U141" s="41"/>
      <c r="V141" s="41"/>
      <c r="W141" s="41"/>
      <c r="X141" s="42"/>
      <c r="Y141" s="223"/>
      <c r="Z141" s="41"/>
      <c r="AA141" s="41"/>
      <c r="AB141" s="41"/>
      <c r="AC141" s="41"/>
      <c r="AD141" s="41">
        <f>+AM141+BA141</f>
        <v>18</v>
      </c>
      <c r="AE141" s="241" t="s">
        <v>457</v>
      </c>
      <c r="AF141" s="37"/>
      <c r="AG141" s="37"/>
      <c r="AH141" s="37">
        <v>18</v>
      </c>
      <c r="AJ141" s="41"/>
      <c r="AK141" s="41"/>
      <c r="AL141" s="41"/>
      <c r="AM141" s="41">
        <f>SUM(AF141:AL141)+AT141+AV141+AX141</f>
        <v>18</v>
      </c>
      <c r="AN141" s="41"/>
      <c r="AO141" s="41"/>
      <c r="AP141" s="41"/>
      <c r="AQ141" s="41"/>
      <c r="AR141" s="41">
        <f>SUM(AN141:AQ141)</f>
        <v>0</v>
      </c>
      <c r="AS141" s="41"/>
      <c r="AT141" s="41"/>
      <c r="AU141" s="41"/>
      <c r="AV141" s="41"/>
      <c r="AW141" s="41"/>
      <c r="AX141" s="41"/>
      <c r="AY141" s="41"/>
      <c r="AZ141" s="41"/>
      <c r="BA141" s="41">
        <f>+AR141+AS141+AU141+AW141+AY141+AZ141</f>
        <v>0</v>
      </c>
      <c r="BB141" s="37"/>
      <c r="BC141" s="57"/>
      <c r="BD141" s="57"/>
      <c r="BE141" s="37"/>
      <c r="BF141" s="57"/>
    </row>
    <row r="142" spans="1:58" ht="12.95" customHeight="1">
      <c r="A142" s="346"/>
      <c r="B142" s="45"/>
      <c r="C142" s="452"/>
      <c r="D142" s="45"/>
      <c r="E142" s="46"/>
      <c r="F142" s="46"/>
      <c r="G142" s="465"/>
      <c r="H142" s="48"/>
      <c r="I142" s="49"/>
      <c r="J142" s="91"/>
      <c r="K142" s="91"/>
      <c r="L142" s="39"/>
      <c r="M142" s="39"/>
      <c r="N142" s="50"/>
      <c r="O142" s="51"/>
      <c r="P142" s="52"/>
      <c r="Q142" s="51"/>
      <c r="R142" s="422"/>
      <c r="S142" s="422"/>
      <c r="T142" s="41"/>
      <c r="U142" s="41"/>
      <c r="V142" s="41"/>
      <c r="W142" s="41"/>
      <c r="X142" s="419"/>
      <c r="Y142" s="223"/>
      <c r="Z142" s="41"/>
      <c r="AA142" s="53"/>
      <c r="AB142" s="53"/>
      <c r="AC142" s="41"/>
      <c r="AD142" s="41"/>
      <c r="AE142" s="241"/>
      <c r="AF142" s="41"/>
      <c r="AG142" s="41"/>
      <c r="AH142" s="41"/>
      <c r="AI142" s="461"/>
      <c r="AJ142" s="41"/>
      <c r="AK142" s="41"/>
      <c r="AL142" s="41"/>
      <c r="AM142" s="41"/>
      <c r="AN142" s="92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54"/>
      <c r="BC142" s="55"/>
      <c r="BD142" s="55"/>
      <c r="BE142" s="55"/>
      <c r="BF142" s="55"/>
    </row>
    <row r="143" spans="1:58" ht="12.95" customHeight="1">
      <c r="A143" s="346">
        <v>46387</v>
      </c>
      <c r="B143" s="45" t="s">
        <v>234</v>
      </c>
      <c r="C143" s="452">
        <f>(M143*E143*O143*Q143)/100000000</f>
        <v>36.798018576000004</v>
      </c>
      <c r="D143" s="45" t="s">
        <v>410</v>
      </c>
      <c r="E143" s="46">
        <v>17</v>
      </c>
      <c r="F143" s="46">
        <v>1</v>
      </c>
      <c r="G143" s="465">
        <v>1210</v>
      </c>
      <c r="H143" s="48">
        <v>0</v>
      </c>
      <c r="I143" s="49">
        <v>0.88</v>
      </c>
      <c r="J143" s="91">
        <f>E143*G143*(1-H143)*1440/1000000*2.77</f>
        <v>82.049616</v>
      </c>
      <c r="K143" s="91">
        <f>(IF(G143&lt;L143,L143,G143)*(1-IF(H143&lt;N143,H143,N143))*E143*O143*Q143)/100000000</f>
        <v>36.927264000000001</v>
      </c>
      <c r="L143" s="39">
        <v>1210</v>
      </c>
      <c r="M143" s="39">
        <v>1205.7650000000001</v>
      </c>
      <c r="N143" s="50">
        <f>1-(M143/L143)</f>
        <v>3.4999999999999476E-3</v>
      </c>
      <c r="O143" s="51">
        <f>+'Trim Rwd'!H129</f>
        <v>272</v>
      </c>
      <c r="P143" s="52">
        <f>O143*(Q143-R143-S143)</f>
        <v>171632</v>
      </c>
      <c r="Q143" s="51">
        <v>660</v>
      </c>
      <c r="R143" s="422">
        <v>0</v>
      </c>
      <c r="S143" s="422">
        <v>29</v>
      </c>
      <c r="T143" s="41">
        <f>E143*M143*O143*Q143/100000000</f>
        <v>36.798018576000004</v>
      </c>
      <c r="U143" s="41">
        <f>E143*M143*O143*(Q143-R143-S143)/100000000</f>
        <v>35.181135941600004</v>
      </c>
      <c r="V143" s="41">
        <f>E143*G143*(1-N143)*O143/100*(R143+S143)/1000000</f>
        <v>1.6168826344</v>
      </c>
      <c r="W143" s="41">
        <f>+'31'!K13/1000</f>
        <v>47.540999999999997</v>
      </c>
      <c r="X143" s="419">
        <f>SUM(W143:W146)/SUM(K143:K146)</f>
        <v>0.97402681164769844</v>
      </c>
      <c r="Y143" s="223">
        <f>+SUM(RBP!$AG$3:$AG$4)</f>
        <v>5.3970000000000002</v>
      </c>
      <c r="Z143" s="41">
        <v>0</v>
      </c>
      <c r="AA143" s="53">
        <f>SUM(U143:U146)-SUM(W143:W146)-SUM(Z143:Z146)-SUM(Y143:Y146)</f>
        <v>-10.217403258399992</v>
      </c>
      <c r="AB143" s="53">
        <f>(SUM(K143:K146)-SUM(W143:W146)-SUM(Y143:Y146)-SUM(Z143:Z146)-SUM(AC143:AC146)-SUM(V143:V146))-AA143</f>
        <v>-0.110905279999999</v>
      </c>
      <c r="AC143" s="41">
        <f>K143-T143</f>
        <v>0.12924542399999694</v>
      </c>
      <c r="AD143" s="41">
        <f>+AM143+BA143</f>
        <v>0</v>
      </c>
      <c r="AE143" s="241" t="s">
        <v>492</v>
      </c>
      <c r="AF143" s="41">
        <v>0</v>
      </c>
      <c r="AG143" s="41"/>
      <c r="AH143" s="41"/>
      <c r="AI143" s="461"/>
      <c r="AJ143" s="41"/>
      <c r="AK143" s="41"/>
      <c r="AL143" s="41"/>
      <c r="AM143" s="41">
        <f>SUM(AF143:AL143)+AT143+AV143+AX143</f>
        <v>0</v>
      </c>
      <c r="AN143" s="41"/>
      <c r="AO143" s="41"/>
      <c r="AP143" s="41"/>
      <c r="AQ143" s="41"/>
      <c r="AR143" s="41">
        <f>SUM(AN143:AQ143)</f>
        <v>0</v>
      </c>
      <c r="AS143" s="41"/>
      <c r="AT143" s="41"/>
      <c r="AU143" s="41"/>
      <c r="AV143" s="41"/>
      <c r="AW143" s="41"/>
      <c r="AX143" s="41"/>
      <c r="AY143" s="41"/>
      <c r="AZ143" s="41"/>
      <c r="BA143" s="41">
        <f>+AR143+AS143+AU143+AW143+AY143+AZ143</f>
        <v>0</v>
      </c>
      <c r="BB143" s="37">
        <v>0</v>
      </c>
      <c r="BC143" s="55"/>
      <c r="BD143" s="55"/>
      <c r="BE143" s="37"/>
      <c r="BF143" s="55"/>
    </row>
    <row r="144" spans="1:58" ht="12.95" customHeight="1">
      <c r="A144" s="346"/>
      <c r="B144" s="45" t="s">
        <v>7</v>
      </c>
      <c r="C144" s="452">
        <f>(M144*E144*O144*Q144)/100000000</f>
        <v>32.651423999999999</v>
      </c>
      <c r="D144" s="45" t="s">
        <v>410</v>
      </c>
      <c r="E144" s="46">
        <v>13</v>
      </c>
      <c r="F144" s="46">
        <v>1</v>
      </c>
      <c r="G144" s="465">
        <v>1700</v>
      </c>
      <c r="H144" s="48">
        <v>0.24</v>
      </c>
      <c r="I144" s="49">
        <v>0.88</v>
      </c>
      <c r="J144" s="91">
        <f>E144*G144*(1-H144)*1440/1000000*2.77</f>
        <v>66.995884799999999</v>
      </c>
      <c r="K144" s="91">
        <f>(IF(G144&lt;L144,L144,G144)*(1-IF(H144&lt;N144,H144,N144))*E144*O144*Q144)/100000000</f>
        <v>35.634393600000003</v>
      </c>
      <c r="L144" s="39">
        <v>1557.6923076923076</v>
      </c>
      <c r="M144" s="39">
        <v>1183.8461538461538</v>
      </c>
      <c r="N144" s="50">
        <f>1-(M144/L144)</f>
        <v>0.24</v>
      </c>
      <c r="O144" s="51">
        <f>+'Trim Rwd'!H130</f>
        <v>272</v>
      </c>
      <c r="P144" s="52">
        <f>O144*(Q144-R144-S144)</f>
        <v>204272</v>
      </c>
      <c r="Q144" s="51">
        <v>780</v>
      </c>
      <c r="R144" s="422">
        <v>0</v>
      </c>
      <c r="S144" s="422">
        <v>29</v>
      </c>
      <c r="T144" s="41">
        <f>E144*M144*O144*Q144/100000000</f>
        <v>32.651423999999999</v>
      </c>
      <c r="U144" s="41">
        <f>E144*M144*O144*(Q144-R144-S144)/100000000</f>
        <v>31.4374608</v>
      </c>
      <c r="V144" s="41">
        <f>E144*G144*(1-N144)*O144/100*(R144+S144)/1000000</f>
        <v>1.3248684799999999</v>
      </c>
      <c r="W144" s="41">
        <f>+'31'!K7/1000</f>
        <v>23.135999999999999</v>
      </c>
      <c r="X144" s="419"/>
      <c r="Y144" s="223"/>
      <c r="Z144" s="41">
        <f>+'31'!D34/1000</f>
        <v>0.76200000000000001</v>
      </c>
      <c r="AA144" s="53"/>
      <c r="AB144" s="53"/>
      <c r="AC144" s="41">
        <f>K144-T144</f>
        <v>2.9829696000000041</v>
      </c>
      <c r="AD144" s="41">
        <f>+AM144+BA144</f>
        <v>7</v>
      </c>
      <c r="AE144" s="241" t="s">
        <v>581</v>
      </c>
      <c r="AF144" s="41"/>
      <c r="AG144" s="41">
        <v>7</v>
      </c>
      <c r="AH144" s="41"/>
      <c r="AI144" s="461"/>
      <c r="AJ144" s="41"/>
      <c r="AK144" s="41"/>
      <c r="AL144" s="41"/>
      <c r="AM144" s="41">
        <f>SUM(AF144:AL144)+AT144+AV144+AX144</f>
        <v>7</v>
      </c>
      <c r="AN144" s="92"/>
      <c r="AO144" s="41"/>
      <c r="AP144" s="41"/>
      <c r="AQ144" s="41"/>
      <c r="AR144" s="41">
        <f>SUM(AN144:AQ144)</f>
        <v>0</v>
      </c>
      <c r="AS144" s="41"/>
      <c r="AT144" s="41"/>
      <c r="AU144" s="41"/>
      <c r="AV144" s="41"/>
      <c r="AW144" s="41"/>
      <c r="AX144" s="41"/>
      <c r="AY144" s="41"/>
      <c r="AZ144" s="41"/>
      <c r="BA144" s="41">
        <f>+AR144+AS144+AU144+AW144+AY144+AZ144</f>
        <v>0</v>
      </c>
      <c r="BB144" s="54"/>
      <c r="BC144" s="55">
        <v>5</v>
      </c>
      <c r="BD144" s="55"/>
      <c r="BE144" s="54"/>
      <c r="BF144" s="55"/>
    </row>
    <row r="145" spans="1:58" ht="12.95" customHeight="1">
      <c r="A145" s="44"/>
      <c r="B145" s="45"/>
      <c r="C145" s="452"/>
      <c r="D145" s="45"/>
      <c r="E145" s="46"/>
      <c r="F145" s="46"/>
      <c r="G145" s="465"/>
      <c r="H145" s="48"/>
      <c r="I145" s="49"/>
      <c r="J145" s="91"/>
      <c r="K145" s="91"/>
      <c r="L145" s="39"/>
      <c r="M145" s="39"/>
      <c r="N145" s="50"/>
      <c r="O145" s="51"/>
      <c r="P145" s="52"/>
      <c r="Q145" s="51"/>
      <c r="R145" s="422"/>
      <c r="S145" s="422"/>
      <c r="T145" s="41"/>
      <c r="U145" s="41"/>
      <c r="V145" s="41"/>
      <c r="W145" s="41"/>
      <c r="X145" s="42"/>
      <c r="Y145" s="223"/>
      <c r="Z145" s="41"/>
      <c r="AA145" s="41"/>
      <c r="AB145" s="41"/>
      <c r="AC145" s="41"/>
      <c r="AD145" s="41">
        <f>+AM145+BA145</f>
        <v>30</v>
      </c>
      <c r="AE145" s="241" t="s">
        <v>457</v>
      </c>
      <c r="AF145" s="37"/>
      <c r="AG145" s="37"/>
      <c r="AH145" s="37">
        <v>30</v>
      </c>
      <c r="AJ145" s="41"/>
      <c r="AK145" s="41"/>
      <c r="AL145" s="41"/>
      <c r="AM145" s="41">
        <f>SUM(AF145:AL145)+AT145+AV145+AX145</f>
        <v>30</v>
      </c>
      <c r="AN145" s="41"/>
      <c r="AO145" s="41"/>
      <c r="AP145" s="41"/>
      <c r="AQ145" s="41"/>
      <c r="AR145" s="41">
        <f>SUM(AN145:AQ145)</f>
        <v>0</v>
      </c>
      <c r="AS145" s="41"/>
      <c r="AT145" s="41"/>
      <c r="AU145" s="41"/>
      <c r="AV145" s="41"/>
      <c r="AW145" s="41"/>
      <c r="AX145" s="41"/>
      <c r="AY145" s="41"/>
      <c r="AZ145" s="41"/>
      <c r="BA145" s="41">
        <f>+AR145+AS145+AU145+AW145+AY145+AZ145</f>
        <v>0</v>
      </c>
      <c r="BB145" s="37"/>
      <c r="BC145" s="57"/>
      <c r="BD145" s="57"/>
      <c r="BE145" s="37"/>
      <c r="BF145" s="57"/>
    </row>
    <row r="146" spans="1:58" ht="12.95" customHeight="1">
      <c r="A146" s="346"/>
      <c r="B146" s="45"/>
      <c r="C146" s="452"/>
      <c r="D146" s="45"/>
      <c r="E146" s="46"/>
      <c r="F146" s="46"/>
      <c r="G146" s="465"/>
      <c r="H146" s="48"/>
      <c r="I146" s="49"/>
      <c r="J146" s="91"/>
      <c r="K146" s="91"/>
      <c r="L146" s="39"/>
      <c r="M146" s="39"/>
      <c r="N146" s="50"/>
      <c r="O146" s="51"/>
      <c r="P146" s="52"/>
      <c r="Q146" s="51"/>
      <c r="R146" s="422"/>
      <c r="S146" s="422"/>
      <c r="T146" s="41"/>
      <c r="U146" s="41"/>
      <c r="V146" s="41"/>
      <c r="W146" s="41"/>
      <c r="X146" s="419"/>
      <c r="Y146" s="223"/>
      <c r="Z146" s="41"/>
      <c r="AA146" s="53"/>
      <c r="AB146" s="53"/>
      <c r="AC146" s="41"/>
      <c r="AD146" s="41">
        <f>+AM146+BA146</f>
        <v>21</v>
      </c>
      <c r="AE146" s="241" t="s">
        <v>420</v>
      </c>
      <c r="AF146" s="41"/>
      <c r="AG146" s="41"/>
      <c r="AH146" s="41"/>
      <c r="AI146" s="461">
        <v>21</v>
      </c>
      <c r="AJ146" s="41"/>
      <c r="AK146" s="41"/>
      <c r="AL146" s="41"/>
      <c r="AM146" s="41">
        <f>SUM(AF146:AL146)+AT146+AV146+AX146</f>
        <v>21</v>
      </c>
      <c r="AN146" s="41"/>
      <c r="AO146" s="41"/>
      <c r="AP146" s="41"/>
      <c r="AQ146" s="41"/>
      <c r="AR146" s="41">
        <f>SUM(AN146:AQ146)</f>
        <v>0</v>
      </c>
      <c r="AS146" s="41"/>
      <c r="AT146" s="41"/>
      <c r="AU146" s="41"/>
      <c r="AV146" s="41"/>
      <c r="AW146" s="41"/>
      <c r="AX146" s="41"/>
      <c r="AY146" s="41"/>
      <c r="AZ146" s="41"/>
      <c r="BA146" s="41">
        <f>+AR146+AS146+AU146+AW146+AY146+AZ146</f>
        <v>0</v>
      </c>
      <c r="BB146" s="37"/>
      <c r="BC146" s="57"/>
      <c r="BD146" s="57"/>
      <c r="BE146" s="37"/>
      <c r="BF146" s="57"/>
    </row>
    <row r="147" spans="1:58" ht="12.95" customHeight="1">
      <c r="A147" s="44"/>
      <c r="B147" s="3"/>
      <c r="C147" s="452"/>
      <c r="D147" s="45"/>
      <c r="E147" s="258"/>
      <c r="F147" s="46"/>
      <c r="G147" s="47"/>
      <c r="H147" s="48"/>
      <c r="I147" s="49"/>
      <c r="J147" s="91"/>
      <c r="K147" s="91"/>
      <c r="L147" s="39"/>
      <c r="M147" s="39"/>
      <c r="N147" s="50"/>
      <c r="O147" s="51"/>
      <c r="P147" s="52"/>
      <c r="Q147" s="351"/>
      <c r="R147" s="54"/>
      <c r="S147" s="54"/>
      <c r="T147" s="41"/>
      <c r="U147" s="41"/>
      <c r="V147" s="41"/>
      <c r="W147" s="37"/>
      <c r="X147" s="42"/>
      <c r="Y147" s="42"/>
      <c r="Z147" s="621"/>
      <c r="AA147" s="53"/>
      <c r="AB147" s="53"/>
      <c r="AC147" s="41"/>
      <c r="AD147" s="41"/>
      <c r="AE147" s="22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37"/>
      <c r="BC147" s="55"/>
      <c r="BD147" s="55"/>
      <c r="BE147" s="55"/>
      <c r="BF147" s="55"/>
    </row>
    <row r="148" spans="1:58" ht="12.95" customHeight="1">
      <c r="A148" s="44"/>
      <c r="B148" s="3"/>
      <c r="C148" s="452"/>
      <c r="D148" s="45"/>
      <c r="E148" s="46"/>
      <c r="F148" s="46"/>
      <c r="G148" s="47"/>
      <c r="H148" s="48"/>
      <c r="I148" s="49"/>
      <c r="J148" s="91"/>
      <c r="K148" s="91"/>
      <c r="L148" s="39"/>
      <c r="M148" s="39"/>
      <c r="N148" s="50"/>
      <c r="O148" s="51"/>
      <c r="P148" s="52"/>
      <c r="Q148" s="38"/>
      <c r="R148" s="422"/>
      <c r="S148" s="422"/>
      <c r="T148" s="41"/>
      <c r="U148" s="41"/>
      <c r="V148" s="41"/>
      <c r="W148" s="41"/>
      <c r="X148" s="42"/>
      <c r="Y148" s="42"/>
      <c r="Z148" s="41"/>
      <c r="AA148" s="53"/>
      <c r="AB148" s="53"/>
      <c r="AC148" s="41"/>
      <c r="AD148" s="41"/>
      <c r="AE148" s="22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37"/>
      <c r="BC148" s="55"/>
      <c r="BD148" s="55"/>
      <c r="BE148" s="55"/>
      <c r="BF148" s="55"/>
    </row>
    <row r="149" spans="1:58" ht="12.95" customHeight="1">
      <c r="A149" s="44"/>
      <c r="B149" s="3"/>
      <c r="C149" s="452"/>
      <c r="D149" s="45"/>
      <c r="E149" s="46"/>
      <c r="F149" s="46"/>
      <c r="G149" s="47"/>
      <c r="H149" s="48"/>
      <c r="I149" s="49"/>
      <c r="J149" s="91"/>
      <c r="K149" s="91"/>
      <c r="L149" s="39"/>
      <c r="M149" s="39"/>
      <c r="N149" s="50"/>
      <c r="O149" s="51"/>
      <c r="P149" s="52"/>
      <c r="Q149" s="38"/>
      <c r="R149" s="422"/>
      <c r="S149" s="422"/>
      <c r="T149" s="41"/>
      <c r="U149" s="41"/>
      <c r="V149" s="41"/>
      <c r="W149" s="41"/>
      <c r="X149" s="42"/>
      <c r="Y149" s="42"/>
      <c r="Z149" s="41"/>
      <c r="AA149" s="53"/>
      <c r="AB149" s="53"/>
      <c r="AC149" s="41"/>
      <c r="AD149" s="41"/>
      <c r="AE149" s="22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37"/>
      <c r="BC149" s="55"/>
      <c r="BD149" s="55"/>
      <c r="BE149" s="55"/>
      <c r="BF149" s="55"/>
    </row>
    <row r="150" spans="1:58" ht="12.95" customHeight="1">
      <c r="A150" s="44"/>
      <c r="B150" s="45"/>
      <c r="C150" s="452"/>
      <c r="D150" s="45"/>
      <c r="E150" s="46"/>
      <c r="F150" s="46"/>
      <c r="G150" s="58"/>
      <c r="H150" s="59"/>
      <c r="I150" s="49"/>
      <c r="J150" s="91"/>
      <c r="K150" s="91"/>
      <c r="L150" s="39"/>
      <c r="M150" s="39"/>
      <c r="N150" s="50"/>
      <c r="O150" s="51"/>
      <c r="P150" s="52"/>
      <c r="Q150" s="351"/>
      <c r="R150" s="54"/>
      <c r="S150" s="54"/>
      <c r="T150" s="41"/>
      <c r="U150" s="41"/>
      <c r="V150" s="41"/>
      <c r="W150" s="37"/>
      <c r="X150" s="42"/>
      <c r="Y150" s="42"/>
      <c r="Z150" s="621"/>
      <c r="AA150" s="53"/>
      <c r="AB150" s="53"/>
      <c r="AC150" s="41"/>
      <c r="AD150" s="41"/>
      <c r="AE150" s="22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37"/>
      <c r="BC150" s="55"/>
      <c r="BD150" s="55"/>
      <c r="BE150" s="55"/>
      <c r="BF150" s="55"/>
    </row>
    <row r="151" spans="1:58" ht="12.95" customHeight="1">
      <c r="A151" s="44"/>
      <c r="B151" s="45"/>
      <c r="C151" s="452"/>
      <c r="D151" s="45"/>
      <c r="E151" s="46"/>
      <c r="F151" s="46"/>
      <c r="G151" s="58"/>
      <c r="H151" s="59"/>
      <c r="I151" s="49"/>
      <c r="J151" s="91"/>
      <c r="K151" s="91"/>
      <c r="L151" s="39"/>
      <c r="M151" s="39"/>
      <c r="N151" s="50"/>
      <c r="O151" s="51"/>
      <c r="P151" s="52"/>
      <c r="Q151" s="351"/>
      <c r="R151" s="54"/>
      <c r="S151" s="54"/>
      <c r="T151" s="41"/>
      <c r="U151" s="41"/>
      <c r="V151" s="41"/>
      <c r="W151" s="37"/>
      <c r="X151" s="42"/>
      <c r="Y151" s="42"/>
      <c r="Z151" s="621"/>
      <c r="AA151" s="53">
        <f>U151-W151-Z151</f>
        <v>0</v>
      </c>
      <c r="AB151" s="53"/>
      <c r="AC151" s="41">
        <f>K151-T151</f>
        <v>0</v>
      </c>
      <c r="AD151" s="41"/>
      <c r="AE151" s="6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37"/>
      <c r="BC151" s="55"/>
      <c r="BD151" s="55"/>
      <c r="BE151" s="55"/>
      <c r="BF151" s="55"/>
    </row>
    <row r="152" spans="1:58">
      <c r="R152" s="423"/>
      <c r="S152" s="423"/>
      <c r="AA152" s="259">
        <f>U152-W152-Z152</f>
        <v>0</v>
      </c>
      <c r="AB152" s="259"/>
      <c r="AC152" s="260">
        <f>K152-T152</f>
        <v>0</v>
      </c>
      <c r="AD152" s="41"/>
      <c r="AF152" s="56"/>
      <c r="AG152" s="56"/>
      <c r="AH152" s="56"/>
      <c r="AI152" s="56"/>
      <c r="AJ152" s="56"/>
      <c r="AK152" s="56"/>
      <c r="AL152" s="56"/>
      <c r="AM152" s="41"/>
      <c r="AN152" s="56"/>
      <c r="AO152" s="56"/>
      <c r="AP152" s="56"/>
      <c r="AQ152" s="56"/>
      <c r="AR152" s="41"/>
      <c r="AS152" s="56"/>
      <c r="AT152" s="56"/>
      <c r="AU152" s="56"/>
      <c r="AV152" s="56"/>
      <c r="AW152" s="56"/>
      <c r="AX152" s="56"/>
      <c r="AY152" s="56"/>
      <c r="AZ152" s="56"/>
      <c r="BA152" s="41"/>
      <c r="BB152" s="37"/>
      <c r="BC152" s="55"/>
      <c r="BD152" s="55"/>
      <c r="BE152" s="55"/>
      <c r="BF152" s="55"/>
    </row>
    <row r="153" spans="1:58" s="29" customFormat="1" ht="12.95" customHeight="1">
      <c r="A153" s="65"/>
      <c r="B153" s="66"/>
      <c r="C153" s="453">
        <f>SUM(C6:C151)</f>
        <v>2144.8499481278418</v>
      </c>
      <c r="D153" s="66"/>
      <c r="E153" s="67"/>
      <c r="F153" s="67"/>
      <c r="G153" s="68"/>
      <c r="H153" s="68"/>
      <c r="I153" s="69">
        <v>0.85</v>
      </c>
      <c r="J153" s="91"/>
      <c r="K153" s="93">
        <f>SUM(K6:K151)</f>
        <v>2203.8600949464944</v>
      </c>
      <c r="L153" s="71"/>
      <c r="M153" s="71"/>
      <c r="N153" s="72"/>
      <c r="O153" s="73">
        <f>P153/(Q153-R153-S153)</f>
        <v>267.7959782751916</v>
      </c>
      <c r="P153" s="70">
        <f>SUM(P6:P151)</f>
        <v>11261892.070384908</v>
      </c>
      <c r="Q153" s="353">
        <f>SUM(Q6:Q152)</f>
        <v>44640</v>
      </c>
      <c r="R153" s="70">
        <f t="shared" ref="R153:W153" si="0">SUM(R6:R151)</f>
        <v>989</v>
      </c>
      <c r="S153" s="70">
        <f t="shared" si="0"/>
        <v>1597</v>
      </c>
      <c r="T153" s="70">
        <f t="shared" si="0"/>
        <v>2144.8499481278418</v>
      </c>
      <c r="U153" s="70">
        <f t="shared" si="0"/>
        <v>2016.4569576519027</v>
      </c>
      <c r="V153" s="378">
        <f t="shared" si="0"/>
        <v>133.60860941078403</v>
      </c>
      <c r="W153" s="464">
        <f t="shared" si="0"/>
        <v>1959.0760000000002</v>
      </c>
      <c r="X153" s="382">
        <f>W153/K153</f>
        <v>0.8889293855323257</v>
      </c>
      <c r="Y153" s="379">
        <f>SUM(Y6:Y151)</f>
        <v>5.3970000000000002</v>
      </c>
      <c r="Z153" s="70">
        <f>SUM(Z6:Z151)</f>
        <v>46.992999999999995</v>
      </c>
      <c r="AA153" s="70">
        <f>SUM(AA6:AA151)</f>
        <v>4.9909576519029937</v>
      </c>
      <c r="AB153" s="70">
        <f>SUM(AB6:AB151)</f>
        <v>-5.0273650643003123</v>
      </c>
      <c r="AC153" s="70">
        <f>SUM(AC6:AC151)</f>
        <v>58.821892948107738</v>
      </c>
      <c r="AD153" s="41">
        <f>SUM(AD6:AD152)</f>
        <v>2586</v>
      </c>
      <c r="AE153" s="74"/>
      <c r="AF153" s="70">
        <f t="shared" ref="AF153:BF153" si="1">SUM(AF6:AF152)</f>
        <v>497</v>
      </c>
      <c r="AG153" s="70">
        <f t="shared" si="1"/>
        <v>97</v>
      </c>
      <c r="AH153" s="70">
        <f t="shared" si="1"/>
        <v>672</v>
      </c>
      <c r="AI153" s="70">
        <f t="shared" si="1"/>
        <v>132</v>
      </c>
      <c r="AJ153" s="70">
        <f t="shared" si="1"/>
        <v>49</v>
      </c>
      <c r="AK153" s="70">
        <f t="shared" si="1"/>
        <v>90</v>
      </c>
      <c r="AL153" s="70">
        <f t="shared" si="1"/>
        <v>0</v>
      </c>
      <c r="AM153" s="70">
        <f t="shared" si="1"/>
        <v>1597</v>
      </c>
      <c r="AN153" s="56">
        <f t="shared" si="1"/>
        <v>0</v>
      </c>
      <c r="AO153" s="56">
        <f t="shared" si="1"/>
        <v>0</v>
      </c>
      <c r="AP153" s="56">
        <f t="shared" si="1"/>
        <v>121</v>
      </c>
      <c r="AQ153" s="56">
        <f t="shared" si="1"/>
        <v>0</v>
      </c>
      <c r="AR153" s="70">
        <f t="shared" si="1"/>
        <v>121</v>
      </c>
      <c r="AS153" s="70">
        <f t="shared" si="1"/>
        <v>805</v>
      </c>
      <c r="AT153" s="70">
        <f t="shared" si="1"/>
        <v>60</v>
      </c>
      <c r="AU153" s="70">
        <f t="shared" si="1"/>
        <v>0</v>
      </c>
      <c r="AV153" s="70">
        <f t="shared" si="1"/>
        <v>0</v>
      </c>
      <c r="AW153" s="70">
        <f t="shared" si="1"/>
        <v>0</v>
      </c>
      <c r="AX153" s="70">
        <f t="shared" si="1"/>
        <v>0</v>
      </c>
      <c r="AY153" s="70">
        <f t="shared" si="1"/>
        <v>63</v>
      </c>
      <c r="AZ153" s="70">
        <f t="shared" si="1"/>
        <v>0</v>
      </c>
      <c r="BA153" s="70">
        <f t="shared" si="1"/>
        <v>989</v>
      </c>
      <c r="BB153" s="56">
        <f t="shared" si="1"/>
        <v>91</v>
      </c>
      <c r="BC153" s="56">
        <f t="shared" si="1"/>
        <v>77</v>
      </c>
      <c r="BD153" s="56">
        <f t="shared" si="1"/>
        <v>0</v>
      </c>
      <c r="BE153" s="56">
        <f t="shared" si="1"/>
        <v>1</v>
      </c>
      <c r="BF153" s="56">
        <f t="shared" si="1"/>
        <v>0</v>
      </c>
    </row>
    <row r="154" spans="1:58" s="29" customFormat="1" ht="12.95" customHeight="1">
      <c r="A154" s="65"/>
      <c r="B154" s="66"/>
      <c r="C154" s="66"/>
      <c r="D154" s="66"/>
      <c r="E154" s="67"/>
      <c r="F154" s="67"/>
      <c r="G154" s="68"/>
      <c r="H154" s="68"/>
      <c r="I154" s="68"/>
      <c r="J154" s="94"/>
      <c r="K154" s="94"/>
      <c r="L154" s="71"/>
      <c r="M154" s="71"/>
      <c r="N154" s="72"/>
      <c r="O154" s="895"/>
      <c r="P154" s="896"/>
      <c r="Q154" s="68">
        <f>31*1440-Q153</f>
        <v>0</v>
      </c>
      <c r="R154" s="75">
        <f>R153/Q153</f>
        <v>2.2155017921146953E-2</v>
      </c>
      <c r="S154" s="75">
        <f>S153/Q153</f>
        <v>3.5775089605734764E-2</v>
      </c>
      <c r="T154" s="364"/>
      <c r="U154" s="364"/>
      <c r="V154" s="366">
        <f>V153/K153</f>
        <v>6.0624814486705335E-2</v>
      </c>
      <c r="W154" s="383" t="s">
        <v>175</v>
      </c>
      <c r="X154" s="384">
        <v>0.85</v>
      </c>
      <c r="Y154" s="380">
        <f>Y153/K153</f>
        <v>2.4488850323917811E-3</v>
      </c>
      <c r="Z154" s="623">
        <f>Z153/K153</f>
        <v>2.1323041379875295E-2</v>
      </c>
      <c r="AA154" s="76">
        <f>AA153/K153</f>
        <v>2.2646435966363668E-3</v>
      </c>
      <c r="AB154" s="76">
        <f>AB153/K153</f>
        <v>-2.2811634349331812E-3</v>
      </c>
      <c r="AC154" s="99">
        <f>AC153/K153</f>
        <v>2.6690393406998834E-2</v>
      </c>
      <c r="AD154" s="367"/>
      <c r="AE154" s="43"/>
      <c r="AF154" s="76">
        <f>AF153/$AD$153*$V$154</f>
        <v>1.1651404795008721E-2</v>
      </c>
      <c r="AG154" s="76">
        <f>AG153/$AD$153*$V$154</f>
        <v>2.2740166300117626E-3</v>
      </c>
      <c r="AH154" s="76">
        <f>AH153/$AD$153*$V$154</f>
        <v>1.575401211719489E-2</v>
      </c>
      <c r="AI154" s="76">
        <f>AI153/$AD$153*$V$154</f>
        <v>3.0945380944489959E-3</v>
      </c>
      <c r="AJ154" s="76">
        <f t="shared" ref="AJ154:AS154" si="2">AJ153/$AD$153*$V$154</f>
        <v>1.1487300502121276E-3</v>
      </c>
      <c r="AK154" s="76">
        <f t="shared" si="2"/>
        <v>2.1099123371243157E-3</v>
      </c>
      <c r="AL154" s="76">
        <f>AL153/$AD$153*$V$154</f>
        <v>0</v>
      </c>
      <c r="AM154" s="76">
        <f t="shared" si="2"/>
        <v>3.7439222248750355E-2</v>
      </c>
      <c r="AN154" s="76">
        <f t="shared" si="2"/>
        <v>0</v>
      </c>
      <c r="AO154" s="76">
        <f t="shared" si="2"/>
        <v>0</v>
      </c>
      <c r="AP154" s="76">
        <f t="shared" si="2"/>
        <v>2.8366599199115797E-3</v>
      </c>
      <c r="AQ154" s="76">
        <f>AQ153/$AD$153*$V$154</f>
        <v>0</v>
      </c>
      <c r="AR154" s="76">
        <f t="shared" si="2"/>
        <v>2.8366599199115797E-3</v>
      </c>
      <c r="AS154" s="76">
        <f t="shared" si="2"/>
        <v>1.8871993682056377E-2</v>
      </c>
      <c r="AT154" s="76">
        <f t="shared" ref="AT154:BA154" si="3">AT153/$AD$153*$V$154</f>
        <v>1.4066082247495436E-3</v>
      </c>
      <c r="AU154" s="76">
        <f t="shared" si="3"/>
        <v>0</v>
      </c>
      <c r="AV154" s="76">
        <f t="shared" si="3"/>
        <v>0</v>
      </c>
      <c r="AW154" s="76">
        <f t="shared" si="3"/>
        <v>0</v>
      </c>
      <c r="AX154" s="76">
        <f t="shared" si="3"/>
        <v>0</v>
      </c>
      <c r="AY154" s="76">
        <f t="shared" si="3"/>
        <v>1.4769386359870208E-3</v>
      </c>
      <c r="AZ154" s="76">
        <f t="shared" si="3"/>
        <v>0</v>
      </c>
      <c r="BA154" s="76">
        <f t="shared" si="3"/>
        <v>2.318559223795498E-2</v>
      </c>
      <c r="BB154" s="38" t="s">
        <v>174</v>
      </c>
      <c r="BC154" s="38" t="s">
        <v>174</v>
      </c>
      <c r="BD154" s="38" t="s">
        <v>417</v>
      </c>
      <c r="BE154" s="38" t="s">
        <v>417</v>
      </c>
      <c r="BF154" s="38" t="s">
        <v>417</v>
      </c>
    </row>
    <row r="155" spans="1:58" ht="12.95" customHeight="1">
      <c r="A155" s="65"/>
      <c r="B155" s="66"/>
      <c r="C155" s="66"/>
      <c r="D155" s="66"/>
      <c r="E155" s="67"/>
      <c r="F155" s="67"/>
      <c r="G155" s="38"/>
      <c r="H155" s="38"/>
      <c r="I155" s="38"/>
      <c r="J155" s="91"/>
      <c r="K155" s="91"/>
      <c r="L155" s="39"/>
      <c r="M155" s="39"/>
      <c r="N155" s="37"/>
      <c r="O155" s="40"/>
      <c r="P155" s="32"/>
      <c r="Q155" s="38"/>
      <c r="R155" s="98">
        <f>R153-(BA153)</f>
        <v>0</v>
      </c>
      <c r="S155" s="98">
        <f>+S153-AM153</f>
        <v>0</v>
      </c>
      <c r="T155" s="37"/>
      <c r="U155" s="37"/>
      <c r="V155" s="37"/>
      <c r="W155" s="41">
        <f>+W153-'31'!$M$34/1000</f>
        <v>0</v>
      </c>
      <c r="X155" s="381"/>
      <c r="Y155" s="77">
        <f>+Y153-SUM(RBP!AG3:AG4)</f>
        <v>0</v>
      </c>
      <c r="Z155" s="41">
        <f>+Z153-'31'!J56/1000</f>
        <v>0</v>
      </c>
      <c r="AA155" s="37"/>
      <c r="AB155" s="37"/>
      <c r="AC155" s="37"/>
      <c r="AD155" s="37"/>
      <c r="AE155" s="43"/>
      <c r="AF155" s="354"/>
      <c r="AG155" s="354"/>
      <c r="AH155" s="354"/>
      <c r="AI155" s="354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96">
        <f>BB153/($Q$153/1440)/2</f>
        <v>1.467741935483871</v>
      </c>
      <c r="BC155" s="96">
        <f>BC153/($Q$153/1440)/2</f>
        <v>1.2419354838709677</v>
      </c>
      <c r="BD155" s="96">
        <f>BD153/($Q$153/1440)</f>
        <v>0</v>
      </c>
      <c r="BE155" s="96">
        <f>BE153/($Q$153/1440)</f>
        <v>3.2258064516129031E-2</v>
      </c>
      <c r="BF155" s="96">
        <f>BF153/($Q$153/1440)</f>
        <v>0</v>
      </c>
    </row>
    <row r="156" spans="1:58">
      <c r="A156" s="78"/>
      <c r="B156" s="79"/>
      <c r="C156" s="79"/>
      <c r="D156" s="79"/>
      <c r="E156" s="80"/>
      <c r="F156" s="80"/>
      <c r="G156" s="81"/>
      <c r="H156" s="81"/>
      <c r="I156" s="81"/>
      <c r="J156" s="95"/>
      <c r="K156" s="95"/>
      <c r="O156" s="82"/>
      <c r="P156" s="83"/>
      <c r="Q156" s="81"/>
      <c r="R156" s="62"/>
      <c r="S156" s="62"/>
      <c r="U156" s="84"/>
      <c r="V156" s="84"/>
      <c r="W156" s="85" t="s">
        <v>121</v>
      </c>
      <c r="X156" s="97">
        <f>W153/U153</f>
        <v>0.97154367345449288</v>
      </c>
      <c r="Y156" s="97"/>
      <c r="Z156" s="62"/>
      <c r="AD156" s="92"/>
      <c r="AE156" s="87"/>
      <c r="AF156" s="88"/>
      <c r="AG156" s="88"/>
      <c r="AH156" s="88"/>
      <c r="AI156" s="88"/>
      <c r="AJ156" s="88"/>
      <c r="AK156" s="88"/>
      <c r="AL156" s="88"/>
      <c r="AM156" s="88"/>
      <c r="AN156" s="86"/>
      <c r="AO156" s="86"/>
      <c r="AP156" s="86"/>
      <c r="AQ156" s="86"/>
      <c r="AR156" s="86"/>
      <c r="AS156" s="88"/>
      <c r="AT156" s="88"/>
      <c r="AU156" s="88"/>
      <c r="AV156" s="88"/>
      <c r="AW156" s="88"/>
      <c r="AX156" s="88"/>
      <c r="AY156" s="88"/>
      <c r="AZ156" s="88"/>
      <c r="BA156" s="86"/>
      <c r="BB156" s="29"/>
      <c r="BC156" s="86"/>
      <c r="BD156" s="86"/>
      <c r="BE156" s="29"/>
      <c r="BF156" s="86"/>
    </row>
    <row r="157" spans="1:58">
      <c r="A157" s="78"/>
      <c r="B157" s="79"/>
      <c r="C157" s="79"/>
      <c r="D157" s="79"/>
      <c r="E157" s="80"/>
      <c r="F157" s="80"/>
      <c r="G157" s="81"/>
      <c r="H157" s="81"/>
      <c r="I157" s="81"/>
      <c r="J157" s="95"/>
      <c r="K157" s="95"/>
      <c r="O157" s="82"/>
      <c r="P157" s="83"/>
      <c r="Q157" s="81"/>
      <c r="R157" s="62"/>
      <c r="S157" s="62"/>
      <c r="U157" s="84"/>
      <c r="V157" s="84"/>
      <c r="W157" s="85"/>
      <c r="X157" s="86"/>
      <c r="Y157" s="86"/>
      <c r="Z157" s="62"/>
      <c r="AA157" s="102"/>
      <c r="AB157" s="102"/>
      <c r="AD157" s="92"/>
      <c r="AE157" s="87"/>
      <c r="AF157" s="88"/>
      <c r="AG157" s="88"/>
      <c r="AH157" s="88"/>
      <c r="AI157" s="88"/>
      <c r="AJ157" s="88"/>
      <c r="AK157" s="88"/>
      <c r="AL157" s="88"/>
      <c r="AM157" s="88"/>
      <c r="AN157" s="88"/>
      <c r="AO157" s="86"/>
      <c r="AP157" s="86"/>
      <c r="AQ157" s="86"/>
      <c r="AR157" s="88"/>
      <c r="AS157" s="86"/>
      <c r="AT157" s="86"/>
      <c r="AU157" s="86"/>
      <c r="AV157" s="86"/>
      <c r="AW157" s="86"/>
      <c r="AX157" s="86"/>
      <c r="AY157" s="86"/>
      <c r="AZ157" s="86"/>
      <c r="BA157" s="86"/>
      <c r="BB157" s="29"/>
      <c r="BC157" s="86"/>
      <c r="BD157" s="86"/>
      <c r="BE157" s="29"/>
      <c r="BF157" s="86"/>
    </row>
    <row r="158" spans="1:58">
      <c r="A158" s="78"/>
      <c r="B158" s="79"/>
      <c r="C158" s="79"/>
      <c r="D158" s="79"/>
      <c r="E158" s="80"/>
      <c r="F158" s="80"/>
      <c r="G158" s="81"/>
      <c r="H158" s="81"/>
      <c r="I158" s="81"/>
      <c r="J158" s="95"/>
      <c r="K158" s="95"/>
      <c r="O158" s="82"/>
      <c r="P158" s="83"/>
      <c r="Q158" s="81"/>
      <c r="R158" s="365"/>
      <c r="S158" s="62"/>
      <c r="U158" s="84"/>
      <c r="V158" s="84"/>
      <c r="W158" s="85" t="s">
        <v>144</v>
      </c>
      <c r="X158" s="354">
        <f>+W153+Y153</f>
        <v>1964.4730000000002</v>
      </c>
      <c r="Y158" s="86"/>
      <c r="Z158" s="62"/>
      <c r="AD158" s="92"/>
      <c r="AE158" s="87"/>
      <c r="AF158" s="92"/>
      <c r="AG158" s="92"/>
      <c r="AH158" s="92"/>
      <c r="AI158" s="92"/>
      <c r="AJ158" s="86"/>
      <c r="AK158" s="86"/>
      <c r="AL158" s="86"/>
      <c r="AM158" s="88"/>
      <c r="AN158" s="86"/>
      <c r="AO158" s="86"/>
      <c r="AP158" s="86"/>
      <c r="AQ158" s="86"/>
      <c r="AR158" s="88"/>
      <c r="AS158" s="86"/>
      <c r="AT158" s="86"/>
      <c r="AU158" s="86"/>
      <c r="AV158" s="86"/>
      <c r="AW158" s="86"/>
      <c r="AX158" s="86"/>
      <c r="AY158" s="86"/>
      <c r="AZ158" s="86"/>
      <c r="BA158" s="86"/>
      <c r="BB158" s="29"/>
      <c r="BC158" s="86"/>
      <c r="BD158" s="86"/>
      <c r="BE158" s="29"/>
      <c r="BF158" s="86"/>
    </row>
    <row r="159" spans="1:58">
      <c r="A159" s="78"/>
      <c r="C159" s="79" t="s">
        <v>235</v>
      </c>
      <c r="D159" s="79"/>
      <c r="E159" s="80"/>
      <c r="F159" s="80"/>
      <c r="G159" s="81"/>
      <c r="H159" s="81"/>
      <c r="I159" s="81"/>
      <c r="J159" s="95"/>
      <c r="K159" s="95"/>
      <c r="O159" s="82"/>
      <c r="P159" s="83"/>
      <c r="Q159" s="81"/>
      <c r="R159" s="365"/>
      <c r="S159" s="62"/>
      <c r="U159" s="84"/>
      <c r="V159" s="376"/>
      <c r="W159" s="377"/>
      <c r="X159" s="370"/>
      <c r="Y159" s="377"/>
      <c r="Z159" s="370"/>
      <c r="AD159" s="363"/>
      <c r="AE159" s="87"/>
      <c r="AF159" s="363"/>
      <c r="AG159" s="363"/>
      <c r="AH159" s="363"/>
      <c r="AI159" s="363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29"/>
      <c r="BC159" s="86"/>
      <c r="BD159" s="86"/>
      <c r="BE159" s="29"/>
      <c r="BF159" s="86"/>
    </row>
    <row r="160" spans="1:58">
      <c r="A160" s="78"/>
      <c r="B160" s="79"/>
      <c r="C160" s="79" t="s">
        <v>238</v>
      </c>
      <c r="D160" s="79"/>
      <c r="E160" s="80"/>
      <c r="F160" s="80"/>
      <c r="G160" s="81"/>
      <c r="H160" s="81"/>
      <c r="I160" s="81"/>
      <c r="J160" s="95"/>
      <c r="K160" s="95"/>
      <c r="O160" s="82"/>
      <c r="P160" s="83"/>
      <c r="Q160" s="81"/>
      <c r="R160" s="365"/>
      <c r="S160" s="62"/>
      <c r="V160" s="368"/>
      <c r="W160" s="369" t="s">
        <v>233</v>
      </c>
      <c r="X160" s="368"/>
      <c r="Y160" s="368"/>
      <c r="Z160" s="370"/>
      <c r="AE160" s="87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29"/>
      <c r="BE160" s="29"/>
    </row>
    <row r="161" spans="1:57">
      <c r="A161" s="78"/>
      <c r="B161" s="79"/>
      <c r="C161" s="79"/>
      <c r="D161" s="79"/>
      <c r="E161" s="80"/>
      <c r="F161" s="80"/>
      <c r="G161" s="81"/>
      <c r="H161" s="81"/>
      <c r="I161" s="81"/>
      <c r="J161" s="95"/>
      <c r="K161" s="95"/>
      <c r="O161" s="82"/>
      <c r="P161" s="83"/>
      <c r="Q161" s="81"/>
      <c r="R161" s="365"/>
      <c r="S161" s="62"/>
      <c r="V161" s="368"/>
      <c r="W161" s="371" t="s">
        <v>331</v>
      </c>
      <c r="X161" s="375">
        <f>Y154</f>
        <v>2.4488850323917811E-3</v>
      </c>
      <c r="Y161" s="372"/>
      <c r="Z161" s="370"/>
      <c r="AE161" s="87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29"/>
      <c r="BE161" s="29"/>
    </row>
    <row r="162" spans="1:57">
      <c r="R162" s="102"/>
      <c r="V162" s="368"/>
      <c r="W162" s="371" t="s">
        <v>154</v>
      </c>
      <c r="X162" s="374">
        <f>Z154</f>
        <v>2.1323041379875295E-2</v>
      </c>
      <c r="Y162" s="373"/>
      <c r="Z162" s="624"/>
    </row>
    <row r="163" spans="1:57">
      <c r="R163" s="102"/>
      <c r="V163" s="368"/>
      <c r="W163" s="371" t="s">
        <v>155</v>
      </c>
      <c r="X163" s="374">
        <f>AC154</f>
        <v>2.6690393406998834E-2</v>
      </c>
      <c r="Y163" s="374"/>
      <c r="Z163" s="624"/>
    </row>
    <row r="164" spans="1:57">
      <c r="R164" s="102"/>
      <c r="V164" s="368"/>
      <c r="W164" s="371" t="s">
        <v>156</v>
      </c>
      <c r="X164" s="374">
        <f>AA154</f>
        <v>2.2646435966363668E-3</v>
      </c>
      <c r="Y164" s="373"/>
      <c r="Z164" s="624"/>
    </row>
    <row r="165" spans="1:57">
      <c r="V165" s="368"/>
      <c r="W165" s="371" t="s">
        <v>172</v>
      </c>
      <c r="X165" s="374">
        <f>AB154</f>
        <v>-2.2811634349331812E-3</v>
      </c>
      <c r="Y165" s="373" t="s">
        <v>170</v>
      </c>
      <c r="Z165" s="624"/>
    </row>
    <row r="166" spans="1:57">
      <c r="V166" s="368"/>
      <c r="W166" s="371" t="s">
        <v>208</v>
      </c>
      <c r="X166" s="374">
        <f>AF154</f>
        <v>1.1651404795008721E-2</v>
      </c>
      <c r="Y166" s="373"/>
      <c r="Z166" s="624"/>
    </row>
    <row r="167" spans="1:57">
      <c r="V167" s="368"/>
      <c r="W167" s="371" t="s">
        <v>209</v>
      </c>
      <c r="X167" s="374">
        <f>+AG154</f>
        <v>2.2740166300117626E-3</v>
      </c>
      <c r="Y167" s="373"/>
      <c r="Z167" s="624"/>
    </row>
    <row r="168" spans="1:57">
      <c r="V168" s="368"/>
      <c r="W168" s="371" t="s">
        <v>210</v>
      </c>
      <c r="X168" s="374">
        <f>+AH154</f>
        <v>1.575401211719489E-2</v>
      </c>
      <c r="Y168" s="373"/>
      <c r="Z168" s="624"/>
    </row>
    <row r="169" spans="1:57">
      <c r="V169" s="368"/>
      <c r="W169" s="371" t="s">
        <v>211</v>
      </c>
      <c r="X169" s="374">
        <f>+AI154</f>
        <v>3.0945380944489959E-3</v>
      </c>
      <c r="Y169" s="373"/>
      <c r="Z169" s="624"/>
    </row>
    <row r="170" spans="1:57">
      <c r="V170" s="368"/>
      <c r="W170" s="371" t="s">
        <v>163</v>
      </c>
      <c r="X170" s="374">
        <f>+AJ154</f>
        <v>1.1487300502121276E-3</v>
      </c>
      <c r="Y170" s="373"/>
      <c r="Z170" s="624"/>
    </row>
    <row r="171" spans="1:57">
      <c r="V171" s="368"/>
      <c r="W171" s="371" t="s">
        <v>165</v>
      </c>
      <c r="X171" s="374">
        <f>+AK154</f>
        <v>2.1099123371243157E-3</v>
      </c>
      <c r="Y171" s="373"/>
      <c r="Z171" s="624"/>
    </row>
    <row r="172" spans="1:57">
      <c r="V172" s="368"/>
      <c r="W172" s="371" t="s">
        <v>164</v>
      </c>
      <c r="X172" s="374">
        <f>+AL154</f>
        <v>0</v>
      </c>
      <c r="Y172" s="373"/>
      <c r="Z172" s="624"/>
    </row>
    <row r="173" spans="1:57">
      <c r="V173" s="368"/>
      <c r="W173" s="371" t="s">
        <v>157</v>
      </c>
      <c r="X173" s="374">
        <f>+AN154</f>
        <v>0</v>
      </c>
      <c r="Y173" s="373"/>
      <c r="Z173" s="624"/>
    </row>
    <row r="174" spans="1:57">
      <c r="V174" s="368"/>
      <c r="W174" s="371" t="s">
        <v>167</v>
      </c>
      <c r="X174" s="374">
        <f>+AO154</f>
        <v>0</v>
      </c>
      <c r="Y174" s="373"/>
      <c r="Z174" s="624"/>
    </row>
    <row r="175" spans="1:57">
      <c r="V175" s="368"/>
      <c r="W175" s="371" t="s">
        <v>158</v>
      </c>
      <c r="X175" s="374">
        <f>+AP154</f>
        <v>2.8366599199115797E-3</v>
      </c>
      <c r="Y175" s="373"/>
      <c r="Z175" s="624"/>
    </row>
    <row r="176" spans="1:57">
      <c r="V176" s="368"/>
      <c r="W176" s="371" t="s">
        <v>166</v>
      </c>
      <c r="X176" s="374">
        <f>+AQ154</f>
        <v>0</v>
      </c>
      <c r="Y176" s="373"/>
      <c r="Z176" s="624"/>
    </row>
    <row r="177" spans="22:26">
      <c r="V177" s="368"/>
      <c r="W177" s="371" t="s">
        <v>169</v>
      </c>
      <c r="X177" s="374">
        <f>+AS154</f>
        <v>1.8871993682056377E-2</v>
      </c>
      <c r="Y177" s="373"/>
      <c r="Z177" s="624"/>
    </row>
    <row r="178" spans="22:26">
      <c r="V178" s="368"/>
      <c r="W178" s="371" t="s">
        <v>332</v>
      </c>
      <c r="X178" s="374">
        <f>+AT154</f>
        <v>1.4066082247495436E-3</v>
      </c>
      <c r="Y178" s="373"/>
      <c r="Z178" s="624"/>
    </row>
    <row r="179" spans="22:26">
      <c r="V179" s="368"/>
      <c r="W179" s="371" t="s">
        <v>250</v>
      </c>
      <c r="X179" s="374">
        <f>+AU154</f>
        <v>0</v>
      </c>
      <c r="Y179" s="373"/>
      <c r="Z179" s="624"/>
    </row>
    <row r="180" spans="22:26">
      <c r="V180" s="368"/>
      <c r="W180" s="371" t="s">
        <v>338</v>
      </c>
      <c r="X180" s="374">
        <f>AV154</f>
        <v>0</v>
      </c>
      <c r="Y180" s="373"/>
      <c r="Z180" s="624"/>
    </row>
    <row r="181" spans="22:26">
      <c r="V181" s="368"/>
      <c r="W181" s="371" t="s">
        <v>339</v>
      </c>
      <c r="X181" s="374">
        <f>AW154</f>
        <v>0</v>
      </c>
      <c r="Y181" s="373"/>
      <c r="Z181" s="624"/>
    </row>
    <row r="182" spans="22:26">
      <c r="V182" s="368"/>
      <c r="W182" s="368" t="s">
        <v>168</v>
      </c>
      <c r="X182" s="374">
        <f>AX154+AY154</f>
        <v>1.4769386359870208E-3</v>
      </c>
      <c r="Y182" s="374"/>
      <c r="Z182" s="624"/>
    </row>
    <row r="183" spans="22:26">
      <c r="V183" s="368"/>
      <c r="W183" s="368" t="s">
        <v>337</v>
      </c>
      <c r="X183" s="374">
        <f>AZ154</f>
        <v>0</v>
      </c>
      <c r="Y183" s="368"/>
      <c r="Z183" s="624"/>
    </row>
    <row r="184" spans="22:26">
      <c r="V184" s="368"/>
      <c r="W184" s="368"/>
      <c r="X184" s="530">
        <f>SUM(X161:X183)</f>
        <v>0.11107061446767444</v>
      </c>
      <c r="Y184" s="368"/>
      <c r="Z184" s="624"/>
    </row>
    <row r="186" spans="22:26">
      <c r="X186" s="102">
        <f>+X184+X153</f>
        <v>1.0000000000000002</v>
      </c>
    </row>
  </sheetData>
  <mergeCells count="50">
    <mergeCell ref="BD3:BD5"/>
    <mergeCell ref="BE3:BE5"/>
    <mergeCell ref="BF3:BF5"/>
    <mergeCell ref="F3:F5"/>
    <mergeCell ref="Y3:Y5"/>
    <mergeCell ref="AA3:AA5"/>
    <mergeCell ref="AB3:AB5"/>
    <mergeCell ref="L3:N4"/>
    <mergeCell ref="O3:O5"/>
    <mergeCell ref="Q3:Q5"/>
    <mergeCell ref="R3:R5"/>
    <mergeCell ref="AM3:AM5"/>
    <mergeCell ref="BA3:BA5"/>
    <mergeCell ref="AF4:AH4"/>
    <mergeCell ref="AI4:AI5"/>
    <mergeCell ref="G3:K4"/>
    <mergeCell ref="C3:C5"/>
    <mergeCell ref="A3:A5"/>
    <mergeCell ref="B3:B5"/>
    <mergeCell ref="D3:D5"/>
    <mergeCell ref="E3:E5"/>
    <mergeCell ref="O154:P154"/>
    <mergeCell ref="AC3:AC5"/>
    <mergeCell ref="AE3:AE5"/>
    <mergeCell ref="AD3:AD5"/>
    <mergeCell ref="AF3:AL3"/>
    <mergeCell ref="AJ4:AJ5"/>
    <mergeCell ref="V3:V5"/>
    <mergeCell ref="AK4:AK5"/>
    <mergeCell ref="AL4:AL5"/>
    <mergeCell ref="U3:U5"/>
    <mergeCell ref="W3:W5"/>
    <mergeCell ref="X3:X5"/>
    <mergeCell ref="Z3:Z5"/>
    <mergeCell ref="S3:S5"/>
    <mergeCell ref="T3:T5"/>
    <mergeCell ref="P3:P5"/>
    <mergeCell ref="BB3:BB5"/>
    <mergeCell ref="BC3:BC5"/>
    <mergeCell ref="AN4:AN5"/>
    <mergeCell ref="AO4:AO5"/>
    <mergeCell ref="AP4:AP5"/>
    <mergeCell ref="AR4:AR5"/>
    <mergeCell ref="AN3:AR3"/>
    <mergeCell ref="AS3:AS5"/>
    <mergeCell ref="AQ4:AQ5"/>
    <mergeCell ref="AT3:AU4"/>
    <mergeCell ref="AV3:AW3"/>
    <mergeCell ref="AX3:AY3"/>
    <mergeCell ref="AZ3:AZ5"/>
  </mergeCells>
  <phoneticPr fontId="33" type="noConversion"/>
  <conditionalFormatting sqref="B1:B79 B81:B83 B89:B91 B93 B96 B100 B104 B112 B116 B120:B121 B124:B125 B128:B129 B138 B147:B1048576">
    <cfRule type="containsText" dxfId="43" priority="8657" operator="containsText" text="Sanitary Napkin">
      <formula>NOT(ISERROR(SEARCH("Sanitary Napkin",B1)))</formula>
    </cfRule>
  </conditionalFormatting>
  <conditionalFormatting sqref="B11:B12 B57:C58">
    <cfRule type="cellIs" dxfId="42" priority="14165" stopIfTrue="1" operator="equal">
      <formula>"Napkin Hs"</formula>
    </cfRule>
  </conditionalFormatting>
  <conditionalFormatting sqref="B15:C15 C57:C58">
    <cfRule type="cellIs" dxfId="41" priority="14303" stopIfTrue="1" operator="equal">
      <formula>"Napkin Hs"</formula>
    </cfRule>
    <cfRule type="cellIs" dxfId="40" priority="18207" stopIfTrue="1" operator="equal">
      <formula>"Napkin Hs"</formula>
    </cfRule>
  </conditionalFormatting>
  <conditionalFormatting sqref="B42:C43 B44">
    <cfRule type="cellIs" dxfId="39" priority="13507" stopIfTrue="1" operator="equal">
      <formula>"Napkin Hs"</formula>
    </cfRule>
  </conditionalFormatting>
  <conditionalFormatting sqref="B59:C59">
    <cfRule type="cellIs" dxfId="38" priority="18521" stopIfTrue="1" operator="equal">
      <formula>"Napkin Hs"</formula>
    </cfRule>
  </conditionalFormatting>
  <conditionalFormatting sqref="C9 C34 C39 C112 C128:C129 C138 C147:C151">
    <cfRule type="cellIs" dxfId="37" priority="18725" stopIfTrue="1" operator="equal">
      <formula>"Napkin Hs"</formula>
    </cfRule>
  </conditionalFormatting>
  <conditionalFormatting sqref="C59">
    <cfRule type="cellIs" dxfId="36" priority="17405" stopIfTrue="1" operator="equal">
      <formula>"Napkin Hs"</formula>
    </cfRule>
    <cfRule type="cellIs" dxfId="35" priority="18519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91"/>
  <sheetViews>
    <sheetView zoomScale="90" zoomScaleNormal="90" workbookViewId="0">
      <pane xSplit="6" ySplit="6" topLeftCell="Q143" activePane="bottomRight" state="frozen"/>
      <selection pane="topRight" activeCell="F1" sqref="F1"/>
      <selection pane="bottomLeft" activeCell="A7" sqref="A7"/>
      <selection pane="bottomRight" activeCell="X153" sqref="X153"/>
    </sheetView>
  </sheetViews>
  <sheetFormatPr defaultColWidth="10.28515625" defaultRowHeight="12"/>
  <cols>
    <col min="1" max="1" width="12.28515625" style="33" customWidth="1"/>
    <col min="2" max="3" width="14.140625" style="33" customWidth="1"/>
    <col min="4" max="4" width="10.28515625" style="33" customWidth="1"/>
    <col min="5" max="5" width="7.5703125" style="33" bestFit="1" customWidth="1"/>
    <col min="6" max="6" width="7" style="63" customWidth="1"/>
    <col min="7" max="9" width="10.28515625" style="33" customWidth="1"/>
    <col min="10" max="11" width="10.28515625" style="92" customWidth="1"/>
    <col min="12" max="13" width="12.7109375" style="64" customWidth="1"/>
    <col min="14" max="15" width="10.28515625" style="33" customWidth="1"/>
    <col min="16" max="16" width="16.85546875" style="33" bestFit="1" customWidth="1"/>
    <col min="17" max="17" width="12.7109375" style="352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16384" width="10.28515625" style="33"/>
  </cols>
  <sheetData>
    <row r="1" spans="1:58" s="24" customFormat="1" ht="15.75">
      <c r="A1" s="23" t="s">
        <v>427</v>
      </c>
      <c r="G1" s="25"/>
      <c r="H1" s="25"/>
      <c r="I1" s="25"/>
      <c r="J1" s="89"/>
      <c r="K1" s="89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3"/>
      <c r="G2" s="25"/>
      <c r="H2" s="25"/>
      <c r="I2" s="25"/>
      <c r="J2" s="89"/>
      <c r="K2" s="89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876" t="s">
        <v>8</v>
      </c>
      <c r="B3" s="876" t="s">
        <v>9</v>
      </c>
      <c r="C3" s="876" t="s">
        <v>203</v>
      </c>
      <c r="D3" s="876" t="s">
        <v>93</v>
      </c>
      <c r="E3" s="876" t="s">
        <v>94</v>
      </c>
      <c r="F3" s="876" t="s">
        <v>95</v>
      </c>
      <c r="G3" s="929" t="s">
        <v>96</v>
      </c>
      <c r="H3" s="930"/>
      <c r="I3" s="930"/>
      <c r="J3" s="930"/>
      <c r="K3" s="931"/>
      <c r="L3" s="915" t="s">
        <v>97</v>
      </c>
      <c r="M3" s="916"/>
      <c r="N3" s="917"/>
      <c r="O3" s="921" t="s">
        <v>98</v>
      </c>
      <c r="P3" s="878" t="s">
        <v>110</v>
      </c>
      <c r="Q3" s="921" t="s">
        <v>99</v>
      </c>
      <c r="R3" s="880" t="s">
        <v>100</v>
      </c>
      <c r="S3" s="880" t="s">
        <v>101</v>
      </c>
      <c r="T3" s="876" t="s">
        <v>160</v>
      </c>
      <c r="U3" s="876" t="s">
        <v>159</v>
      </c>
      <c r="V3" s="876" t="s">
        <v>161</v>
      </c>
      <c r="W3" s="880" t="s">
        <v>145</v>
      </c>
      <c r="X3" s="905" t="s">
        <v>103</v>
      </c>
      <c r="Y3" s="905" t="s">
        <v>331</v>
      </c>
      <c r="Z3" s="880" t="s">
        <v>104</v>
      </c>
      <c r="AA3" s="876" t="s">
        <v>162</v>
      </c>
      <c r="AB3" s="876" t="s">
        <v>173</v>
      </c>
      <c r="AC3" s="876" t="s">
        <v>171</v>
      </c>
      <c r="AD3" s="876" t="s">
        <v>128</v>
      </c>
      <c r="AE3" s="898" t="s">
        <v>129</v>
      </c>
      <c r="AF3" s="901" t="s">
        <v>130</v>
      </c>
      <c r="AG3" s="901"/>
      <c r="AH3" s="901"/>
      <c r="AI3" s="901"/>
      <c r="AJ3" s="901"/>
      <c r="AK3" s="901"/>
      <c r="AL3" s="901"/>
      <c r="AM3" s="923" t="s">
        <v>131</v>
      </c>
      <c r="AN3" s="881" t="s">
        <v>105</v>
      </c>
      <c r="AO3" s="881"/>
      <c r="AP3" s="881"/>
      <c r="AQ3" s="881"/>
      <c r="AR3" s="881"/>
      <c r="AS3" s="882" t="s">
        <v>106</v>
      </c>
      <c r="AT3" s="884" t="s">
        <v>251</v>
      </c>
      <c r="AU3" s="885"/>
      <c r="AV3" s="888" t="s">
        <v>132</v>
      </c>
      <c r="AW3" s="889"/>
      <c r="AX3" s="890" t="s">
        <v>132</v>
      </c>
      <c r="AY3" s="891"/>
      <c r="AZ3" s="892" t="s">
        <v>337</v>
      </c>
      <c r="BA3" s="879" t="s">
        <v>107</v>
      </c>
      <c r="BB3" s="913" t="s">
        <v>108</v>
      </c>
      <c r="BC3" s="913" t="s">
        <v>109</v>
      </c>
      <c r="BD3" s="907" t="s">
        <v>414</v>
      </c>
      <c r="BE3" s="910" t="s">
        <v>415</v>
      </c>
      <c r="BF3" s="876" t="s">
        <v>416</v>
      </c>
    </row>
    <row r="4" spans="1:58" ht="12" customHeight="1">
      <c r="A4" s="897"/>
      <c r="B4" s="897"/>
      <c r="C4" s="897"/>
      <c r="D4" s="897"/>
      <c r="E4" s="897"/>
      <c r="F4" s="897"/>
      <c r="G4" s="932"/>
      <c r="H4" s="933"/>
      <c r="I4" s="933"/>
      <c r="J4" s="933"/>
      <c r="K4" s="934"/>
      <c r="L4" s="918"/>
      <c r="M4" s="919"/>
      <c r="N4" s="920"/>
      <c r="O4" s="922"/>
      <c r="P4" s="902"/>
      <c r="Q4" s="922"/>
      <c r="R4" s="904"/>
      <c r="S4" s="904"/>
      <c r="T4" s="897"/>
      <c r="U4" s="897"/>
      <c r="V4" s="897"/>
      <c r="W4" s="904"/>
      <c r="X4" s="906"/>
      <c r="Y4" s="906"/>
      <c r="Z4" s="904"/>
      <c r="AA4" s="897"/>
      <c r="AB4" s="897"/>
      <c r="AC4" s="897"/>
      <c r="AD4" s="897"/>
      <c r="AE4" s="899"/>
      <c r="AF4" s="926" t="s">
        <v>133</v>
      </c>
      <c r="AG4" s="927"/>
      <c r="AH4" s="928"/>
      <c r="AI4" s="902" t="s">
        <v>204</v>
      </c>
      <c r="AJ4" s="902" t="s">
        <v>15</v>
      </c>
      <c r="AK4" s="902" t="s">
        <v>134</v>
      </c>
      <c r="AL4" s="902" t="s">
        <v>18</v>
      </c>
      <c r="AM4" s="924"/>
      <c r="AN4" s="877" t="s">
        <v>111</v>
      </c>
      <c r="AO4" s="877" t="s">
        <v>15</v>
      </c>
      <c r="AP4" s="877" t="s">
        <v>112</v>
      </c>
      <c r="AQ4" s="877" t="s">
        <v>18</v>
      </c>
      <c r="AR4" s="879" t="s">
        <v>113</v>
      </c>
      <c r="AS4" s="882"/>
      <c r="AT4" s="886"/>
      <c r="AU4" s="887"/>
      <c r="AV4" s="526" t="s">
        <v>6</v>
      </c>
      <c r="AW4" s="526" t="s">
        <v>135</v>
      </c>
      <c r="AX4" s="527" t="s">
        <v>6</v>
      </c>
      <c r="AY4" s="528" t="s">
        <v>135</v>
      </c>
      <c r="AZ4" s="893"/>
      <c r="BA4" s="879"/>
      <c r="BB4" s="897"/>
      <c r="BC4" s="897"/>
      <c r="BD4" s="908"/>
      <c r="BE4" s="911"/>
      <c r="BF4" s="897"/>
    </row>
    <row r="5" spans="1:58" s="36" customFormat="1" ht="48">
      <c r="A5" s="897"/>
      <c r="B5" s="897"/>
      <c r="C5" s="900"/>
      <c r="D5" s="897"/>
      <c r="E5" s="897"/>
      <c r="F5" s="897"/>
      <c r="G5" s="31" t="s">
        <v>114</v>
      </c>
      <c r="H5" s="30" t="s">
        <v>115</v>
      </c>
      <c r="I5" s="34" t="s">
        <v>116</v>
      </c>
      <c r="J5" s="90" t="s">
        <v>117</v>
      </c>
      <c r="K5" s="90" t="s">
        <v>102</v>
      </c>
      <c r="L5" s="35" t="s">
        <v>118</v>
      </c>
      <c r="M5" s="35" t="s">
        <v>119</v>
      </c>
      <c r="N5" s="30" t="s">
        <v>120</v>
      </c>
      <c r="O5" s="922"/>
      <c r="P5" s="903"/>
      <c r="Q5" s="922"/>
      <c r="R5" s="904"/>
      <c r="S5" s="904"/>
      <c r="T5" s="897"/>
      <c r="U5" s="897"/>
      <c r="V5" s="897"/>
      <c r="W5" s="904"/>
      <c r="X5" s="906"/>
      <c r="Y5" s="914"/>
      <c r="Z5" s="904"/>
      <c r="AA5" s="897"/>
      <c r="AB5" s="900"/>
      <c r="AC5" s="897"/>
      <c r="AD5" s="900"/>
      <c r="AE5" s="899"/>
      <c r="AF5" s="460" t="s">
        <v>205</v>
      </c>
      <c r="AG5" s="459" t="s">
        <v>206</v>
      </c>
      <c r="AH5" s="459" t="s">
        <v>207</v>
      </c>
      <c r="AI5" s="903"/>
      <c r="AJ5" s="903"/>
      <c r="AK5" s="903"/>
      <c r="AL5" s="903"/>
      <c r="AM5" s="925"/>
      <c r="AN5" s="878"/>
      <c r="AO5" s="878"/>
      <c r="AP5" s="878"/>
      <c r="AQ5" s="878"/>
      <c r="AR5" s="880"/>
      <c r="AS5" s="883"/>
      <c r="AT5" s="517" t="s">
        <v>329</v>
      </c>
      <c r="AU5" s="517" t="s">
        <v>330</v>
      </c>
      <c r="AV5" s="529" t="s">
        <v>328</v>
      </c>
      <c r="AW5" s="529" t="s">
        <v>328</v>
      </c>
      <c r="AX5" s="527" t="s">
        <v>17</v>
      </c>
      <c r="AY5" s="527" t="s">
        <v>17</v>
      </c>
      <c r="AZ5" s="894"/>
      <c r="BA5" s="880"/>
      <c r="BB5" s="900"/>
      <c r="BC5" s="900"/>
      <c r="BD5" s="909"/>
      <c r="BE5" s="912"/>
      <c r="BF5" s="900"/>
    </row>
    <row r="6" spans="1:58" ht="12.95" customHeight="1">
      <c r="A6" s="346">
        <f>+Report1!A9</f>
        <v>45992</v>
      </c>
      <c r="B6" s="45" t="s">
        <v>7</v>
      </c>
      <c r="C6" s="452">
        <f>(M6*E6*O6*Q6)/100000000</f>
        <v>3.0573363599999999</v>
      </c>
      <c r="D6" s="45" t="s">
        <v>410</v>
      </c>
      <c r="E6" s="46">
        <v>13</v>
      </c>
      <c r="F6" s="46">
        <v>1</v>
      </c>
      <c r="G6" s="465">
        <v>1700</v>
      </c>
      <c r="H6" s="48">
        <v>0.24</v>
      </c>
      <c r="I6" s="49">
        <v>0.88</v>
      </c>
      <c r="J6" s="91">
        <f>E6*G6*(1-H6)*1440/1000000*2.77</f>
        <v>66.995884799999999</v>
      </c>
      <c r="K6" s="91">
        <f>(IF(G6&lt;L6,L6,G6)*(1-IF(H6&lt;N6,H6,N6))*E6*O6*Q6)/100000000</f>
        <v>3.3104916000000002</v>
      </c>
      <c r="L6" s="39">
        <v>1570</v>
      </c>
      <c r="M6" s="39">
        <f>+L6-L6*0.24</f>
        <v>1193.2</v>
      </c>
      <c r="N6" s="50">
        <f>1-(M6/L6)</f>
        <v>0.24</v>
      </c>
      <c r="O6" s="51">
        <f>+'Trim Rwd'!H4</f>
        <v>270</v>
      </c>
      <c r="P6" s="52">
        <f>O6*(Q6-R6-S6)</f>
        <v>18360</v>
      </c>
      <c r="Q6" s="51">
        <v>73</v>
      </c>
      <c r="R6" s="422">
        <v>0</v>
      </c>
      <c r="S6" s="422">
        <v>5</v>
      </c>
      <c r="T6" s="41">
        <f>E6*M6*O6*Q6/100000000</f>
        <v>3.0573363599999999</v>
      </c>
      <c r="U6" s="41">
        <f>E6*M6*O6*(Q6-R6-S6)/100000000</f>
        <v>2.84792976</v>
      </c>
      <c r="V6" s="41">
        <f>E6*G6*(1-N6)*O6/100*(R6+S6)/1000000</f>
        <v>0.226746</v>
      </c>
      <c r="W6" s="41">
        <f>+'1'!K7/1000</f>
        <v>3.7</v>
      </c>
      <c r="X6" s="419">
        <f>SUM(W6:W9)/SUM(K6:K9)</f>
        <v>0.57448452274845652</v>
      </c>
      <c r="Y6" s="223">
        <v>0</v>
      </c>
      <c r="Z6" s="41">
        <f>+'1'!D7/1000</f>
        <v>0.54800000000000004</v>
      </c>
      <c r="AA6" s="53">
        <f>SUM(U6:U9)-SUM(W6:W9)-SUM(Z6:Z9)-SUM(Y6:Y9)</f>
        <v>11.011636281000008</v>
      </c>
      <c r="AB6" s="53">
        <f>(SUM(K6:K9)-SUM(W6:W9)-SUM(Y6:Y9)-SUM(Z6:Z9)-SUM(AC6:AC9)-SUM(V6:V9))-AA6</f>
        <v>-0.76064309960000465</v>
      </c>
      <c r="AC6" s="41">
        <f>K6-T6</f>
        <v>0.25315524000000034</v>
      </c>
      <c r="AD6" s="41">
        <f>+AM6+BA6</f>
        <v>90</v>
      </c>
      <c r="AE6" s="241" t="s">
        <v>456</v>
      </c>
      <c r="AF6" s="41">
        <v>90</v>
      </c>
      <c r="AG6" s="41"/>
      <c r="AH6" s="41"/>
      <c r="AI6" s="461"/>
      <c r="AJ6" s="41"/>
      <c r="AK6" s="41"/>
      <c r="AL6" s="41"/>
      <c r="AM6" s="41">
        <f>SUM(AF6:AL6)+AT6+AV6+AX6</f>
        <v>90</v>
      </c>
      <c r="AN6" s="41"/>
      <c r="AO6" s="41"/>
      <c r="AP6" s="41"/>
      <c r="AQ6" s="41"/>
      <c r="AR6" s="41">
        <f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>+AR6+AS6+AU6+AW6+AY6+AZ6</f>
        <v>0</v>
      </c>
      <c r="BB6" s="37">
        <v>18</v>
      </c>
      <c r="BC6" s="55"/>
      <c r="BD6" s="55"/>
      <c r="BE6" s="37"/>
      <c r="BF6" s="55"/>
    </row>
    <row r="7" spans="1:58" ht="12.95" customHeight="1">
      <c r="A7" s="346"/>
      <c r="B7" s="45" t="s">
        <v>234</v>
      </c>
      <c r="C7" s="452">
        <f>(M7*E7*O7*Q7)/100000000</f>
        <v>59.513030797000006</v>
      </c>
      <c r="D7" s="45" t="s">
        <v>410</v>
      </c>
      <c r="E7" s="46">
        <v>15.5</v>
      </c>
      <c r="F7" s="46">
        <v>1</v>
      </c>
      <c r="G7" s="465">
        <v>1210</v>
      </c>
      <c r="H7" s="48">
        <v>0</v>
      </c>
      <c r="I7" s="49">
        <v>0.88</v>
      </c>
      <c r="J7" s="91">
        <f>E7*G7*(1-H7)*1440/1000000*2.77</f>
        <v>74.809944000000002</v>
      </c>
      <c r="K7" s="91">
        <f>(IF(G7&lt;L7,L7,G7)*(1-IF(H7&lt;N7,H7,N7))*E7*O7*Q7)/100000000</f>
        <v>65.694263800000002</v>
      </c>
      <c r="L7" s="39">
        <v>1100</v>
      </c>
      <c r="M7" s="39">
        <f>+L7-L7*0.0035</f>
        <v>1096.1500000000001</v>
      </c>
      <c r="N7" s="50">
        <f>1-(M7/L7)</f>
        <v>3.4999999999999476E-3</v>
      </c>
      <c r="O7" s="51">
        <f>+'Trim Rwd'!H5</f>
        <v>268</v>
      </c>
      <c r="P7" s="52">
        <f>O7*(Q7-R7-S7)</f>
        <v>307396</v>
      </c>
      <c r="Q7" s="51">
        <v>1307</v>
      </c>
      <c r="R7" s="422">
        <v>0</v>
      </c>
      <c r="S7" s="422">
        <v>160</v>
      </c>
      <c r="T7" s="41">
        <f>E7*M7*O7*Q7/100000000</f>
        <v>59.513030797000006</v>
      </c>
      <c r="U7" s="41">
        <f>E7*M7*O7*(Q7-R7-S7)/100000000</f>
        <v>52.22757943700001</v>
      </c>
      <c r="V7" s="41">
        <f>E7*G7*(1-N7)*O7/100*(R7+S7)/1000000</f>
        <v>8.0139964960000007</v>
      </c>
      <c r="W7" s="41">
        <f>+'1'!K8/1000</f>
        <v>37.814</v>
      </c>
      <c r="X7" s="42"/>
      <c r="Y7" s="223"/>
      <c r="Z7" s="41">
        <f>+('1'!D8+'1'!D16+'1'!D25)/1000</f>
        <v>4.806</v>
      </c>
      <c r="AA7" s="41"/>
      <c r="AB7" s="41"/>
      <c r="AC7" s="41">
        <f>K7-T7</f>
        <v>6.1812330029999956</v>
      </c>
      <c r="AD7" s="41">
        <f>+AM7+BA7</f>
        <v>3</v>
      </c>
      <c r="AE7" s="241" t="s">
        <v>445</v>
      </c>
      <c r="AF7" s="41"/>
      <c r="AG7" s="41">
        <v>3</v>
      </c>
      <c r="AH7" s="41"/>
      <c r="AI7" s="461"/>
      <c r="AJ7" s="41"/>
      <c r="AK7" s="41"/>
      <c r="AL7" s="41"/>
      <c r="AM7" s="41">
        <f>SUM(AF7:AL7)+AT7+AV7+AX7</f>
        <v>3</v>
      </c>
      <c r="AN7" s="92"/>
      <c r="AO7" s="41"/>
      <c r="AP7" s="41"/>
      <c r="AQ7" s="41"/>
      <c r="AR7" s="41">
        <f>SUM(AN7:AQ7)</f>
        <v>0</v>
      </c>
      <c r="AS7" s="41"/>
      <c r="AT7" s="41"/>
      <c r="AU7" s="41"/>
      <c r="AV7" s="41"/>
      <c r="AW7" s="41"/>
      <c r="AX7" s="41"/>
      <c r="AY7" s="41"/>
      <c r="AZ7" s="41"/>
      <c r="BA7" s="41">
        <f>+AR7+AS7+AU7+AW7+AY7+AZ7</f>
        <v>0</v>
      </c>
      <c r="BB7" s="54"/>
      <c r="BC7" s="55">
        <v>2</v>
      </c>
      <c r="BD7" s="55"/>
      <c r="BE7" s="54"/>
      <c r="BF7" s="55"/>
    </row>
    <row r="8" spans="1:58" ht="12.95" customHeight="1">
      <c r="A8" s="44"/>
      <c r="B8" s="45" t="s">
        <v>234</v>
      </c>
      <c r="C8" s="452">
        <f>(M8*E8*O8*Q8)/100000000</f>
        <v>2.9517127200000002</v>
      </c>
      <c r="D8" s="45" t="s">
        <v>455</v>
      </c>
      <c r="E8" s="46">
        <v>16.5</v>
      </c>
      <c r="F8" s="46">
        <v>1</v>
      </c>
      <c r="G8" s="465">
        <v>1210</v>
      </c>
      <c r="H8" s="48">
        <v>0</v>
      </c>
      <c r="I8" s="49">
        <v>0.88</v>
      </c>
      <c r="J8" s="91">
        <f>E8*G8*(1-H8)*1440/1000000*2.77</f>
        <v>79.636392000000001</v>
      </c>
      <c r="K8" s="91">
        <f>(IF(G8&lt;L8,L8,G8)*(1-IF(H8&lt;N8,H8,N8))*E8*O8*Q8)/100000000</f>
        <v>3.2582879999999999</v>
      </c>
      <c r="L8" s="39">
        <v>1100</v>
      </c>
      <c r="M8" s="39">
        <f>+L8-L8*0.0035</f>
        <v>1096.1500000000001</v>
      </c>
      <c r="N8" s="50">
        <f>1-(M8/L8)</f>
        <v>3.4999999999999476E-3</v>
      </c>
      <c r="O8" s="51">
        <f>+'Trim Rwd'!H6</f>
        <v>272</v>
      </c>
      <c r="P8" s="52">
        <f>O8*(Q8-R8-S8)</f>
        <v>15504</v>
      </c>
      <c r="Q8" s="51">
        <v>60</v>
      </c>
      <c r="R8" s="422">
        <v>0</v>
      </c>
      <c r="S8" s="422">
        <v>3</v>
      </c>
      <c r="T8" s="41">
        <f>E8*M8*O8*Q8/100000000</f>
        <v>2.9517127200000002</v>
      </c>
      <c r="U8" s="41">
        <f>E8*M8*O8*(Q8-R8-S8)/100000000</f>
        <v>2.8041270840000005</v>
      </c>
      <c r="V8" s="41">
        <f>E8*G8*(1-N8)*O8/100*(R8+S8)/1000000</f>
        <v>0.16234419959999999</v>
      </c>
      <c r="W8" s="41">
        <f>+'1'!K9/1000</f>
        <v>0</v>
      </c>
      <c r="X8" s="42"/>
      <c r="Y8" s="223"/>
      <c r="Z8" s="41"/>
      <c r="AA8" s="41"/>
      <c r="AB8" s="41"/>
      <c r="AC8" s="41">
        <f>K8-T8</f>
        <v>0.30657527999999967</v>
      </c>
      <c r="AD8" s="41">
        <f>+AM8+BA8</f>
        <v>25</v>
      </c>
      <c r="AE8" s="241" t="s">
        <v>457</v>
      </c>
      <c r="AF8" s="37"/>
      <c r="AG8" s="37"/>
      <c r="AH8" s="37">
        <v>25</v>
      </c>
      <c r="AJ8" s="41"/>
      <c r="AK8" s="41"/>
      <c r="AL8" s="41"/>
      <c r="AM8" s="41">
        <f>SUM(AF8:AL8)+AT8+AV8+AX8</f>
        <v>25</v>
      </c>
      <c r="AN8" s="41"/>
      <c r="AO8" s="41"/>
      <c r="AP8" s="41"/>
      <c r="AQ8" s="41"/>
      <c r="AR8" s="41">
        <f>SUM(AN8:AQ8)</f>
        <v>0</v>
      </c>
      <c r="AS8" s="41"/>
      <c r="AT8" s="41"/>
      <c r="AU8" s="41"/>
      <c r="AV8" s="41"/>
      <c r="AW8" s="41"/>
      <c r="AX8" s="41"/>
      <c r="AY8" s="41"/>
      <c r="AZ8" s="41"/>
      <c r="BA8" s="41">
        <f>+AR8+AS8+AU8+AW8+AY8+AZ8</f>
        <v>0</v>
      </c>
      <c r="BB8" s="37"/>
      <c r="BC8" s="57"/>
      <c r="BD8" s="57"/>
      <c r="BE8" s="37"/>
      <c r="BF8" s="57"/>
    </row>
    <row r="9" spans="1:58" ht="12.95" customHeight="1">
      <c r="A9" s="44"/>
      <c r="B9" s="45"/>
      <c r="C9" s="452"/>
      <c r="D9" s="45"/>
      <c r="E9" s="46"/>
      <c r="F9" s="46"/>
      <c r="G9" s="47"/>
      <c r="H9" s="48"/>
      <c r="I9" s="49"/>
      <c r="J9" s="91"/>
      <c r="K9" s="91"/>
      <c r="L9" s="39"/>
      <c r="M9" s="39"/>
      <c r="N9" s="50"/>
      <c r="O9" s="51"/>
      <c r="P9" s="52"/>
      <c r="Q9" s="38"/>
      <c r="R9" s="422"/>
      <c r="S9" s="422"/>
      <c r="T9" s="41"/>
      <c r="U9" s="41"/>
      <c r="V9" s="41"/>
      <c r="W9" s="41"/>
      <c r="X9" s="42"/>
      <c r="Y9" s="223"/>
      <c r="Z9" s="41"/>
      <c r="AA9" s="41"/>
      <c r="AB9" s="41"/>
      <c r="AC9" s="41"/>
      <c r="AD9" s="41">
        <f>+AM9+BA9</f>
        <v>50</v>
      </c>
      <c r="AE9" s="244" t="s">
        <v>420</v>
      </c>
      <c r="AF9" s="41"/>
      <c r="AG9" s="41"/>
      <c r="AH9" s="41"/>
      <c r="AI9" s="461">
        <v>50</v>
      </c>
      <c r="AJ9" s="41"/>
      <c r="AK9" s="41"/>
      <c r="AL9" s="41"/>
      <c r="AM9" s="41">
        <f>SUM(AF9:AL9)+AT9+AV9+AX9</f>
        <v>50</v>
      </c>
      <c r="AN9" s="41"/>
      <c r="AO9" s="41"/>
      <c r="AP9" s="41"/>
      <c r="AQ9" s="41"/>
      <c r="AR9" s="41">
        <f>SUM(AN9:AQ9)</f>
        <v>0</v>
      </c>
      <c r="AS9" s="41"/>
      <c r="AT9" s="41"/>
      <c r="AU9" s="41"/>
      <c r="AV9" s="41"/>
      <c r="AW9" s="41"/>
      <c r="AX9" s="41"/>
      <c r="AY9" s="41"/>
      <c r="AZ9" s="41"/>
      <c r="BA9" s="41">
        <f>+AR9+AS9+AU9+AW9+AY9+AZ9</f>
        <v>0</v>
      </c>
      <c r="BB9" s="37"/>
      <c r="BC9" s="57"/>
      <c r="BD9" s="57"/>
      <c r="BE9" s="37"/>
      <c r="BF9" s="57"/>
    </row>
    <row r="10" spans="1:58" ht="12.95" customHeight="1">
      <c r="A10" s="346"/>
      <c r="B10" s="45"/>
      <c r="C10" s="452"/>
      <c r="D10" s="45"/>
      <c r="E10" s="46"/>
      <c r="F10" s="46"/>
      <c r="G10" s="465"/>
      <c r="H10" s="48"/>
      <c r="I10" s="49"/>
      <c r="J10" s="91"/>
      <c r="K10" s="91"/>
      <c r="L10" s="39"/>
      <c r="M10" s="39"/>
      <c r="N10" s="50"/>
      <c r="O10" s="51"/>
      <c r="P10" s="52"/>
      <c r="Q10" s="51"/>
      <c r="R10" s="422"/>
      <c r="S10" s="422"/>
      <c r="T10" s="41"/>
      <c r="U10" s="41"/>
      <c r="V10" s="41"/>
      <c r="W10" s="41"/>
      <c r="X10" s="419"/>
      <c r="Y10" s="223"/>
      <c r="Z10" s="41"/>
      <c r="AA10" s="53"/>
      <c r="AB10" s="53"/>
      <c r="AC10" s="41"/>
      <c r="AD10" s="41"/>
      <c r="AE10" s="241"/>
      <c r="AF10" s="41"/>
      <c r="AG10" s="41"/>
      <c r="AH10" s="41"/>
      <c r="AI10" s="46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37"/>
      <c r="BC10" s="55"/>
      <c r="BD10" s="55"/>
      <c r="BE10" s="55"/>
      <c r="BF10" s="55"/>
    </row>
    <row r="11" spans="1:58" ht="12.95" customHeight="1">
      <c r="A11" s="346">
        <v>45993</v>
      </c>
      <c r="B11" s="45" t="s">
        <v>234</v>
      </c>
      <c r="C11" s="452">
        <f>(M11*E11*O11*Q11)/100000000</f>
        <v>73.193513899354855</v>
      </c>
      <c r="D11" s="45" t="s">
        <v>455</v>
      </c>
      <c r="E11" s="46">
        <v>16.5</v>
      </c>
      <c r="F11" s="46">
        <v>1</v>
      </c>
      <c r="G11" s="465">
        <v>1210</v>
      </c>
      <c r="H11" s="48">
        <v>0</v>
      </c>
      <c r="I11" s="49">
        <v>0.88</v>
      </c>
      <c r="J11" s="91">
        <f>E11*G11*(1-H11)*1440/1000000*2.77</f>
        <v>79.636392000000001</v>
      </c>
      <c r="K11" s="91">
        <f>(IF(G11&lt;L11,L11,G11)*(1-IF(H11&lt;N11,H11,N11))*E11*O11*Q11)/100000000</f>
        <v>80.795650064516138</v>
      </c>
      <c r="L11" s="39">
        <v>1100</v>
      </c>
      <c r="M11" s="39">
        <f>+L11-L11*0.0035</f>
        <v>1096.1500000000001</v>
      </c>
      <c r="N11" s="50">
        <f>1-(M11/L11)</f>
        <v>3.4999999999999476E-3</v>
      </c>
      <c r="O11" s="51">
        <f>+'Trim Rwd'!H8</f>
        <v>281.03225806451616</v>
      </c>
      <c r="P11" s="52">
        <f>O11*(Q11-R11-S11)</f>
        <v>361688.5161290323</v>
      </c>
      <c r="Q11" s="51">
        <v>1440</v>
      </c>
      <c r="R11" s="422">
        <v>63</v>
      </c>
      <c r="S11" s="422">
        <v>90</v>
      </c>
      <c r="T11" s="41">
        <f>E11*M11*O11*Q11/100000000</f>
        <v>73.193513899354855</v>
      </c>
      <c r="U11" s="41">
        <f>E11*M11*O11*(Q11-R11-S11)/100000000</f>
        <v>65.41670304754841</v>
      </c>
      <c r="V11" s="41">
        <f>E11*G11*(1-N11)*O11/100*(R11+S11)/1000000</f>
        <v>8.5544919369870982</v>
      </c>
      <c r="W11" s="41">
        <f>+'2'!K9/1000</f>
        <v>41.914999999999999</v>
      </c>
      <c r="X11" s="419">
        <f>SUM(W11:W14)/SUM(K11:K14)</f>
        <v>0.55551257975101964</v>
      </c>
      <c r="Y11" s="223">
        <v>0</v>
      </c>
      <c r="Z11" s="41">
        <f>+'2'!D7/1000</f>
        <v>1.079</v>
      </c>
      <c r="AA11" s="53">
        <f>SUM(U11:U14)-SUM(W11:W14)-SUM(Z11:Z14)-SUM(Y11:Y14)</f>
        <v>15.331703047548414</v>
      </c>
      <c r="AB11" s="53">
        <f>(SUM(K11:K14)-SUM(W11:W14)-SUM(Y11:Y14)-SUM(Z11:Z14)-SUM(AC11:AC14)-SUM(V11:V14))-AA11</f>
        <v>-0.77768108518065127</v>
      </c>
      <c r="AC11" s="41">
        <f>K11-T11</f>
        <v>7.6021361651612835</v>
      </c>
      <c r="AD11" s="41">
        <f>+AM11+BA11</f>
        <v>62</v>
      </c>
      <c r="AE11" s="241" t="s">
        <v>478</v>
      </c>
      <c r="AF11" s="41">
        <v>62</v>
      </c>
      <c r="AG11" s="41"/>
      <c r="AH11" s="41"/>
      <c r="AI11" s="461"/>
      <c r="AJ11" s="41"/>
      <c r="AK11" s="41"/>
      <c r="AL11" s="41"/>
      <c r="AM11" s="41">
        <f>SUM(AF11:AL11)+AT11+AV11+AX11</f>
        <v>62</v>
      </c>
      <c r="AN11" s="41"/>
      <c r="AO11" s="41"/>
      <c r="AP11" s="41"/>
      <c r="AQ11" s="41"/>
      <c r="AR11" s="41">
        <f>SUM(AN11:AQ11)</f>
        <v>0</v>
      </c>
      <c r="AS11" s="41"/>
      <c r="AT11" s="41"/>
      <c r="AU11" s="41"/>
      <c r="AV11" s="41"/>
      <c r="AW11" s="41"/>
      <c r="AX11" s="41"/>
      <c r="AY11" s="41"/>
      <c r="AZ11" s="41"/>
      <c r="BA11" s="41">
        <f>+AR11+AS11+AU11+AW11+AY11+AZ11</f>
        <v>0</v>
      </c>
      <c r="BB11" s="37">
        <v>12</v>
      </c>
      <c r="BC11" s="55"/>
      <c r="BD11" s="55"/>
      <c r="BE11" s="37"/>
      <c r="BF11" s="55"/>
    </row>
    <row r="12" spans="1:58" ht="12.95" customHeight="1">
      <c r="A12" s="346"/>
      <c r="B12" s="45" t="s">
        <v>234</v>
      </c>
      <c r="C12" s="452"/>
      <c r="D12" s="45"/>
      <c r="E12" s="46">
        <v>15.5</v>
      </c>
      <c r="F12" s="46"/>
      <c r="G12" s="465"/>
      <c r="H12" s="48"/>
      <c r="I12" s="49"/>
      <c r="J12" s="91"/>
      <c r="K12" s="91"/>
      <c r="L12" s="39"/>
      <c r="M12" s="39"/>
      <c r="N12" s="50"/>
      <c r="O12" s="51"/>
      <c r="P12" s="52"/>
      <c r="Q12" s="51"/>
      <c r="R12" s="422"/>
      <c r="S12" s="422"/>
      <c r="T12" s="41"/>
      <c r="U12" s="41"/>
      <c r="V12" s="41"/>
      <c r="W12" s="41">
        <f>+'2'!K8/1000</f>
        <v>2.968</v>
      </c>
      <c r="X12" s="42"/>
      <c r="Y12" s="223"/>
      <c r="Z12" s="41">
        <f>+('2'!D8+'2'!D16+'2'!D25)/1000</f>
        <v>4.1230000000000002</v>
      </c>
      <c r="AA12" s="41"/>
      <c r="AB12" s="41"/>
      <c r="AC12" s="41"/>
      <c r="AD12" s="41">
        <f>+AM12+BA12</f>
        <v>0</v>
      </c>
      <c r="AE12" s="241" t="s">
        <v>448</v>
      </c>
      <c r="AF12" s="41"/>
      <c r="AG12" s="41">
        <v>0</v>
      </c>
      <c r="AH12" s="41"/>
      <c r="AI12" s="461"/>
      <c r="AJ12" s="41"/>
      <c r="AK12" s="41"/>
      <c r="AL12" s="41"/>
      <c r="AM12" s="41">
        <f>SUM(AF12:AL12)+AT12+AV12+AX12</f>
        <v>0</v>
      </c>
      <c r="AN12" s="92"/>
      <c r="AO12" s="41"/>
      <c r="AP12" s="41"/>
      <c r="AQ12" s="41"/>
      <c r="AR12" s="41">
        <f>SUM(AN12:AQ12)</f>
        <v>0</v>
      </c>
      <c r="AS12" s="41"/>
      <c r="AT12" s="41"/>
      <c r="AU12" s="41"/>
      <c r="AV12" s="41"/>
      <c r="AW12" s="41"/>
      <c r="AX12" s="41"/>
      <c r="AY12" s="41"/>
      <c r="AZ12" s="41"/>
      <c r="BA12" s="41">
        <f>+AR12+AS12+AU12+AW12+AY12+AZ12</f>
        <v>0</v>
      </c>
      <c r="BB12" s="54"/>
      <c r="BC12" s="55">
        <v>0</v>
      </c>
      <c r="BD12" s="55"/>
      <c r="BE12" s="54"/>
      <c r="BF12" s="55"/>
    </row>
    <row r="13" spans="1:58" ht="12.95" customHeight="1">
      <c r="A13" s="44"/>
      <c r="B13" s="45"/>
      <c r="C13" s="452"/>
      <c r="D13" s="45"/>
      <c r="E13" s="46"/>
      <c r="F13" s="46"/>
      <c r="G13" s="465"/>
      <c r="H13" s="48"/>
      <c r="I13" s="49"/>
      <c r="J13" s="91"/>
      <c r="K13" s="91"/>
      <c r="L13" s="39"/>
      <c r="M13" s="39"/>
      <c r="N13" s="50"/>
      <c r="O13" s="51"/>
      <c r="P13" s="52"/>
      <c r="Q13" s="51"/>
      <c r="R13" s="422"/>
      <c r="S13" s="422"/>
      <c r="T13" s="41"/>
      <c r="U13" s="41"/>
      <c r="V13" s="41"/>
      <c r="W13" s="41"/>
      <c r="X13" s="42"/>
      <c r="Y13" s="223"/>
      <c r="Z13" s="41"/>
      <c r="AA13" s="41"/>
      <c r="AB13" s="41"/>
      <c r="AC13" s="41"/>
      <c r="AD13" s="41">
        <f>+AM13+BA13</f>
        <v>28</v>
      </c>
      <c r="AE13" s="241" t="s">
        <v>479</v>
      </c>
      <c r="AF13" s="37"/>
      <c r="AG13" s="37"/>
      <c r="AH13" s="37">
        <v>28</v>
      </c>
      <c r="AJ13" s="41"/>
      <c r="AK13" s="41"/>
      <c r="AL13" s="41"/>
      <c r="AM13" s="41">
        <f>SUM(AF13:AL13)+AT13+AV13+AX13</f>
        <v>28</v>
      </c>
      <c r="AN13" s="4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/>
      <c r="AZ13" s="41"/>
      <c r="BA13" s="41">
        <f>+AR13+AS13+AU13+AW13+AY13+AZ13</f>
        <v>0</v>
      </c>
      <c r="BB13" s="37"/>
      <c r="BC13" s="57"/>
      <c r="BD13" s="57"/>
      <c r="BE13" s="37"/>
      <c r="BF13" s="57"/>
    </row>
    <row r="14" spans="1:58" ht="12.95" customHeight="1">
      <c r="A14" s="44"/>
      <c r="B14" s="45"/>
      <c r="C14" s="452"/>
      <c r="D14" s="45"/>
      <c r="E14" s="46"/>
      <c r="F14" s="46"/>
      <c r="G14" s="47"/>
      <c r="H14" s="48"/>
      <c r="I14" s="49"/>
      <c r="J14" s="91"/>
      <c r="K14" s="91"/>
      <c r="L14" s="39"/>
      <c r="M14" s="39"/>
      <c r="N14" s="50"/>
      <c r="O14" s="51"/>
      <c r="P14" s="52"/>
      <c r="Q14" s="38"/>
      <c r="R14" s="422"/>
      <c r="S14" s="422"/>
      <c r="T14" s="41"/>
      <c r="U14" s="41"/>
      <c r="V14" s="41"/>
      <c r="W14" s="41"/>
      <c r="X14" s="42"/>
      <c r="Y14" s="223"/>
      <c r="Z14" s="41"/>
      <c r="AA14" s="41"/>
      <c r="AB14" s="41"/>
      <c r="AC14" s="41"/>
      <c r="AD14" s="41">
        <f>+AM14+BA14</f>
        <v>63</v>
      </c>
      <c r="AE14" s="574" t="s">
        <v>480</v>
      </c>
      <c r="AF14" s="41"/>
      <c r="AG14" s="41"/>
      <c r="AH14" s="41"/>
      <c r="AI14" s="461"/>
      <c r="AJ14" s="41"/>
      <c r="AK14" s="41"/>
      <c r="AL14" s="41"/>
      <c r="AM14" s="41">
        <f>SUM(AF14:AL14)+AT14+AV14+AX14</f>
        <v>0</v>
      </c>
      <c r="AN14" s="41"/>
      <c r="AO14" s="41"/>
      <c r="AP14" s="41"/>
      <c r="AQ14" s="41"/>
      <c r="AR14" s="41">
        <f>SUM(AN14:AQ14)</f>
        <v>0</v>
      </c>
      <c r="AS14" s="41"/>
      <c r="AT14" s="41"/>
      <c r="AU14" s="41"/>
      <c r="AV14" s="41"/>
      <c r="AW14" s="41"/>
      <c r="AX14" s="41"/>
      <c r="AY14" s="41">
        <v>63</v>
      </c>
      <c r="AZ14" s="41"/>
      <c r="BA14" s="41">
        <f>+AR14+AS14+AU14+AW14+AY14+AZ14</f>
        <v>63</v>
      </c>
      <c r="BB14" s="37"/>
      <c r="BC14" s="57"/>
      <c r="BD14" s="57"/>
      <c r="BE14" s="37">
        <v>1</v>
      </c>
      <c r="BF14" s="57"/>
    </row>
    <row r="15" spans="1:58" ht="12.95" customHeight="1">
      <c r="A15" s="346"/>
      <c r="B15" s="45"/>
      <c r="C15" s="452"/>
      <c r="D15" s="45"/>
      <c r="E15" s="46"/>
      <c r="F15" s="46"/>
      <c r="G15" s="465"/>
      <c r="H15" s="48"/>
      <c r="I15" s="49"/>
      <c r="J15" s="91"/>
      <c r="K15" s="91"/>
      <c r="L15" s="39"/>
      <c r="M15" s="39"/>
      <c r="N15" s="50"/>
      <c r="O15" s="51"/>
      <c r="P15" s="52"/>
      <c r="Q15" s="51"/>
      <c r="R15" s="422"/>
      <c r="S15" s="422"/>
      <c r="T15" s="41"/>
      <c r="U15" s="41"/>
      <c r="V15" s="41"/>
      <c r="W15" s="41"/>
      <c r="X15" s="419"/>
      <c r="Y15" s="223"/>
      <c r="Z15" s="41"/>
      <c r="AA15" s="53"/>
      <c r="AB15" s="53"/>
      <c r="AC15" s="41"/>
      <c r="AD15" s="41"/>
      <c r="AE15" s="241"/>
      <c r="AF15" s="41"/>
      <c r="AG15" s="41"/>
      <c r="AH15" s="41"/>
      <c r="AI15" s="46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37"/>
      <c r="BC15" s="55"/>
      <c r="BD15" s="55"/>
      <c r="BE15" s="55"/>
      <c r="BF15" s="55"/>
    </row>
    <row r="16" spans="1:58" ht="12.95" customHeight="1">
      <c r="A16" s="346">
        <v>45964</v>
      </c>
      <c r="B16" s="45" t="s">
        <v>234</v>
      </c>
      <c r="C16" s="452">
        <f>(M16*E16*O16*Q16)/100000000</f>
        <v>77.980046384842097</v>
      </c>
      <c r="D16" s="45" t="s">
        <v>455</v>
      </c>
      <c r="E16" s="46">
        <v>16.5</v>
      </c>
      <c r="F16" s="46">
        <v>1</v>
      </c>
      <c r="G16" s="465">
        <v>1210</v>
      </c>
      <c r="H16" s="48">
        <v>0</v>
      </c>
      <c r="I16" s="49">
        <v>0.88</v>
      </c>
      <c r="J16" s="91">
        <f>E16*G16*(1-H16)*1440/1000000*2.77</f>
        <v>79.636392000000001</v>
      </c>
      <c r="K16" s="91">
        <f>(IF(G16&lt;L16,L16,G16)*(1-IF(H16&lt;N16,H16,N16))*E16*O16*Q16)/100000000</f>
        <v>82.223855999999998</v>
      </c>
      <c r="L16" s="39">
        <v>1151.578947368421</v>
      </c>
      <c r="M16" s="39">
        <v>1147.5484210526315</v>
      </c>
      <c r="N16" s="50">
        <f>1-(M16/L16)</f>
        <v>3.5000000000000586E-3</v>
      </c>
      <c r="O16" s="51">
        <f>+'Trim Rwd'!H12</f>
        <v>286</v>
      </c>
      <c r="P16" s="52">
        <f>O16*(Q16-R16-S16)</f>
        <v>156728</v>
      </c>
      <c r="Q16" s="51">
        <v>1440</v>
      </c>
      <c r="R16" s="422">
        <f>805+65</f>
        <v>870</v>
      </c>
      <c r="S16" s="422">
        <v>22</v>
      </c>
      <c r="T16" s="41">
        <f>E16*M16*O16*Q16/100000000</f>
        <v>77.980046384842097</v>
      </c>
      <c r="U16" s="41">
        <f>E16*M16*O16*(Q16-R16-S16)/100000000</f>
        <v>29.675739874231578</v>
      </c>
      <c r="V16" s="41">
        <f>E16*G16*(1-N16)*O16/100*(R16+S16)/1000000</f>
        <v>50.754844912199992</v>
      </c>
      <c r="W16" s="41">
        <f>+'3'!K34/1000</f>
        <v>23.981000000000002</v>
      </c>
      <c r="X16" s="419">
        <f>SUM(W16:W19)/SUM(K16:K19)</f>
        <v>0.29165501554682627</v>
      </c>
      <c r="Y16" s="223">
        <v>0</v>
      </c>
      <c r="Z16" s="41">
        <f>+'3'!D34/1000</f>
        <v>1.5389999999999999</v>
      </c>
      <c r="AA16" s="53">
        <f>SUM(U16:U19)-SUM(W16:W19)-SUM(Z16:Z19)-SUM(Y16:Y19)</f>
        <v>4.1557398742315765</v>
      </c>
      <c r="AB16" s="53">
        <f>(SUM(K16:K19)-SUM(W16:W19)-SUM(Y16:Y19)-SUM(Z16:Z19)-SUM(AC16:AC19)-SUM(V16:V19))-AA16</f>
        <v>-2.4505384015894744</v>
      </c>
      <c r="AC16" s="41">
        <f>K16-T16</f>
        <v>4.2438096151579003</v>
      </c>
      <c r="AD16" s="41">
        <f>+AM16+BA16</f>
        <v>0</v>
      </c>
      <c r="AE16" s="241" t="s">
        <v>492</v>
      </c>
      <c r="AF16" s="41">
        <v>0</v>
      </c>
      <c r="AG16" s="41"/>
      <c r="AH16" s="41"/>
      <c r="AI16" s="461"/>
      <c r="AJ16" s="41"/>
      <c r="AK16" s="41"/>
      <c r="AL16" s="41"/>
      <c r="AM16" s="41">
        <f>SUM(AF16:AL16)+AT16+AV16+AX16</f>
        <v>0</v>
      </c>
      <c r="AN16" s="41"/>
      <c r="AO16" s="41"/>
      <c r="AP16" s="41"/>
      <c r="AQ16" s="41"/>
      <c r="AR16" s="41">
        <f>SUM(AN16:AQ16)</f>
        <v>0</v>
      </c>
      <c r="AS16" s="41"/>
      <c r="AT16" s="41"/>
      <c r="AU16" s="41"/>
      <c r="AV16" s="41"/>
      <c r="AW16" s="41"/>
      <c r="AX16" s="41"/>
      <c r="AY16" s="41"/>
      <c r="AZ16" s="41"/>
      <c r="BA16" s="41">
        <f>+AR16+AS16+AU16+AW16+AY16+AZ16</f>
        <v>0</v>
      </c>
      <c r="BB16" s="37">
        <v>0</v>
      </c>
      <c r="BC16" s="55"/>
      <c r="BD16" s="55"/>
      <c r="BE16" s="37"/>
      <c r="BF16" s="55"/>
    </row>
    <row r="17" spans="1:58" ht="12.95" customHeight="1">
      <c r="A17" s="346"/>
      <c r="B17" s="45"/>
      <c r="C17" s="452"/>
      <c r="D17" s="45"/>
      <c r="E17" s="46"/>
      <c r="F17" s="46"/>
      <c r="G17" s="465"/>
      <c r="H17" s="48"/>
      <c r="I17" s="49"/>
      <c r="J17" s="91"/>
      <c r="K17" s="91"/>
      <c r="L17" s="39"/>
      <c r="M17" s="39"/>
      <c r="N17" s="50"/>
      <c r="O17" s="51"/>
      <c r="P17" s="52"/>
      <c r="Q17" s="51"/>
      <c r="R17" s="422"/>
      <c r="S17" s="422"/>
      <c r="T17" s="41"/>
      <c r="U17" s="41"/>
      <c r="V17" s="41"/>
      <c r="W17" s="41"/>
      <c r="X17" s="42"/>
      <c r="Y17" s="223"/>
      <c r="Z17" s="41"/>
      <c r="AA17" s="41"/>
      <c r="AB17" s="41"/>
      <c r="AC17" s="41"/>
      <c r="AD17" s="41">
        <f>+AM17+BA17</f>
        <v>2</v>
      </c>
      <c r="AE17" s="241" t="s">
        <v>494</v>
      </c>
      <c r="AF17" s="41"/>
      <c r="AG17" s="41">
        <v>2</v>
      </c>
      <c r="AH17" s="41"/>
      <c r="AI17" s="461"/>
      <c r="AJ17" s="41"/>
      <c r="AK17" s="41"/>
      <c r="AL17" s="41"/>
      <c r="AM17" s="41">
        <f>SUM(AF17:AL17)+AT17+AV17+AX17</f>
        <v>2</v>
      </c>
      <c r="AN17" s="92"/>
      <c r="AO17" s="41"/>
      <c r="AP17" s="41"/>
      <c r="AQ17" s="41"/>
      <c r="AR17" s="41">
        <f>SUM(AN17:AQ17)</f>
        <v>0</v>
      </c>
      <c r="AS17" s="41"/>
      <c r="AT17" s="41"/>
      <c r="AU17" s="41"/>
      <c r="AV17" s="41"/>
      <c r="AW17" s="41"/>
      <c r="AX17" s="41"/>
      <c r="AY17" s="41"/>
      <c r="AZ17" s="41"/>
      <c r="BA17" s="41">
        <f>+AR17+AS17+AU17+AW17+AY17+AZ17</f>
        <v>0</v>
      </c>
      <c r="BB17" s="54"/>
      <c r="BC17" s="55">
        <v>0</v>
      </c>
      <c r="BD17" s="55"/>
      <c r="BE17" s="54"/>
      <c r="BF17" s="55"/>
    </row>
    <row r="18" spans="1:58" ht="12.95" customHeight="1">
      <c r="A18" s="44"/>
      <c r="B18" s="45"/>
      <c r="C18" s="452"/>
      <c r="D18" s="45"/>
      <c r="E18" s="46"/>
      <c r="F18" s="46"/>
      <c r="G18" s="465"/>
      <c r="H18" s="48"/>
      <c r="I18" s="49"/>
      <c r="J18" s="91"/>
      <c r="K18" s="91"/>
      <c r="L18" s="39"/>
      <c r="M18" s="39"/>
      <c r="N18" s="50"/>
      <c r="O18" s="51"/>
      <c r="P18" s="52"/>
      <c r="Q18" s="51"/>
      <c r="R18" s="422"/>
      <c r="S18" s="422"/>
      <c r="T18" s="41"/>
      <c r="U18" s="41"/>
      <c r="V18" s="41"/>
      <c r="W18" s="41"/>
      <c r="X18" s="42"/>
      <c r="Y18" s="223"/>
      <c r="Z18" s="41"/>
      <c r="AA18" s="41"/>
      <c r="AB18" s="41"/>
      <c r="AC18" s="41"/>
      <c r="AD18" s="41">
        <f>+AM18+BA18</f>
        <v>20</v>
      </c>
      <c r="AE18" s="241" t="s">
        <v>497</v>
      </c>
      <c r="AF18" s="37"/>
      <c r="AG18" s="37"/>
      <c r="AH18" s="37">
        <v>20</v>
      </c>
      <c r="AJ18" s="41"/>
      <c r="AK18" s="41"/>
      <c r="AL18" s="41"/>
      <c r="AM18" s="41">
        <f>SUM(AF18:AL18)+AT18+AV18+AX18</f>
        <v>20</v>
      </c>
      <c r="AN18" s="41"/>
      <c r="AO18" s="41"/>
      <c r="AP18" s="41"/>
      <c r="AQ18" s="41"/>
      <c r="AR18" s="41">
        <f>SUM(AN18:AQ18)</f>
        <v>0</v>
      </c>
      <c r="AS18" s="41"/>
      <c r="AT18" s="41"/>
      <c r="AU18" s="41"/>
      <c r="AV18" s="41"/>
      <c r="AW18" s="41"/>
      <c r="AX18" s="41"/>
      <c r="AY18" s="41"/>
      <c r="AZ18" s="41"/>
      <c r="BA18" s="41">
        <f>+AR18+AS18+AU18+AW18+AY18+AZ18</f>
        <v>0</v>
      </c>
      <c r="BB18" s="37"/>
      <c r="BC18" s="57"/>
      <c r="BD18" s="57"/>
      <c r="BE18" s="37"/>
      <c r="BF18" s="57"/>
    </row>
    <row r="19" spans="1:58" ht="12.95" customHeight="1">
      <c r="A19" s="44"/>
      <c r="B19" s="45"/>
      <c r="C19" s="452"/>
      <c r="D19" s="45"/>
      <c r="E19" s="46"/>
      <c r="F19" s="46"/>
      <c r="G19" s="47"/>
      <c r="H19" s="48"/>
      <c r="I19" s="49"/>
      <c r="J19" s="91"/>
      <c r="K19" s="91"/>
      <c r="L19" s="39"/>
      <c r="M19" s="39"/>
      <c r="N19" s="50"/>
      <c r="O19" s="51"/>
      <c r="P19" s="52"/>
      <c r="Q19" s="38"/>
      <c r="R19" s="422"/>
      <c r="S19" s="422"/>
      <c r="T19" s="41"/>
      <c r="U19" s="41"/>
      <c r="V19" s="41"/>
      <c r="W19" s="41"/>
      <c r="X19" s="42"/>
      <c r="Y19" s="223"/>
      <c r="Z19" s="41"/>
      <c r="AA19" s="41"/>
      <c r="AB19" s="41"/>
      <c r="AC19" s="41"/>
      <c r="AD19" s="41">
        <f>+AM19+BA19</f>
        <v>805</v>
      </c>
      <c r="AE19" s="244" t="s">
        <v>499</v>
      </c>
      <c r="AF19" s="41"/>
      <c r="AG19" s="41"/>
      <c r="AH19" s="41"/>
      <c r="AI19" s="461"/>
      <c r="AJ19" s="41"/>
      <c r="AK19" s="41"/>
      <c r="AL19" s="41"/>
      <c r="AM19" s="41">
        <f>SUM(AF19:AL19)+AT19+AV19+AX19</f>
        <v>0</v>
      </c>
      <c r="AN19" s="41"/>
      <c r="AO19" s="41"/>
      <c r="AP19" s="41"/>
      <c r="AQ19" s="41"/>
      <c r="AR19" s="41">
        <f>SUM(AN19:AQ19)</f>
        <v>0</v>
      </c>
      <c r="AS19" s="41">
        <v>805</v>
      </c>
      <c r="AT19" s="41"/>
      <c r="AU19" s="41"/>
      <c r="AV19" s="41"/>
      <c r="AW19" s="41"/>
      <c r="AX19" s="41"/>
      <c r="AY19" s="41"/>
      <c r="AZ19" s="41"/>
      <c r="BA19" s="41">
        <f>+AR19+AS19+AU19+AW19+AY19+AZ19</f>
        <v>805</v>
      </c>
      <c r="BB19" s="37"/>
      <c r="BC19" s="57"/>
      <c r="BD19" s="57"/>
      <c r="BE19" s="37"/>
      <c r="BF19" s="57"/>
    </row>
    <row r="20" spans="1:58" ht="12.95" customHeight="1">
      <c r="A20" s="346"/>
      <c r="B20" s="45"/>
      <c r="C20" s="452"/>
      <c r="D20" s="45"/>
      <c r="E20" s="46"/>
      <c r="F20" s="46"/>
      <c r="G20" s="465"/>
      <c r="H20" s="48"/>
      <c r="I20" s="49"/>
      <c r="J20" s="91"/>
      <c r="K20" s="91"/>
      <c r="L20" s="39"/>
      <c r="M20" s="39"/>
      <c r="N20" s="50"/>
      <c r="O20" s="51"/>
      <c r="P20" s="52"/>
      <c r="Q20" s="51"/>
      <c r="R20" s="422"/>
      <c r="S20" s="422"/>
      <c r="T20" s="41"/>
      <c r="U20" s="41"/>
      <c r="V20" s="41"/>
      <c r="W20" s="41"/>
      <c r="X20" s="419"/>
      <c r="Y20" s="223"/>
      <c r="Z20" s="41"/>
      <c r="AA20" s="53"/>
      <c r="AB20" s="53"/>
      <c r="AC20" s="41"/>
      <c r="AD20" s="41">
        <f>+AM20+BA20</f>
        <v>65</v>
      </c>
      <c r="AE20" s="244" t="s">
        <v>486</v>
      </c>
      <c r="AF20" s="41"/>
      <c r="AG20" s="41"/>
      <c r="AH20" s="41"/>
      <c r="AI20" s="461"/>
      <c r="AJ20" s="41"/>
      <c r="AK20" s="41"/>
      <c r="AL20" s="41"/>
      <c r="AM20" s="41">
        <f>SUM(AF20:AL20)+AT20+AV20+AX20</f>
        <v>0</v>
      </c>
      <c r="AN20" s="41"/>
      <c r="AO20" s="41"/>
      <c r="AP20" s="41">
        <v>65</v>
      </c>
      <c r="AQ20" s="41"/>
      <c r="AR20" s="41">
        <f>SUM(AN20:AQ20)</f>
        <v>65</v>
      </c>
      <c r="AS20" s="41"/>
      <c r="AT20" s="41"/>
      <c r="AU20" s="41"/>
      <c r="AV20" s="41"/>
      <c r="AW20" s="41"/>
      <c r="AX20" s="41"/>
      <c r="AY20" s="41"/>
      <c r="AZ20" s="41"/>
      <c r="BA20" s="41">
        <f>+AR20+AS20+AU20+AW20+AY20+AZ20</f>
        <v>65</v>
      </c>
      <c r="BB20" s="37"/>
      <c r="BC20" s="57"/>
      <c r="BD20" s="57"/>
      <c r="BE20" s="37"/>
      <c r="BF20" s="57"/>
    </row>
    <row r="21" spans="1:58" ht="12.95" customHeight="1">
      <c r="A21" s="346"/>
      <c r="B21" s="45"/>
      <c r="C21" s="452"/>
      <c r="D21" s="45"/>
      <c r="E21" s="46"/>
      <c r="F21" s="46"/>
      <c r="G21" s="465"/>
      <c r="H21" s="48"/>
      <c r="I21" s="49"/>
      <c r="J21" s="91"/>
      <c r="K21" s="91"/>
      <c r="L21" s="39"/>
      <c r="M21" s="39"/>
      <c r="N21" s="50"/>
      <c r="O21" s="51"/>
      <c r="P21" s="52"/>
      <c r="Q21" s="51"/>
      <c r="R21" s="422"/>
      <c r="S21" s="422"/>
      <c r="T21" s="41"/>
      <c r="U21" s="41"/>
      <c r="V21" s="41"/>
      <c r="W21" s="41"/>
      <c r="X21" s="419"/>
      <c r="Y21" s="223"/>
      <c r="Z21" s="41"/>
      <c r="AA21" s="53"/>
      <c r="AB21" s="53"/>
      <c r="AC21" s="41"/>
      <c r="AD21" s="41"/>
      <c r="AE21" s="241"/>
      <c r="AF21" s="41"/>
      <c r="AG21" s="41"/>
      <c r="AH21" s="41"/>
      <c r="AI21" s="46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37"/>
      <c r="BC21" s="55"/>
      <c r="BD21" s="55"/>
      <c r="BE21" s="37"/>
      <c r="BF21" s="55"/>
    </row>
    <row r="22" spans="1:58" ht="12.95" customHeight="1">
      <c r="A22" s="346">
        <v>45995</v>
      </c>
      <c r="B22" s="45" t="s">
        <v>234</v>
      </c>
      <c r="C22" s="452">
        <f>(M22*E22*O22*Q22)/100000000</f>
        <v>76.807258971428581</v>
      </c>
      <c r="D22" s="45" t="s">
        <v>455</v>
      </c>
      <c r="E22" s="46">
        <v>17</v>
      </c>
      <c r="F22" s="46">
        <v>1</v>
      </c>
      <c r="G22" s="465">
        <v>1210</v>
      </c>
      <c r="H22" s="48">
        <v>0</v>
      </c>
      <c r="I22" s="49">
        <v>0.88</v>
      </c>
      <c r="J22" s="91">
        <f>E22*G22*(1-H22)*1440/1000000*2.77</f>
        <v>82.049616</v>
      </c>
      <c r="K22" s="91">
        <f>(IF(G22&lt;L22,L22,G22)*(1-IF(H22&lt;N22,H22,N22))*E22*O22*Q22)/100000000</f>
        <v>77.719337142857157</v>
      </c>
      <c r="L22" s="39">
        <v>1200</v>
      </c>
      <c r="M22" s="39">
        <v>1195.8</v>
      </c>
      <c r="N22" s="50">
        <f>1-(M22/L22)</f>
        <v>3.5000000000000586E-3</v>
      </c>
      <c r="O22" s="51">
        <f>+'Trim Rwd'!H14</f>
        <v>262.38095238095241</v>
      </c>
      <c r="P22" s="52">
        <f>O22*(Q22-R22-S22)</f>
        <v>370744.28571428574</v>
      </c>
      <c r="Q22" s="51">
        <v>1440</v>
      </c>
      <c r="R22" s="422">
        <v>0</v>
      </c>
      <c r="S22" s="422">
        <v>27</v>
      </c>
      <c r="T22" s="41">
        <f>E22*M22*O22*Q22/100000000</f>
        <v>76.807258971428581</v>
      </c>
      <c r="U22" s="41">
        <f>E22*M22*O22*(Q22-R22-S22)/100000000</f>
        <v>75.367122865714293</v>
      </c>
      <c r="V22" s="41">
        <f>E22*G22*(1-N22)*O22/100*(R22+S22)/1000000</f>
        <v>1.4521372399285715</v>
      </c>
      <c r="W22" s="41">
        <f>+'4'!K34/1000</f>
        <v>70.632000000000005</v>
      </c>
      <c r="X22" s="419">
        <f>SUM(W22:W25)/SUM(K22:K25)</f>
        <v>0.90880857450148078</v>
      </c>
      <c r="Y22" s="223">
        <v>0</v>
      </c>
      <c r="Z22" s="41">
        <f>+'4'!D34/1000</f>
        <v>0.58899999999999997</v>
      </c>
      <c r="AA22" s="53">
        <f>SUM(U22:U25)-SUM(W22:W25)-SUM(Z22:Z25)-SUM(Y22:Y25)</f>
        <v>4.1461228657142879</v>
      </c>
      <c r="AB22" s="53">
        <f>(SUM(K22:K25)-SUM(W22:W25)-SUM(Y22:Y25)-SUM(Z22:Z25)-SUM(AC22:AC25)-SUM(V22:V25))-AA22</f>
        <v>-1.2001134214283837E-2</v>
      </c>
      <c r="AC22" s="41">
        <f>K22-T22</f>
        <v>0.9120781714285755</v>
      </c>
      <c r="AD22" s="41">
        <f>+AM22+BA22</f>
        <v>0</v>
      </c>
      <c r="AE22" s="241" t="s">
        <v>492</v>
      </c>
      <c r="AF22" s="41">
        <v>0</v>
      </c>
      <c r="AG22" s="41"/>
      <c r="AH22" s="41"/>
      <c r="AI22" s="461"/>
      <c r="AJ22" s="41"/>
      <c r="AK22" s="41"/>
      <c r="AL22" s="41"/>
      <c r="AM22" s="41">
        <f>SUM(AF22:AL22)+AT22+AV22+AX22</f>
        <v>0</v>
      </c>
      <c r="AN22" s="41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37">
        <v>0</v>
      </c>
      <c r="BC22" s="55"/>
      <c r="BD22" s="55"/>
      <c r="BE22" s="37"/>
      <c r="BF22" s="55"/>
    </row>
    <row r="23" spans="1:58" ht="12.95" customHeight="1">
      <c r="A23" s="346"/>
      <c r="B23" s="45"/>
      <c r="C23" s="452"/>
      <c r="D23" s="45"/>
      <c r="E23" s="46"/>
      <c r="F23" s="46"/>
      <c r="G23" s="465"/>
      <c r="H23" s="48"/>
      <c r="I23" s="49"/>
      <c r="J23" s="91"/>
      <c r="K23" s="91"/>
      <c r="L23" s="39"/>
      <c r="M23" s="39"/>
      <c r="N23" s="50"/>
      <c r="O23" s="51"/>
      <c r="P23" s="52"/>
      <c r="Q23" s="51"/>
      <c r="R23" s="422"/>
      <c r="S23" s="422"/>
      <c r="T23" s="41"/>
      <c r="U23" s="41"/>
      <c r="V23" s="41"/>
      <c r="W23" s="41"/>
      <c r="X23" s="42"/>
      <c r="Y23" s="223"/>
      <c r="Z23" s="41"/>
      <c r="AA23" s="41"/>
      <c r="AB23" s="41"/>
      <c r="AC23" s="41"/>
      <c r="AD23" s="41">
        <f>+AM23+BA23</f>
        <v>0</v>
      </c>
      <c r="AE23" s="241" t="s">
        <v>448</v>
      </c>
      <c r="AF23" s="41"/>
      <c r="AG23" s="41">
        <v>0</v>
      </c>
      <c r="AH23" s="41"/>
      <c r="AI23" s="461"/>
      <c r="AJ23" s="41"/>
      <c r="AK23" s="41"/>
      <c r="AL23" s="41"/>
      <c r="AM23" s="41">
        <f>SUM(AF23:AL23)+AT23+AV23+AX23</f>
        <v>0</v>
      </c>
      <c r="AN23" s="92"/>
      <c r="AO23" s="41"/>
      <c r="AP23" s="41"/>
      <c r="AQ23" s="41"/>
      <c r="AR23" s="41">
        <f>SUM(AN23:AQ23)</f>
        <v>0</v>
      </c>
      <c r="AS23" s="41"/>
      <c r="AT23" s="41"/>
      <c r="AU23" s="41"/>
      <c r="AV23" s="41"/>
      <c r="AW23" s="41"/>
      <c r="AX23" s="41"/>
      <c r="AY23" s="41"/>
      <c r="AZ23" s="41"/>
      <c r="BA23" s="41">
        <f>+AR23+AS23+AU23+AW23+AY23+AZ23</f>
        <v>0</v>
      </c>
      <c r="BB23" s="54"/>
      <c r="BC23" s="55">
        <v>0</v>
      </c>
      <c r="BD23" s="55"/>
      <c r="BE23" s="54"/>
      <c r="BF23" s="55"/>
    </row>
    <row r="24" spans="1:58" ht="12.95" customHeight="1">
      <c r="A24" s="44"/>
      <c r="B24" s="45"/>
      <c r="C24" s="452"/>
      <c r="D24" s="45"/>
      <c r="E24" s="46"/>
      <c r="F24" s="46"/>
      <c r="G24" s="465"/>
      <c r="H24" s="48"/>
      <c r="I24" s="49"/>
      <c r="J24" s="91"/>
      <c r="K24" s="91"/>
      <c r="L24" s="39"/>
      <c r="M24" s="39"/>
      <c r="N24" s="50"/>
      <c r="O24" s="51"/>
      <c r="P24" s="52"/>
      <c r="Q24" s="51"/>
      <c r="R24" s="422"/>
      <c r="S24" s="422"/>
      <c r="T24" s="41"/>
      <c r="U24" s="41"/>
      <c r="V24" s="41"/>
      <c r="W24" s="41"/>
      <c r="X24" s="42"/>
      <c r="Y24" s="223"/>
      <c r="Z24" s="41"/>
      <c r="AA24" s="41"/>
      <c r="AB24" s="41"/>
      <c r="AC24" s="41"/>
      <c r="AD24" s="41">
        <f>+AM24+BA24</f>
        <v>27</v>
      </c>
      <c r="AE24" s="241" t="s">
        <v>510</v>
      </c>
      <c r="AF24" s="37"/>
      <c r="AG24" s="37"/>
      <c r="AH24" s="37">
        <v>27</v>
      </c>
      <c r="AJ24" s="41"/>
      <c r="AK24" s="41"/>
      <c r="AL24" s="41"/>
      <c r="AM24" s="41">
        <f>SUM(AF24:AL24)+AT24+AV24+AX24</f>
        <v>27</v>
      </c>
      <c r="AN24" s="41"/>
      <c r="AO24" s="41"/>
      <c r="AP24" s="41"/>
      <c r="AQ24" s="41"/>
      <c r="AR24" s="41">
        <f>SUM(AN24:AQ24)</f>
        <v>0</v>
      </c>
      <c r="AS24" s="41"/>
      <c r="AT24" s="41"/>
      <c r="AU24" s="41"/>
      <c r="AV24" s="41"/>
      <c r="AW24" s="41"/>
      <c r="AX24" s="41"/>
      <c r="AY24" s="41"/>
      <c r="AZ24" s="41"/>
      <c r="BA24" s="41">
        <f>+AR24+AS24+AU24+AW24+AY24+AZ24</f>
        <v>0</v>
      </c>
      <c r="BB24" s="37"/>
      <c r="BC24" s="57"/>
      <c r="BD24" s="57"/>
      <c r="BE24" s="37"/>
      <c r="BF24" s="57"/>
    </row>
    <row r="25" spans="1:58" ht="12.95" customHeight="1">
      <c r="A25" s="44"/>
      <c r="B25" s="45"/>
      <c r="C25" s="452"/>
      <c r="D25" s="45"/>
      <c r="E25" s="46"/>
      <c r="F25" s="46"/>
      <c r="G25" s="47"/>
      <c r="H25" s="48"/>
      <c r="I25" s="49"/>
      <c r="J25" s="91"/>
      <c r="K25" s="91"/>
      <c r="L25" s="39"/>
      <c r="M25" s="39"/>
      <c r="N25" s="50"/>
      <c r="O25" s="51"/>
      <c r="P25" s="52"/>
      <c r="Q25" s="38"/>
      <c r="R25" s="422"/>
      <c r="S25" s="422"/>
      <c r="T25" s="41"/>
      <c r="U25" s="41"/>
      <c r="V25" s="41"/>
      <c r="W25" s="41"/>
      <c r="X25" s="42"/>
      <c r="Y25" s="223"/>
      <c r="Z25" s="41"/>
      <c r="AA25" s="41"/>
      <c r="AB25" s="41"/>
      <c r="AC25" s="41"/>
      <c r="AD25" s="41"/>
      <c r="AE25" s="244"/>
      <c r="AF25" s="41"/>
      <c r="AG25" s="41"/>
      <c r="AH25" s="41"/>
      <c r="AI25" s="46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37"/>
      <c r="BC25" s="57"/>
      <c r="BD25" s="57"/>
      <c r="BE25" s="37"/>
      <c r="BF25" s="57"/>
    </row>
    <row r="26" spans="1:58" ht="12.95" customHeight="1">
      <c r="A26" s="346">
        <v>45966</v>
      </c>
      <c r="B26" s="45" t="s">
        <v>234</v>
      </c>
      <c r="C26" s="452">
        <f>(M26*E26*O26*Q26)/100000000</f>
        <v>77.991207774874994</v>
      </c>
      <c r="D26" s="45" t="s">
        <v>455</v>
      </c>
      <c r="E26" s="46">
        <v>17</v>
      </c>
      <c r="F26" s="46">
        <v>1</v>
      </c>
      <c r="G26" s="465">
        <v>1210</v>
      </c>
      <c r="H26" s="48">
        <v>0</v>
      </c>
      <c r="I26" s="49">
        <v>0.88</v>
      </c>
      <c r="J26" s="91">
        <f>E26*G26*(1-H26)*1440/1000000*2.77</f>
        <v>82.049616</v>
      </c>
      <c r="K26" s="91">
        <f>(IF(G26&lt;L26,L26,G26)*(1-IF(H26&lt;N26,H26,N26))*E26*O26*Q26)/100000000</f>
        <v>78.265135749999999</v>
      </c>
      <c r="L26" s="39">
        <v>1230</v>
      </c>
      <c r="M26" s="39">
        <f>+L26-L26*0.0035</f>
        <v>1225.6949999999999</v>
      </c>
      <c r="N26" s="50">
        <f>1-(M26/L26)</f>
        <v>3.5000000000000586E-3</v>
      </c>
      <c r="O26" s="51">
        <f>+'Trim Rwd'!H17</f>
        <v>264.51960784313724</v>
      </c>
      <c r="P26" s="52">
        <f>O26*(Q26-R26-S26)</f>
        <v>366095.13725490193</v>
      </c>
      <c r="Q26" s="51">
        <v>1415</v>
      </c>
      <c r="R26" s="422">
        <v>0</v>
      </c>
      <c r="S26" s="422">
        <v>31</v>
      </c>
      <c r="T26" s="41">
        <f>E26*M26*O26*Q26/100000000</f>
        <v>77.991207774874994</v>
      </c>
      <c r="U26" s="41">
        <f>E26*M26*O26*(Q26-R26-S26)/100000000</f>
        <v>76.282566473799989</v>
      </c>
      <c r="V26" s="41">
        <f>E26*G26*(1-N26)*O26/100*(R26+S26)/1000000</f>
        <v>1.6808585156916664</v>
      </c>
      <c r="W26" s="41">
        <f>+'5'!K10/1000</f>
        <v>76.335999999999999</v>
      </c>
      <c r="X26" s="419">
        <f>SUM(W26:W29)/SUM(K26:K29)</f>
        <v>0.96078194782398096</v>
      </c>
      <c r="Y26" s="223">
        <v>0</v>
      </c>
      <c r="Z26" s="41">
        <f>+'5'!D34/1000</f>
        <v>1.014</v>
      </c>
      <c r="AA26" s="53">
        <f>SUM(U26:U29)-SUM(W26:W29)-SUM(Z26:Z29)-SUM(Y26:Y29)</f>
        <v>-0.35783683770001029</v>
      </c>
      <c r="AB26" s="53">
        <f>(SUM(K26:K29)-SUM(W26:W29)-SUM(Y26:Y29)-SUM(Z26:Z29)-SUM(AC26:AC29)-SUM(V26:V29))-AA26</f>
        <v>2.7782785383334341E-2</v>
      </c>
      <c r="AC26" s="41">
        <f>K26-T26</f>
        <v>0.27392797512500522</v>
      </c>
      <c r="AD26" s="41">
        <f>+AM26+BA26</f>
        <v>0</v>
      </c>
      <c r="AE26" s="241" t="s">
        <v>492</v>
      </c>
      <c r="AF26" s="41">
        <v>0</v>
      </c>
      <c r="AG26" s="41"/>
      <c r="AH26" s="41"/>
      <c r="AI26" s="461"/>
      <c r="AJ26" s="41"/>
      <c r="AK26" s="41"/>
      <c r="AL26" s="41"/>
      <c r="AM26" s="41">
        <f>SUM(AF26:AL26)+AT26+AV26+AX26</f>
        <v>0</v>
      </c>
      <c r="AN26" s="41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37">
        <v>0</v>
      </c>
      <c r="BC26" s="55"/>
      <c r="BD26" s="55"/>
      <c r="BE26" s="37"/>
      <c r="BF26" s="55"/>
    </row>
    <row r="27" spans="1:58" ht="12.95" customHeight="1">
      <c r="A27" s="346"/>
      <c r="B27" s="45" t="s">
        <v>234</v>
      </c>
      <c r="C27" s="452">
        <f>(M27*E27*O27*Q27)/100000000</f>
        <v>1.1826611475</v>
      </c>
      <c r="D27" s="45" t="s">
        <v>455</v>
      </c>
      <c r="E27" s="46">
        <v>14</v>
      </c>
      <c r="F27" s="46">
        <v>1</v>
      </c>
      <c r="G27" s="465">
        <v>1270</v>
      </c>
      <c r="H27" s="48">
        <v>0</v>
      </c>
      <c r="I27" s="49">
        <v>0.88</v>
      </c>
      <c r="J27" s="91">
        <f>E27*G27*(1-H27)*1440/1000000*2.77</f>
        <v>70.920864000000009</v>
      </c>
      <c r="K27" s="91">
        <f>(IF(G27&lt;L27,L27,G27)*(1-IF(H27&lt;N27,H27,N27))*E27*O27*Q27)/100000000</f>
        <v>1.186815</v>
      </c>
      <c r="L27" s="39">
        <v>1270</v>
      </c>
      <c r="M27" s="39">
        <f>+L27-L27*0.0035</f>
        <v>1265.5550000000001</v>
      </c>
      <c r="N27" s="50">
        <f>1-(M27/L27)</f>
        <v>3.4999999999999476E-3</v>
      </c>
      <c r="O27" s="51">
        <f>+'Trim Rwd'!H21</f>
        <v>267</v>
      </c>
      <c r="P27" s="52">
        <f>O27*(Q27-R27-S27)</f>
        <v>4005</v>
      </c>
      <c r="Q27" s="51">
        <v>25</v>
      </c>
      <c r="R27" s="422">
        <v>0</v>
      </c>
      <c r="S27" s="422">
        <v>10</v>
      </c>
      <c r="T27" s="41">
        <f>E27*M27*O27*Q27/100000000</f>
        <v>1.1826611475</v>
      </c>
      <c r="U27" s="41">
        <f>E27*M27*O27*(Q27-R27-S27)/100000000</f>
        <v>0.70959668849999991</v>
      </c>
      <c r="V27" s="41">
        <f>E27*G27*(1-N27)*O27/100*(R27+S27)/1000000</f>
        <v>0.47306445899999999</v>
      </c>
      <c r="W27" s="41">
        <f>+'5'!K11/1000</f>
        <v>0</v>
      </c>
      <c r="X27" s="42"/>
      <c r="Y27" s="223"/>
      <c r="Z27" s="41"/>
      <c r="AA27" s="41"/>
      <c r="AB27" s="41"/>
      <c r="AC27" s="41">
        <f>K27-T27</f>
        <v>4.1538524999999993E-3</v>
      </c>
      <c r="AD27" s="41">
        <f>+AM27+BA27</f>
        <v>0</v>
      </c>
      <c r="AE27" s="241" t="s">
        <v>448</v>
      </c>
      <c r="AF27" s="41"/>
      <c r="AG27" s="41">
        <v>0</v>
      </c>
      <c r="AH27" s="41"/>
      <c r="AI27" s="461"/>
      <c r="AJ27" s="41"/>
      <c r="AK27" s="41"/>
      <c r="AL27" s="41"/>
      <c r="AM27" s="41">
        <f>SUM(AF27:AL27)+AT27+AV27+AX27</f>
        <v>0</v>
      </c>
      <c r="AN27" s="92"/>
      <c r="AO27" s="41"/>
      <c r="AP27" s="41"/>
      <c r="AQ27" s="41"/>
      <c r="AR27" s="41">
        <f>SUM(AN27:AQ27)</f>
        <v>0</v>
      </c>
      <c r="AS27" s="41"/>
      <c r="AT27" s="41"/>
      <c r="AU27" s="41"/>
      <c r="AV27" s="41"/>
      <c r="AW27" s="41"/>
      <c r="AX27" s="41"/>
      <c r="AY27" s="41"/>
      <c r="AZ27" s="41"/>
      <c r="BA27" s="41">
        <f>+AR27+AS27+AU27+AW27+AY27+AZ27</f>
        <v>0</v>
      </c>
      <c r="BB27" s="54"/>
      <c r="BC27" s="55">
        <v>0</v>
      </c>
      <c r="BD27" s="55"/>
      <c r="BE27" s="54"/>
      <c r="BF27" s="55"/>
    </row>
    <row r="28" spans="1:58" ht="12.95" customHeight="1">
      <c r="A28" s="44"/>
      <c r="B28" s="45"/>
      <c r="C28" s="452"/>
      <c r="D28" s="45"/>
      <c r="E28" s="46"/>
      <c r="F28" s="46"/>
      <c r="G28" s="465"/>
      <c r="H28" s="48"/>
      <c r="I28" s="49"/>
      <c r="J28" s="91"/>
      <c r="K28" s="91"/>
      <c r="L28" s="39"/>
      <c r="M28" s="39"/>
      <c r="N28" s="50"/>
      <c r="O28" s="51"/>
      <c r="P28" s="52"/>
      <c r="Q28" s="51"/>
      <c r="R28" s="422"/>
      <c r="S28" s="422"/>
      <c r="T28" s="41"/>
      <c r="U28" s="41"/>
      <c r="V28" s="41"/>
      <c r="W28" s="41"/>
      <c r="X28" s="42"/>
      <c r="Y28" s="223"/>
      <c r="Z28" s="41"/>
      <c r="AA28" s="41"/>
      <c r="AB28" s="41"/>
      <c r="AC28" s="41"/>
      <c r="AD28" s="41">
        <f>+AM28+BA28</f>
        <v>31</v>
      </c>
      <c r="AE28" s="241" t="s">
        <v>457</v>
      </c>
      <c r="AF28" s="37"/>
      <c r="AG28" s="37"/>
      <c r="AH28" s="37">
        <v>31</v>
      </c>
      <c r="AJ28" s="41"/>
      <c r="AK28" s="41"/>
      <c r="AL28" s="41"/>
      <c r="AM28" s="41">
        <f>SUM(AF28:AL28)+AT28+AV28+AX28</f>
        <v>31</v>
      </c>
      <c r="AN28" s="41"/>
      <c r="AO28" s="41"/>
      <c r="AP28" s="41"/>
      <c r="AQ28" s="41"/>
      <c r="AR28" s="41">
        <f>SUM(AN28:AQ28)</f>
        <v>0</v>
      </c>
      <c r="AS28" s="41"/>
      <c r="AT28" s="41"/>
      <c r="AU28" s="41"/>
      <c r="AV28" s="41"/>
      <c r="AW28" s="41"/>
      <c r="AX28" s="41"/>
      <c r="AY28" s="41"/>
      <c r="AZ28" s="41"/>
      <c r="BA28" s="41">
        <f>+AR28+AS28+AU28+AW28+AY28+AZ28</f>
        <v>0</v>
      </c>
      <c r="BB28" s="37"/>
      <c r="BC28" s="57"/>
      <c r="BD28" s="57"/>
      <c r="BE28" s="37"/>
      <c r="BF28" s="57"/>
    </row>
    <row r="29" spans="1:58" ht="12.95" customHeight="1">
      <c r="A29" s="44"/>
      <c r="B29" s="45"/>
      <c r="C29" s="452"/>
      <c r="D29" s="45"/>
      <c r="E29" s="46"/>
      <c r="F29" s="46"/>
      <c r="G29" s="47"/>
      <c r="H29" s="48"/>
      <c r="I29" s="49"/>
      <c r="J29" s="91"/>
      <c r="K29" s="91"/>
      <c r="L29" s="39"/>
      <c r="M29" s="39"/>
      <c r="N29" s="50"/>
      <c r="O29" s="51"/>
      <c r="P29" s="52"/>
      <c r="Q29" s="38"/>
      <c r="R29" s="422"/>
      <c r="S29" s="422"/>
      <c r="T29" s="41"/>
      <c r="U29" s="41"/>
      <c r="V29" s="41"/>
      <c r="W29" s="41"/>
      <c r="X29" s="42"/>
      <c r="Y29" s="223"/>
      <c r="Z29" s="41"/>
      <c r="AA29" s="41"/>
      <c r="AB29" s="41"/>
      <c r="AC29" s="41"/>
      <c r="AD29" s="41">
        <f>+AM29+BA29</f>
        <v>10</v>
      </c>
      <c r="AE29" s="241" t="s">
        <v>420</v>
      </c>
      <c r="AF29" s="41"/>
      <c r="AG29" s="41"/>
      <c r="AH29" s="41"/>
      <c r="AI29" s="461">
        <v>10</v>
      </c>
      <c r="AJ29" s="41"/>
      <c r="AK29" s="41"/>
      <c r="AL29" s="41"/>
      <c r="AM29" s="41">
        <f>SUM(AF29:AL29)+AT29+AV29+AX29</f>
        <v>10</v>
      </c>
      <c r="AN29" s="41"/>
      <c r="AO29" s="41"/>
      <c r="AP29" s="41"/>
      <c r="AQ29" s="41"/>
      <c r="AR29" s="41">
        <f>SUM(AN29:AQ29)</f>
        <v>0</v>
      </c>
      <c r="AS29" s="41"/>
      <c r="AT29" s="41"/>
      <c r="AU29" s="41"/>
      <c r="AV29" s="41"/>
      <c r="AW29" s="41"/>
      <c r="AX29" s="41"/>
      <c r="AY29" s="41"/>
      <c r="AZ29" s="41"/>
      <c r="BA29" s="41">
        <f>+AR29+AS29+AU29+AW29+AY29+AZ29</f>
        <v>0</v>
      </c>
      <c r="BB29" s="37"/>
      <c r="BC29" s="57"/>
      <c r="BD29" s="57"/>
      <c r="BE29" s="37"/>
      <c r="BF29" s="57"/>
    </row>
    <row r="30" spans="1:58" ht="12.95" customHeight="1">
      <c r="A30" s="346"/>
      <c r="B30" s="45"/>
      <c r="C30" s="452"/>
      <c r="D30" s="45"/>
      <c r="E30" s="46"/>
      <c r="F30" s="46"/>
      <c r="G30" s="465"/>
      <c r="H30" s="48"/>
      <c r="I30" s="49"/>
      <c r="J30" s="91"/>
      <c r="K30" s="91"/>
      <c r="L30" s="39"/>
      <c r="M30" s="39"/>
      <c r="N30" s="50"/>
      <c r="O30" s="51"/>
      <c r="P30" s="52"/>
      <c r="Q30" s="51"/>
      <c r="R30" s="422"/>
      <c r="S30" s="422"/>
      <c r="T30" s="41"/>
      <c r="U30" s="41"/>
      <c r="V30" s="41"/>
      <c r="W30" s="41"/>
      <c r="X30" s="419"/>
      <c r="Y30" s="223"/>
      <c r="Z30" s="41"/>
      <c r="AA30" s="53"/>
      <c r="AB30" s="53"/>
      <c r="AC30" s="41"/>
      <c r="AD30" s="41"/>
      <c r="AE30" s="241"/>
      <c r="AF30" s="41"/>
      <c r="AG30" s="41"/>
      <c r="AH30" s="41"/>
      <c r="AI30" s="46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37"/>
      <c r="BC30" s="55"/>
      <c r="BD30" s="55"/>
      <c r="BE30" s="37"/>
      <c r="BF30" s="55"/>
    </row>
    <row r="31" spans="1:58" ht="12.95" customHeight="1">
      <c r="A31" s="346">
        <v>45967</v>
      </c>
      <c r="B31" s="45" t="s">
        <v>234</v>
      </c>
      <c r="C31" s="452">
        <f>(M31*E31*O31*Q31)/100000000</f>
        <v>68.121282095999987</v>
      </c>
      <c r="D31" s="45" t="s">
        <v>455</v>
      </c>
      <c r="E31" s="46">
        <v>14</v>
      </c>
      <c r="F31" s="46">
        <v>1</v>
      </c>
      <c r="G31" s="465">
        <v>1270</v>
      </c>
      <c r="H31" s="48">
        <v>0</v>
      </c>
      <c r="I31" s="49">
        <v>0.88</v>
      </c>
      <c r="J31" s="91">
        <f>E31*G31*(1-H31)*1440/1000000*2.77</f>
        <v>70.920864000000009</v>
      </c>
      <c r="K31" s="91">
        <f>(IF(G31&lt;L31,L31,G31)*(1-IF(H31&lt;N31,H31,N31))*E31*O31*Q31)/100000000</f>
        <v>68.360544000000004</v>
      </c>
      <c r="L31" s="39">
        <v>1270</v>
      </c>
      <c r="M31" s="39">
        <f>+L31-L31*0.0035</f>
        <v>1265.5550000000001</v>
      </c>
      <c r="N31" s="50">
        <f>1-(M31/L31)</f>
        <v>3.4999999999999476E-3</v>
      </c>
      <c r="O31" s="51">
        <f>+'Trim Rwd'!H25</f>
        <v>267</v>
      </c>
      <c r="P31" s="52">
        <f>O31*(Q31-R31-S31)</f>
        <v>379407</v>
      </c>
      <c r="Q31" s="51">
        <v>1440</v>
      </c>
      <c r="R31" s="422">
        <v>0</v>
      </c>
      <c r="S31" s="422">
        <v>19</v>
      </c>
      <c r="T31" s="41">
        <f>E31*M31*O31*Q31/100000000</f>
        <v>68.121282095999987</v>
      </c>
      <c r="U31" s="41">
        <f>E31*M31*O31*(Q31-R31-S31)/100000000</f>
        <v>67.222459623899994</v>
      </c>
      <c r="V31" s="41">
        <f>E31*G31*(1-N31)*O31/100*(R31+S31)/1000000</f>
        <v>0.89882247209999999</v>
      </c>
      <c r="W31" s="41">
        <f>+'6'!K11/1000</f>
        <v>50.54</v>
      </c>
      <c r="X31" s="419">
        <f>SUM(W31:W34)/SUM(K31:K34)</f>
        <v>1.0548482469653839</v>
      </c>
      <c r="Y31" s="223">
        <v>0</v>
      </c>
      <c r="Z31" s="41">
        <f>+'6'!D7/1000</f>
        <v>0.65300000000000002</v>
      </c>
      <c r="AA31" s="53">
        <f>SUM(U31:U34)-SUM(W31:W34)-SUM(Z31:Z34)-SUM(Y31:Y34)</f>
        <v>-5.6555403761000056</v>
      </c>
      <c r="AB31" s="53">
        <f>(SUM(K31:K34)-SUM(W31:W34)-SUM(Y31:Y34)-SUM(Z31:Z34)-SUM(AC31:AC34)-SUM(V31:V34))-AA31</f>
        <v>0</v>
      </c>
      <c r="AC31" s="41">
        <f>K31-T31</f>
        <v>0.23926190400001701</v>
      </c>
      <c r="AD31" s="41">
        <f>+AM31+BA31</f>
        <v>0</v>
      </c>
      <c r="AE31" s="241" t="s">
        <v>492</v>
      </c>
      <c r="AF31" s="41">
        <v>0</v>
      </c>
      <c r="AG31" s="41"/>
      <c r="AH31" s="41"/>
      <c r="AI31" s="461"/>
      <c r="AJ31" s="41"/>
      <c r="AK31" s="41"/>
      <c r="AL31" s="41"/>
      <c r="AM31" s="41">
        <f>SUM(AF31:AL31)+AT31+AV31+AX31</f>
        <v>0</v>
      </c>
      <c r="AN31" s="41"/>
      <c r="AO31" s="41"/>
      <c r="AP31" s="41"/>
      <c r="AQ31" s="41"/>
      <c r="AR31" s="41">
        <f>SUM(AN31:AQ31)</f>
        <v>0</v>
      </c>
      <c r="AS31" s="41"/>
      <c r="AT31" s="41"/>
      <c r="AU31" s="41"/>
      <c r="AV31" s="41"/>
      <c r="AW31" s="41"/>
      <c r="AX31" s="41"/>
      <c r="AY31" s="41"/>
      <c r="AZ31" s="41"/>
      <c r="BA31" s="41">
        <f>+AR31+AS31+AU31+AW31+AY31+AZ31</f>
        <v>0</v>
      </c>
      <c r="BB31" s="37">
        <v>0</v>
      </c>
      <c r="BC31" s="55"/>
      <c r="BD31" s="55"/>
      <c r="BE31" s="37"/>
      <c r="BF31" s="55"/>
    </row>
    <row r="32" spans="1:58" ht="12.95" customHeight="1">
      <c r="A32" s="346"/>
      <c r="B32" s="45" t="s">
        <v>234</v>
      </c>
      <c r="C32" s="452"/>
      <c r="D32" s="45"/>
      <c r="E32" s="46">
        <v>17</v>
      </c>
      <c r="F32" s="46"/>
      <c r="G32" s="465"/>
      <c r="H32" s="48"/>
      <c r="I32" s="49"/>
      <c r="J32" s="91"/>
      <c r="K32" s="91"/>
      <c r="L32" s="39"/>
      <c r="M32" s="39"/>
      <c r="N32" s="50"/>
      <c r="O32" s="51"/>
      <c r="P32" s="52"/>
      <c r="Q32" s="51"/>
      <c r="R32" s="422"/>
      <c r="S32" s="422"/>
      <c r="T32" s="41"/>
      <c r="U32" s="41"/>
      <c r="V32" s="41"/>
      <c r="W32" s="41">
        <f>+'6'!K10/1000</f>
        <v>21.57</v>
      </c>
      <c r="X32" s="42"/>
      <c r="Y32" s="223"/>
      <c r="Z32" s="41">
        <f>+'6'!D16/1000</f>
        <v>0.115</v>
      </c>
      <c r="AA32" s="41"/>
      <c r="AB32" s="41"/>
      <c r="AC32" s="41"/>
      <c r="AD32" s="41">
        <f>+AM32+BA32</f>
        <v>0</v>
      </c>
      <c r="AE32" s="241" t="s">
        <v>448</v>
      </c>
      <c r="AF32" s="41"/>
      <c r="AG32" s="41">
        <v>0</v>
      </c>
      <c r="AH32" s="41"/>
      <c r="AI32" s="461"/>
      <c r="AJ32" s="41"/>
      <c r="AK32" s="41"/>
      <c r="AL32" s="41"/>
      <c r="AM32" s="41">
        <f>SUM(AF32:AL32)+AT32+AV32+AX32</f>
        <v>0</v>
      </c>
      <c r="AN32" s="92"/>
      <c r="AO32" s="41"/>
      <c r="AP32" s="41"/>
      <c r="AQ32" s="41"/>
      <c r="AR32" s="41">
        <f>SUM(AN32:AQ32)</f>
        <v>0</v>
      </c>
      <c r="AS32" s="41"/>
      <c r="AT32" s="41"/>
      <c r="AU32" s="41"/>
      <c r="AV32" s="41"/>
      <c r="AW32" s="41"/>
      <c r="AX32" s="41"/>
      <c r="AY32" s="41"/>
      <c r="AZ32" s="41"/>
      <c r="BA32" s="41">
        <f>+AR32+AS32+AU32+AW32+AY32+AZ32</f>
        <v>0</v>
      </c>
      <c r="BB32" s="54"/>
      <c r="BC32" s="55">
        <v>0</v>
      </c>
      <c r="BD32" s="55"/>
      <c r="BE32" s="54"/>
      <c r="BF32" s="55"/>
    </row>
    <row r="33" spans="1:58" ht="12.95" customHeight="1">
      <c r="A33" s="44"/>
      <c r="B33" s="45"/>
      <c r="C33" s="452"/>
      <c r="D33" s="45"/>
      <c r="E33" s="46"/>
      <c r="F33" s="46"/>
      <c r="G33" s="465"/>
      <c r="H33" s="48"/>
      <c r="I33" s="49"/>
      <c r="J33" s="91"/>
      <c r="K33" s="91"/>
      <c r="L33" s="39"/>
      <c r="M33" s="39"/>
      <c r="N33" s="50"/>
      <c r="O33" s="51"/>
      <c r="P33" s="52"/>
      <c r="Q33" s="51"/>
      <c r="R33" s="422"/>
      <c r="S33" s="422"/>
      <c r="T33" s="41"/>
      <c r="U33" s="41"/>
      <c r="V33" s="41"/>
      <c r="W33" s="41"/>
      <c r="X33" s="42"/>
      <c r="Y33" s="223"/>
      <c r="Z33" s="41"/>
      <c r="AA33" s="41"/>
      <c r="AB33" s="41"/>
      <c r="AC33" s="41"/>
      <c r="AD33" s="41">
        <f>+AM33+BA33</f>
        <v>19</v>
      </c>
      <c r="AE33" s="241" t="s">
        <v>531</v>
      </c>
      <c r="AF33" s="37"/>
      <c r="AG33" s="37"/>
      <c r="AH33" s="37">
        <v>19</v>
      </c>
      <c r="AJ33" s="41"/>
      <c r="AK33" s="41"/>
      <c r="AL33" s="41"/>
      <c r="AM33" s="41">
        <f>SUM(AF33:AL33)+AT33+AV33+AX33</f>
        <v>19</v>
      </c>
      <c r="AN33" s="41"/>
      <c r="AO33" s="41"/>
      <c r="AP33" s="41"/>
      <c r="AQ33" s="41"/>
      <c r="AR33" s="41">
        <f>SUM(AN33:AQ33)</f>
        <v>0</v>
      </c>
      <c r="AS33" s="41"/>
      <c r="AT33" s="41"/>
      <c r="AU33" s="41"/>
      <c r="AV33" s="41"/>
      <c r="AW33" s="41"/>
      <c r="AX33" s="41"/>
      <c r="AY33" s="41"/>
      <c r="AZ33" s="41"/>
      <c r="BA33" s="41">
        <f>+AR33+AS33+AU33+AW33+AY33+AZ33</f>
        <v>0</v>
      </c>
      <c r="BB33" s="37"/>
      <c r="BC33" s="57"/>
      <c r="BD33" s="57"/>
      <c r="BE33" s="37"/>
      <c r="BF33" s="57"/>
    </row>
    <row r="34" spans="1:58" ht="12.95" customHeight="1">
      <c r="A34" s="44"/>
      <c r="B34" s="45"/>
      <c r="C34" s="452"/>
      <c r="D34" s="45"/>
      <c r="E34" s="46"/>
      <c r="F34" s="46"/>
      <c r="G34" s="47"/>
      <c r="H34" s="48"/>
      <c r="I34" s="49"/>
      <c r="J34" s="91"/>
      <c r="K34" s="91"/>
      <c r="L34" s="39"/>
      <c r="M34" s="39"/>
      <c r="N34" s="50"/>
      <c r="O34" s="51"/>
      <c r="P34" s="52"/>
      <c r="Q34" s="38"/>
      <c r="R34" s="422"/>
      <c r="S34" s="422"/>
      <c r="T34" s="41"/>
      <c r="U34" s="41"/>
      <c r="V34" s="41"/>
      <c r="W34" s="41"/>
      <c r="X34" s="42"/>
      <c r="Y34" s="223"/>
      <c r="Z34" s="41"/>
      <c r="AA34" s="41"/>
      <c r="AB34" s="41"/>
      <c r="AC34" s="41"/>
      <c r="AD34" s="41"/>
      <c r="AE34" s="241"/>
      <c r="AF34" s="41"/>
      <c r="AG34" s="41"/>
      <c r="AH34" s="41"/>
      <c r="AI34" s="46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37"/>
      <c r="BC34" s="57"/>
      <c r="BD34" s="57"/>
      <c r="BE34" s="37"/>
      <c r="BF34" s="57"/>
    </row>
    <row r="35" spans="1:58" ht="12.95" customHeight="1">
      <c r="A35" s="346">
        <v>45968</v>
      </c>
      <c r="B35" s="45" t="s">
        <v>234</v>
      </c>
      <c r="C35" s="452">
        <f>(M35*E35*O35*Q35)/100000000</f>
        <v>58.659992915999993</v>
      </c>
      <c r="D35" s="45" t="s">
        <v>455</v>
      </c>
      <c r="E35" s="46">
        <v>14</v>
      </c>
      <c r="F35" s="46">
        <v>1</v>
      </c>
      <c r="G35" s="465">
        <v>1270</v>
      </c>
      <c r="H35" s="48">
        <v>0</v>
      </c>
      <c r="I35" s="49">
        <v>0.88</v>
      </c>
      <c r="J35" s="91">
        <f>E35*G35*(1-H35)*1440/1000000*2.77</f>
        <v>70.920864000000009</v>
      </c>
      <c r="K35" s="91">
        <f>(IF(G35&lt;L35,L35,G35)*(1-IF(H35&lt;N35,H35,N35))*E35*O35*Q35)/100000000</f>
        <v>58.866024000000003</v>
      </c>
      <c r="L35" s="39">
        <v>1270</v>
      </c>
      <c r="M35" s="39">
        <f>+L35-L35*0.0035</f>
        <v>1265.5550000000001</v>
      </c>
      <c r="N35" s="50">
        <f>1-(M35/L35)</f>
        <v>3.4999999999999476E-3</v>
      </c>
      <c r="O35" s="51">
        <f>+'Trim Rwd'!H27</f>
        <v>267</v>
      </c>
      <c r="P35" s="52">
        <f>O35*(Q35-R35-S35)</f>
        <v>328410</v>
      </c>
      <c r="Q35" s="51">
        <v>1240</v>
      </c>
      <c r="R35" s="422">
        <v>0</v>
      </c>
      <c r="S35" s="422">
        <v>10</v>
      </c>
      <c r="T35" s="41">
        <f>E35*M35*O35*Q35/100000000</f>
        <v>58.659992915999993</v>
      </c>
      <c r="U35" s="41">
        <f>E35*M35*O35*(Q35-R35-S35)/100000000</f>
        <v>58.186928457</v>
      </c>
      <c r="V35" s="41">
        <f>E35*G35*(1-N35)*O35/100*(R35+S35)/1000000</f>
        <v>0.47306445899999999</v>
      </c>
      <c r="W35" s="41">
        <f>+'7'!K11/1000</f>
        <v>71.72</v>
      </c>
      <c r="X35" s="419">
        <f>SUM(W35:W38)/SUM(K35:K38)</f>
        <v>1.059755142791432</v>
      </c>
      <c r="Y35" s="223">
        <v>0</v>
      </c>
      <c r="Z35" s="41">
        <f>+'7'!D34/1000</f>
        <v>0.90100000000000002</v>
      </c>
      <c r="AA35" s="53">
        <f>SUM(U35:U38)-SUM(W35:W38)-SUM(Z35:Z38)-SUM(Y35:Y38)</f>
        <v>-6.421992613000004</v>
      </c>
      <c r="AB35" s="53">
        <f>(SUM(K35:K38)-SUM(W35:W38)-SUM(Y35:Y38)-SUM(Z35:Z38)-SUM(AC35:AC38)-SUM(V35:V38))-AA35</f>
        <v>3.2982156999990409E-2</v>
      </c>
      <c r="AC35" s="41">
        <f>K35-T35</f>
        <v>0.20603108400000991</v>
      </c>
      <c r="AD35" s="41">
        <f>+AM35+BA35</f>
        <v>0</v>
      </c>
      <c r="AE35" s="241" t="s">
        <v>492</v>
      </c>
      <c r="AF35" s="41">
        <v>0</v>
      </c>
      <c r="AG35" s="41"/>
      <c r="AH35" s="41"/>
      <c r="AI35" s="461"/>
      <c r="AJ35" s="41"/>
      <c r="AK35" s="41"/>
      <c r="AL35" s="41"/>
      <c r="AM35" s="41">
        <f>SUM(AF35:AL35)+AT35+AV35+AX35</f>
        <v>0</v>
      </c>
      <c r="AN35" s="41"/>
      <c r="AO35" s="41"/>
      <c r="AP35" s="41"/>
      <c r="AQ35" s="41"/>
      <c r="AR35" s="41">
        <f>SUM(AN35:AQ35)</f>
        <v>0</v>
      </c>
      <c r="AS35" s="41"/>
      <c r="AT35" s="41"/>
      <c r="AU35" s="41"/>
      <c r="AV35" s="41"/>
      <c r="AW35" s="41"/>
      <c r="AX35" s="41"/>
      <c r="AY35" s="41"/>
      <c r="AZ35" s="41"/>
      <c r="BA35" s="41">
        <f>+AR35+AS35+AU35+AW35+AY35+AZ35</f>
        <v>0</v>
      </c>
      <c r="BB35" s="37">
        <v>0</v>
      </c>
      <c r="BC35" s="55"/>
      <c r="BD35" s="55"/>
      <c r="BE35" s="37"/>
      <c r="BF35" s="55"/>
    </row>
    <row r="36" spans="1:58" ht="12.95" customHeight="1">
      <c r="A36" s="346"/>
      <c r="B36" s="45" t="s">
        <v>234</v>
      </c>
      <c r="C36" s="452">
        <f>(M36*E36*O36*Q36)/100000000</f>
        <v>11.670609399999998</v>
      </c>
      <c r="D36" s="45" t="s">
        <v>455</v>
      </c>
      <c r="E36" s="46">
        <v>19</v>
      </c>
      <c r="F36" s="46">
        <v>1</v>
      </c>
      <c r="G36" s="465">
        <v>1085</v>
      </c>
      <c r="H36" s="48">
        <v>0</v>
      </c>
      <c r="I36" s="49">
        <v>0.88</v>
      </c>
      <c r="J36" s="91">
        <f>E36*G36*(1-H36)*1440/1000000*2.77</f>
        <v>82.229112000000001</v>
      </c>
      <c r="K36" s="91">
        <f>(IF(G36&lt;L36,L36,G36)*(1-IF(H36&lt;N36,H36,N36))*E36*O36*Q36)/100000000</f>
        <v>11.711600000000001</v>
      </c>
      <c r="L36" s="39">
        <v>1150</v>
      </c>
      <c r="M36" s="39">
        <f>+L36-L36*0.0035</f>
        <v>1145.9749999999999</v>
      </c>
      <c r="N36" s="50">
        <f>1-(M36/L36)</f>
        <v>3.5000000000000586E-3</v>
      </c>
      <c r="O36" s="51">
        <f>+'Trim Rwd'!H28</f>
        <v>268</v>
      </c>
      <c r="P36" s="52">
        <f>O36*(Q36-R36-S36)</f>
        <v>50920</v>
      </c>
      <c r="Q36" s="51">
        <v>200</v>
      </c>
      <c r="R36" s="422">
        <v>0</v>
      </c>
      <c r="S36" s="422">
        <v>10</v>
      </c>
      <c r="T36" s="41">
        <f>E36*M36*O36*Q36/100000000</f>
        <v>11.670609399999998</v>
      </c>
      <c r="U36" s="41">
        <f>E36*M36*O36*(Q36-R36-S36)/100000000</f>
        <v>11.087078929999997</v>
      </c>
      <c r="V36" s="41">
        <f>E36*G36*(1-N36)*O36/100*(R36+S36)/1000000</f>
        <v>0.55054831299999996</v>
      </c>
      <c r="W36" s="41">
        <f>+'7'!K12/1000</f>
        <v>3.0750000000000002</v>
      </c>
      <c r="X36" s="42"/>
      <c r="Y36" s="223"/>
      <c r="Z36" s="41"/>
      <c r="AA36" s="41"/>
      <c r="AB36" s="41"/>
      <c r="AC36" s="41">
        <f>K36-T36</f>
        <v>4.0990600000002431E-2</v>
      </c>
      <c r="AD36" s="41">
        <f>+AM36+BA36</f>
        <v>0</v>
      </c>
      <c r="AE36" s="241" t="s">
        <v>448</v>
      </c>
      <c r="AF36" s="41"/>
      <c r="AG36" s="41">
        <v>0</v>
      </c>
      <c r="AH36" s="41"/>
      <c r="AI36" s="461"/>
      <c r="AJ36" s="41"/>
      <c r="AK36" s="41"/>
      <c r="AL36" s="41"/>
      <c r="AM36" s="41">
        <f>SUM(AF36:AL36)+AT36+AV36+AX36</f>
        <v>0</v>
      </c>
      <c r="AN36" s="92"/>
      <c r="AO36" s="41"/>
      <c r="AP36" s="41"/>
      <c r="AQ36" s="41"/>
      <c r="AR36" s="41">
        <f>SUM(AN36:AQ36)</f>
        <v>0</v>
      </c>
      <c r="AS36" s="41"/>
      <c r="AT36" s="41"/>
      <c r="AU36" s="41"/>
      <c r="AV36" s="41"/>
      <c r="AW36" s="41"/>
      <c r="AX36" s="41"/>
      <c r="AY36" s="41"/>
      <c r="AZ36" s="41"/>
      <c r="BA36" s="41">
        <f>+AR36+AS36+AU36+AW36+AY36+AZ36</f>
        <v>0</v>
      </c>
      <c r="BB36" s="54"/>
      <c r="BC36" s="55">
        <v>0</v>
      </c>
      <c r="BD36" s="55"/>
      <c r="BE36" s="54"/>
      <c r="BF36" s="55"/>
    </row>
    <row r="37" spans="1:58" ht="12.95" customHeight="1">
      <c r="A37" s="44"/>
      <c r="B37" s="45"/>
      <c r="C37" s="452"/>
      <c r="D37" s="45"/>
      <c r="E37" s="46"/>
      <c r="F37" s="46"/>
      <c r="G37" s="465"/>
      <c r="H37" s="48"/>
      <c r="I37" s="49"/>
      <c r="J37" s="91"/>
      <c r="K37" s="91"/>
      <c r="L37" s="39"/>
      <c r="M37" s="39"/>
      <c r="N37" s="50"/>
      <c r="O37" s="51"/>
      <c r="P37" s="52"/>
      <c r="Q37" s="51"/>
      <c r="R37" s="422"/>
      <c r="S37" s="422"/>
      <c r="T37" s="41"/>
      <c r="U37" s="41"/>
      <c r="V37" s="41"/>
      <c r="W37" s="41"/>
      <c r="X37" s="42"/>
      <c r="Y37" s="223"/>
      <c r="Z37" s="41"/>
      <c r="AA37" s="41"/>
      <c r="AB37" s="41"/>
      <c r="AC37" s="41"/>
      <c r="AD37" s="41">
        <f>+AM37+BA37</f>
        <v>10</v>
      </c>
      <c r="AE37" s="241" t="s">
        <v>510</v>
      </c>
      <c r="AF37" s="37"/>
      <c r="AG37" s="37"/>
      <c r="AH37" s="37">
        <v>10</v>
      </c>
      <c r="AJ37" s="41"/>
      <c r="AK37" s="41"/>
      <c r="AL37" s="41"/>
      <c r="AM37" s="41">
        <f>SUM(AF37:AL37)+AT37+AV37+AX37</f>
        <v>10</v>
      </c>
      <c r="AN37" s="41"/>
      <c r="AO37" s="41"/>
      <c r="AP37" s="41"/>
      <c r="AQ37" s="41"/>
      <c r="AR37" s="41">
        <f>SUM(AN37:AQ37)</f>
        <v>0</v>
      </c>
      <c r="AS37" s="41"/>
      <c r="AT37" s="41"/>
      <c r="AU37" s="41"/>
      <c r="AV37" s="41"/>
      <c r="AW37" s="41"/>
      <c r="AX37" s="41"/>
      <c r="AY37" s="41"/>
      <c r="AZ37" s="41"/>
      <c r="BA37" s="41">
        <f>+AR37+AS37+AU37+AW37+AY37+AZ37</f>
        <v>0</v>
      </c>
      <c r="BB37" s="37"/>
      <c r="BC37" s="57"/>
      <c r="BD37" s="57"/>
      <c r="BE37" s="37"/>
      <c r="BF37" s="57"/>
    </row>
    <row r="38" spans="1:58" ht="12.95" customHeight="1">
      <c r="A38" s="44"/>
      <c r="B38" s="45"/>
      <c r="C38" s="452"/>
      <c r="D38" s="45"/>
      <c r="E38" s="46"/>
      <c r="F38" s="46"/>
      <c r="G38" s="47"/>
      <c r="H38" s="48"/>
      <c r="I38" s="49"/>
      <c r="J38" s="91"/>
      <c r="K38" s="91"/>
      <c r="L38" s="39"/>
      <c r="M38" s="39"/>
      <c r="N38" s="50"/>
      <c r="O38" s="51"/>
      <c r="P38" s="52"/>
      <c r="Q38" s="38"/>
      <c r="R38" s="422"/>
      <c r="S38" s="422"/>
      <c r="T38" s="41"/>
      <c r="U38" s="41"/>
      <c r="V38" s="41"/>
      <c r="W38" s="41"/>
      <c r="X38" s="42"/>
      <c r="Y38" s="223"/>
      <c r="Z38" s="41"/>
      <c r="AA38" s="41"/>
      <c r="AB38" s="41"/>
      <c r="AC38" s="41"/>
      <c r="AD38" s="41">
        <f>+AM38+BA38</f>
        <v>10</v>
      </c>
      <c r="AE38" s="241" t="s">
        <v>420</v>
      </c>
      <c r="AF38" s="41"/>
      <c r="AG38" s="41"/>
      <c r="AH38" s="41"/>
      <c r="AI38" s="461">
        <v>10</v>
      </c>
      <c r="AJ38" s="41"/>
      <c r="AK38" s="41"/>
      <c r="AL38" s="41"/>
      <c r="AM38" s="41">
        <f>SUM(AF38:AL38)+AT38+AV38+AX38</f>
        <v>10</v>
      </c>
      <c r="AN38" s="41"/>
      <c r="AO38" s="41"/>
      <c r="AP38" s="41"/>
      <c r="AQ38" s="41"/>
      <c r="AR38" s="41">
        <f>SUM(AN38:AQ38)</f>
        <v>0</v>
      </c>
      <c r="AS38" s="41"/>
      <c r="AT38" s="41"/>
      <c r="AU38" s="41"/>
      <c r="AV38" s="41"/>
      <c r="AW38" s="41"/>
      <c r="AX38" s="41"/>
      <c r="AY38" s="41"/>
      <c r="AZ38" s="41"/>
      <c r="BA38" s="41">
        <f>+AR38+AS38+AU38+AW38+AY38+AZ38</f>
        <v>0</v>
      </c>
      <c r="BB38" s="37"/>
      <c r="BC38" s="57"/>
      <c r="BD38" s="57"/>
      <c r="BE38" s="37"/>
      <c r="BF38" s="57"/>
    </row>
    <row r="39" spans="1:58" ht="12.95" customHeight="1">
      <c r="A39" s="346"/>
      <c r="B39" s="45"/>
      <c r="C39" s="452"/>
      <c r="D39" s="45"/>
      <c r="E39" s="46"/>
      <c r="F39" s="46"/>
      <c r="G39" s="465"/>
      <c r="H39" s="48"/>
      <c r="I39" s="49"/>
      <c r="J39" s="91"/>
      <c r="K39" s="91"/>
      <c r="L39" s="39"/>
      <c r="M39" s="39"/>
      <c r="N39" s="50"/>
      <c r="O39" s="51"/>
      <c r="P39" s="52"/>
      <c r="Q39" s="51"/>
      <c r="R39" s="422"/>
      <c r="S39" s="422"/>
      <c r="T39" s="41"/>
      <c r="U39" s="41"/>
      <c r="V39" s="41"/>
      <c r="W39" s="41"/>
      <c r="X39" s="419"/>
      <c r="Y39" s="223"/>
      <c r="Z39" s="41"/>
      <c r="AA39" s="53"/>
      <c r="AB39" s="53"/>
      <c r="AC39" s="41"/>
      <c r="AD39" s="41"/>
      <c r="AE39" s="241"/>
      <c r="AF39" s="41"/>
      <c r="AG39" s="41"/>
      <c r="AH39" s="41"/>
      <c r="AI39" s="46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37"/>
      <c r="BC39" s="55"/>
      <c r="BD39" s="55"/>
      <c r="BE39" s="37"/>
      <c r="BF39" s="55"/>
    </row>
    <row r="40" spans="1:58" ht="12.95" customHeight="1">
      <c r="A40" s="346">
        <v>45999</v>
      </c>
      <c r="B40" s="45" t="s">
        <v>234</v>
      </c>
      <c r="C40" s="452">
        <f>(M40*E40*O40*Q40)/100000000</f>
        <v>8.9863692379999982</v>
      </c>
      <c r="D40" s="45" t="s">
        <v>455</v>
      </c>
      <c r="E40" s="46">
        <v>19</v>
      </c>
      <c r="F40" s="46">
        <v>1</v>
      </c>
      <c r="G40" s="465">
        <v>1085</v>
      </c>
      <c r="H40" s="48">
        <v>0</v>
      </c>
      <c r="I40" s="49">
        <v>0.88</v>
      </c>
      <c r="J40" s="91">
        <f>E40*G40*(1-H40)*1440/1000000*2.77</f>
        <v>82.229112000000001</v>
      </c>
      <c r="K40" s="91">
        <f>(IF(G40&lt;L40,L40,G40)*(1-IF(H40&lt;N40,H40,N40))*E40*O40*Q40)/100000000</f>
        <v>9.0179320000000001</v>
      </c>
      <c r="L40" s="39">
        <v>1150</v>
      </c>
      <c r="M40" s="39">
        <f>+L40-L40*0.0035</f>
        <v>1145.9749999999999</v>
      </c>
      <c r="N40" s="50">
        <f>1-(M40/L40)</f>
        <v>3.5000000000000586E-3</v>
      </c>
      <c r="O40" s="51">
        <f>+'Trim Rwd'!H31</f>
        <v>268</v>
      </c>
      <c r="P40" s="52">
        <f>O40*(Q40-R40-S40)</f>
        <v>40736</v>
      </c>
      <c r="Q40" s="51">
        <f>120+34</f>
        <v>154</v>
      </c>
      <c r="R40" s="422">
        <v>0</v>
      </c>
      <c r="S40" s="422">
        <v>2</v>
      </c>
      <c r="T40" s="41">
        <f>E40*M40*O40*Q40/100000000</f>
        <v>8.9863692379999982</v>
      </c>
      <c r="U40" s="41">
        <f>E40*M40*O40*(Q40-R40-S40)/100000000</f>
        <v>8.8696631439999987</v>
      </c>
      <c r="V40" s="41">
        <f>E40*G40*(1-N40)*O40/100*(R40+S40)/1000000</f>
        <v>0.11010966259999999</v>
      </c>
      <c r="W40" s="41">
        <f>+'8'!K12/1000</f>
        <v>16.977</v>
      </c>
      <c r="X40" s="419">
        <f>SUM(W40:W44)/SUM(K40:K44)</f>
        <v>1.0979342164706634</v>
      </c>
      <c r="Y40" s="223">
        <v>0</v>
      </c>
      <c r="Z40" s="41">
        <v>0</v>
      </c>
      <c r="AA40" s="53">
        <f>SUM(U40:U44)-SUM(W40:W44)-SUM(Z40:Z44)-SUM(Y40:Y44)</f>
        <v>-9.4653662509917993</v>
      </c>
      <c r="AB40" s="53">
        <f>(SUM(K40:K44)-SUM(W40:W44)-SUM(Y40:Y44)-SUM(Z40:Z44)-SUM(AC40:AC44)-SUM(V40:V44))-AA40</f>
        <v>2.683801721929413E-2</v>
      </c>
      <c r="AC40" s="41">
        <f>K40-T40</f>
        <v>3.1562762000001854E-2</v>
      </c>
      <c r="AD40" s="41">
        <f>+AM40+BA40</f>
        <v>0</v>
      </c>
      <c r="AE40" s="241" t="s">
        <v>492</v>
      </c>
      <c r="AF40" s="41">
        <v>0</v>
      </c>
      <c r="AG40" s="41"/>
      <c r="AH40" s="41"/>
      <c r="AI40" s="461"/>
      <c r="AJ40" s="41"/>
      <c r="AK40" s="41"/>
      <c r="AL40" s="41"/>
      <c r="AM40" s="41">
        <f>SUM(AF40:AL40)+AT40+AV40+AX40</f>
        <v>0</v>
      </c>
      <c r="AN40" s="41"/>
      <c r="AO40" s="41"/>
      <c r="AP40" s="41"/>
      <c r="AQ40" s="41"/>
      <c r="AR40" s="41">
        <f>SUM(AN40:AQ40)</f>
        <v>0</v>
      </c>
      <c r="AS40" s="41"/>
      <c r="AT40" s="41"/>
      <c r="AU40" s="41"/>
      <c r="AV40" s="41"/>
      <c r="AW40" s="41"/>
      <c r="AX40" s="41"/>
      <c r="AY40" s="41"/>
      <c r="AZ40" s="41"/>
      <c r="BA40" s="41">
        <f>+AR40+AS40+AU40+AW40+AY40+AZ40</f>
        <v>0</v>
      </c>
      <c r="BB40" s="37">
        <v>0</v>
      </c>
      <c r="BC40" s="55"/>
      <c r="BD40" s="55"/>
      <c r="BE40" s="37"/>
      <c r="BF40" s="55"/>
    </row>
    <row r="41" spans="1:58" ht="12.95" customHeight="1">
      <c r="A41" s="346"/>
      <c r="B41" s="45" t="s">
        <v>234</v>
      </c>
      <c r="C41" s="452">
        <f>(M41*E41*O41*Q41)/100000000</f>
        <v>6.5585145750000002</v>
      </c>
      <c r="D41" s="45" t="s">
        <v>455</v>
      </c>
      <c r="E41" s="46">
        <v>17</v>
      </c>
      <c r="F41" s="46">
        <v>1</v>
      </c>
      <c r="G41" s="465">
        <v>1210</v>
      </c>
      <c r="H41" s="48">
        <v>0</v>
      </c>
      <c r="I41" s="49">
        <v>0.88</v>
      </c>
      <c r="J41" s="91">
        <f>E41*G41*(1-H41)*1440/1000000*2.77</f>
        <v>82.049616</v>
      </c>
      <c r="K41" s="91">
        <f>(IF(G41&lt;L41,L41,G41)*(1-IF(H41&lt;N41,H41,N41))*E41*O41*Q41)/100000000</f>
        <v>6.58155</v>
      </c>
      <c r="L41" s="39">
        <v>1250</v>
      </c>
      <c r="M41" s="39">
        <f>+L41-L41*0.0035</f>
        <v>1245.625</v>
      </c>
      <c r="N41" s="50">
        <f>1-(M41/L41)</f>
        <v>3.4999999999999476E-3</v>
      </c>
      <c r="O41" s="51">
        <f>+'Trim Rwd'!H32</f>
        <v>267</v>
      </c>
      <c r="P41" s="52">
        <f>O41*(Q41-R41-S41)</f>
        <v>30438</v>
      </c>
      <c r="Q41" s="51">
        <f>26+60+30</f>
        <v>116</v>
      </c>
      <c r="R41" s="422">
        <v>0</v>
      </c>
      <c r="S41" s="422">
        <v>2</v>
      </c>
      <c r="T41" s="41">
        <f>E41*M41*O41*Q41/100000000</f>
        <v>6.5585145750000002</v>
      </c>
      <c r="U41" s="41">
        <f>E41*M41*O41*(Q41-R41-S41)/100000000</f>
        <v>6.4454367374999997</v>
      </c>
      <c r="V41" s="41">
        <f>E41*G41*(1-N41)*O41/100*(R41+S41)/1000000</f>
        <v>0.1094593467</v>
      </c>
      <c r="W41" s="41">
        <f>+'8'!K10/1000</f>
        <v>2.2749999999999999</v>
      </c>
      <c r="X41" s="42"/>
      <c r="Y41" s="223"/>
      <c r="Z41" s="41">
        <v>0</v>
      </c>
      <c r="AA41" s="41"/>
      <c r="AB41" s="41"/>
      <c r="AC41" s="41">
        <f>K41-T41</f>
        <v>2.3035424999999776E-2</v>
      </c>
      <c r="AD41" s="41">
        <f>+AM41+BA41</f>
        <v>2</v>
      </c>
      <c r="AE41" s="241" t="s">
        <v>550</v>
      </c>
      <c r="AF41" s="41"/>
      <c r="AG41" s="41">
        <v>2</v>
      </c>
      <c r="AH41" s="41"/>
      <c r="AI41" s="461"/>
      <c r="AJ41" s="41"/>
      <c r="AK41" s="41"/>
      <c r="AL41" s="41"/>
      <c r="AM41" s="41">
        <f>SUM(AF41:AL41)+AT41+AV41+AX41</f>
        <v>2</v>
      </c>
      <c r="AN41" s="92"/>
      <c r="AO41" s="41"/>
      <c r="AP41" s="41"/>
      <c r="AQ41" s="41"/>
      <c r="AR41" s="41">
        <f>SUM(AN41:AQ41)</f>
        <v>0</v>
      </c>
      <c r="AS41" s="41"/>
      <c r="AT41" s="41"/>
      <c r="AU41" s="41"/>
      <c r="AV41" s="41"/>
      <c r="AW41" s="41"/>
      <c r="AX41" s="41"/>
      <c r="AY41" s="41"/>
      <c r="AZ41" s="41"/>
      <c r="BA41" s="41">
        <f>+AR41+AS41+AU41+AW41+AY41+AZ41</f>
        <v>0</v>
      </c>
      <c r="BB41" s="54"/>
      <c r="BC41" s="55">
        <v>7</v>
      </c>
      <c r="BD41" s="55"/>
      <c r="BE41" s="54"/>
      <c r="BF41" s="55"/>
    </row>
    <row r="42" spans="1:58" ht="12.95" customHeight="1">
      <c r="A42" s="44"/>
      <c r="B42" s="45" t="s">
        <v>234</v>
      </c>
      <c r="C42" s="452">
        <f>(M42*E42*O42*Q42)/100000000</f>
        <v>2.4966061874999999</v>
      </c>
      <c r="D42" s="45" t="s">
        <v>410</v>
      </c>
      <c r="E42" s="46">
        <v>17</v>
      </c>
      <c r="F42" s="46">
        <v>1</v>
      </c>
      <c r="G42" s="465">
        <v>1210</v>
      </c>
      <c r="H42" s="48">
        <v>0</v>
      </c>
      <c r="I42" s="49">
        <v>0.88</v>
      </c>
      <c r="J42" s="91">
        <f>E42*G42*(1-H42)*1440/1000000*2.77</f>
        <v>82.049616</v>
      </c>
      <c r="K42" s="91">
        <f>(IF(G42&lt;L42,L42,G42)*(1-IF(H42&lt;N42,H42,N42))*E42*O42*Q42)/100000000</f>
        <v>2.5053749999999999</v>
      </c>
      <c r="L42" s="39">
        <v>1250</v>
      </c>
      <c r="M42" s="39">
        <f>+L42-L42*0.0035</f>
        <v>1245.625</v>
      </c>
      <c r="N42" s="50">
        <f>1-(M42/L42)</f>
        <v>3.4999999999999476E-3</v>
      </c>
      <c r="O42" s="51">
        <f>+'Trim Rwd'!H33</f>
        <v>262</v>
      </c>
      <c r="P42" s="52">
        <f>O42*(Q42-R42-S42)</f>
        <v>11790</v>
      </c>
      <c r="Q42" s="51">
        <f>30+15</f>
        <v>45</v>
      </c>
      <c r="R42" s="422">
        <v>0</v>
      </c>
      <c r="S42" s="422">
        <v>0</v>
      </c>
      <c r="T42" s="41">
        <f>E42*M42*O42*Q42/100000000</f>
        <v>2.4966061874999999</v>
      </c>
      <c r="U42" s="41">
        <f>E42*M42*O42*(Q42-R42-S42)/100000000</f>
        <v>2.4966061874999999</v>
      </c>
      <c r="V42" s="41">
        <f>E42*G42*(1-N42)*O42/100*(R42+S42)/1000000</f>
        <v>0</v>
      </c>
      <c r="W42" s="41">
        <f>+'8'!K13/1000</f>
        <v>6.4790000000000001</v>
      </c>
      <c r="X42" s="42"/>
      <c r="Y42" s="223"/>
      <c r="Z42" s="41">
        <v>0</v>
      </c>
      <c r="AA42" s="41"/>
      <c r="AB42" s="41"/>
      <c r="AC42" s="41">
        <f>K42-T42</f>
        <v>8.7688125000000561E-3</v>
      </c>
      <c r="AD42" s="41">
        <f>+AM42+BA42</f>
        <v>9</v>
      </c>
      <c r="AE42" s="241" t="s">
        <v>479</v>
      </c>
      <c r="AF42" s="37"/>
      <c r="AG42" s="37"/>
      <c r="AH42" s="37">
        <v>9</v>
      </c>
      <c r="AJ42" s="41"/>
      <c r="AK42" s="41"/>
      <c r="AL42" s="41"/>
      <c r="AM42" s="41">
        <f>SUM(AF42:AL42)+AT42+AV42+AX42</f>
        <v>9</v>
      </c>
      <c r="AN42" s="41"/>
      <c r="AO42" s="41"/>
      <c r="AP42" s="41"/>
      <c r="AQ42" s="41"/>
      <c r="AR42" s="41">
        <f>SUM(AN42:AQ42)</f>
        <v>0</v>
      </c>
      <c r="AS42" s="41"/>
      <c r="AT42" s="41"/>
      <c r="AU42" s="41"/>
      <c r="AV42" s="41"/>
      <c r="AW42" s="41"/>
      <c r="AX42" s="41"/>
      <c r="AY42" s="41"/>
      <c r="AZ42" s="41"/>
      <c r="BA42" s="41">
        <f>+AR42+AS42+AU42+AW42+AY42+AZ42</f>
        <v>0</v>
      </c>
      <c r="BB42" s="37"/>
      <c r="BC42" s="57"/>
      <c r="BD42" s="57"/>
      <c r="BE42" s="37"/>
      <c r="BF42" s="57"/>
    </row>
    <row r="43" spans="1:58" ht="12.95" customHeight="1">
      <c r="A43" s="44"/>
      <c r="B43" s="45" t="s">
        <v>234</v>
      </c>
      <c r="C43" s="452">
        <f>(M43*E43*O43*Q43)/100000000</f>
        <v>64.521394132387499</v>
      </c>
      <c r="D43" s="45" t="s">
        <v>410</v>
      </c>
      <c r="E43" s="46">
        <v>21.5</v>
      </c>
      <c r="F43" s="46">
        <v>1</v>
      </c>
      <c r="G43" s="465">
        <v>960</v>
      </c>
      <c r="H43" s="48">
        <v>0</v>
      </c>
      <c r="I43" s="49">
        <v>0.88</v>
      </c>
      <c r="J43" s="91">
        <f>E43*G43*(1-H43)*1440/1000000*2.77</f>
        <v>82.328831999999991</v>
      </c>
      <c r="K43" s="91">
        <f>(IF(G43&lt;L43,L43,G43)*(1-IF(H43&lt;N43,H43,N43))*E43*O43*Q43)/100000000</f>
        <v>64.748012175</v>
      </c>
      <c r="L43" s="39">
        <v>1001.4666666666667</v>
      </c>
      <c r="M43" s="39">
        <v>997.96153333333336</v>
      </c>
      <c r="N43" s="50">
        <f>1-(M43/L43)</f>
        <v>3.4999999999999476E-3</v>
      </c>
      <c r="O43" s="51">
        <f>+'Trim Rwd'!H34</f>
        <v>267.3</v>
      </c>
      <c r="P43" s="52">
        <f>O43*(Q43-R43-S43)</f>
        <v>298841.40000000002</v>
      </c>
      <c r="Q43" s="51">
        <v>1125</v>
      </c>
      <c r="R43" s="422">
        <v>0</v>
      </c>
      <c r="S43" s="422">
        <v>7</v>
      </c>
      <c r="T43" s="41">
        <f>E43*M43*O43*Q43/100000000</f>
        <v>64.521394132387499</v>
      </c>
      <c r="U43" s="41">
        <f>E43*M43*O43*(Q43-R43-S43)/100000000</f>
        <v>64.119927680008203</v>
      </c>
      <c r="V43" s="41">
        <f>E43*G43*(1-N43)*O43/100*(R43+S43)/1000000</f>
        <v>0.38484335736000003</v>
      </c>
      <c r="W43" s="41">
        <f>+'8'!K14/1000</f>
        <v>57.116999999999997</v>
      </c>
      <c r="X43" s="42"/>
      <c r="Y43" s="223"/>
      <c r="Z43" s="41">
        <v>0</v>
      </c>
      <c r="AA43" s="41"/>
      <c r="AB43" s="41"/>
      <c r="AC43" s="41">
        <f>K43-T43</f>
        <v>0.2266180426125004</v>
      </c>
      <c r="AD43" s="41"/>
      <c r="AE43" s="241"/>
      <c r="AF43" s="41"/>
      <c r="AG43" s="41"/>
      <c r="AH43" s="41"/>
      <c r="AI43" s="46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37"/>
      <c r="BC43" s="57"/>
      <c r="BD43" s="57"/>
      <c r="BE43" s="37"/>
      <c r="BF43" s="57"/>
    </row>
    <row r="44" spans="1:58" ht="12.95" customHeight="1">
      <c r="A44" s="346"/>
      <c r="B44" s="45" t="s">
        <v>234</v>
      </c>
      <c r="C44" s="452"/>
      <c r="D44" s="45"/>
      <c r="E44" s="46">
        <v>14</v>
      </c>
      <c r="F44" s="46"/>
      <c r="G44" s="465"/>
      <c r="H44" s="48"/>
      <c r="I44" s="49"/>
      <c r="J44" s="91"/>
      <c r="K44" s="91"/>
      <c r="L44" s="39"/>
      <c r="M44" s="39"/>
      <c r="N44" s="50"/>
      <c r="O44" s="51"/>
      <c r="P44" s="52"/>
      <c r="Q44" s="51"/>
      <c r="R44" s="422"/>
      <c r="S44" s="422"/>
      <c r="T44" s="41"/>
      <c r="U44" s="41"/>
      <c r="V44" s="41"/>
      <c r="W44" s="41">
        <f>+'8'!K11/1000</f>
        <v>8.1189999999999998</v>
      </c>
      <c r="X44" s="419"/>
      <c r="Y44" s="223"/>
      <c r="Z44" s="41">
        <f>+'8'!D10/1000</f>
        <v>0.43</v>
      </c>
      <c r="AA44" s="53"/>
      <c r="AB44" s="53"/>
      <c r="AC44" s="41"/>
      <c r="AD44" s="41"/>
      <c r="AE44" s="241"/>
      <c r="AF44" s="41"/>
      <c r="AG44" s="41"/>
      <c r="AH44" s="41"/>
      <c r="AI44" s="46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37"/>
      <c r="BC44" s="55"/>
      <c r="BD44" s="55"/>
      <c r="BE44" s="37"/>
      <c r="BF44" s="55"/>
    </row>
    <row r="45" spans="1:58" ht="12.95" customHeight="1">
      <c r="A45" s="44"/>
      <c r="B45" s="45"/>
      <c r="C45" s="452"/>
      <c r="D45" s="45"/>
      <c r="E45" s="46"/>
      <c r="F45" s="46"/>
      <c r="G45" s="47"/>
      <c r="H45" s="48"/>
      <c r="I45" s="49"/>
      <c r="J45" s="91"/>
      <c r="K45" s="91"/>
      <c r="L45" s="39"/>
      <c r="M45" s="39"/>
      <c r="N45" s="50"/>
      <c r="O45" s="51"/>
      <c r="P45" s="52"/>
      <c r="Q45" s="51"/>
      <c r="R45" s="422"/>
      <c r="S45" s="422"/>
      <c r="T45" s="41"/>
      <c r="U45" s="41"/>
      <c r="V45" s="41"/>
      <c r="W45" s="41"/>
      <c r="X45" s="42"/>
      <c r="Y45" s="223"/>
      <c r="Z45" s="41"/>
      <c r="AA45" s="41"/>
      <c r="AB45" s="41"/>
      <c r="AC45" s="41"/>
      <c r="AD45" s="41"/>
      <c r="AE45" s="241"/>
      <c r="AF45" s="37"/>
      <c r="AG45" s="37"/>
      <c r="AH45" s="37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37"/>
      <c r="BC45" s="57"/>
      <c r="BD45" s="55"/>
      <c r="BE45" s="55"/>
      <c r="BF45" s="55"/>
    </row>
    <row r="46" spans="1:58" ht="12.95" customHeight="1">
      <c r="A46" s="346">
        <v>46000</v>
      </c>
      <c r="B46" s="45" t="s">
        <v>234</v>
      </c>
      <c r="C46" s="452">
        <f>(M46*E46*O46*Q46)/100000000</f>
        <v>1.8738569937214284</v>
      </c>
      <c r="D46" s="45" t="s">
        <v>410</v>
      </c>
      <c r="E46" s="46">
        <v>21.5</v>
      </c>
      <c r="F46" s="46">
        <v>1</v>
      </c>
      <c r="G46" s="465">
        <v>960</v>
      </c>
      <c r="H46" s="48">
        <v>0</v>
      </c>
      <c r="I46" s="49">
        <v>0.88</v>
      </c>
      <c r="J46" s="91">
        <f>E46*G46*(1-H46)*1440/1000000*2.77</f>
        <v>82.328831999999991</v>
      </c>
      <c r="K46" s="91">
        <f>(IF(G46&lt;L46,L46,G46)*(1-IF(H46&lt;N46,H46,N46))*E46*O46*Q46)/100000000</f>
        <v>1.8804385285714287</v>
      </c>
      <c r="L46" s="39">
        <v>990</v>
      </c>
      <c r="M46" s="39">
        <f>+L46-L46*0.0035</f>
        <v>986.53499999999997</v>
      </c>
      <c r="N46" s="50">
        <f>1-(M46/L46)</f>
        <v>3.5000000000000586E-3</v>
      </c>
      <c r="O46" s="51">
        <f>+'Trim Rwd'!H37</f>
        <v>267.71428571428572</v>
      </c>
      <c r="P46" s="52">
        <f>O46*(Q46-R46-S46)</f>
        <v>8834.5714285714294</v>
      </c>
      <c r="Q46" s="51">
        <v>33</v>
      </c>
      <c r="R46" s="422">
        <v>0</v>
      </c>
      <c r="S46" s="422">
        <v>0</v>
      </c>
      <c r="T46" s="41">
        <f>E46*M46*O46*Q46/100000000</f>
        <v>1.8738569937214284</v>
      </c>
      <c r="U46" s="41">
        <f>E46*M46*O46*(Q46-R46-S46)/100000000</f>
        <v>1.8738569937214284</v>
      </c>
      <c r="V46" s="41">
        <f>E46*G46*(1-N46)*O46/100*(R46+S46)/1000000</f>
        <v>0</v>
      </c>
      <c r="W46" s="41">
        <f>+'9'!K14/1000</f>
        <v>7.95</v>
      </c>
      <c r="X46" s="419">
        <f>SUM(W46:W49)/SUM(K46:K50)</f>
        <v>0.47689937437414981</v>
      </c>
      <c r="Y46" s="223">
        <v>0</v>
      </c>
      <c r="Z46" s="41">
        <f>+'9'!D34/1000</f>
        <v>1.45</v>
      </c>
      <c r="AA46" s="53">
        <f>SUM(U46:U49)-SUM(W46:W49)-SUM(Z46:Z49)-SUM(Y46:Y49)</f>
        <v>5.91010587372143</v>
      </c>
      <c r="AB46" s="53">
        <f>(SUM(K46:K49)-SUM(W46:W49)-SUM(Y46:Y49)-SUM(Z46:Z49)-SUM(AC46:AC49)-SUM(V46:V49))-AA46</f>
        <v>-5.1241932151893543E-2</v>
      </c>
      <c r="AC46" s="41">
        <f>K46-T46</f>
        <v>6.5815348500002369E-3</v>
      </c>
      <c r="AD46" s="41">
        <f>+AM46+BA46</f>
        <v>30</v>
      </c>
      <c r="AE46" s="241" t="s">
        <v>449</v>
      </c>
      <c r="AF46" s="41">
        <v>30</v>
      </c>
      <c r="AG46" s="41"/>
      <c r="AH46" s="41"/>
      <c r="AI46" s="461"/>
      <c r="AJ46" s="41"/>
      <c r="AK46" s="41"/>
      <c r="AL46" s="41"/>
      <c r="AM46" s="41">
        <f>SUM(AF46:AL46)+AT46+AV46+AX46</f>
        <v>30</v>
      </c>
      <c r="AN46" s="41"/>
      <c r="AO46" s="41"/>
      <c r="AP46" s="41"/>
      <c r="AQ46" s="41"/>
      <c r="AR46" s="41">
        <f>SUM(AN46:AQ46)</f>
        <v>0</v>
      </c>
      <c r="AS46" s="41"/>
      <c r="AT46" s="41"/>
      <c r="AU46" s="41"/>
      <c r="AV46" s="41"/>
      <c r="AW46" s="41"/>
      <c r="AX46" s="41"/>
      <c r="AY46" s="41"/>
      <c r="AZ46" s="41"/>
      <c r="BA46" s="41">
        <f>+AR46+AS46+AU46+AW46+AY46+AZ46</f>
        <v>0</v>
      </c>
      <c r="BB46" s="37">
        <v>6</v>
      </c>
      <c r="BC46" s="55"/>
      <c r="BD46" s="55"/>
      <c r="BE46" s="37"/>
      <c r="BF46" s="55"/>
    </row>
    <row r="47" spans="1:58" ht="12.95" customHeight="1">
      <c r="A47" s="346"/>
      <c r="B47" s="45" t="s">
        <v>7</v>
      </c>
      <c r="C47" s="452">
        <f>(M47*E47*O47*Q47)/100000000</f>
        <v>62.709716436455707</v>
      </c>
      <c r="D47" s="45" t="s">
        <v>410</v>
      </c>
      <c r="E47" s="46">
        <v>13</v>
      </c>
      <c r="F47" s="46">
        <v>1</v>
      </c>
      <c r="G47" s="465">
        <v>1700</v>
      </c>
      <c r="H47" s="48">
        <v>0.24</v>
      </c>
      <c r="I47" s="49">
        <v>0.88</v>
      </c>
      <c r="J47" s="91">
        <f>E47*G47*(1-H47)*1440/1000000*2.77</f>
        <v>66.995884799999999</v>
      </c>
      <c r="K47" s="91">
        <f>(IF(G47&lt;L47,L47,G47)*(1-IF(H47&lt;N47,H47,N47))*E47*O47*Q47)/100000000</f>
        <v>63.836238288607596</v>
      </c>
      <c r="L47" s="39">
        <v>1670</v>
      </c>
      <c r="M47" s="39">
        <f>+L47-L47*0.24</f>
        <v>1269.2</v>
      </c>
      <c r="N47" s="50">
        <f>1-(M47/L47)</f>
        <v>0.24</v>
      </c>
      <c r="O47" s="51">
        <f>+'Trim Rwd'!H39</f>
        <v>270.12658227848101</v>
      </c>
      <c r="P47" s="52">
        <f>O47*(Q47-R47-S47)</f>
        <v>362780</v>
      </c>
      <c r="Q47" s="51">
        <v>1407</v>
      </c>
      <c r="R47" s="422">
        <v>0</v>
      </c>
      <c r="S47" s="422">
        <v>64</v>
      </c>
      <c r="T47" s="41">
        <f>E47*M47*O47*Q47/100000000</f>
        <v>62.709716436455707</v>
      </c>
      <c r="U47" s="41">
        <f>E47*M47*O47*(Q47-R47-S47)/100000000</f>
        <v>59.857248880000007</v>
      </c>
      <c r="V47" s="41">
        <f>E47*G47*(1-N47)*O47/100*(R47+S47)/1000000</f>
        <v>2.9037094886075949</v>
      </c>
      <c r="W47" s="41">
        <f>+'9'!K7/1000</f>
        <v>46.420999999999999</v>
      </c>
      <c r="X47" s="42"/>
      <c r="Y47" s="223"/>
      <c r="Z47" s="41"/>
      <c r="AA47" s="41"/>
      <c r="AB47" s="41"/>
      <c r="AC47" s="41">
        <f>K47-T47</f>
        <v>1.1265218521518889</v>
      </c>
      <c r="AD47" s="41">
        <f>+AM47+BA47</f>
        <v>9</v>
      </c>
      <c r="AE47" s="241" t="s">
        <v>550</v>
      </c>
      <c r="AF47" s="41"/>
      <c r="AG47" s="41">
        <v>9</v>
      </c>
      <c r="AH47" s="41"/>
      <c r="AI47" s="461"/>
      <c r="AJ47" s="41"/>
      <c r="AK47" s="41"/>
      <c r="AL47" s="41"/>
      <c r="AM47" s="41">
        <f>SUM(AF47:AL47)+AT47+AV47+AX47</f>
        <v>9</v>
      </c>
      <c r="AN47" s="92"/>
      <c r="AO47" s="41"/>
      <c r="AP47" s="41"/>
      <c r="AQ47" s="41"/>
      <c r="AR47" s="41">
        <f>SUM(AN47:AQ47)</f>
        <v>0</v>
      </c>
      <c r="AS47" s="41"/>
      <c r="AT47" s="41"/>
      <c r="AU47" s="41"/>
      <c r="AV47" s="41"/>
      <c r="AW47" s="41"/>
      <c r="AX47" s="41"/>
      <c r="AY47" s="41"/>
      <c r="AZ47" s="41"/>
      <c r="BA47" s="41">
        <f>+AR47+AS47+AU47+AW47+AY47+AZ47</f>
        <v>0</v>
      </c>
      <c r="BB47" s="54"/>
      <c r="BC47" s="55">
        <v>9</v>
      </c>
      <c r="BD47" s="55"/>
      <c r="BE47" s="54"/>
      <c r="BF47" s="55"/>
    </row>
    <row r="48" spans="1:58" ht="12.95" customHeight="1">
      <c r="A48" s="44"/>
      <c r="B48" s="45"/>
      <c r="C48" s="452"/>
      <c r="D48" s="45"/>
      <c r="E48" s="46"/>
      <c r="F48" s="46"/>
      <c r="G48" s="465"/>
      <c r="H48" s="48"/>
      <c r="I48" s="49"/>
      <c r="J48" s="91"/>
      <c r="K48" s="91"/>
      <c r="L48" s="39"/>
      <c r="M48" s="39"/>
      <c r="N48" s="50"/>
      <c r="O48" s="51"/>
      <c r="P48" s="52"/>
      <c r="Q48" s="51"/>
      <c r="R48" s="422"/>
      <c r="S48" s="422"/>
      <c r="T48" s="41"/>
      <c r="U48" s="41"/>
      <c r="V48" s="41"/>
      <c r="W48" s="41"/>
      <c r="X48" s="42"/>
      <c r="Y48" s="223"/>
      <c r="Z48" s="41"/>
      <c r="AA48" s="41"/>
      <c r="AB48" s="41"/>
      <c r="AC48" s="41"/>
      <c r="AD48" s="41">
        <f>+AM48+BA48</f>
        <v>25</v>
      </c>
      <c r="AE48" s="241" t="s">
        <v>564</v>
      </c>
      <c r="AF48" s="37"/>
      <c r="AG48" s="37"/>
      <c r="AH48" s="37">
        <v>25</v>
      </c>
      <c r="AJ48" s="41"/>
      <c r="AK48" s="41"/>
      <c r="AL48" s="41"/>
      <c r="AM48" s="41">
        <f>SUM(AF48:AL48)+AT48+AV48+AX48</f>
        <v>25</v>
      </c>
      <c r="AN48" s="41"/>
      <c r="AO48" s="41"/>
      <c r="AP48" s="41"/>
      <c r="AQ48" s="41"/>
      <c r="AR48" s="41">
        <f>SUM(AN48:AQ48)</f>
        <v>0</v>
      </c>
      <c r="AS48" s="41"/>
      <c r="AT48" s="41"/>
      <c r="AU48" s="41"/>
      <c r="AV48" s="41"/>
      <c r="AW48" s="41"/>
      <c r="AX48" s="41"/>
      <c r="AY48" s="41"/>
      <c r="AZ48" s="41"/>
      <c r="BA48" s="41">
        <f>+AR48+AS48+AU48+AW48+AY48+AZ48</f>
        <v>0</v>
      </c>
      <c r="BB48" s="37"/>
      <c r="BC48" s="57"/>
      <c r="BD48" s="57"/>
      <c r="BE48" s="37"/>
      <c r="BF48" s="57"/>
    </row>
    <row r="49" spans="1:58" ht="12.95" customHeight="1">
      <c r="A49" s="44"/>
      <c r="B49" s="45"/>
      <c r="C49" s="452"/>
      <c r="D49" s="45"/>
      <c r="E49" s="46"/>
      <c r="F49" s="46"/>
      <c r="G49" s="465"/>
      <c r="H49" s="48"/>
      <c r="I49" s="49"/>
      <c r="J49" s="91"/>
      <c r="K49" s="91"/>
      <c r="L49" s="39"/>
      <c r="M49" s="39"/>
      <c r="N49" s="50"/>
      <c r="O49" s="51"/>
      <c r="P49" s="52"/>
      <c r="Q49" s="51"/>
      <c r="R49" s="422"/>
      <c r="S49" s="422"/>
      <c r="T49" s="41"/>
      <c r="U49" s="41"/>
      <c r="V49" s="41"/>
      <c r="W49" s="41"/>
      <c r="X49" s="42"/>
      <c r="Y49" s="223"/>
      <c r="Z49" s="41"/>
      <c r="AA49" s="41"/>
      <c r="AB49" s="41"/>
      <c r="AC49" s="41"/>
      <c r="AD49" s="41"/>
      <c r="AE49" s="241"/>
      <c r="AF49" s="41"/>
      <c r="AG49" s="41"/>
      <c r="AH49" s="41"/>
      <c r="AI49" s="46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37"/>
      <c r="BC49" s="57"/>
      <c r="BD49" s="57"/>
      <c r="BE49" s="37"/>
      <c r="BF49" s="57"/>
    </row>
    <row r="50" spans="1:58" ht="12.95" customHeight="1">
      <c r="A50" s="346">
        <v>46001</v>
      </c>
      <c r="B50" s="45" t="s">
        <v>7</v>
      </c>
      <c r="C50" s="452">
        <f>(M50*E50*O50*Q50)/100000000</f>
        <v>47.6977501</v>
      </c>
      <c r="D50" s="45" t="s">
        <v>410</v>
      </c>
      <c r="E50" s="46">
        <v>13</v>
      </c>
      <c r="F50" s="46">
        <v>1</v>
      </c>
      <c r="G50" s="465">
        <v>1700</v>
      </c>
      <c r="H50" s="48">
        <v>0.24</v>
      </c>
      <c r="I50" s="49">
        <v>0.88</v>
      </c>
      <c r="J50" s="91">
        <f>E50*G50*(1-H50)*1440/1000000*2.77</f>
        <v>66.995884799999999</v>
      </c>
      <c r="K50" s="91">
        <f>(IF(G50&lt;L50,L50,G50)*(1-IF(H50&lt;N50,H50,N50))*E50*O50*Q50)/100000000</f>
        <v>48.292698999999999</v>
      </c>
      <c r="L50" s="39">
        <v>1679.0566037735848</v>
      </c>
      <c r="M50" s="39">
        <v>1276.0830188679245</v>
      </c>
      <c r="N50" s="50">
        <f>1-(M50/L50)</f>
        <v>0.24</v>
      </c>
      <c r="O50" s="51">
        <f>+'Trim Rwd'!H43</f>
        <v>271.25</v>
      </c>
      <c r="P50" s="52">
        <f>O50*(Q50-R50-S50)</f>
        <v>276132.5</v>
      </c>
      <c r="Q50" s="51">
        <v>1060</v>
      </c>
      <c r="R50" s="422">
        <v>0</v>
      </c>
      <c r="S50" s="422">
        <v>42</v>
      </c>
      <c r="T50" s="41">
        <f>E50*M50*O50*Q50/100000000</f>
        <v>47.6977501</v>
      </c>
      <c r="U50" s="41">
        <f>E50*M50*O50*(Q50-R50-S50)/100000000</f>
        <v>45.807839246981132</v>
      </c>
      <c r="V50" s="41">
        <f>E50*G50*(1-N50)*O50/100*(R50+S50)/1000000</f>
        <v>1.9134843000000001</v>
      </c>
      <c r="W50" s="41">
        <f>+'10'!K7/1000</f>
        <v>58.976999999999997</v>
      </c>
      <c r="X50" s="419">
        <f>SUM(W50:W54)/SUM(K50:K54)</f>
        <v>0.94746434440753069</v>
      </c>
      <c r="Y50" s="223">
        <v>0</v>
      </c>
      <c r="Z50" s="41">
        <f>+'10'!D34/1000</f>
        <v>0.26</v>
      </c>
      <c r="AA50" s="53">
        <f>SUM(U50:U54)-SUM(W50:W54)-SUM(Z50:Z54)-SUM(Y50:Y54)</f>
        <v>-1.3899454250188674</v>
      </c>
      <c r="AB50" s="53">
        <f>(SUM(K50:K54)-SUM(W50:W54)-SUM(Y50:Y54)-SUM(Z50:Z54)-SUM(AC50:AC54)-SUM(V50:V54))-AA50</f>
        <v>-8.917543098113101E-2</v>
      </c>
      <c r="AC50" s="41">
        <f>K50-T50</f>
        <v>0.59494889999999856</v>
      </c>
      <c r="AD50" s="41">
        <f>+AM50+BA50</f>
        <v>0</v>
      </c>
      <c r="AE50" s="241" t="s">
        <v>492</v>
      </c>
      <c r="AF50" s="41">
        <v>0</v>
      </c>
      <c r="AG50" s="41"/>
      <c r="AH50" s="41"/>
      <c r="AI50" s="461"/>
      <c r="AJ50" s="41"/>
      <c r="AK50" s="41"/>
      <c r="AL50" s="41"/>
      <c r="AM50" s="41">
        <f>SUM(AF50:AL50)+AT50+AV50+AX50</f>
        <v>0</v>
      </c>
      <c r="AN50" s="41"/>
      <c r="AO50" s="41"/>
      <c r="AP50" s="41"/>
      <c r="AQ50" s="41"/>
      <c r="AR50" s="41">
        <f>SUM(AN50:AQ50)</f>
        <v>0</v>
      </c>
      <c r="AS50" s="41"/>
      <c r="AT50" s="41"/>
      <c r="AU50" s="41"/>
      <c r="AV50" s="41"/>
      <c r="AW50" s="41"/>
      <c r="AX50" s="41"/>
      <c r="AY50" s="41"/>
      <c r="AZ50" s="41"/>
      <c r="BA50" s="41">
        <f>+AR50+AS50+AU50+AW50+AY50+AZ50</f>
        <v>0</v>
      </c>
      <c r="BB50" s="37">
        <v>0</v>
      </c>
      <c r="BC50" s="55"/>
      <c r="BD50" s="55"/>
      <c r="BE50" s="37"/>
      <c r="BF50" s="55"/>
    </row>
    <row r="51" spans="1:58" ht="12.95" customHeight="1">
      <c r="A51" s="346"/>
      <c r="B51" s="45" t="s">
        <v>7</v>
      </c>
      <c r="C51" s="452">
        <f>(M51*E51*O51*Q51)/100000000</f>
        <v>12.708060624000002</v>
      </c>
      <c r="D51" s="45" t="s">
        <v>410</v>
      </c>
      <c r="E51" s="46">
        <v>10.5</v>
      </c>
      <c r="F51" s="46">
        <v>1</v>
      </c>
      <c r="G51" s="465">
        <v>1730</v>
      </c>
      <c r="H51" s="48">
        <v>0.24</v>
      </c>
      <c r="I51" s="49">
        <v>0.88</v>
      </c>
      <c r="J51" s="91">
        <f>E51*G51*(1-H51)*1440/1000000*2.77</f>
        <v>55.066979519999997</v>
      </c>
      <c r="K51" s="91">
        <f>(IF(G51&lt;L51,L51,G51)*(1-IF(H51&lt;N51,H51,N51))*E51*O51*Q51)/100000000</f>
        <v>13.954498320000003</v>
      </c>
      <c r="L51" s="39">
        <v>1575.4736842105262</v>
      </c>
      <c r="M51" s="39">
        <v>1197.3600000000001</v>
      </c>
      <c r="N51" s="50">
        <f>1-(M51/L51)</f>
        <v>0.23999999999999988</v>
      </c>
      <c r="O51" s="51">
        <f>+'Trim Rwd'!H45</f>
        <v>266</v>
      </c>
      <c r="P51" s="52">
        <f>O51*(Q51-R51-S51)</f>
        <v>95760</v>
      </c>
      <c r="Q51" s="51">
        <v>380</v>
      </c>
      <c r="R51" s="422">
        <v>0</v>
      </c>
      <c r="S51" s="422">
        <v>20</v>
      </c>
      <c r="T51" s="41">
        <f>E51*M51*O51*Q51/100000000</f>
        <v>12.708060624000002</v>
      </c>
      <c r="U51" s="41">
        <f>E51*M51*O51*(Q51-R51-S51)/100000000</f>
        <v>12.039215327999999</v>
      </c>
      <c r="V51" s="41">
        <f>E51*G51*(1-N51)*O51/100*(R51+S51)/1000000</f>
        <v>0.73444728000000004</v>
      </c>
      <c r="W51" s="41">
        <f>+'10'!K15/1000</f>
        <v>0</v>
      </c>
      <c r="X51" s="42"/>
      <c r="Y51" s="223"/>
      <c r="Z51" s="41"/>
      <c r="AA51" s="41"/>
      <c r="AB51" s="41"/>
      <c r="AC51" s="41">
        <f>K51-T51</f>
        <v>1.246437696000001</v>
      </c>
      <c r="AD51" s="41">
        <f>+AM51+BA51</f>
        <v>19</v>
      </c>
      <c r="AE51" s="241" t="s">
        <v>582</v>
      </c>
      <c r="AF51" s="41"/>
      <c r="AG51" s="41">
        <v>19</v>
      </c>
      <c r="AH51" s="41"/>
      <c r="AI51" s="461"/>
      <c r="AJ51" s="41"/>
      <c r="AK51" s="41"/>
      <c r="AL51" s="41"/>
      <c r="AM51" s="41">
        <f>SUM(AF51:AL51)+AT51+AV51+AX51</f>
        <v>19</v>
      </c>
      <c r="AN51" s="92"/>
      <c r="AO51" s="41"/>
      <c r="AP51" s="41"/>
      <c r="AQ51" s="41"/>
      <c r="AR51" s="41">
        <f>SUM(AN51:AQ51)</f>
        <v>0</v>
      </c>
      <c r="AS51" s="41"/>
      <c r="AT51" s="41"/>
      <c r="AU51" s="41"/>
      <c r="AV51" s="41"/>
      <c r="AW51" s="41"/>
      <c r="AX51" s="41"/>
      <c r="AY51" s="41"/>
      <c r="AZ51" s="41"/>
      <c r="BA51" s="41">
        <f>+AR51+AS51+AU51+AW51+AY51+AZ51</f>
        <v>0</v>
      </c>
      <c r="BB51" s="54"/>
      <c r="BC51" s="55">
        <v>13</v>
      </c>
      <c r="BD51" s="55"/>
      <c r="BE51" s="54"/>
      <c r="BF51" s="55"/>
    </row>
    <row r="52" spans="1:58" ht="12.95" customHeight="1">
      <c r="A52" s="44"/>
      <c r="B52" s="45"/>
      <c r="C52" s="452"/>
      <c r="D52" s="45"/>
      <c r="E52" s="46"/>
      <c r="F52" s="46"/>
      <c r="G52" s="465"/>
      <c r="H52" s="48"/>
      <c r="I52" s="49"/>
      <c r="J52" s="91"/>
      <c r="K52" s="91"/>
      <c r="L52" s="39"/>
      <c r="M52" s="39"/>
      <c r="N52" s="50"/>
      <c r="O52" s="51"/>
      <c r="P52" s="52"/>
      <c r="Q52" s="51"/>
      <c r="R52" s="422"/>
      <c r="S52" s="422"/>
      <c r="T52" s="41"/>
      <c r="U52" s="41"/>
      <c r="V52" s="41"/>
      <c r="W52" s="41"/>
      <c r="X52" s="42"/>
      <c r="Y52" s="223"/>
      <c r="Z52" s="41"/>
      <c r="AA52" s="41"/>
      <c r="AB52" s="41"/>
      <c r="AC52" s="41"/>
      <c r="AD52" s="41">
        <f>+AM52+BA52</f>
        <v>25</v>
      </c>
      <c r="AE52" s="241" t="s">
        <v>583</v>
      </c>
      <c r="AF52" s="37"/>
      <c r="AG52" s="37"/>
      <c r="AH52" s="37">
        <v>25</v>
      </c>
      <c r="AJ52" s="41"/>
      <c r="AK52" s="41"/>
      <c r="AL52" s="41"/>
      <c r="AM52" s="41">
        <f>SUM(AF52:AL52)+AT52+AV52+AX52</f>
        <v>25</v>
      </c>
      <c r="AN52" s="41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37"/>
      <c r="BC52" s="57"/>
      <c r="BD52" s="57"/>
      <c r="BE52" s="37"/>
      <c r="BF52" s="57"/>
    </row>
    <row r="53" spans="1:58" ht="12.95" customHeight="1">
      <c r="A53" s="44"/>
      <c r="B53" s="45"/>
      <c r="C53" s="452"/>
      <c r="D53" s="45"/>
      <c r="E53" s="46"/>
      <c r="F53" s="46"/>
      <c r="G53" s="465"/>
      <c r="H53" s="48"/>
      <c r="I53" s="49"/>
      <c r="J53" s="91"/>
      <c r="K53" s="91"/>
      <c r="L53" s="39"/>
      <c r="M53" s="39"/>
      <c r="N53" s="50"/>
      <c r="O53" s="51"/>
      <c r="P53" s="52"/>
      <c r="Q53" s="51"/>
      <c r="R53" s="422"/>
      <c r="S53" s="422"/>
      <c r="T53" s="41"/>
      <c r="U53" s="41"/>
      <c r="V53" s="41"/>
      <c r="W53" s="41"/>
      <c r="X53" s="42"/>
      <c r="Y53" s="223"/>
      <c r="Z53" s="41"/>
      <c r="AA53" s="41"/>
      <c r="AB53" s="41"/>
      <c r="AC53" s="41"/>
      <c r="AD53" s="41">
        <f>+AM53+BA53</f>
        <v>18</v>
      </c>
      <c r="AE53" s="241" t="s">
        <v>420</v>
      </c>
      <c r="AF53" s="41"/>
      <c r="AG53" s="41"/>
      <c r="AH53" s="41"/>
      <c r="AI53" s="461">
        <v>18</v>
      </c>
      <c r="AJ53" s="41"/>
      <c r="AK53" s="41"/>
      <c r="AL53" s="41"/>
      <c r="AM53" s="41">
        <f>SUM(AF53:AL53)+AT53+AV53+AX53</f>
        <v>18</v>
      </c>
      <c r="AN53" s="41"/>
      <c r="AO53" s="41"/>
      <c r="AP53" s="41"/>
      <c r="AQ53" s="41"/>
      <c r="AR53" s="41">
        <f>SUM(AN53:AQ53)</f>
        <v>0</v>
      </c>
      <c r="AS53" s="41"/>
      <c r="AT53" s="41"/>
      <c r="AU53" s="41"/>
      <c r="AV53" s="41"/>
      <c r="AW53" s="41"/>
      <c r="AX53" s="41"/>
      <c r="AY53" s="41"/>
      <c r="AZ53" s="41"/>
      <c r="BA53" s="41">
        <f>+AR53+AS53+AU53+AW53+AY53+AZ53</f>
        <v>0</v>
      </c>
      <c r="BB53" s="37"/>
      <c r="BC53" s="57"/>
      <c r="BD53" s="57"/>
      <c r="BE53" s="37"/>
      <c r="BF53" s="57"/>
    </row>
    <row r="54" spans="1:58" ht="12.95" customHeight="1">
      <c r="A54" s="44"/>
      <c r="B54" s="45"/>
      <c r="C54" s="452"/>
      <c r="D54" s="45"/>
      <c r="E54" s="46"/>
      <c r="F54" s="46"/>
      <c r="G54" s="47"/>
      <c r="H54" s="48"/>
      <c r="I54" s="49"/>
      <c r="J54" s="91"/>
      <c r="K54" s="91"/>
      <c r="L54" s="39"/>
      <c r="M54" s="39"/>
      <c r="N54" s="50"/>
      <c r="O54" s="51"/>
      <c r="P54" s="52"/>
      <c r="Q54" s="51"/>
      <c r="R54" s="422"/>
      <c r="S54" s="422"/>
      <c r="T54" s="41"/>
      <c r="U54" s="41"/>
      <c r="V54" s="41"/>
      <c r="W54" s="41"/>
      <c r="X54" s="42"/>
      <c r="Y54" s="223"/>
      <c r="Z54" s="41"/>
      <c r="AA54" s="41"/>
      <c r="AB54" s="41"/>
      <c r="AC54" s="41"/>
      <c r="AD54" s="41"/>
      <c r="AE54" s="241"/>
      <c r="AF54" s="37"/>
      <c r="AG54" s="37"/>
      <c r="AH54" s="37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37"/>
      <c r="BC54" s="57"/>
      <c r="BD54" s="55"/>
      <c r="BE54" s="55"/>
      <c r="BF54" s="55"/>
    </row>
    <row r="55" spans="1:58" ht="12.95" customHeight="1">
      <c r="A55" s="346">
        <v>46002</v>
      </c>
      <c r="B55" s="45" t="s">
        <v>7</v>
      </c>
      <c r="C55" s="452">
        <f>(M55*E55*O55*Q55)/100000000</f>
        <v>5.5602597120000015</v>
      </c>
      <c r="D55" s="45" t="s">
        <v>410</v>
      </c>
      <c r="E55" s="46">
        <v>10.3</v>
      </c>
      <c r="F55" s="46">
        <v>1</v>
      </c>
      <c r="G55" s="465">
        <v>1730</v>
      </c>
      <c r="H55" s="48">
        <f>+N55</f>
        <v>0.15999999999999992</v>
      </c>
      <c r="I55" s="49">
        <v>0.88</v>
      </c>
      <c r="J55" s="91">
        <f>E55*G55*(1-H55)*1440/1000000*2.77</f>
        <v>59.704198848000011</v>
      </c>
      <c r="K55" s="91">
        <f>(IF(G55&lt;L55,L55,G55)*(1-IF(H55&lt;N55,H55,N55))*E55*O55*Q55)/100000000</f>
        <v>6.3703637760000005</v>
      </c>
      <c r="L55" s="39">
        <v>1510</v>
      </c>
      <c r="M55" s="39">
        <v>1268.4000000000001</v>
      </c>
      <c r="N55" s="50">
        <f>1-(M55/L55)</f>
        <v>0.15999999999999992</v>
      </c>
      <c r="O55" s="51">
        <f>+'Trim Rwd'!H47</f>
        <v>266</v>
      </c>
      <c r="P55" s="52">
        <f>O55*(Q55-R55-S55)</f>
        <v>39368</v>
      </c>
      <c r="Q55" s="51">
        <v>160</v>
      </c>
      <c r="R55" s="422">
        <v>0</v>
      </c>
      <c r="S55" s="422">
        <v>12</v>
      </c>
      <c r="T55" s="41">
        <f>E55*M55*O55*Q55/100000000</f>
        <v>5.5602597120000015</v>
      </c>
      <c r="U55" s="41">
        <f>E55*M55*O55*(Q55-R55-S55)/100000000</f>
        <v>5.1432402336000012</v>
      </c>
      <c r="V55" s="41">
        <f>E55*G55*(1-N55)*O55/100*(R55+S55)/1000000</f>
        <v>0.47777728320000001</v>
      </c>
      <c r="W55" s="41">
        <f>+'11'!K16/1000</f>
        <v>9.1530000000000005</v>
      </c>
      <c r="X55" s="419">
        <f>SUM(W55:W58)/SUM(K55:K58)</f>
        <v>0.93299368008277594</v>
      </c>
      <c r="Y55" s="223">
        <v>0</v>
      </c>
      <c r="Z55" s="41">
        <v>0</v>
      </c>
      <c r="AA55" s="53">
        <f>SUM(U55:U58)-SUM(W55:W58)-SUM(Z55:Z58)-SUM(Y55:Y58)</f>
        <v>0.58206023360000647</v>
      </c>
      <c r="AB55" s="53">
        <f>(SUM(K55:K58)-SUM(W55:W58)-SUM(Y55:Y58)-SUM(Z55:Z58)-SUM(AC55:AC58)-SUM(V55:V58))-AA55</f>
        <v>-5.7377804800004872E-2</v>
      </c>
      <c r="AC55" s="41">
        <f>K55-T55</f>
        <v>0.81010406399999901</v>
      </c>
      <c r="AD55" s="41">
        <f>+AM55+BA55</f>
        <v>0</v>
      </c>
      <c r="AE55" s="241" t="s">
        <v>492</v>
      </c>
      <c r="AF55" s="41">
        <v>0</v>
      </c>
      <c r="AG55" s="41"/>
      <c r="AH55" s="41"/>
      <c r="AI55" s="461"/>
      <c r="AJ55" s="41"/>
      <c r="AK55" s="41"/>
      <c r="AL55" s="41"/>
      <c r="AM55" s="41">
        <f>SUM(AF55:AL55)+AT55+AV55+AX55</f>
        <v>0</v>
      </c>
      <c r="AN55" s="41"/>
      <c r="AO55" s="41"/>
      <c r="AP55" s="41"/>
      <c r="AQ55" s="41"/>
      <c r="AR55" s="41">
        <f>SUM(AN55:AQ55)</f>
        <v>0</v>
      </c>
      <c r="AS55" s="41"/>
      <c r="AT55" s="41"/>
      <c r="AU55" s="41"/>
      <c r="AV55" s="41"/>
      <c r="AW55" s="41"/>
      <c r="AX55" s="41"/>
      <c r="AY55" s="41"/>
      <c r="AZ55" s="41"/>
      <c r="BA55" s="41">
        <f>+AR55+AS55+AU55+AW55+AY55+AZ55</f>
        <v>0</v>
      </c>
      <c r="BB55" s="37">
        <v>0</v>
      </c>
      <c r="BC55" s="55"/>
      <c r="BD55" s="55"/>
      <c r="BE55" s="37"/>
      <c r="BF55" s="55"/>
    </row>
    <row r="56" spans="1:58" ht="12.95" customHeight="1">
      <c r="A56" s="346"/>
      <c r="B56" s="45" t="s">
        <v>599</v>
      </c>
      <c r="C56" s="452">
        <f>(M56*E56*O56*Q56)/100000000</f>
        <v>44.947240000000001</v>
      </c>
      <c r="D56" s="45" t="s">
        <v>410</v>
      </c>
      <c r="E56" s="46">
        <v>13</v>
      </c>
      <c r="F56" s="46">
        <v>1</v>
      </c>
      <c r="G56" s="465">
        <v>1350</v>
      </c>
      <c r="H56" s="48">
        <f>+N56</f>
        <v>0.19999999999999996</v>
      </c>
      <c r="I56" s="49">
        <v>0.88</v>
      </c>
      <c r="J56" s="91">
        <f>E56*G56*(1-H56)*1440/1000000*2.77</f>
        <v>56.002752000000001</v>
      </c>
      <c r="K56" s="91">
        <f>(IF(G56&lt;L56,L56,G56)*(1-IF(H56&lt;N56,H56,N56))*E56*O56*Q56)/100000000</f>
        <v>44.947240000000001</v>
      </c>
      <c r="L56" s="39">
        <v>1362.5</v>
      </c>
      <c r="M56" s="39">
        <v>1090</v>
      </c>
      <c r="N56" s="50">
        <f>1-(M56/L56)</f>
        <v>0.19999999999999996</v>
      </c>
      <c r="O56" s="51">
        <f>+'Trim Rwd'!H49</f>
        <v>260</v>
      </c>
      <c r="P56" s="52">
        <f>O56*(Q56-R56-S56)</f>
        <v>314600</v>
      </c>
      <c r="Q56" s="51">
        <f>1280-60</f>
        <v>1220</v>
      </c>
      <c r="R56" s="422">
        <v>0</v>
      </c>
      <c r="S56" s="422">
        <f>70-60</f>
        <v>10</v>
      </c>
      <c r="T56" s="41">
        <f>E56*M56*O56*Q56/100000000</f>
        <v>44.947240000000001</v>
      </c>
      <c r="U56" s="41">
        <f>E56*M56*O56*(Q56-R56-S56)/100000000</f>
        <v>44.57882</v>
      </c>
      <c r="V56" s="41">
        <f>E56*G56*(1-N56)*O56/100*(R56+S56)/1000000</f>
        <v>0.36503999999999998</v>
      </c>
      <c r="W56" s="41">
        <f>+'11'!K17/1000</f>
        <v>38.725999999999999</v>
      </c>
      <c r="X56" s="42"/>
      <c r="Y56" s="223"/>
      <c r="Z56" s="41">
        <f>+'11'!D34/1000</f>
        <v>1.2609999999999999</v>
      </c>
      <c r="AA56" s="41"/>
      <c r="AB56" s="41"/>
      <c r="AC56" s="41">
        <f>K56-T56</f>
        <v>0</v>
      </c>
      <c r="AD56" s="41">
        <f>+AM56+BA56</f>
        <v>4</v>
      </c>
      <c r="AE56" s="241" t="s">
        <v>563</v>
      </c>
      <c r="AF56" s="41"/>
      <c r="AG56" s="41">
        <v>4</v>
      </c>
      <c r="AH56" s="41"/>
      <c r="AI56" s="461"/>
      <c r="AJ56" s="41"/>
      <c r="AK56" s="41"/>
      <c r="AL56" s="41"/>
      <c r="AM56" s="41">
        <f>SUM(AF56:AL56)+AT56+AV56+AX56</f>
        <v>4</v>
      </c>
      <c r="AN56" s="92"/>
      <c r="AO56" s="41"/>
      <c r="AP56" s="41"/>
      <c r="AQ56" s="41"/>
      <c r="AR56" s="41">
        <f>SUM(AN56:AQ56)</f>
        <v>0</v>
      </c>
      <c r="AS56" s="41"/>
      <c r="AT56" s="41"/>
      <c r="AU56" s="41"/>
      <c r="AV56" s="41"/>
      <c r="AW56" s="41"/>
      <c r="AX56" s="41"/>
      <c r="AY56" s="41"/>
      <c r="AZ56" s="41"/>
      <c r="BA56" s="41">
        <f>+AR56+AS56+AU56+AW56+AY56+AZ56</f>
        <v>0</v>
      </c>
      <c r="BB56" s="54"/>
      <c r="BC56" s="55">
        <v>3</v>
      </c>
      <c r="BD56" s="55"/>
      <c r="BE56" s="54"/>
      <c r="BF56" s="55"/>
    </row>
    <row r="57" spans="1:58" ht="12.95" customHeight="1">
      <c r="A57" s="44"/>
      <c r="B57" s="45"/>
      <c r="C57" s="452"/>
      <c r="D57" s="45"/>
      <c r="E57" s="46"/>
      <c r="F57" s="46"/>
      <c r="G57" s="465"/>
      <c r="H57" s="48"/>
      <c r="I57" s="49"/>
      <c r="J57" s="91"/>
      <c r="K57" s="91"/>
      <c r="L57" s="39"/>
      <c r="M57" s="39"/>
      <c r="N57" s="50"/>
      <c r="O57" s="51"/>
      <c r="P57" s="52"/>
      <c r="Q57" s="51"/>
      <c r="R57" s="422"/>
      <c r="S57" s="422"/>
      <c r="T57" s="41"/>
      <c r="U57" s="41"/>
      <c r="V57" s="41"/>
      <c r="W57" s="41"/>
      <c r="X57" s="42"/>
      <c r="Y57" s="223"/>
      <c r="Z57" s="41"/>
      <c r="AA57" s="41"/>
      <c r="AB57" s="41"/>
      <c r="AC57" s="41"/>
      <c r="AD57" s="41">
        <f>+AM57+BA57</f>
        <v>18</v>
      </c>
      <c r="AE57" s="241" t="s">
        <v>457</v>
      </c>
      <c r="AF57" s="37"/>
      <c r="AG57" s="37"/>
      <c r="AH57" s="37">
        <v>18</v>
      </c>
      <c r="AJ57" s="41"/>
      <c r="AK57" s="41"/>
      <c r="AL57" s="41"/>
      <c r="AM57" s="41">
        <f>SUM(AF57:AL57)+AT57+AV57+AX57</f>
        <v>18</v>
      </c>
      <c r="AN57" s="41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37"/>
      <c r="BC57" s="57"/>
      <c r="BD57" s="57"/>
      <c r="BE57" s="37"/>
      <c r="BF57" s="57"/>
    </row>
    <row r="58" spans="1:58" ht="12.95" customHeight="1">
      <c r="A58" s="44"/>
      <c r="B58" s="45"/>
      <c r="C58" s="452"/>
      <c r="D58" s="45"/>
      <c r="E58" s="46"/>
      <c r="F58" s="46"/>
      <c r="G58" s="465"/>
      <c r="H58" s="48"/>
      <c r="I58" s="49"/>
      <c r="J58" s="91"/>
      <c r="K58" s="91"/>
      <c r="L58" s="39"/>
      <c r="M58" s="39"/>
      <c r="N58" s="50"/>
      <c r="O58" s="51"/>
      <c r="P58" s="52"/>
      <c r="Q58" s="51"/>
      <c r="R58" s="422"/>
      <c r="S58" s="422"/>
      <c r="T58" s="41"/>
      <c r="U58" s="41"/>
      <c r="V58" s="41"/>
      <c r="W58" s="41"/>
      <c r="X58" s="42"/>
      <c r="Y58" s="223"/>
      <c r="Z58" s="41"/>
      <c r="AA58" s="41"/>
      <c r="AB58" s="41"/>
      <c r="AC58" s="41"/>
      <c r="AD58" s="41">
        <f>+AM58+BA58</f>
        <v>0</v>
      </c>
      <c r="AE58" s="241" t="s">
        <v>600</v>
      </c>
      <c r="AF58" s="41"/>
      <c r="AG58" s="41"/>
      <c r="AH58" s="41"/>
      <c r="AI58" s="461"/>
      <c r="AJ58" s="41"/>
      <c r="AK58" s="41"/>
      <c r="AL58" s="41"/>
      <c r="AM58" s="41">
        <f>SUM(AF58:AL58)+AT58+AV58+AX58</f>
        <v>0</v>
      </c>
      <c r="AN58" s="41"/>
      <c r="AO58" s="41"/>
      <c r="AP58" s="41"/>
      <c r="AQ58" s="41"/>
      <c r="AR58" s="41">
        <f>SUM(AN58:AQ58)</f>
        <v>0</v>
      </c>
      <c r="AS58" s="41"/>
      <c r="AT58" s="41">
        <f>60-60</f>
        <v>0</v>
      </c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37"/>
      <c r="BC58" s="57"/>
      <c r="BD58" s="57"/>
      <c r="BE58" s="37"/>
      <c r="BF58" s="57"/>
    </row>
    <row r="59" spans="1:58" ht="12.95" customHeight="1">
      <c r="A59" s="346"/>
      <c r="B59" s="45"/>
      <c r="C59" s="452"/>
      <c r="D59" s="45"/>
      <c r="E59" s="46"/>
      <c r="F59" s="46"/>
      <c r="G59" s="47"/>
      <c r="H59" s="48"/>
      <c r="I59" s="49"/>
      <c r="J59" s="91"/>
      <c r="K59" s="91"/>
      <c r="L59" s="39"/>
      <c r="M59" s="39"/>
      <c r="N59" s="50"/>
      <c r="O59" s="51"/>
      <c r="P59" s="52"/>
      <c r="Q59" s="51"/>
      <c r="R59" s="422"/>
      <c r="S59" s="422"/>
      <c r="T59" s="41"/>
      <c r="U59" s="41"/>
      <c r="V59" s="41"/>
      <c r="W59" s="41"/>
      <c r="X59" s="419"/>
      <c r="Y59" s="223"/>
      <c r="Z59" s="41"/>
      <c r="AA59" s="53"/>
      <c r="AB59" s="53"/>
      <c r="AC59" s="41"/>
      <c r="AD59" s="41"/>
      <c r="AE59" s="2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37"/>
      <c r="BC59" s="55"/>
      <c r="BD59" s="55"/>
      <c r="BE59" s="55"/>
      <c r="BF59" s="55"/>
    </row>
    <row r="60" spans="1:58" ht="12.95" customHeight="1">
      <c r="A60" s="346">
        <v>45973</v>
      </c>
      <c r="B60" s="45" t="s">
        <v>599</v>
      </c>
      <c r="C60" s="452">
        <f>(M60*E60*O60*Q60)/100000000</f>
        <v>52.658057739130427</v>
      </c>
      <c r="D60" s="45" t="s">
        <v>410</v>
      </c>
      <c r="E60" s="46">
        <v>13</v>
      </c>
      <c r="F60" s="46">
        <v>1</v>
      </c>
      <c r="G60" s="465">
        <v>1350</v>
      </c>
      <c r="H60" s="48">
        <f>+N60</f>
        <v>0.19999999999999996</v>
      </c>
      <c r="I60" s="49">
        <v>0.88</v>
      </c>
      <c r="J60" s="91">
        <f>E60*G60*(1-H60)*1440/1000000*2.77</f>
        <v>56.002752000000001</v>
      </c>
      <c r="K60" s="91">
        <f>(IF(G60&lt;L60,L60,G60)*(1-IF(H60&lt;N60,H60,N60))*E60*O60*Q60)/100000000</f>
        <v>52.658057739130427</v>
      </c>
      <c r="L60" s="39">
        <v>1350</v>
      </c>
      <c r="M60" s="39">
        <f>+L60-L60*0.2</f>
        <v>1080</v>
      </c>
      <c r="N60" s="50">
        <f>1-(M60/L60)</f>
        <v>0.19999999999999996</v>
      </c>
      <c r="O60" s="51">
        <f>+'Trim Rwd'!H51</f>
        <v>260.45652173913044</v>
      </c>
      <c r="P60" s="52">
        <f>O60*(Q60-R60-S60)</f>
        <v>374015.5652173913</v>
      </c>
      <c r="Q60" s="51">
        <v>1440</v>
      </c>
      <c r="R60" s="422">
        <v>0</v>
      </c>
      <c r="S60" s="422">
        <v>4</v>
      </c>
      <c r="T60" s="41">
        <f>E60*M60*O60*Q60/100000000</f>
        <v>52.658057739130427</v>
      </c>
      <c r="U60" s="41">
        <f>E60*M60*O60*(Q60-R60-S60)/100000000</f>
        <v>52.511785356521742</v>
      </c>
      <c r="V60" s="41">
        <f>E60*G60*(1-N60)*O60/100*(R60+S60)/1000000</f>
        <v>0.14627238260869566</v>
      </c>
      <c r="W60" s="41">
        <f>+'12'!K34/1000</f>
        <v>54.314999999999998</v>
      </c>
      <c r="X60" s="419">
        <f>SUM(W60:W63)/SUM(K60:K63)</f>
        <v>1.031466072468493</v>
      </c>
      <c r="Y60" s="223">
        <v>0</v>
      </c>
      <c r="Z60" s="41">
        <f>+'12'!D34/1000</f>
        <v>0.27300000000000002</v>
      </c>
      <c r="AA60" s="53">
        <f>SUM(U60:U63)-SUM(W60:W63)-SUM(Z60:Z63)-SUM(Y60:Y63)</f>
        <v>-2.0762146434782562</v>
      </c>
      <c r="AB60" s="53">
        <f>(SUM(K60:K63)-SUM(W60:W63)-SUM(Y60:Y63)-SUM(Z60:Z63)-SUM(AC60:AC63)-SUM(V60:V63))-AA60</f>
        <v>-9.7699626167013776E-15</v>
      </c>
      <c r="AC60" s="41">
        <f>K60-T60</f>
        <v>0</v>
      </c>
      <c r="AD60" s="41">
        <f>+AM60+BA60</f>
        <v>0</v>
      </c>
      <c r="AE60" s="241" t="s">
        <v>492</v>
      </c>
      <c r="AF60" s="41">
        <v>0</v>
      </c>
      <c r="AG60" s="41"/>
      <c r="AH60" s="41"/>
      <c r="AI60" s="461"/>
      <c r="AJ60" s="41"/>
      <c r="AK60" s="41"/>
      <c r="AL60" s="41"/>
      <c r="AM60" s="41">
        <f>SUM(AF60:AL60)+AT60+AV60+AX60</f>
        <v>0</v>
      </c>
      <c r="AN60" s="41"/>
      <c r="AO60" s="41"/>
      <c r="AP60" s="41"/>
      <c r="AQ60" s="41"/>
      <c r="AR60" s="41">
        <f>SUM(AN60:AQ60)</f>
        <v>0</v>
      </c>
      <c r="AS60" s="41"/>
      <c r="AT60" s="41"/>
      <c r="AU60" s="41"/>
      <c r="AV60" s="41"/>
      <c r="AW60" s="41"/>
      <c r="AX60" s="41"/>
      <c r="AY60" s="41"/>
      <c r="AZ60" s="41"/>
      <c r="BA60" s="41">
        <f>+AR60+AS60+AU60+AW60+AY60+AZ60</f>
        <v>0</v>
      </c>
      <c r="BB60" s="37">
        <v>0</v>
      </c>
      <c r="BC60" s="55"/>
      <c r="BD60" s="55"/>
      <c r="BE60" s="37"/>
      <c r="BF60" s="55"/>
    </row>
    <row r="61" spans="1:58" ht="12.95" customHeight="1">
      <c r="A61" s="346"/>
      <c r="B61" s="45"/>
      <c r="C61" s="452"/>
      <c r="D61" s="45"/>
      <c r="E61" s="46"/>
      <c r="F61" s="46"/>
      <c r="G61" s="465"/>
      <c r="H61" s="48"/>
      <c r="I61" s="49"/>
      <c r="J61" s="91"/>
      <c r="K61" s="91"/>
      <c r="L61" s="39"/>
      <c r="M61" s="39"/>
      <c r="N61" s="50"/>
      <c r="O61" s="51"/>
      <c r="P61" s="52"/>
      <c r="Q61" s="51"/>
      <c r="R61" s="422"/>
      <c r="S61" s="422"/>
      <c r="T61" s="41"/>
      <c r="U61" s="41"/>
      <c r="V61" s="41"/>
      <c r="W61" s="41"/>
      <c r="X61" s="42"/>
      <c r="Y61" s="223"/>
      <c r="Z61" s="41"/>
      <c r="AA61" s="41"/>
      <c r="AB61" s="41"/>
      <c r="AC61" s="41"/>
      <c r="AD61" s="41">
        <f>+AM61+BA61</f>
        <v>0</v>
      </c>
      <c r="AE61" s="241" t="s">
        <v>448</v>
      </c>
      <c r="AF61" s="41"/>
      <c r="AG61" s="41">
        <v>0</v>
      </c>
      <c r="AH61" s="41"/>
      <c r="AI61" s="461"/>
      <c r="AJ61" s="41"/>
      <c r="AK61" s="41"/>
      <c r="AL61" s="41"/>
      <c r="AM61" s="41">
        <f>SUM(AF61:AL61)+AT61+AV61+AX61</f>
        <v>0</v>
      </c>
      <c r="AN61" s="92"/>
      <c r="AO61" s="41"/>
      <c r="AP61" s="41"/>
      <c r="AQ61" s="41"/>
      <c r="AR61" s="41">
        <f>SUM(AN61:AQ61)</f>
        <v>0</v>
      </c>
      <c r="AS61" s="41"/>
      <c r="AT61" s="41"/>
      <c r="AU61" s="41"/>
      <c r="AV61" s="41"/>
      <c r="AW61" s="41"/>
      <c r="AX61" s="41"/>
      <c r="AY61" s="41"/>
      <c r="AZ61" s="41"/>
      <c r="BA61" s="41">
        <f>+AR61+AS61+AU61+AW61+AY61+AZ61</f>
        <v>0</v>
      </c>
      <c r="BB61" s="54"/>
      <c r="BC61" s="55">
        <v>0</v>
      </c>
      <c r="BD61" s="55"/>
      <c r="BE61" s="54"/>
      <c r="BF61" s="55"/>
    </row>
    <row r="62" spans="1:58" ht="12.95" customHeight="1">
      <c r="A62" s="44"/>
      <c r="B62" s="45"/>
      <c r="C62" s="452"/>
      <c r="D62" s="45"/>
      <c r="E62" s="46"/>
      <c r="F62" s="46"/>
      <c r="G62" s="465"/>
      <c r="H62" s="48"/>
      <c r="I62" s="49"/>
      <c r="J62" s="91"/>
      <c r="K62" s="91"/>
      <c r="L62" s="39"/>
      <c r="M62" s="39"/>
      <c r="N62" s="50"/>
      <c r="O62" s="51"/>
      <c r="P62" s="52"/>
      <c r="Q62" s="51"/>
      <c r="R62" s="422"/>
      <c r="S62" s="422"/>
      <c r="T62" s="41"/>
      <c r="U62" s="41"/>
      <c r="V62" s="41"/>
      <c r="W62" s="41"/>
      <c r="X62" s="42"/>
      <c r="Y62" s="223"/>
      <c r="Z62" s="41"/>
      <c r="AA62" s="41"/>
      <c r="AB62" s="41"/>
      <c r="AC62" s="41"/>
      <c r="AD62" s="41">
        <f>+AM62+BA62</f>
        <v>4</v>
      </c>
      <c r="AE62" s="241" t="s">
        <v>607</v>
      </c>
      <c r="AF62" s="37"/>
      <c r="AG62" s="37"/>
      <c r="AH62" s="37">
        <v>4</v>
      </c>
      <c r="AJ62" s="41"/>
      <c r="AK62" s="41"/>
      <c r="AL62" s="41"/>
      <c r="AM62" s="41">
        <f>SUM(AF62:AL62)+AT62+AV62+AX62</f>
        <v>4</v>
      </c>
      <c r="AN62" s="41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37"/>
      <c r="BC62" s="57"/>
      <c r="BD62" s="57"/>
      <c r="BE62" s="37"/>
      <c r="BF62" s="57"/>
    </row>
    <row r="63" spans="1:58" ht="12.95" customHeight="1">
      <c r="A63" s="346"/>
      <c r="B63" s="45"/>
      <c r="C63" s="452"/>
      <c r="D63" s="45"/>
      <c r="E63" s="46"/>
      <c r="F63" s="46"/>
      <c r="G63" s="465"/>
      <c r="H63" s="48"/>
      <c r="I63" s="49"/>
      <c r="J63" s="91"/>
      <c r="K63" s="91"/>
      <c r="L63" s="39"/>
      <c r="M63" s="39"/>
      <c r="N63" s="50"/>
      <c r="O63" s="51"/>
      <c r="P63" s="52"/>
      <c r="Q63" s="51"/>
      <c r="R63" s="422"/>
      <c r="S63" s="422"/>
      <c r="T63" s="41"/>
      <c r="U63" s="41"/>
      <c r="V63" s="41"/>
      <c r="W63" s="41"/>
      <c r="X63" s="419"/>
      <c r="Y63" s="223"/>
      <c r="Z63" s="41"/>
      <c r="AA63" s="53"/>
      <c r="AB63" s="53"/>
      <c r="AC63" s="41"/>
      <c r="AD63" s="41"/>
      <c r="AE63" s="241"/>
      <c r="AF63" s="41"/>
      <c r="AG63" s="41"/>
      <c r="AH63" s="41"/>
      <c r="AI63" s="461"/>
      <c r="AJ63" s="41"/>
      <c r="AK63" s="41"/>
      <c r="AL63" s="41"/>
      <c r="AM63" s="41"/>
      <c r="AN63" s="92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54"/>
      <c r="BC63" s="55"/>
      <c r="BD63" s="55"/>
      <c r="BE63" s="55"/>
      <c r="BF63" s="55"/>
    </row>
    <row r="64" spans="1:58" ht="12.95" customHeight="1">
      <c r="A64" s="346">
        <v>46004</v>
      </c>
      <c r="B64" s="45" t="s">
        <v>599</v>
      </c>
      <c r="C64" s="452">
        <f>(M64*E64*O64*Q64)/100000000</f>
        <v>27.998441187096773</v>
      </c>
      <c r="D64" s="45" t="s">
        <v>410</v>
      </c>
      <c r="E64" s="46">
        <v>13</v>
      </c>
      <c r="F64" s="46">
        <v>1</v>
      </c>
      <c r="G64" s="465">
        <v>1350</v>
      </c>
      <c r="H64" s="48">
        <f>+N64</f>
        <v>0.19999999999999996</v>
      </c>
      <c r="I64" s="49">
        <v>0.88</v>
      </c>
      <c r="J64" s="91">
        <f>E64*G64*(1-H64)*1440/1000000*2.77</f>
        <v>56.002752000000001</v>
      </c>
      <c r="K64" s="91">
        <f>(IF(G64&lt;L64,L64,G64)*(1-IF(H64&lt;N64,H64,N64))*E64*O64*Q64)/100000000</f>
        <v>27.998441187096773</v>
      </c>
      <c r="L64" s="39">
        <v>1350</v>
      </c>
      <c r="M64" s="39">
        <v>1080</v>
      </c>
      <c r="N64" s="50">
        <f>1-(M64/L64)</f>
        <v>0.19999999999999996</v>
      </c>
      <c r="O64" s="51">
        <f>+'Trim Rwd'!H54</f>
        <v>262.39354838709676</v>
      </c>
      <c r="P64" s="52">
        <f>O64*(Q64-R64-S64)</f>
        <v>197319.94838709675</v>
      </c>
      <c r="Q64" s="51">
        <v>760</v>
      </c>
      <c r="R64" s="422">
        <v>0</v>
      </c>
      <c r="S64" s="422">
        <v>8</v>
      </c>
      <c r="T64" s="41">
        <f>E64*M64*O64*Q64/100000000</f>
        <v>27.998441187096773</v>
      </c>
      <c r="U64" s="41">
        <f>E64*M64*O64*(Q64-R64-S64)/100000000</f>
        <v>27.703720753548385</v>
      </c>
      <c r="V64" s="41">
        <f>E64*G64*(1-N64)*O64/100*(R64+S64)/1000000</f>
        <v>0.29472043354838706</v>
      </c>
      <c r="W64" s="41">
        <f>+'13'!K17/1000</f>
        <v>39.387999999999998</v>
      </c>
      <c r="X64" s="419">
        <f>SUM(W64:W68)/SUM(K64:K68)</f>
        <v>0.88974941535176078</v>
      </c>
      <c r="Y64" s="223">
        <v>0</v>
      </c>
      <c r="Z64" s="41">
        <f>+'13'!D34/1000</f>
        <v>1.427</v>
      </c>
      <c r="AA64" s="53">
        <f>SUM(U64:U68)-SUM(W64:W68)-SUM(Z64:Z68)-SUM(Y64:Y68)</f>
        <v>4.162173553548385</v>
      </c>
      <c r="AB64" s="53">
        <f>(SUM(K64:K68)-SUM(W64:W68)-SUM(Y64:Y68)-SUM(Z64:Z68)-SUM(AC64:AC68)-SUM(V64:V68))-AA64</f>
        <v>0</v>
      </c>
      <c r="AC64" s="41">
        <f>K64-T64</f>
        <v>0</v>
      </c>
      <c r="AD64" s="41">
        <f>+AM64+BA64</f>
        <v>0</v>
      </c>
      <c r="AE64" s="241" t="s">
        <v>492</v>
      </c>
      <c r="AF64" s="41">
        <v>0</v>
      </c>
      <c r="AG64" s="41"/>
      <c r="AH64" s="41"/>
      <c r="AI64" s="461"/>
      <c r="AJ64" s="41"/>
      <c r="AK64" s="41"/>
      <c r="AL64" s="41"/>
      <c r="AM64" s="41">
        <f>SUM(AF64:AL64)+AT64+AV64+AX64</f>
        <v>0</v>
      </c>
      <c r="AN64" s="41"/>
      <c r="AO64" s="41"/>
      <c r="AP64" s="41"/>
      <c r="AQ64" s="41"/>
      <c r="AR64" s="41">
        <f>SUM(AN64:AQ64)</f>
        <v>0</v>
      </c>
      <c r="AS64" s="41"/>
      <c r="AT64" s="41"/>
      <c r="AU64" s="41"/>
      <c r="AV64" s="41"/>
      <c r="AW64" s="41"/>
      <c r="AX64" s="41"/>
      <c r="AY64" s="41"/>
      <c r="AZ64" s="41"/>
      <c r="BA64" s="41">
        <f>+AR64+AS64+AU64+AW64+AY64+AZ64</f>
        <v>0</v>
      </c>
      <c r="BB64" s="37">
        <v>0</v>
      </c>
      <c r="BC64" s="55"/>
      <c r="BD64" s="55"/>
      <c r="BE64" s="37"/>
      <c r="BF64" s="55"/>
    </row>
    <row r="65" spans="1:58" ht="12.95" customHeight="1">
      <c r="A65" s="346"/>
      <c r="B65" s="45" t="s">
        <v>599</v>
      </c>
      <c r="C65" s="452">
        <f>(M65*E65*O65*Q65)/100000000</f>
        <v>13.970879999999999</v>
      </c>
      <c r="D65" s="45" t="s">
        <v>410</v>
      </c>
      <c r="E65" s="46">
        <v>14</v>
      </c>
      <c r="F65" s="46">
        <v>1</v>
      </c>
      <c r="G65" s="465">
        <v>1350</v>
      </c>
      <c r="H65" s="48">
        <f>+N65</f>
        <v>0.19999999999999996</v>
      </c>
      <c r="I65" s="49">
        <v>0.88</v>
      </c>
      <c r="J65" s="91">
        <f>E65*G65*(1-H65)*1440/1000000*2.77</f>
        <v>60.310656000000002</v>
      </c>
      <c r="K65" s="91">
        <f>(IF(G65&lt;L65,L65,G65)*(1-IF(H65&lt;N65,H65,N65))*E65*O65*Q65)/100000000</f>
        <v>13.970879999999999</v>
      </c>
      <c r="L65" s="39">
        <v>1350</v>
      </c>
      <c r="M65" s="39">
        <f>+L65-L65*0.2</f>
        <v>1080</v>
      </c>
      <c r="N65" s="50">
        <f>1-(M65/L65)</f>
        <v>0.19999999999999996</v>
      </c>
      <c r="O65" s="51">
        <f>+'Trim Rwd'!H56</f>
        <v>264</v>
      </c>
      <c r="P65" s="52">
        <f>O65*(Q65-R65-S65)</f>
        <v>91344</v>
      </c>
      <c r="Q65" s="51">
        <v>350</v>
      </c>
      <c r="R65" s="422">
        <v>0</v>
      </c>
      <c r="S65" s="422">
        <v>4</v>
      </c>
      <c r="T65" s="41">
        <f>E65*M65*O65*Q65/100000000</f>
        <v>13.970879999999999</v>
      </c>
      <c r="U65" s="41">
        <f>E65*M65*O65*(Q65-R65-S65)/100000000</f>
        <v>13.8112128</v>
      </c>
      <c r="V65" s="41">
        <f>E65*G65*(1-N65)*O65/100*(R65+S65)/1000000</f>
        <v>0.15966720000000001</v>
      </c>
      <c r="W65" s="41">
        <f>+'13'!K18/1000</f>
        <v>10.797000000000001</v>
      </c>
      <c r="X65" s="42"/>
      <c r="Y65" s="223"/>
      <c r="Z65" s="41"/>
      <c r="AA65" s="41"/>
      <c r="AB65" s="41"/>
      <c r="AC65" s="41">
        <f>K65-T65</f>
        <v>0</v>
      </c>
      <c r="AD65" s="41">
        <f>+AM65+BA65</f>
        <v>1</v>
      </c>
      <c r="AE65" s="241" t="s">
        <v>494</v>
      </c>
      <c r="AF65" s="41"/>
      <c r="AG65" s="41">
        <v>1</v>
      </c>
      <c r="AH65" s="41"/>
      <c r="AI65" s="461"/>
      <c r="AJ65" s="41"/>
      <c r="AK65" s="41"/>
      <c r="AL65" s="41"/>
      <c r="AM65" s="41">
        <f>SUM(AF65:AL65)+AT65+AV65+AX65</f>
        <v>1</v>
      </c>
      <c r="AN65" s="92"/>
      <c r="AO65" s="41"/>
      <c r="AP65" s="41"/>
      <c r="AQ65" s="41"/>
      <c r="AR65" s="41">
        <f>SUM(AN65:AQ65)</f>
        <v>0</v>
      </c>
      <c r="AS65" s="41"/>
      <c r="AT65" s="41"/>
      <c r="AU65" s="41"/>
      <c r="AV65" s="41"/>
      <c r="AW65" s="41"/>
      <c r="AX65" s="41"/>
      <c r="AY65" s="41"/>
      <c r="AZ65" s="41"/>
      <c r="BA65" s="41">
        <f>+AR65+AS65+AU65+AW65+AY65+AZ65</f>
        <v>0</v>
      </c>
      <c r="BB65" s="54"/>
      <c r="BC65" s="55">
        <v>1</v>
      </c>
      <c r="BD65" s="55"/>
      <c r="BE65" s="54"/>
      <c r="BF65" s="55"/>
    </row>
    <row r="66" spans="1:58" ht="12.95" customHeight="1">
      <c r="A66" s="44"/>
      <c r="B66" s="45" t="s">
        <v>599</v>
      </c>
      <c r="C66" s="452">
        <f>(M66*E66*O66*Q66)/100000000</f>
        <v>14.434200000000001</v>
      </c>
      <c r="D66" s="45" t="s">
        <v>410</v>
      </c>
      <c r="E66" s="46">
        <v>15</v>
      </c>
      <c r="F66" s="46">
        <v>1</v>
      </c>
      <c r="G66" s="465">
        <v>1350</v>
      </c>
      <c r="H66" s="48">
        <f>+N66</f>
        <v>0.19999999999999996</v>
      </c>
      <c r="I66" s="49">
        <v>0.88</v>
      </c>
      <c r="J66" s="91">
        <f>E66*G66*(1-H66)*1440/1000000*2.77</f>
        <v>64.618560000000002</v>
      </c>
      <c r="K66" s="91">
        <f>(IF(G66&lt;L66,L66,G66)*(1-IF(H66&lt;N66,H66,N66))*E66*O66*Q66)/100000000</f>
        <v>14.434200000000001</v>
      </c>
      <c r="L66" s="39">
        <v>1350</v>
      </c>
      <c r="M66" s="39">
        <f>+L66-L66*0.2</f>
        <v>1080</v>
      </c>
      <c r="N66" s="50">
        <f>1-(M66/L66)</f>
        <v>0.19999999999999996</v>
      </c>
      <c r="O66" s="51">
        <f>+'Trim Rwd'!H57</f>
        <v>270</v>
      </c>
      <c r="P66" s="52">
        <f>O66*(Q66-R66-S66)</f>
        <v>88020</v>
      </c>
      <c r="Q66" s="51">
        <v>330</v>
      </c>
      <c r="R66" s="422">
        <v>0</v>
      </c>
      <c r="S66" s="422">
        <v>4</v>
      </c>
      <c r="T66" s="41">
        <f>E66*M66*O66*Q66/100000000</f>
        <v>14.434200000000001</v>
      </c>
      <c r="U66" s="41">
        <f>E66*M66*O66*(Q66-R66-S66)/100000000</f>
        <v>14.25924</v>
      </c>
      <c r="V66" s="41">
        <f>E66*G66*(1-N66)*O66/100*(R66+S66)/1000000</f>
        <v>0.17496</v>
      </c>
      <c r="W66" s="41">
        <f>+'13'!K19/1000</f>
        <v>0</v>
      </c>
      <c r="X66" s="42"/>
      <c r="Y66" s="223"/>
      <c r="Z66" s="41"/>
      <c r="AA66" s="41"/>
      <c r="AB66" s="41"/>
      <c r="AC66" s="41">
        <f>K66-T66</f>
        <v>0</v>
      </c>
      <c r="AD66" s="41">
        <f>+AM66+BA66</f>
        <v>7</v>
      </c>
      <c r="AE66" s="241" t="s">
        <v>607</v>
      </c>
      <c r="AF66" s="37"/>
      <c r="AG66" s="37"/>
      <c r="AH66" s="37">
        <v>7</v>
      </c>
      <c r="AJ66" s="41"/>
      <c r="AK66" s="41"/>
      <c r="AL66" s="41"/>
      <c r="AM66" s="41">
        <f>SUM(AF66:AL66)+AT66+AV66+AX66</f>
        <v>7</v>
      </c>
      <c r="AN66" s="41"/>
      <c r="AO66" s="41"/>
      <c r="AP66" s="41"/>
      <c r="AQ66" s="41"/>
      <c r="AR66" s="41">
        <f>SUM(AN66:AQ66)</f>
        <v>0</v>
      </c>
      <c r="AS66" s="41"/>
      <c r="AT66" s="41"/>
      <c r="AU66" s="41"/>
      <c r="AV66" s="41"/>
      <c r="AW66" s="41"/>
      <c r="AX66" s="41"/>
      <c r="AY66" s="41"/>
      <c r="AZ66" s="41"/>
      <c r="BA66" s="41">
        <f>+AR66+AS66+AU66+AW66+AY66+AZ66</f>
        <v>0</v>
      </c>
      <c r="BB66" s="37"/>
      <c r="BC66" s="57"/>
      <c r="BD66" s="57"/>
      <c r="BE66" s="37"/>
      <c r="BF66" s="57"/>
    </row>
    <row r="67" spans="1:58" ht="12.95" customHeight="1">
      <c r="A67" s="346"/>
      <c r="B67" s="45"/>
      <c r="C67" s="452"/>
      <c r="D67" s="45"/>
      <c r="E67" s="46"/>
      <c r="F67" s="46"/>
      <c r="G67" s="465"/>
      <c r="H67" s="48"/>
      <c r="I67" s="49"/>
      <c r="J67" s="91"/>
      <c r="K67" s="91"/>
      <c r="L67" s="39"/>
      <c r="M67" s="39"/>
      <c r="N67" s="50"/>
      <c r="O67" s="51"/>
      <c r="P67" s="52"/>
      <c r="Q67" s="51"/>
      <c r="R67" s="422"/>
      <c r="S67" s="422"/>
      <c r="T67" s="41"/>
      <c r="U67" s="41"/>
      <c r="V67" s="41"/>
      <c r="W67" s="41"/>
      <c r="X67" s="419"/>
      <c r="Y67" s="223"/>
      <c r="Z67" s="41"/>
      <c r="AA67" s="53"/>
      <c r="AB67" s="53"/>
      <c r="AC67" s="41"/>
      <c r="AD67" s="41">
        <f>+AM67+BA67</f>
        <v>8</v>
      </c>
      <c r="AE67" s="241" t="s">
        <v>420</v>
      </c>
      <c r="AF67" s="41"/>
      <c r="AG67" s="41"/>
      <c r="AH67" s="41"/>
      <c r="AI67" s="461">
        <v>8</v>
      </c>
      <c r="AJ67" s="41"/>
      <c r="AK67" s="41"/>
      <c r="AL67" s="41"/>
      <c r="AM67" s="41">
        <f>SUM(AF67:AL67)+AT67+AV67+AX67</f>
        <v>8</v>
      </c>
      <c r="AN67" s="41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37"/>
      <c r="BC67" s="57"/>
      <c r="BD67" s="57"/>
      <c r="BE67" s="37"/>
      <c r="BF67" s="57"/>
    </row>
    <row r="68" spans="1:58" ht="12.95" customHeight="1">
      <c r="A68" s="44"/>
      <c r="B68" s="45"/>
      <c r="C68" s="452"/>
      <c r="D68" s="45"/>
      <c r="E68" s="46"/>
      <c r="F68" s="46"/>
      <c r="G68" s="47"/>
      <c r="H68" s="48"/>
      <c r="I68" s="49"/>
      <c r="J68" s="91"/>
      <c r="K68" s="91"/>
      <c r="L68" s="39"/>
      <c r="M68" s="39"/>
      <c r="N68" s="50"/>
      <c r="O68" s="51"/>
      <c r="P68" s="52"/>
      <c r="Q68" s="51"/>
      <c r="R68" s="422"/>
      <c r="S68" s="422"/>
      <c r="T68" s="41"/>
      <c r="U68" s="41"/>
      <c r="V68" s="41"/>
      <c r="W68" s="41"/>
      <c r="X68" s="42"/>
      <c r="Y68" s="223"/>
      <c r="Z68" s="41"/>
      <c r="AA68" s="41"/>
      <c r="AB68" s="41"/>
      <c r="AC68" s="41"/>
      <c r="AD68" s="41"/>
      <c r="AE68" s="241"/>
      <c r="AF68" s="37"/>
      <c r="AG68" s="37"/>
      <c r="AH68" s="37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37"/>
      <c r="BC68" s="57"/>
      <c r="BD68" s="55"/>
      <c r="BE68" s="55"/>
      <c r="BF68" s="55"/>
    </row>
    <row r="69" spans="1:58" ht="12.95" customHeight="1">
      <c r="A69" s="346">
        <v>46005</v>
      </c>
      <c r="B69" s="45" t="s">
        <v>599</v>
      </c>
      <c r="C69" s="452">
        <f>(M69*E69*O69*Q69)/100000000</f>
        <v>57.643175635359114</v>
      </c>
      <c r="D69" s="45" t="s">
        <v>410</v>
      </c>
      <c r="E69" s="46">
        <v>15</v>
      </c>
      <c r="F69" s="46">
        <v>1</v>
      </c>
      <c r="G69" s="465">
        <v>1350</v>
      </c>
      <c r="H69" s="48">
        <f>+N69</f>
        <v>0.19999999999999996</v>
      </c>
      <c r="I69" s="49">
        <v>0.88</v>
      </c>
      <c r="J69" s="91">
        <f>E69*G69*(1-H69)*1440/1000000*2.77</f>
        <v>64.618560000000002</v>
      </c>
      <c r="K69" s="91">
        <f>(IF(G69&lt;L69,L69,G69)*(1-IF(H69&lt;N69,H69,N69))*E69*O69*Q69)/100000000</f>
        <v>57.643175635359114</v>
      </c>
      <c r="L69" s="39">
        <v>1350</v>
      </c>
      <c r="M69" s="39">
        <f>+L69-L69*0.2</f>
        <v>1080</v>
      </c>
      <c r="N69" s="50">
        <f>1-(M69/L69)</f>
        <v>0.19999999999999996</v>
      </c>
      <c r="O69" s="51">
        <f>+'Trim Rwd'!H60</f>
        <v>253.25414364640883</v>
      </c>
      <c r="P69" s="52">
        <f>O69*(Q69-R69-S69)</f>
        <v>339107.29834254144</v>
      </c>
      <c r="Q69" s="51">
        <v>1405</v>
      </c>
      <c r="R69" s="422">
        <v>0</v>
      </c>
      <c r="S69" s="422">
        <v>66</v>
      </c>
      <c r="T69" s="41">
        <f>E69*M69*O69*Q69/100000000</f>
        <v>57.643175635359114</v>
      </c>
      <c r="U69" s="41">
        <f>E69*M69*O69*(Q69-R69-S69)/100000000</f>
        <v>54.935382331491709</v>
      </c>
      <c r="V69" s="41">
        <f>E69*G69*(1-N69)*O69/100*(R69+S69)/1000000</f>
        <v>2.7077933038674034</v>
      </c>
      <c r="W69" s="41">
        <f>+'14'!K19/1000</f>
        <v>37.658999999999999</v>
      </c>
      <c r="X69" s="419">
        <f>SUM(W69:W73)/SUM(K69:K73)</f>
        <v>0.80756556321839434</v>
      </c>
      <c r="Y69" s="223">
        <v>0</v>
      </c>
      <c r="Z69" s="41">
        <f>+('14'!D8+'14'!D16+'14'!D25)/1000</f>
        <v>1.522</v>
      </c>
      <c r="AA69" s="53">
        <f>SUM(U69:U73)-SUM(W69:W73)-SUM(Z69:Z73)-SUM(Y69:Y73)</f>
        <v>6.3899642034917061</v>
      </c>
      <c r="AB69" s="53">
        <f>(SUM(K69:K73)-SUM(W69:W73)-SUM(Y69:Y73)-SUM(Z69:Z73)-SUM(AC69:AC73)-SUM(V69:V73))-AA69</f>
        <v>0</v>
      </c>
      <c r="AC69" s="41">
        <f>K69-T69</f>
        <v>0</v>
      </c>
      <c r="AD69" s="41">
        <f>+AM69+BA69</f>
        <v>10</v>
      </c>
      <c r="AE69" s="241" t="s">
        <v>477</v>
      </c>
      <c r="AF69" s="41">
        <v>10</v>
      </c>
      <c r="AG69" s="41"/>
      <c r="AH69" s="41"/>
      <c r="AI69" s="461"/>
      <c r="AJ69" s="41"/>
      <c r="AK69" s="41"/>
      <c r="AL69" s="41"/>
      <c r="AM69" s="41">
        <f>SUM(AF69:AL69)+AT69+AV69+AX69</f>
        <v>10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>
        <v>2</v>
      </c>
      <c r="BC69" s="55"/>
      <c r="BD69" s="55"/>
      <c r="BE69" s="37"/>
      <c r="BF69" s="55"/>
    </row>
    <row r="70" spans="1:58" ht="12.95" customHeight="1">
      <c r="A70" s="346"/>
      <c r="B70" s="45" t="s">
        <v>7</v>
      </c>
      <c r="C70" s="452">
        <f>(M70*E70*O70*Q70)/100000000</f>
        <v>1.2565818720000004</v>
      </c>
      <c r="D70" s="45" t="s">
        <v>410</v>
      </c>
      <c r="E70" s="46">
        <v>10.3</v>
      </c>
      <c r="F70" s="46">
        <v>1</v>
      </c>
      <c r="G70" s="465">
        <v>1730</v>
      </c>
      <c r="H70" s="48">
        <f>+N70</f>
        <v>0.15999999999999992</v>
      </c>
      <c r="I70" s="49">
        <v>0.88</v>
      </c>
      <c r="J70" s="91">
        <f>E70*G70*(1-H70)*1440/1000000*2.77</f>
        <v>59.704198848000011</v>
      </c>
      <c r="K70" s="91">
        <f>(IF(G70&lt;L70,L70,G70)*(1-IF(H70&lt;N70,H70,N70))*E70*O70*Q70)/100000000</f>
        <v>1.3935170760000002</v>
      </c>
      <c r="L70" s="39">
        <v>1560</v>
      </c>
      <c r="M70" s="39">
        <v>1310.4000000000001</v>
      </c>
      <c r="N70" s="50">
        <f>1-(M70/L70)</f>
        <v>0.15999999999999992</v>
      </c>
      <c r="O70" s="51">
        <f>+'Trim Rwd'!H62</f>
        <v>266</v>
      </c>
      <c r="P70" s="52">
        <f>O70*(Q70-R70-S70)</f>
        <v>9310</v>
      </c>
      <c r="Q70" s="51">
        <v>35</v>
      </c>
      <c r="R70" s="422">
        <v>0</v>
      </c>
      <c r="S70" s="422">
        <v>0</v>
      </c>
      <c r="T70" s="41">
        <f>E70*M70*O70*Q70/100000000</f>
        <v>1.2565818720000004</v>
      </c>
      <c r="U70" s="41">
        <f>E70*M70*O70*(Q70-R70-S70)/100000000</f>
        <v>1.2565818720000004</v>
      </c>
      <c r="V70" s="41">
        <f>E70*G70*(1-N70)*O70/100*(R70+S70)/1000000</f>
        <v>0</v>
      </c>
      <c r="W70" s="41">
        <f>+'14'!K16/1000</f>
        <v>0</v>
      </c>
      <c r="X70" s="42"/>
      <c r="Y70" s="223"/>
      <c r="Z70" s="41">
        <v>0</v>
      </c>
      <c r="AA70" s="41"/>
      <c r="AB70" s="41"/>
      <c r="AC70" s="41">
        <f>K70-T70</f>
        <v>0.13693520399999981</v>
      </c>
      <c r="AD70" s="41">
        <f>+AM70+BA70</f>
        <v>10</v>
      </c>
      <c r="AE70" s="241" t="s">
        <v>628</v>
      </c>
      <c r="AF70" s="41"/>
      <c r="AG70" s="41">
        <v>10</v>
      </c>
      <c r="AH70" s="41"/>
      <c r="AI70" s="461"/>
      <c r="AJ70" s="41"/>
      <c r="AK70" s="41"/>
      <c r="AL70" s="41"/>
      <c r="AM70" s="41">
        <f>SUM(AF70:AL70)+AT70+AV70+AX70</f>
        <v>10</v>
      </c>
      <c r="AN70" s="92"/>
      <c r="AO70" s="41"/>
      <c r="AP70" s="41"/>
      <c r="AQ70" s="41"/>
      <c r="AR70" s="41">
        <f>SUM(AN70:AQ70)</f>
        <v>0</v>
      </c>
      <c r="AS70" s="41"/>
      <c r="AT70" s="41"/>
      <c r="AU70" s="41"/>
      <c r="AV70" s="41"/>
      <c r="AW70" s="41"/>
      <c r="AX70" s="41"/>
      <c r="AY70" s="41"/>
      <c r="AZ70" s="41"/>
      <c r="BA70" s="41">
        <f>+AR70+AS70+AU70+AW70+AY70+AZ70</f>
        <v>0</v>
      </c>
      <c r="BB70" s="54"/>
      <c r="BC70" s="55">
        <v>9</v>
      </c>
      <c r="BD70" s="55"/>
      <c r="BE70" s="54"/>
      <c r="BF70" s="55"/>
    </row>
    <row r="71" spans="1:58" ht="12.95" customHeight="1">
      <c r="A71" s="44"/>
      <c r="B71" s="45" t="s">
        <v>599</v>
      </c>
      <c r="C71" s="452"/>
      <c r="D71" s="45"/>
      <c r="E71" s="46">
        <v>14</v>
      </c>
      <c r="F71" s="46"/>
      <c r="G71" s="465"/>
      <c r="H71" s="48"/>
      <c r="I71" s="49"/>
      <c r="J71" s="91"/>
      <c r="K71" s="91"/>
      <c r="L71" s="39"/>
      <c r="M71" s="39"/>
      <c r="N71" s="50"/>
      <c r="O71" s="51"/>
      <c r="P71" s="52"/>
      <c r="Q71" s="51"/>
      <c r="R71" s="422"/>
      <c r="S71" s="422"/>
      <c r="T71" s="41"/>
      <c r="U71" s="41"/>
      <c r="V71" s="41"/>
      <c r="W71" s="41">
        <f>+'14'!K18/1000</f>
        <v>10.016999999999999</v>
      </c>
      <c r="X71" s="42"/>
      <c r="Y71" s="223"/>
      <c r="Z71" s="41">
        <f>('14'!D7+'14'!D17+'14'!D26)/1000</f>
        <v>0.60399999999999998</v>
      </c>
      <c r="AA71" s="41"/>
      <c r="AB71" s="41"/>
      <c r="AC71" s="41"/>
      <c r="AD71" s="41">
        <f>+AM71+BA71</f>
        <v>21</v>
      </c>
      <c r="AE71" s="241" t="s">
        <v>607</v>
      </c>
      <c r="AF71" s="37"/>
      <c r="AG71" s="37"/>
      <c r="AH71" s="37">
        <v>21</v>
      </c>
      <c r="AJ71" s="41"/>
      <c r="AK71" s="41"/>
      <c r="AL71" s="41"/>
      <c r="AM71" s="41">
        <f>SUM(AF71:AL71)+AT71+AV71+AX71</f>
        <v>21</v>
      </c>
      <c r="AN71" s="41"/>
      <c r="AO71" s="41"/>
      <c r="AP71" s="41"/>
      <c r="AQ71" s="41"/>
      <c r="AR71" s="41">
        <f>SUM(AN71:AQ71)</f>
        <v>0</v>
      </c>
      <c r="AS71" s="41"/>
      <c r="AT71" s="41"/>
      <c r="AU71" s="41"/>
      <c r="AV71" s="41"/>
      <c r="AW71" s="41"/>
      <c r="AX71" s="41"/>
      <c r="AY71" s="41"/>
      <c r="AZ71" s="41"/>
      <c r="BA71" s="41">
        <f>+AR71+AS71+AU71+AW71+AY71+AZ71</f>
        <v>0</v>
      </c>
      <c r="BB71" s="37"/>
      <c r="BC71" s="57"/>
      <c r="BD71" s="57"/>
      <c r="BE71" s="37"/>
      <c r="BF71" s="57"/>
    </row>
    <row r="72" spans="1:58" ht="12.95" customHeight="1">
      <c r="A72" s="346"/>
      <c r="B72" s="45"/>
      <c r="C72" s="452"/>
      <c r="D72" s="45"/>
      <c r="E72" s="46"/>
      <c r="F72" s="46"/>
      <c r="G72" s="465"/>
      <c r="H72" s="48"/>
      <c r="I72" s="49"/>
      <c r="J72" s="91"/>
      <c r="K72" s="91"/>
      <c r="L72" s="39"/>
      <c r="M72" s="39"/>
      <c r="N72" s="50"/>
      <c r="O72" s="51"/>
      <c r="P72" s="52"/>
      <c r="Q72" s="51"/>
      <c r="R72" s="422"/>
      <c r="S72" s="422"/>
      <c r="T72" s="41"/>
      <c r="U72" s="41"/>
      <c r="V72" s="41"/>
      <c r="W72" s="41"/>
      <c r="X72" s="419"/>
      <c r="Y72" s="223"/>
      <c r="Z72" s="41"/>
      <c r="AA72" s="53"/>
      <c r="AB72" s="53"/>
      <c r="AC72" s="41"/>
      <c r="AD72" s="41">
        <f>+AM72+BA72</f>
        <v>15</v>
      </c>
      <c r="AE72" s="241" t="s">
        <v>420</v>
      </c>
      <c r="AF72" s="41"/>
      <c r="AG72" s="41"/>
      <c r="AH72" s="41"/>
      <c r="AI72" s="461">
        <v>15</v>
      </c>
      <c r="AJ72" s="41"/>
      <c r="AK72" s="41"/>
      <c r="AL72" s="41"/>
      <c r="AM72" s="41">
        <f>SUM(AF72:AL72)+AT72+AV72+AX72</f>
        <v>15</v>
      </c>
      <c r="AN72" s="41"/>
      <c r="AO72" s="41"/>
      <c r="AP72" s="41"/>
      <c r="AQ72" s="41"/>
      <c r="AR72" s="41">
        <f>SUM(AN72:AQ72)</f>
        <v>0</v>
      </c>
      <c r="AS72" s="41"/>
      <c r="AT72" s="41"/>
      <c r="AU72" s="41"/>
      <c r="AV72" s="41"/>
      <c r="AW72" s="41"/>
      <c r="AX72" s="41"/>
      <c r="AY72" s="41"/>
      <c r="AZ72" s="41"/>
      <c r="BA72" s="41">
        <f>+AR72+AS72+AU72+AW72+AY72+AZ72</f>
        <v>0</v>
      </c>
      <c r="BB72" s="37"/>
      <c r="BC72" s="57"/>
      <c r="BD72" s="57"/>
      <c r="BE72" s="37"/>
      <c r="BF72" s="57"/>
    </row>
    <row r="73" spans="1:58" ht="12.95" customHeight="1">
      <c r="A73" s="44"/>
      <c r="B73" s="45"/>
      <c r="C73" s="452"/>
      <c r="D73" s="45"/>
      <c r="E73" s="46"/>
      <c r="F73" s="46"/>
      <c r="G73" s="47"/>
      <c r="H73" s="48"/>
      <c r="I73" s="49"/>
      <c r="J73" s="91"/>
      <c r="K73" s="91"/>
      <c r="L73" s="39"/>
      <c r="M73" s="39"/>
      <c r="N73" s="50"/>
      <c r="O73" s="51"/>
      <c r="P73" s="52"/>
      <c r="Q73" s="51"/>
      <c r="R73" s="422"/>
      <c r="S73" s="422"/>
      <c r="T73" s="41"/>
      <c r="U73" s="41"/>
      <c r="V73" s="41"/>
      <c r="W73" s="41"/>
      <c r="X73" s="42"/>
      <c r="Y73" s="223"/>
      <c r="Z73" s="41"/>
      <c r="AA73" s="41"/>
      <c r="AB73" s="41"/>
      <c r="AC73" s="41"/>
      <c r="AD73" s="41">
        <f>+AM73+BA73</f>
        <v>10</v>
      </c>
      <c r="AE73" s="244" t="s">
        <v>619</v>
      </c>
      <c r="AF73" s="37">
        <v>10</v>
      </c>
      <c r="AG73" s="37"/>
      <c r="AH73" s="37"/>
      <c r="AJ73" s="41"/>
      <c r="AK73" s="41"/>
      <c r="AL73" s="41"/>
      <c r="AM73" s="41">
        <f>SUM(AF73:AL73)+AT73+AV73+AX73</f>
        <v>10</v>
      </c>
      <c r="AN73" s="41"/>
      <c r="AO73" s="41"/>
      <c r="AP73" s="41"/>
      <c r="AQ73" s="41"/>
      <c r="AR73" s="41">
        <f>SUM(AN73:AQ73)</f>
        <v>0</v>
      </c>
      <c r="AS73" s="41"/>
      <c r="AT73" s="41"/>
      <c r="AU73" s="41"/>
      <c r="AV73" s="41"/>
      <c r="AW73" s="41"/>
      <c r="AX73" s="41"/>
      <c r="AY73" s="41"/>
      <c r="AZ73" s="41"/>
      <c r="BA73" s="41">
        <f>+AR73+AS73+AU73+AW73+AY73+AZ73</f>
        <v>0</v>
      </c>
      <c r="BB73" s="37"/>
      <c r="BC73" s="57"/>
      <c r="BD73" s="57"/>
      <c r="BE73" s="37"/>
      <c r="BF73" s="57"/>
    </row>
    <row r="74" spans="1:58" ht="12.95" customHeight="1">
      <c r="A74" s="44"/>
      <c r="B74" s="45"/>
      <c r="C74" s="452"/>
      <c r="D74" s="45"/>
      <c r="E74" s="46"/>
      <c r="F74" s="46"/>
      <c r="G74" s="47"/>
      <c r="H74" s="48"/>
      <c r="I74" s="49"/>
      <c r="J74" s="91"/>
      <c r="K74" s="91"/>
      <c r="L74" s="39"/>
      <c r="M74" s="39"/>
      <c r="N74" s="50"/>
      <c r="O74" s="51"/>
      <c r="P74" s="52"/>
      <c r="Q74" s="51"/>
      <c r="R74" s="422"/>
      <c r="S74" s="422"/>
      <c r="T74" s="41"/>
      <c r="U74" s="41"/>
      <c r="V74" s="41"/>
      <c r="W74" s="41"/>
      <c r="X74" s="42"/>
      <c r="Y74" s="223"/>
      <c r="Z74" s="41"/>
      <c r="AA74" s="41"/>
      <c r="AB74" s="41"/>
      <c r="AC74" s="41"/>
      <c r="AD74" s="41"/>
      <c r="AE74" s="2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37"/>
      <c r="BC74" s="55"/>
      <c r="BD74" s="55"/>
      <c r="BE74" s="55"/>
      <c r="BF74" s="55"/>
    </row>
    <row r="75" spans="1:58" ht="12.95" customHeight="1">
      <c r="A75" s="346">
        <v>46006</v>
      </c>
      <c r="B75" s="45" t="s">
        <v>7</v>
      </c>
      <c r="C75" s="452">
        <f>(M75*E75*O75*Q75)/100000000</f>
        <v>53.135462016000005</v>
      </c>
      <c r="D75" s="45" t="s">
        <v>410</v>
      </c>
      <c r="E75" s="46">
        <v>10.3</v>
      </c>
      <c r="F75" s="46">
        <v>1</v>
      </c>
      <c r="G75" s="465">
        <v>1730</v>
      </c>
      <c r="H75" s="48">
        <f>+N75</f>
        <v>0.16000000000000003</v>
      </c>
      <c r="I75" s="49">
        <v>0.88</v>
      </c>
      <c r="J75" s="91">
        <f>E75*G75*(1-H75)*1440/1000000*2.77</f>
        <v>59.704198847999997</v>
      </c>
      <c r="K75" s="91">
        <f>(IF(G75&lt;L75,L75,G75)*(1-IF(H75&lt;N75,H75,N75))*E75*O75*Q75)/100000000</f>
        <v>57.333273984000009</v>
      </c>
      <c r="L75" s="39">
        <v>1603.3333333333333</v>
      </c>
      <c r="M75" s="39">
        <v>1346.8</v>
      </c>
      <c r="N75" s="50">
        <f>1-(M75/L75)</f>
        <v>0.16000000000000003</v>
      </c>
      <c r="O75" s="51">
        <f>+'Trim Rwd'!H64</f>
        <v>266</v>
      </c>
      <c r="P75" s="52">
        <f>O75*(Q75-R75-S75)</f>
        <v>375060</v>
      </c>
      <c r="Q75" s="51">
        <v>1440</v>
      </c>
      <c r="R75" s="422">
        <v>0</v>
      </c>
      <c r="S75" s="422">
        <v>30</v>
      </c>
      <c r="T75" s="41">
        <f>E75*M75*O75*Q75/100000000</f>
        <v>53.135462016000005</v>
      </c>
      <c r="U75" s="41">
        <f>E75*M75*O75*(Q75-R75-S75)/100000000</f>
        <v>52.028473224000003</v>
      </c>
      <c r="V75" s="41">
        <f>E75*G75*(1-N75)*O75/100*(R75+S75)/1000000</f>
        <v>1.194443208</v>
      </c>
      <c r="W75" s="41">
        <f>+'15'!K16/1000</f>
        <v>39.756</v>
      </c>
      <c r="X75" s="419">
        <f>SUM(W75:W78)/SUM(K75:K78)</f>
        <v>1.122437208416861</v>
      </c>
      <c r="Y75" s="223">
        <v>0</v>
      </c>
      <c r="Z75" s="41">
        <v>0</v>
      </c>
      <c r="AA75" s="53">
        <f>SUM(U75:U78)-SUM(W75:W78)-SUM(Z75:Z78)-SUM(Y75:Y78)</f>
        <v>-12.718526776000006</v>
      </c>
      <c r="AB75" s="53">
        <f>(SUM(K75:K78)-SUM(W75:W78)-SUM(Y75:Y78)-SUM(Z75:Z78)-SUM(AC75:AC78)-SUM(V75:V78))-AA75</f>
        <v>-8.7454415999998147E-2</v>
      </c>
      <c r="AC75" s="41">
        <f>K75-T75</f>
        <v>4.1978119680000034</v>
      </c>
      <c r="AD75" s="41">
        <f>+AM75+BA75</f>
        <v>10</v>
      </c>
      <c r="AE75" s="241" t="s">
        <v>477</v>
      </c>
      <c r="AF75" s="41">
        <v>10</v>
      </c>
      <c r="AG75" s="41"/>
      <c r="AH75" s="41"/>
      <c r="AI75" s="461"/>
      <c r="AJ75" s="41"/>
      <c r="AK75" s="41"/>
      <c r="AL75" s="41"/>
      <c r="AM75" s="41">
        <f>SUM(AF75:AL75)+AT75+AV75+AX75</f>
        <v>10</v>
      </c>
      <c r="AN75" s="41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37">
        <v>2</v>
      </c>
      <c r="BC75" s="55"/>
      <c r="BD75" s="55"/>
      <c r="BE75" s="37"/>
      <c r="BF75" s="55"/>
    </row>
    <row r="76" spans="1:58" ht="12.95" customHeight="1">
      <c r="A76" s="346"/>
      <c r="B76" s="45" t="s">
        <v>599</v>
      </c>
      <c r="C76" s="452"/>
      <c r="D76" s="45"/>
      <c r="E76" s="46">
        <v>15</v>
      </c>
      <c r="F76" s="46"/>
      <c r="G76" s="465"/>
      <c r="H76" s="48"/>
      <c r="I76" s="49"/>
      <c r="J76" s="91"/>
      <c r="K76" s="91"/>
      <c r="L76" s="39"/>
      <c r="M76" s="39"/>
      <c r="N76" s="50"/>
      <c r="O76" s="51"/>
      <c r="P76" s="52"/>
      <c r="Q76" s="51"/>
      <c r="R76" s="422"/>
      <c r="S76" s="422"/>
      <c r="T76" s="41"/>
      <c r="U76" s="41"/>
      <c r="V76" s="41"/>
      <c r="W76" s="41">
        <f>+'15'!K19/1000</f>
        <v>24.597000000000001</v>
      </c>
      <c r="X76" s="42"/>
      <c r="Y76" s="223"/>
      <c r="Z76" s="41">
        <f>+'15'!D34/1000</f>
        <v>0.39400000000000002</v>
      </c>
      <c r="AA76" s="41"/>
      <c r="AB76" s="41"/>
      <c r="AC76" s="41"/>
      <c r="AD76" s="41">
        <f>+AM76+BA76</f>
        <v>4</v>
      </c>
      <c r="AE76" s="241" t="s">
        <v>445</v>
      </c>
      <c r="AF76" s="41"/>
      <c r="AG76" s="41">
        <v>4</v>
      </c>
      <c r="AH76" s="41"/>
      <c r="AI76" s="461"/>
      <c r="AJ76" s="41"/>
      <c r="AK76" s="41"/>
      <c r="AL76" s="41"/>
      <c r="AM76" s="41">
        <f>SUM(AF76:AL76)+AT76+AV76+AX76</f>
        <v>4</v>
      </c>
      <c r="AN76" s="92"/>
      <c r="AO76" s="41"/>
      <c r="AP76" s="41"/>
      <c r="AQ76" s="41"/>
      <c r="AR76" s="41">
        <f>SUM(AN76:AQ76)</f>
        <v>0</v>
      </c>
      <c r="AS76" s="41"/>
      <c r="AT76" s="41"/>
      <c r="AU76" s="41"/>
      <c r="AV76" s="41"/>
      <c r="AW76" s="41"/>
      <c r="AX76" s="41"/>
      <c r="AY76" s="41"/>
      <c r="AZ76" s="41"/>
      <c r="BA76" s="41">
        <f>+AR76+AS76+AU76+AW76+AY76+AZ76</f>
        <v>0</v>
      </c>
      <c r="BB76" s="54"/>
      <c r="BC76" s="55">
        <v>2</v>
      </c>
      <c r="BD76" s="55"/>
      <c r="BE76" s="54"/>
      <c r="BF76" s="55"/>
    </row>
    <row r="77" spans="1:58" ht="12.95" customHeight="1">
      <c r="A77" s="44"/>
      <c r="B77" s="45"/>
      <c r="C77" s="452"/>
      <c r="D77" s="45"/>
      <c r="E77" s="46"/>
      <c r="F77" s="46"/>
      <c r="G77" s="465"/>
      <c r="H77" s="48"/>
      <c r="I77" s="49"/>
      <c r="J77" s="91"/>
      <c r="K77" s="91"/>
      <c r="L77" s="39"/>
      <c r="M77" s="39"/>
      <c r="N77" s="50"/>
      <c r="O77" s="51"/>
      <c r="P77" s="52"/>
      <c r="Q77" s="51"/>
      <c r="R77" s="422"/>
      <c r="S77" s="422"/>
      <c r="T77" s="41"/>
      <c r="U77" s="41"/>
      <c r="V77" s="41"/>
      <c r="W77" s="41"/>
      <c r="X77" s="42"/>
      <c r="Y77" s="223"/>
      <c r="Z77" s="41"/>
      <c r="AA77" s="41"/>
      <c r="AB77" s="41"/>
      <c r="AC77" s="41"/>
      <c r="AD77" s="41">
        <f>+AM77+BA77</f>
        <v>16</v>
      </c>
      <c r="AE77" s="241" t="s">
        <v>651</v>
      </c>
      <c r="AF77" s="37"/>
      <c r="AG77" s="37"/>
      <c r="AH77" s="37">
        <v>16</v>
      </c>
      <c r="AJ77" s="41"/>
      <c r="AK77" s="41"/>
      <c r="AL77" s="41"/>
      <c r="AM77" s="41">
        <f>SUM(AF77:AL77)+AT77+AV77+AX77</f>
        <v>16</v>
      </c>
      <c r="AN77" s="41"/>
      <c r="AO77" s="41"/>
      <c r="AP77" s="41"/>
      <c r="AQ77" s="41"/>
      <c r="AR77" s="41">
        <f>SUM(AN77:AQ77)</f>
        <v>0</v>
      </c>
      <c r="AS77" s="41"/>
      <c r="AT77" s="41"/>
      <c r="AU77" s="41"/>
      <c r="AV77" s="41"/>
      <c r="AW77" s="41"/>
      <c r="AX77" s="41"/>
      <c r="AY77" s="41"/>
      <c r="AZ77" s="41"/>
      <c r="BA77" s="41">
        <f>+AR77+AS77+AU77+AW77+AY77+AZ77</f>
        <v>0</v>
      </c>
      <c r="BB77" s="37"/>
      <c r="BC77" s="57"/>
      <c r="BD77" s="57"/>
      <c r="BE77" s="37"/>
      <c r="BF77" s="57"/>
    </row>
    <row r="78" spans="1:58" ht="12.95" customHeight="1">
      <c r="A78" s="44"/>
      <c r="B78" s="45"/>
      <c r="C78" s="452"/>
      <c r="D78" s="45"/>
      <c r="E78" s="46"/>
      <c r="F78" s="46"/>
      <c r="G78" s="47"/>
      <c r="H78" s="48"/>
      <c r="I78" s="49"/>
      <c r="J78" s="91"/>
      <c r="K78" s="91"/>
      <c r="L78" s="39"/>
      <c r="M78" s="39"/>
      <c r="N78" s="50"/>
      <c r="O78" s="51"/>
      <c r="P78" s="52"/>
      <c r="Q78" s="51"/>
      <c r="R78" s="422"/>
      <c r="S78" s="422"/>
      <c r="T78" s="41"/>
      <c r="U78" s="41"/>
      <c r="V78" s="41"/>
      <c r="W78" s="41"/>
      <c r="X78" s="42"/>
      <c r="Y78" s="223"/>
      <c r="Z78" s="41"/>
      <c r="AA78" s="41"/>
      <c r="AB78" s="41"/>
      <c r="AC78" s="41"/>
      <c r="AD78" s="41"/>
      <c r="AE78" s="2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37"/>
      <c r="BC78" s="55"/>
      <c r="BD78" s="55"/>
      <c r="BE78" s="55"/>
      <c r="BF78" s="55"/>
    </row>
    <row r="79" spans="1:58" ht="12.95" customHeight="1">
      <c r="A79" s="346">
        <v>46007</v>
      </c>
      <c r="B79" s="45" t="s">
        <v>7</v>
      </c>
      <c r="C79" s="452">
        <f>(M79*E79*O79*Q79)/100000000</f>
        <v>52.396874443943659</v>
      </c>
      <c r="D79" s="45" t="s">
        <v>410</v>
      </c>
      <c r="E79" s="46">
        <v>10.3</v>
      </c>
      <c r="F79" s="46">
        <v>1</v>
      </c>
      <c r="G79" s="465">
        <v>1730</v>
      </c>
      <c r="H79" s="48">
        <f>+N79</f>
        <v>0.16024844720496889</v>
      </c>
      <c r="I79" s="49">
        <v>0.88</v>
      </c>
      <c r="J79" s="91">
        <f>E79*G79*(1-H79)*1440/1000000*2.77</f>
        <v>59.686540108322987</v>
      </c>
      <c r="K79" s="91">
        <f>(IF(G79&lt;L79,L79,G79)*(1-IF(H79&lt;N79,H79,N79))*E79*O79*Q79)/100000000</f>
        <v>56.302231545355625</v>
      </c>
      <c r="L79" s="39">
        <v>1610</v>
      </c>
      <c r="M79" s="39">
        <v>1352</v>
      </c>
      <c r="N79" s="50">
        <f>1-(M79/L79)</f>
        <v>0.16024844720496889</v>
      </c>
      <c r="O79" s="51">
        <f>+'Trim Rwd'!H68</f>
        <v>267.80281690140845</v>
      </c>
      <c r="P79" s="52">
        <f>O79*(Q79-R79-S79)</f>
        <v>337163.74647887325</v>
      </c>
      <c r="Q79" s="51">
        <v>1405</v>
      </c>
      <c r="R79" s="422">
        <v>0</v>
      </c>
      <c r="S79" s="422">
        <v>146</v>
      </c>
      <c r="T79" s="41">
        <f>E79*M79*O79*Q79/100000000</f>
        <v>52.396874443943659</v>
      </c>
      <c r="U79" s="41">
        <f>E79*M79*O79*(Q79-R79-S79)/100000000</f>
        <v>46.952074679661969</v>
      </c>
      <c r="V79" s="41">
        <f>E79*G79*(1-N79)*O79/100*(R79+S79)/1000000</f>
        <v>5.8506233491970958</v>
      </c>
      <c r="W79" s="41">
        <f>+'16'!K16/1000</f>
        <v>58.548000000000002</v>
      </c>
      <c r="X79" s="419">
        <f>SUM(W79:W82)/SUM(K79:K82)</f>
        <v>1.0111705652838401</v>
      </c>
      <c r="Y79" s="223">
        <v>0</v>
      </c>
      <c r="Z79" s="41">
        <f>+'16'!D34/1000</f>
        <v>1.6</v>
      </c>
      <c r="AA79" s="53">
        <f>SUM(U79:U82)-SUM(W79:W82)-SUM(Z79:Z82)-SUM(Y79:Y82)</f>
        <v>-11.67219220033803</v>
      </c>
      <c r="AB79" s="53">
        <f>(SUM(K79:K82)-SUM(W79:W82)-SUM(Y79:Y82)-SUM(Z79:Z82)-SUM(AC79:AC82)-SUM(V79:V82))-AA79</f>
        <v>-0.40582358491540838</v>
      </c>
      <c r="AC79" s="41">
        <f>K79-T79</f>
        <v>3.9053571014119655</v>
      </c>
      <c r="AD79" s="41">
        <f>+AM79+BA79</f>
        <v>15</v>
      </c>
      <c r="AE79" s="241" t="s">
        <v>671</v>
      </c>
      <c r="AF79" s="41">
        <v>15</v>
      </c>
      <c r="AG79" s="41"/>
      <c r="AH79" s="41"/>
      <c r="AI79" s="461"/>
      <c r="AJ79" s="41"/>
      <c r="AK79" s="41"/>
      <c r="AL79" s="41"/>
      <c r="AM79" s="41">
        <f>SUM(AF79:AL79)+AT79+AV79+AX79</f>
        <v>15</v>
      </c>
      <c r="AN79" s="41"/>
      <c r="AO79" s="41"/>
      <c r="AP79" s="41"/>
      <c r="AQ79" s="41"/>
      <c r="AR79" s="41">
        <f>SUM(AN79:AQ79)</f>
        <v>0</v>
      </c>
      <c r="AS79" s="41"/>
      <c r="AT79" s="41"/>
      <c r="AU79" s="41"/>
      <c r="AV79" s="41"/>
      <c r="AW79" s="41"/>
      <c r="AX79" s="41"/>
      <c r="AY79" s="41"/>
      <c r="AZ79" s="41"/>
      <c r="BA79" s="41">
        <f>+AR79+AS79+AU79+AW79+AY79+AZ79</f>
        <v>0</v>
      </c>
      <c r="BB79" s="37">
        <v>3</v>
      </c>
      <c r="BC79" s="55"/>
      <c r="BD79" s="55"/>
      <c r="BE79" s="37"/>
      <c r="BF79" s="55"/>
    </row>
    <row r="80" spans="1:58" ht="12.95" customHeight="1">
      <c r="A80" s="346"/>
      <c r="B80" s="45" t="s">
        <v>7</v>
      </c>
      <c r="C80" s="452">
        <f>(M80*E80*O80*Q80)/100000000</f>
        <v>1.5237331199999999</v>
      </c>
      <c r="D80" s="45" t="s">
        <v>410</v>
      </c>
      <c r="E80" s="46">
        <v>13</v>
      </c>
      <c r="F80" s="46">
        <v>1</v>
      </c>
      <c r="G80" s="465">
        <v>1700</v>
      </c>
      <c r="H80" s="605">
        <f>+N80</f>
        <v>0.24</v>
      </c>
      <c r="I80" s="49">
        <v>0.88</v>
      </c>
      <c r="J80" s="91">
        <f>E80*G80*(1-H80)*1440/1000000*2.77</f>
        <v>66.995884799999999</v>
      </c>
      <c r="K80" s="91">
        <f>(IF(G80&lt;L80,L80,G80)*(1-IF(H80&lt;N80,H80,N80))*E80*O80*Q80)/100000000</f>
        <v>1.5989792</v>
      </c>
      <c r="L80" s="39">
        <v>1620</v>
      </c>
      <c r="M80" s="39">
        <v>1231.2</v>
      </c>
      <c r="N80" s="50">
        <f>1-(M80/L80)</f>
        <v>0.24</v>
      </c>
      <c r="O80" s="51">
        <f>+'Trim Rwd'!H70</f>
        <v>272</v>
      </c>
      <c r="P80" s="52">
        <f>O80*(Q80-R80-S80)</f>
        <v>9520</v>
      </c>
      <c r="Q80" s="51">
        <v>35</v>
      </c>
      <c r="R80" s="422">
        <v>0</v>
      </c>
      <c r="S80" s="422">
        <v>0</v>
      </c>
      <c r="T80" s="41">
        <f>E80*M80*O80*Q80/100000000</f>
        <v>1.5237331199999999</v>
      </c>
      <c r="U80" s="41">
        <f>E80*M80*O80*(Q80-R80-S80)/100000000</f>
        <v>1.5237331199999999</v>
      </c>
      <c r="V80" s="41">
        <f>E80*G80*(1-N80)*O80/100*(R80+S80)/1000000</f>
        <v>0</v>
      </c>
      <c r="W80" s="41">
        <f>+'16'!K20/1000</f>
        <v>0</v>
      </c>
      <c r="X80" s="42"/>
      <c r="Y80" s="223"/>
      <c r="Z80" s="41"/>
      <c r="AA80" s="41"/>
      <c r="AB80" s="41"/>
      <c r="AC80" s="41">
        <f>K80-T80</f>
        <v>7.5246080000000104E-2</v>
      </c>
      <c r="AD80" s="41">
        <f>+AM80+BA80</f>
        <v>8</v>
      </c>
      <c r="AE80" s="241" t="s">
        <v>672</v>
      </c>
      <c r="AF80" s="41"/>
      <c r="AG80" s="41">
        <v>8</v>
      </c>
      <c r="AH80" s="41"/>
      <c r="AI80" s="461"/>
      <c r="AJ80" s="41"/>
      <c r="AK80" s="41"/>
      <c r="AL80" s="41"/>
      <c r="AM80" s="41">
        <f>SUM(AF80:AL80)+AT80+AV80+AX80</f>
        <v>8</v>
      </c>
      <c r="AN80" s="92"/>
      <c r="AO80" s="41"/>
      <c r="AP80" s="41"/>
      <c r="AQ80" s="41"/>
      <c r="AR80" s="41">
        <f>SUM(AN80:AQ80)</f>
        <v>0</v>
      </c>
      <c r="AS80" s="41"/>
      <c r="AT80" s="41"/>
      <c r="AU80" s="41"/>
      <c r="AV80" s="41"/>
      <c r="AW80" s="41"/>
      <c r="AX80" s="41"/>
      <c r="AY80" s="41"/>
      <c r="AZ80" s="41"/>
      <c r="BA80" s="41">
        <f>+AR80+AS80+AU80+AW80+AY80+AZ80</f>
        <v>0</v>
      </c>
      <c r="BB80" s="54"/>
      <c r="BC80" s="55">
        <v>8</v>
      </c>
      <c r="BD80" s="55"/>
      <c r="BE80" s="54"/>
      <c r="BF80" s="55"/>
    </row>
    <row r="81" spans="1:58" ht="12.95" customHeight="1">
      <c r="A81" s="44"/>
      <c r="B81" s="45"/>
      <c r="C81" s="452"/>
      <c r="D81" s="45"/>
      <c r="E81" s="46"/>
      <c r="F81" s="46"/>
      <c r="G81" s="465"/>
      <c r="H81" s="48"/>
      <c r="I81" s="49"/>
      <c r="J81" s="91"/>
      <c r="K81" s="91"/>
      <c r="L81" s="39"/>
      <c r="M81" s="39"/>
      <c r="N81" s="50"/>
      <c r="O81" s="51"/>
      <c r="P81" s="52"/>
      <c r="Q81" s="51"/>
      <c r="R81" s="422"/>
      <c r="S81" s="422"/>
      <c r="T81" s="41"/>
      <c r="U81" s="41"/>
      <c r="V81" s="41"/>
      <c r="W81" s="41"/>
      <c r="X81" s="42"/>
      <c r="Y81" s="223"/>
      <c r="Z81" s="41"/>
      <c r="AA81" s="41"/>
      <c r="AB81" s="41"/>
      <c r="AC81" s="41"/>
      <c r="AD81" s="41">
        <f>+AM81+BA81</f>
        <v>14</v>
      </c>
      <c r="AE81" s="241" t="s">
        <v>673</v>
      </c>
      <c r="AF81" s="37"/>
      <c r="AG81" s="37"/>
      <c r="AH81" s="37">
        <v>14</v>
      </c>
      <c r="AJ81" s="41"/>
      <c r="AK81" s="41"/>
      <c r="AL81" s="41"/>
      <c r="AM81" s="41">
        <f>SUM(AF81:AL81)+AT81+AV81+AX81</f>
        <v>14</v>
      </c>
      <c r="AN81" s="41"/>
      <c r="AO81" s="41"/>
      <c r="AP81" s="41"/>
      <c r="AQ81" s="41"/>
      <c r="AR81" s="41">
        <f>SUM(AN81:AQ81)</f>
        <v>0</v>
      </c>
      <c r="AS81" s="41"/>
      <c r="AT81" s="41"/>
      <c r="AU81" s="41"/>
      <c r="AV81" s="41"/>
      <c r="AW81" s="41"/>
      <c r="AX81" s="41"/>
      <c r="AY81" s="41"/>
      <c r="AZ81" s="41"/>
      <c r="BA81" s="41">
        <f>+AR81+AS81+AU81+AW81+AY81+AZ81</f>
        <v>0</v>
      </c>
      <c r="BB81" s="37"/>
      <c r="BC81" s="57"/>
      <c r="BD81" s="57"/>
      <c r="BE81" s="37"/>
      <c r="BF81" s="57"/>
    </row>
    <row r="82" spans="1:58" ht="12.95" customHeight="1">
      <c r="A82" s="44"/>
      <c r="B82" s="45"/>
      <c r="C82" s="452"/>
      <c r="D82" s="45"/>
      <c r="E82" s="46"/>
      <c r="F82" s="46"/>
      <c r="G82" s="47"/>
      <c r="H82" s="48"/>
      <c r="I82" s="49"/>
      <c r="J82" s="91"/>
      <c r="K82" s="91"/>
      <c r="L82" s="39"/>
      <c r="M82" s="39"/>
      <c r="N82" s="50"/>
      <c r="O82" s="51"/>
      <c r="P82" s="52"/>
      <c r="Q82" s="51"/>
      <c r="R82" s="422"/>
      <c r="S82" s="422"/>
      <c r="T82" s="41"/>
      <c r="U82" s="41"/>
      <c r="V82" s="41"/>
      <c r="W82" s="41"/>
      <c r="X82" s="42"/>
      <c r="Y82" s="223"/>
      <c r="Z82" s="41"/>
      <c r="AA82" s="41"/>
      <c r="AB82" s="41"/>
      <c r="AC82" s="41"/>
      <c r="AD82" s="41">
        <f>+AM82+BA82</f>
        <v>109</v>
      </c>
      <c r="AE82" s="244" t="s">
        <v>674</v>
      </c>
      <c r="AF82" s="41"/>
      <c r="AG82" s="41"/>
      <c r="AH82" s="41"/>
      <c r="AI82" s="41"/>
      <c r="AJ82" s="41">
        <v>49</v>
      </c>
      <c r="AK82" s="41">
        <v>60</v>
      </c>
      <c r="AL82" s="41"/>
      <c r="AM82" s="41">
        <f>SUM(AF82:AL82)+AT82+AV82+AX82</f>
        <v>109</v>
      </c>
      <c r="AN82" s="41"/>
      <c r="AO82" s="41"/>
      <c r="AP82" s="41"/>
      <c r="AQ82" s="41"/>
      <c r="AR82" s="41">
        <f>SUM(AN82:AQ82)</f>
        <v>0</v>
      </c>
      <c r="AS82" s="41"/>
      <c r="AT82" s="41"/>
      <c r="AU82" s="41"/>
      <c r="AV82" s="41"/>
      <c r="AW82" s="41"/>
      <c r="AX82" s="41"/>
      <c r="AY82" s="41"/>
      <c r="AZ82" s="41"/>
      <c r="BA82" s="41">
        <f>+AR82+AS82+AU82+AW82+AY82+AZ82</f>
        <v>0</v>
      </c>
      <c r="BB82" s="37"/>
      <c r="BC82" s="57"/>
      <c r="BD82" s="57"/>
      <c r="BE82" s="37"/>
      <c r="BF82" s="57"/>
    </row>
    <row r="83" spans="1:58" ht="12.95" customHeight="1">
      <c r="A83" s="346"/>
      <c r="B83" s="45"/>
      <c r="C83" s="452"/>
      <c r="D83" s="45"/>
      <c r="E83" s="46"/>
      <c r="F83" s="46"/>
      <c r="G83" s="465"/>
      <c r="H83" s="48"/>
      <c r="I83" s="49"/>
      <c r="J83" s="91"/>
      <c r="K83" s="91"/>
      <c r="L83" s="39"/>
      <c r="M83" s="39"/>
      <c r="N83" s="50"/>
      <c r="O83" s="51"/>
      <c r="P83" s="52"/>
      <c r="Q83" s="51"/>
      <c r="R83" s="422"/>
      <c r="S83" s="422"/>
      <c r="T83" s="41"/>
      <c r="U83" s="41"/>
      <c r="V83" s="41"/>
      <c r="W83" s="41"/>
      <c r="X83" s="419"/>
      <c r="Y83" s="223"/>
      <c r="Z83" s="41"/>
      <c r="AA83" s="53"/>
      <c r="AB83" s="53"/>
      <c r="AC83" s="41"/>
      <c r="AD83" s="41"/>
      <c r="AE83" s="241"/>
      <c r="AF83" s="41"/>
      <c r="AG83" s="41"/>
      <c r="AH83" s="41"/>
      <c r="AI83" s="46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37"/>
      <c r="BC83" s="55"/>
      <c r="BD83" s="55"/>
      <c r="BE83" s="55"/>
      <c r="BF83" s="55"/>
    </row>
    <row r="84" spans="1:58" ht="12.95" customHeight="1">
      <c r="A84" s="346">
        <v>46008</v>
      </c>
      <c r="B84" s="45" t="s">
        <v>7</v>
      </c>
      <c r="C84" s="452">
        <f>(M84*E84*O84*Q84)/100000000</f>
        <v>62.690734079999999</v>
      </c>
      <c r="D84" s="45" t="s">
        <v>410</v>
      </c>
      <c r="E84" s="46">
        <v>13</v>
      </c>
      <c r="F84" s="46">
        <v>1</v>
      </c>
      <c r="G84" s="465">
        <v>1700</v>
      </c>
      <c r="H84" s="605">
        <f>+N84</f>
        <v>0.24</v>
      </c>
      <c r="I84" s="49">
        <v>0.88</v>
      </c>
      <c r="J84" s="91">
        <f>E84*G84*(1-H84)*1440/1000000*2.77</f>
        <v>66.995884799999999</v>
      </c>
      <c r="K84" s="91">
        <f>(IF(G84&lt;L84,L84,G84)*(1-IF(H84&lt;N84,H84,N84))*E84*O84*Q84)/100000000</f>
        <v>65.786572800000002</v>
      </c>
      <c r="L84" s="39">
        <v>1620</v>
      </c>
      <c r="M84" s="39">
        <v>1231.2</v>
      </c>
      <c r="N84" s="50">
        <f>1-(M84/L84)</f>
        <v>0.24</v>
      </c>
      <c r="O84" s="51">
        <f>+'Trim Rwd'!H72</f>
        <v>272</v>
      </c>
      <c r="P84" s="52">
        <f>O84*(Q84-R84-S84)</f>
        <v>378080</v>
      </c>
      <c r="Q84" s="51">
        <v>1440</v>
      </c>
      <c r="R84" s="422">
        <v>0</v>
      </c>
      <c r="S84" s="422">
        <v>50</v>
      </c>
      <c r="T84" s="41">
        <f>E84*M84*O84*Q84/100000000</f>
        <v>62.690734079999999</v>
      </c>
      <c r="U84" s="41">
        <f>E84*M84*O84*(Q84-R84-S84)/100000000</f>
        <v>60.51397248</v>
      </c>
      <c r="V84" s="41">
        <f>E84*G84*(1-N84)*O84/100*(R84+S84)/1000000</f>
        <v>2.2842560000000001</v>
      </c>
      <c r="W84" s="41">
        <f>+'17'!K7/1000</f>
        <v>51.134</v>
      </c>
      <c r="X84" s="419">
        <f>SUM(W84:W87)/SUM(K84:K87)</f>
        <v>0.86017552809803766</v>
      </c>
      <c r="Y84" s="223">
        <v>0</v>
      </c>
      <c r="Z84" s="41">
        <f>+('17'!D9+'17'!D16+'17'!D25)/1000</f>
        <v>1.5249999999999999</v>
      </c>
      <c r="AA84" s="53">
        <f>SUM(U84:U87)-SUM(W84:W87)-SUM(Z84:Z87)-SUM(Y84:Y87)</f>
        <v>1.2489724799999986</v>
      </c>
      <c r="AB84" s="53">
        <f>(SUM(K84:K87)-SUM(W84:W87)-SUM(Y84:Y87)-SUM(Z84:Z87)-SUM(AC84:AC87)-SUM(V84:V87))-AA84</f>
        <v>-0.10749440000000066</v>
      </c>
      <c r="AC84" s="41">
        <f>K84-T84</f>
        <v>3.0958387200000033</v>
      </c>
      <c r="AD84" s="41">
        <f>+AM84+BA84</f>
        <v>10</v>
      </c>
      <c r="AE84" s="241" t="s">
        <v>477</v>
      </c>
      <c r="AF84" s="41">
        <v>10</v>
      </c>
      <c r="AG84" s="41"/>
      <c r="AH84" s="41"/>
      <c r="AI84" s="461"/>
      <c r="AJ84" s="41"/>
      <c r="AK84" s="41"/>
      <c r="AL84" s="41"/>
      <c r="AM84" s="41">
        <f>SUM(AF84:AL84)+AT84+AV84+AX84</f>
        <v>10</v>
      </c>
      <c r="AN84" s="41"/>
      <c r="AO84" s="41"/>
      <c r="AP84" s="41"/>
      <c r="AQ84" s="41"/>
      <c r="AR84" s="41">
        <f>SUM(AN84:AQ84)</f>
        <v>0</v>
      </c>
      <c r="AS84" s="41"/>
      <c r="AT84" s="41"/>
      <c r="AU84" s="41"/>
      <c r="AV84" s="41"/>
      <c r="AW84" s="41"/>
      <c r="AX84" s="41"/>
      <c r="AY84" s="41"/>
      <c r="AZ84" s="41"/>
      <c r="BA84" s="41">
        <f>+AR84+AS84+AU84+AW84+AY84+AZ84</f>
        <v>0</v>
      </c>
      <c r="BB84" s="37">
        <v>2</v>
      </c>
      <c r="BC84" s="55"/>
      <c r="BD84" s="55"/>
      <c r="BE84" s="37"/>
      <c r="BF84" s="55"/>
    </row>
    <row r="85" spans="1:58" ht="12.95" customHeight="1">
      <c r="A85" s="346"/>
      <c r="B85" s="45" t="s">
        <v>7</v>
      </c>
      <c r="C85" s="452"/>
      <c r="D85" s="45"/>
      <c r="E85" s="46">
        <v>10.3</v>
      </c>
      <c r="F85" s="46"/>
      <c r="G85" s="465"/>
      <c r="H85" s="48"/>
      <c r="I85" s="49"/>
      <c r="J85" s="91"/>
      <c r="K85" s="91"/>
      <c r="L85" s="39"/>
      <c r="M85" s="39"/>
      <c r="N85" s="50"/>
      <c r="O85" s="51"/>
      <c r="P85" s="52"/>
      <c r="Q85" s="51"/>
      <c r="R85" s="422"/>
      <c r="S85" s="422"/>
      <c r="T85" s="41"/>
      <c r="U85" s="41"/>
      <c r="V85" s="41"/>
      <c r="W85" s="41">
        <f>+'17'!K16/1000</f>
        <v>5.2050000000000001</v>
      </c>
      <c r="X85" s="42"/>
      <c r="Y85" s="223"/>
      <c r="Z85" s="41">
        <f>+'17'!D7/1000</f>
        <v>0.39800000000000002</v>
      </c>
      <c r="AA85" s="41"/>
      <c r="AB85" s="41"/>
      <c r="AC85" s="41">
        <f>K85-T85</f>
        <v>0</v>
      </c>
      <c r="AD85" s="41">
        <f>+AM85+BA85</f>
        <v>17</v>
      </c>
      <c r="AE85" s="241" t="s">
        <v>628</v>
      </c>
      <c r="AF85" s="41"/>
      <c r="AG85" s="41">
        <v>17</v>
      </c>
      <c r="AH85" s="41"/>
      <c r="AI85" s="461"/>
      <c r="AJ85" s="41"/>
      <c r="AK85" s="41"/>
      <c r="AL85" s="41"/>
      <c r="AM85" s="41">
        <f>SUM(AF85:AL85)+AT85+AV85+AX85</f>
        <v>17</v>
      </c>
      <c r="AN85" s="92"/>
      <c r="AO85" s="41"/>
      <c r="AP85" s="41"/>
      <c r="AQ85" s="41"/>
      <c r="AR85" s="41">
        <f>SUM(AN85:AQ85)</f>
        <v>0</v>
      </c>
      <c r="AS85" s="41"/>
      <c r="AT85" s="41"/>
      <c r="AU85" s="41"/>
      <c r="AV85" s="41"/>
      <c r="AW85" s="41"/>
      <c r="AX85" s="41"/>
      <c r="AY85" s="41"/>
      <c r="AZ85" s="41"/>
      <c r="BA85" s="41">
        <f>+AR85+AS85+AU85+AW85+AY85+AZ85</f>
        <v>0</v>
      </c>
      <c r="BB85" s="54"/>
      <c r="BC85" s="55">
        <v>9</v>
      </c>
      <c r="BD85" s="55"/>
      <c r="BE85" s="54"/>
      <c r="BF85" s="55"/>
    </row>
    <row r="86" spans="1:58" ht="12.95" customHeight="1">
      <c r="A86" s="44"/>
      <c r="B86" s="45" t="s">
        <v>599</v>
      </c>
      <c r="C86" s="452"/>
      <c r="D86" s="45"/>
      <c r="E86" s="46">
        <v>15</v>
      </c>
      <c r="F86" s="46"/>
      <c r="G86" s="465"/>
      <c r="H86" s="48"/>
      <c r="I86" s="49"/>
      <c r="J86" s="91"/>
      <c r="K86" s="91"/>
      <c r="L86" s="39"/>
      <c r="M86" s="39"/>
      <c r="N86" s="50"/>
      <c r="O86" s="51"/>
      <c r="P86" s="52"/>
      <c r="Q86" s="51"/>
      <c r="R86" s="422"/>
      <c r="S86" s="422"/>
      <c r="T86" s="41"/>
      <c r="U86" s="41"/>
      <c r="V86" s="41"/>
      <c r="W86" s="41">
        <f>+'17'!K19/1000</f>
        <v>0.249</v>
      </c>
      <c r="X86" s="42"/>
      <c r="Y86" s="223"/>
      <c r="Z86" s="41">
        <f>+'17'!D8/1000</f>
        <v>0.754</v>
      </c>
      <c r="AA86" s="41"/>
      <c r="AB86" s="41"/>
      <c r="AC86" s="41">
        <f>K86-T86</f>
        <v>0</v>
      </c>
      <c r="AD86" s="41">
        <f>+AM86+BA86</f>
        <v>23</v>
      </c>
      <c r="AE86" s="241" t="s">
        <v>457</v>
      </c>
      <c r="AF86" s="37"/>
      <c r="AG86" s="37"/>
      <c r="AH86" s="37">
        <v>23</v>
      </c>
      <c r="AJ86" s="41"/>
      <c r="AK86" s="41"/>
      <c r="AL86" s="41"/>
      <c r="AM86" s="41">
        <f>SUM(AF86:AL86)+AT86+AV86+AX86</f>
        <v>23</v>
      </c>
      <c r="AN86" s="41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37"/>
      <c r="BC86" s="57"/>
      <c r="BD86" s="57"/>
      <c r="BE86" s="37"/>
      <c r="BF86" s="57"/>
    </row>
    <row r="87" spans="1:58" ht="12.95" customHeight="1">
      <c r="A87" s="44"/>
      <c r="B87" s="45"/>
      <c r="C87" s="452"/>
      <c r="D87" s="45"/>
      <c r="E87" s="46"/>
      <c r="F87" s="46"/>
      <c r="G87" s="47"/>
      <c r="H87" s="48"/>
      <c r="I87" s="49"/>
      <c r="J87" s="91"/>
      <c r="K87" s="91"/>
      <c r="L87" s="39"/>
      <c r="M87" s="39"/>
      <c r="N87" s="50"/>
      <c r="O87" s="51"/>
      <c r="P87" s="52"/>
      <c r="Q87" s="51"/>
      <c r="R87" s="422"/>
      <c r="S87" s="422"/>
      <c r="T87" s="41"/>
      <c r="U87" s="41"/>
      <c r="V87" s="41"/>
      <c r="W87" s="41"/>
      <c r="X87" s="42"/>
      <c r="Y87" s="223"/>
      <c r="Z87" s="41"/>
      <c r="AA87" s="41"/>
      <c r="AB87" s="41"/>
      <c r="AC87" s="41"/>
      <c r="AD87" s="41"/>
      <c r="AE87" s="244"/>
      <c r="AF87" s="41"/>
      <c r="AG87" s="41"/>
      <c r="AH87" s="41"/>
      <c r="AI87" s="41"/>
      <c r="AJ87" s="41"/>
      <c r="AK87" s="41"/>
      <c r="AL87" s="41"/>
      <c r="AM87" s="41"/>
      <c r="AN87" s="60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37"/>
      <c r="BC87" s="55"/>
      <c r="BD87" s="55"/>
      <c r="BE87" s="55"/>
      <c r="BF87" s="55"/>
    </row>
    <row r="88" spans="1:58" ht="12.95" customHeight="1">
      <c r="A88" s="346">
        <v>46009</v>
      </c>
      <c r="B88" s="45" t="s">
        <v>7</v>
      </c>
      <c r="C88" s="452">
        <f>(M88*E88*O88*Q88)/100000000</f>
        <v>60.629461034999999</v>
      </c>
      <c r="D88" s="45" t="s">
        <v>410</v>
      </c>
      <c r="E88" s="46">
        <v>13</v>
      </c>
      <c r="F88" s="46">
        <v>1</v>
      </c>
      <c r="G88" s="465">
        <v>1700</v>
      </c>
      <c r="H88" s="605">
        <f>+N88</f>
        <v>0.2400000000000001</v>
      </c>
      <c r="I88" s="49">
        <v>0.88</v>
      </c>
      <c r="J88" s="91">
        <f>E88*G88*(1-H88)*1440/1000000*2.77</f>
        <v>66.995884799999999</v>
      </c>
      <c r="K88" s="91">
        <f>(IF(G88&lt;L88,L88,G88)*(1-IF(H88&lt;N88,H88,N88))*E88*O88*Q88)/100000000</f>
        <v>63.69066617499999</v>
      </c>
      <c r="L88" s="39">
        <v>1618.2918149466193</v>
      </c>
      <c r="M88" s="39">
        <v>1229.9017793594305</v>
      </c>
      <c r="N88" s="50">
        <f>1-(M88/L88)</f>
        <v>0.2400000000000001</v>
      </c>
      <c r="O88" s="51">
        <f>+'Trim Rwd'!H76</f>
        <v>269.89423076923077</v>
      </c>
      <c r="P88" s="52">
        <f>O88*(Q88-R88-S88)</f>
        <v>369485.20192307694</v>
      </c>
      <c r="Q88" s="51">
        <v>1405</v>
      </c>
      <c r="R88" s="422">
        <v>0</v>
      </c>
      <c r="S88" s="422">
        <v>36</v>
      </c>
      <c r="T88" s="41">
        <f>E88*M88*O88*Q88/100000000</f>
        <v>60.629461034999999</v>
      </c>
      <c r="U88" s="41">
        <f>E88*M88*O88*(Q88-R88-S88)/100000000</f>
        <v>59.075965947982205</v>
      </c>
      <c r="V88" s="41">
        <f>E88*G88*(1-N88)*O88/100*(R88+S88)/1000000</f>
        <v>1.6319316599999998</v>
      </c>
      <c r="W88" s="41">
        <f>+'18'!K7/1000</f>
        <v>59.009</v>
      </c>
      <c r="X88" s="419">
        <f>SUM(W88:W91)/SUM(K88:K91)</f>
        <v>0.9023961760704744</v>
      </c>
      <c r="Y88" s="223">
        <v>0</v>
      </c>
      <c r="Z88" s="41">
        <f>+'18'!D34/1000</f>
        <v>0.32500000000000001</v>
      </c>
      <c r="AA88" s="53">
        <f>SUM(U88:U91)-SUM(W88:W91)-SUM(Z88:Z91)-SUM(Y88:Y91)</f>
        <v>1.4368031829822059</v>
      </c>
      <c r="AB88" s="53">
        <f>(SUM(K88:K91)-SUM(W88:W91)-SUM(Y88:Y91)-SUM(Z88:Z91)-SUM(AC88:AC91)-SUM(V88:V91))-AA88</f>
        <v>-7.8436572982209851E-2</v>
      </c>
      <c r="AC88" s="41">
        <f>K88-T88</f>
        <v>3.0612051399999913</v>
      </c>
      <c r="AD88" s="41">
        <f>+AM88+BA88</f>
        <v>0</v>
      </c>
      <c r="AE88" s="241" t="s">
        <v>492</v>
      </c>
      <c r="AF88" s="41">
        <v>0</v>
      </c>
      <c r="AG88" s="41"/>
      <c r="AH88" s="41"/>
      <c r="AI88" s="461"/>
      <c r="AJ88" s="41"/>
      <c r="AK88" s="41"/>
      <c r="AL88" s="41"/>
      <c r="AM88" s="41">
        <f>SUM(AF88:AL88)+AT88+AV88+AX88</f>
        <v>0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/>
      <c r="AX88" s="41"/>
      <c r="AY88" s="41"/>
      <c r="AZ88" s="41"/>
      <c r="BA88" s="41">
        <f>+AR88+AS88+AU88+AW88+AY88+AZ88</f>
        <v>0</v>
      </c>
      <c r="BB88" s="37">
        <v>0</v>
      </c>
      <c r="BC88" s="55"/>
      <c r="BD88" s="55"/>
      <c r="BE88" s="37"/>
      <c r="BF88" s="55"/>
    </row>
    <row r="89" spans="1:58" ht="12.95" customHeight="1">
      <c r="A89" s="346"/>
      <c r="B89" s="45" t="s">
        <v>234</v>
      </c>
      <c r="C89" s="452">
        <f>(M89*E89*O89*Q89)/100000000</f>
        <v>1.6948372350000001</v>
      </c>
      <c r="D89" s="45" t="s">
        <v>410</v>
      </c>
      <c r="E89" s="46">
        <v>14</v>
      </c>
      <c r="F89" s="46">
        <v>1</v>
      </c>
      <c r="G89" s="465">
        <v>1270</v>
      </c>
      <c r="H89" s="48">
        <v>0</v>
      </c>
      <c r="I89" s="49">
        <v>0.88</v>
      </c>
      <c r="J89" s="91">
        <f>E89*G89*(1-H89)*1440/1000000*2.77</f>
        <v>70.920864000000009</v>
      </c>
      <c r="K89" s="91">
        <f>(IF(G89&lt;L89,L89,G89)*(1-IF(H89&lt;N89,H89,N89))*E89*O89*Q89)/100000000</f>
        <v>1.70079</v>
      </c>
      <c r="L89" s="39">
        <v>1300</v>
      </c>
      <c r="M89" s="39">
        <f>+L89-L89*0.0035</f>
        <v>1295.45</v>
      </c>
      <c r="N89" s="50">
        <f>1-(M89/L89)</f>
        <v>3.4999999999999476E-3</v>
      </c>
      <c r="O89" s="51">
        <f>+'Trim Rwd'!H78</f>
        <v>267</v>
      </c>
      <c r="P89" s="52">
        <f>O89*(Q89-R89-S89)</f>
        <v>9345</v>
      </c>
      <c r="Q89" s="51">
        <v>35</v>
      </c>
      <c r="R89" s="422">
        <v>0</v>
      </c>
      <c r="S89" s="422">
        <v>0</v>
      </c>
      <c r="T89" s="41">
        <f>E89*M89*O89*Q89/100000000</f>
        <v>1.6948372350000001</v>
      </c>
      <c r="U89" s="41">
        <f>E89*M89*O89*(Q89-R89-S89)/100000000</f>
        <v>1.6948372350000001</v>
      </c>
      <c r="V89" s="41">
        <f>E89*G89*(1-N89)*O89/100*(R89+S89)/1000000</f>
        <v>0</v>
      </c>
      <c r="W89" s="41">
        <f>+'18'!K11/1000</f>
        <v>0</v>
      </c>
      <c r="X89" s="419"/>
      <c r="Y89" s="223"/>
      <c r="Z89" s="41"/>
      <c r="AA89" s="53"/>
      <c r="AB89" s="53"/>
      <c r="AC89" s="41">
        <f>K89-T89</f>
        <v>5.952764999999971E-3</v>
      </c>
      <c r="AD89" s="41">
        <f>+AM89+BA89</f>
        <v>10</v>
      </c>
      <c r="AE89" s="241" t="s">
        <v>672</v>
      </c>
      <c r="AF89" s="41"/>
      <c r="AG89" s="41">
        <v>10</v>
      </c>
      <c r="AH89" s="41"/>
      <c r="AI89" s="461"/>
      <c r="AJ89" s="41"/>
      <c r="AK89" s="41"/>
      <c r="AL89" s="41"/>
      <c r="AM89" s="41">
        <f>SUM(AF89:AL89)+AT89+AV89+AX89</f>
        <v>10</v>
      </c>
      <c r="AN89" s="92"/>
      <c r="AO89" s="41"/>
      <c r="AP89" s="41"/>
      <c r="AQ89" s="41"/>
      <c r="AR89" s="41">
        <f>SUM(AN89:AQ89)</f>
        <v>0</v>
      </c>
      <c r="AS89" s="41"/>
      <c r="AT89" s="41"/>
      <c r="AU89" s="41"/>
      <c r="AV89" s="41"/>
      <c r="AW89" s="41"/>
      <c r="AX89" s="41"/>
      <c r="AY89" s="41"/>
      <c r="AZ89" s="41"/>
      <c r="BA89" s="41">
        <f>+AR89+AS89+AU89+AW89+AY89+AZ89</f>
        <v>0</v>
      </c>
      <c r="BB89" s="54"/>
      <c r="BC89" s="55">
        <v>8</v>
      </c>
      <c r="BD89" s="55"/>
      <c r="BE89" s="54"/>
      <c r="BF89" s="55"/>
    </row>
    <row r="90" spans="1:58" ht="12.95" customHeight="1">
      <c r="A90" s="44"/>
      <c r="B90" s="45"/>
      <c r="C90" s="452"/>
      <c r="D90" s="45"/>
      <c r="E90" s="46"/>
      <c r="F90" s="46"/>
      <c r="G90" s="47"/>
      <c r="H90" s="48"/>
      <c r="I90" s="49"/>
      <c r="J90" s="91"/>
      <c r="K90" s="91"/>
      <c r="L90" s="39"/>
      <c r="M90" s="39"/>
      <c r="N90" s="50"/>
      <c r="O90" s="51"/>
      <c r="P90" s="52"/>
      <c r="Q90" s="51"/>
      <c r="R90" s="422"/>
      <c r="S90" s="422"/>
      <c r="T90" s="41"/>
      <c r="U90" s="41"/>
      <c r="V90" s="41"/>
      <c r="W90" s="41"/>
      <c r="X90" s="42"/>
      <c r="Y90" s="223"/>
      <c r="Z90" s="41"/>
      <c r="AA90" s="41"/>
      <c r="AB90" s="41"/>
      <c r="AC90" s="41"/>
      <c r="AD90" s="41">
        <f>+AM90+BA90</f>
        <v>26</v>
      </c>
      <c r="AE90" s="241" t="s">
        <v>479</v>
      </c>
      <c r="AF90" s="37"/>
      <c r="AG90" s="37"/>
      <c r="AH90" s="37">
        <v>26</v>
      </c>
      <c r="AJ90" s="41"/>
      <c r="AK90" s="41"/>
      <c r="AL90" s="41"/>
      <c r="AM90" s="41">
        <f>SUM(AF90:AL90)+AT90+AV90+AX90</f>
        <v>26</v>
      </c>
      <c r="AN90" s="41"/>
      <c r="AO90" s="41"/>
      <c r="AP90" s="41"/>
      <c r="AQ90" s="41"/>
      <c r="AR90" s="41">
        <f>SUM(AN90:AQ90)</f>
        <v>0</v>
      </c>
      <c r="AS90" s="41"/>
      <c r="AT90" s="41"/>
      <c r="AU90" s="41"/>
      <c r="AV90" s="41"/>
      <c r="AW90" s="41"/>
      <c r="AX90" s="41"/>
      <c r="AY90" s="41"/>
      <c r="AZ90" s="41"/>
      <c r="BA90" s="41">
        <f>+AR90+AS90+AU90+AW90+AY90+AZ90</f>
        <v>0</v>
      </c>
      <c r="BB90" s="37"/>
      <c r="BC90" s="57"/>
      <c r="BD90" s="57"/>
      <c r="BE90" s="37"/>
      <c r="BF90" s="57"/>
    </row>
    <row r="91" spans="1:58" ht="12.95" customHeight="1">
      <c r="A91" s="44"/>
      <c r="B91" s="45"/>
      <c r="C91" s="452"/>
      <c r="D91" s="45"/>
      <c r="E91" s="46"/>
      <c r="F91" s="46"/>
      <c r="G91" s="465"/>
      <c r="H91" s="48"/>
      <c r="I91" s="49"/>
      <c r="J91" s="91"/>
      <c r="K91" s="91"/>
      <c r="L91" s="39"/>
      <c r="M91" s="39"/>
      <c r="N91" s="50"/>
      <c r="O91" s="51"/>
      <c r="P91" s="52"/>
      <c r="Q91" s="51"/>
      <c r="R91" s="422"/>
      <c r="S91" s="422"/>
      <c r="T91" s="41"/>
      <c r="U91" s="41"/>
      <c r="V91" s="41"/>
      <c r="W91" s="41"/>
      <c r="X91" s="42"/>
      <c r="Y91" s="223"/>
      <c r="Z91" s="41"/>
      <c r="AA91" s="41"/>
      <c r="AB91" s="41"/>
      <c r="AC91" s="41"/>
      <c r="AD91" s="41"/>
      <c r="AE91" s="244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37"/>
      <c r="BC91" s="57"/>
      <c r="BD91" s="57"/>
      <c r="BE91" s="37"/>
      <c r="BF91" s="57"/>
    </row>
    <row r="92" spans="1:58" ht="12.95" customHeight="1">
      <c r="A92" s="346">
        <v>46010</v>
      </c>
      <c r="B92" s="45" t="s">
        <v>234</v>
      </c>
      <c r="C92" s="452">
        <f>(M92*E92*O92*Q92)/100000000</f>
        <v>28.428566543999995</v>
      </c>
      <c r="D92" s="45" t="s">
        <v>410</v>
      </c>
      <c r="E92" s="46">
        <v>14</v>
      </c>
      <c r="F92" s="46">
        <v>1</v>
      </c>
      <c r="G92" s="465">
        <v>1270</v>
      </c>
      <c r="H92" s="48">
        <v>0</v>
      </c>
      <c r="I92" s="49">
        <v>0.88</v>
      </c>
      <c r="J92" s="91">
        <f>E92*G92*(1-H92)*1440/1000000*2.77</f>
        <v>70.920864000000009</v>
      </c>
      <c r="K92" s="91">
        <f>(IF(G92&lt;L92,L92,G92)*(1-IF(H92&lt;N92,H92,N92))*E92*O92*Q92)/100000000</f>
        <v>28.528416</v>
      </c>
      <c r="L92" s="39">
        <v>1272</v>
      </c>
      <c r="M92" s="39">
        <f>+L92-L92*0.0035</f>
        <v>1267.548</v>
      </c>
      <c r="N92" s="50">
        <f>1-(M92/L92)</f>
        <v>3.4999999999999476E-3</v>
      </c>
      <c r="O92" s="51">
        <f>+'Trim Rwd'!H81</f>
        <v>267</v>
      </c>
      <c r="P92" s="52">
        <f>O92*(Q92-R92-S92)</f>
        <v>150855</v>
      </c>
      <c r="Q92" s="51">
        <v>600</v>
      </c>
      <c r="R92" s="422">
        <v>0</v>
      </c>
      <c r="S92" s="422">
        <v>35</v>
      </c>
      <c r="T92" s="41">
        <f>E92*M92*O92*Q92/100000000</f>
        <v>28.428566543999995</v>
      </c>
      <c r="U92" s="41">
        <f>E92*M92*O92*(Q92-R92-S92)/100000000</f>
        <v>26.770233495599999</v>
      </c>
      <c r="V92" s="41">
        <f>E92*G92*(1-N92)*O92/100*(R92+S92)/1000000</f>
        <v>1.6557256064999999</v>
      </c>
      <c r="W92" s="41">
        <f>+'19'!K11/1000</f>
        <v>21.422999999999998</v>
      </c>
      <c r="X92" s="419">
        <f>SUM(W92:W95)/SUM(K92:K95)</f>
        <v>0.78447446008401678</v>
      </c>
      <c r="Y92" s="223">
        <v>0</v>
      </c>
      <c r="Z92" s="41">
        <f>+('19'!D7+'19'!D16)/1000</f>
        <v>1.919</v>
      </c>
      <c r="AA92" s="53">
        <f>SUM(U92:U95)-SUM(W92:W95)-SUM(Z92:Z95)-SUM(Y92:Y95)</f>
        <v>8.8100388876000046</v>
      </c>
      <c r="AB92" s="53">
        <f>(SUM(K92:K95)-SUM(W92:W95)-SUM(Y92:Y95)-SUM(Z92:Z95)-SUM(AC92:AC95)-SUM(V92:V95))-AA92</f>
        <v>4.5297501899991488E-2</v>
      </c>
      <c r="AC92" s="41">
        <f>K92-T92</f>
        <v>9.9849456000004722E-2</v>
      </c>
      <c r="AD92" s="41">
        <f>+AM92+BA92</f>
        <v>40</v>
      </c>
      <c r="AE92" s="241" t="s">
        <v>451</v>
      </c>
      <c r="AF92" s="41">
        <v>40</v>
      </c>
      <c r="AG92" s="41"/>
      <c r="AH92" s="41"/>
      <c r="AI92" s="461"/>
      <c r="AJ92" s="41"/>
      <c r="AK92" s="41"/>
      <c r="AL92" s="41"/>
      <c r="AM92" s="41">
        <f>SUM(AF92:AL92)+AT92+AV92+AX92</f>
        <v>40</v>
      </c>
      <c r="AN92" s="41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37">
        <v>8</v>
      </c>
      <c r="BC92" s="55"/>
      <c r="BD92" s="55"/>
      <c r="BE92" s="37"/>
      <c r="BF92" s="55"/>
    </row>
    <row r="93" spans="1:58" ht="12.95" customHeight="1">
      <c r="A93" s="346"/>
      <c r="B93" s="45" t="s">
        <v>234</v>
      </c>
      <c r="C93" s="452">
        <f>(M93*E93*O93*Q93)/100000000</f>
        <v>20.393651519999999</v>
      </c>
      <c r="D93" s="45" t="s">
        <v>410</v>
      </c>
      <c r="E93" s="46">
        <v>16.5</v>
      </c>
      <c r="F93" s="46">
        <v>1</v>
      </c>
      <c r="G93" s="465">
        <v>1250</v>
      </c>
      <c r="H93" s="48">
        <v>0</v>
      </c>
      <c r="I93" s="49">
        <v>0.88</v>
      </c>
      <c r="J93" s="91">
        <f>E93*G93*(1-H93)*1440/1000000*2.77</f>
        <v>82.269000000000005</v>
      </c>
      <c r="K93" s="91">
        <f>(IF(G93&lt;L93,L93,G93)*(1-IF(H93&lt;N93,H93,N93))*E93*O93*Q93)/100000000</f>
        <v>20.46528</v>
      </c>
      <c r="L93" s="39">
        <v>1266.6666666666667</v>
      </c>
      <c r="M93" s="39">
        <v>1262.2333333333333</v>
      </c>
      <c r="N93" s="50">
        <f>1-(M93/L93)</f>
        <v>3.5000000000000586E-3</v>
      </c>
      <c r="O93" s="51">
        <f>+'Trim Rwd'!H82</f>
        <v>272</v>
      </c>
      <c r="P93" s="52">
        <f>O93*(Q93-R93-S93)</f>
        <v>95200</v>
      </c>
      <c r="Q93" s="51">
        <v>360</v>
      </c>
      <c r="R93" s="422">
        <v>0</v>
      </c>
      <c r="S93" s="422">
        <v>10</v>
      </c>
      <c r="T93" s="41">
        <f>E93*M93*O93*Q93/100000000</f>
        <v>20.393651519999999</v>
      </c>
      <c r="U93" s="41">
        <f>E93*M93*O93*(Q93-R93-S93)/100000000</f>
        <v>19.827161199999999</v>
      </c>
      <c r="V93" s="41">
        <f>E93*G93*(1-N93)*O93/100*(R93+S93)/1000000</f>
        <v>0.55903650000000005</v>
      </c>
      <c r="W93" s="41">
        <f>+'19'!K9/1000</f>
        <v>12.087999999999999</v>
      </c>
      <c r="X93" s="419"/>
      <c r="Y93" s="223"/>
      <c r="Z93" s="41">
        <f>+('19'!D17+'19'!D25)/1000</f>
        <v>1.19</v>
      </c>
      <c r="AA93" s="53"/>
      <c r="AB93" s="53"/>
      <c r="AC93" s="41">
        <f>K93-T93</f>
        <v>7.1628480000001105E-2</v>
      </c>
      <c r="AD93" s="41">
        <f>+AM93+BA93</f>
        <v>0</v>
      </c>
      <c r="AE93" s="241" t="s">
        <v>448</v>
      </c>
      <c r="AF93" s="41"/>
      <c r="AG93" s="41">
        <v>0</v>
      </c>
      <c r="AH93" s="41"/>
      <c r="AI93" s="461"/>
      <c r="AJ93" s="41"/>
      <c r="AK93" s="41"/>
      <c r="AL93" s="41"/>
      <c r="AM93" s="41">
        <f>SUM(AF93:AL93)+AT93+AV93+AX93</f>
        <v>0</v>
      </c>
      <c r="AN93" s="92"/>
      <c r="AO93" s="41"/>
      <c r="AP93" s="41"/>
      <c r="AQ93" s="41"/>
      <c r="AR93" s="41">
        <f>SUM(AN93:AQ93)</f>
        <v>0</v>
      </c>
      <c r="AS93" s="41"/>
      <c r="AT93" s="41"/>
      <c r="AU93" s="41"/>
      <c r="AV93" s="41"/>
      <c r="AW93" s="41"/>
      <c r="AX93" s="41"/>
      <c r="AY93" s="41"/>
      <c r="AZ93" s="41"/>
      <c r="BA93" s="41">
        <f>+AR93+AS93+AU93+AW93+AY93+AZ93</f>
        <v>0</v>
      </c>
      <c r="BB93" s="54"/>
      <c r="BC93" s="55">
        <v>0</v>
      </c>
      <c r="BD93" s="55"/>
      <c r="BE93" s="54"/>
      <c r="BF93" s="55"/>
    </row>
    <row r="94" spans="1:58" ht="12.95" customHeight="1">
      <c r="A94" s="44"/>
      <c r="B94" s="45" t="s">
        <v>234</v>
      </c>
      <c r="C94" s="452">
        <f>(M94*E94*O94*Q94)/100000000</f>
        <v>26.638597440000002</v>
      </c>
      <c r="D94" s="45" t="s">
        <v>455</v>
      </c>
      <c r="E94" s="46">
        <v>17</v>
      </c>
      <c r="F94" s="46">
        <v>1</v>
      </c>
      <c r="G94" s="465">
        <v>1210</v>
      </c>
      <c r="H94" s="48">
        <v>0</v>
      </c>
      <c r="I94" s="49">
        <v>0.88</v>
      </c>
      <c r="J94" s="91">
        <f>E94*G94*(1-H94)*1440/1000000*2.77</f>
        <v>82.049616</v>
      </c>
      <c r="K94" s="91">
        <f>(IF(G94&lt;L94,L94,G94)*(1-IF(H94&lt;N94,H94,N94))*E94*O94*Q94)/100000000</f>
        <v>26.73216</v>
      </c>
      <c r="L94" s="39">
        <v>1260</v>
      </c>
      <c r="M94" s="39">
        <f>+L94-L94*0.0035</f>
        <v>1255.5899999999999</v>
      </c>
      <c r="N94" s="50">
        <f>1-(M94/L94)</f>
        <v>3.5000000000000586E-3</v>
      </c>
      <c r="O94" s="51">
        <f>+'Trim Rwd'!H83</f>
        <v>260</v>
      </c>
      <c r="P94" s="52">
        <f>O94*(Q94-R94-S94)</f>
        <v>120640</v>
      </c>
      <c r="Q94" s="51">
        <v>480</v>
      </c>
      <c r="R94" s="422">
        <v>0</v>
      </c>
      <c r="S94" s="422">
        <v>16</v>
      </c>
      <c r="T94" s="41">
        <f>E94*M94*O94*Q94/100000000</f>
        <v>26.638597440000002</v>
      </c>
      <c r="U94" s="41">
        <f>E94*M94*O94*(Q94-R94-S94)/100000000</f>
        <v>25.750644191999999</v>
      </c>
      <c r="V94" s="41">
        <f>E94*G94*(1-N94)*O94/100*(R94+S94)/1000000</f>
        <v>0.85271700799999983</v>
      </c>
      <c r="W94" s="41">
        <f>+'19'!K10/1000</f>
        <v>20.898</v>
      </c>
      <c r="X94" s="42"/>
      <c r="Y94" s="223"/>
      <c r="Z94" s="41">
        <f>+'19'!D26/1000</f>
        <v>0.44800000000000001</v>
      </c>
      <c r="AA94" s="41"/>
      <c r="AB94" s="41"/>
      <c r="AC94" s="41">
        <f>K94-T94</f>
        <v>9.356255999999874E-2</v>
      </c>
      <c r="AD94" s="41">
        <f>+AM94+BA94</f>
        <v>21</v>
      </c>
      <c r="AE94" s="241" t="s">
        <v>531</v>
      </c>
      <c r="AF94" s="37"/>
      <c r="AG94" s="37"/>
      <c r="AH94" s="37">
        <v>21</v>
      </c>
      <c r="AJ94" s="41"/>
      <c r="AK94" s="41"/>
      <c r="AL94" s="41"/>
      <c r="AM94" s="41">
        <f>SUM(AF94:AL94)+AT94+AV94+AX94</f>
        <v>21</v>
      </c>
      <c r="AN94" s="41"/>
      <c r="AO94" s="41"/>
      <c r="AP94" s="41"/>
      <c r="AQ94" s="41"/>
      <c r="AR94" s="41">
        <f>SUM(AN94:AQ94)</f>
        <v>0</v>
      </c>
      <c r="AS94" s="41"/>
      <c r="AT94" s="41"/>
      <c r="AU94" s="41"/>
      <c r="AV94" s="41"/>
      <c r="AW94" s="41"/>
      <c r="AX94" s="41"/>
      <c r="AY94" s="41"/>
      <c r="AZ94" s="41"/>
      <c r="BA94" s="41">
        <f>+AR94+AS94+AU94+AW94+AY94+AZ94</f>
        <v>0</v>
      </c>
      <c r="BB94" s="37"/>
      <c r="BC94" s="57"/>
      <c r="BD94" s="57"/>
      <c r="BE94" s="37"/>
      <c r="BF94" s="57"/>
    </row>
    <row r="95" spans="1:58" ht="12.95" customHeight="1">
      <c r="A95" s="44"/>
      <c r="B95" s="45" t="s">
        <v>7</v>
      </c>
      <c r="C95" s="452"/>
      <c r="D95" s="45"/>
      <c r="E95" s="46">
        <v>13</v>
      </c>
      <c r="F95" s="46"/>
      <c r="G95" s="465"/>
      <c r="H95" s="48"/>
      <c r="I95" s="49"/>
      <c r="J95" s="91"/>
      <c r="K95" s="91"/>
      <c r="L95" s="39"/>
      <c r="M95" s="39"/>
      <c r="N95" s="50"/>
      <c r="O95" s="51"/>
      <c r="P95" s="52"/>
      <c r="Q95" s="51"/>
      <c r="R95" s="422"/>
      <c r="S95" s="422"/>
      <c r="T95" s="41"/>
      <c r="U95" s="41"/>
      <c r="V95" s="41"/>
      <c r="W95" s="41">
        <f>+'19'!K7/1000</f>
        <v>4.9960000000000004</v>
      </c>
      <c r="X95" s="42"/>
      <c r="Y95" s="223"/>
      <c r="Z95" s="41">
        <f>+'19'!D8/1000</f>
        <v>0.57599999999999996</v>
      </c>
      <c r="AA95" s="41"/>
      <c r="AB95" s="41"/>
      <c r="AC95" s="41"/>
      <c r="AD95" s="41"/>
      <c r="AE95" s="244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37"/>
      <c r="BC95" s="57"/>
      <c r="BD95" s="57"/>
      <c r="BE95" s="37"/>
      <c r="BF95" s="57"/>
    </row>
    <row r="96" spans="1:58" ht="12.75" customHeight="1">
      <c r="A96" s="44"/>
      <c r="B96" s="45"/>
      <c r="C96" s="452"/>
      <c r="D96" s="45"/>
      <c r="E96" s="46"/>
      <c r="F96" s="46"/>
      <c r="G96" s="47"/>
      <c r="H96" s="48"/>
      <c r="I96" s="49"/>
      <c r="J96" s="91"/>
      <c r="K96" s="91"/>
      <c r="L96" s="39"/>
      <c r="M96" s="39"/>
      <c r="N96" s="50"/>
      <c r="O96" s="51"/>
      <c r="P96" s="52"/>
      <c r="Q96" s="51"/>
      <c r="R96" s="422"/>
      <c r="S96" s="422"/>
      <c r="T96" s="41"/>
      <c r="U96" s="41"/>
      <c r="V96" s="41"/>
      <c r="W96" s="41"/>
      <c r="X96" s="42"/>
      <c r="Y96" s="223"/>
      <c r="Z96" s="41"/>
      <c r="AA96" s="41"/>
      <c r="AB96" s="41"/>
      <c r="AC96" s="41"/>
      <c r="AD96" s="41"/>
      <c r="AE96" s="2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37"/>
      <c r="BC96" s="55"/>
      <c r="BD96" s="55"/>
      <c r="BE96" s="55"/>
      <c r="BF96" s="55"/>
    </row>
    <row r="97" spans="1:58" ht="12.95" customHeight="1">
      <c r="A97" s="346">
        <v>46011</v>
      </c>
      <c r="B97" s="45" t="s">
        <v>234</v>
      </c>
      <c r="C97" s="452">
        <f>(M97*E97*O97*Q97)/100000000</f>
        <v>27.140423451428571</v>
      </c>
      <c r="D97" s="45" t="s">
        <v>455</v>
      </c>
      <c r="E97" s="46">
        <v>17</v>
      </c>
      <c r="F97" s="46">
        <v>1</v>
      </c>
      <c r="G97" s="465">
        <v>1210</v>
      </c>
      <c r="H97" s="48">
        <v>0</v>
      </c>
      <c r="I97" s="49">
        <v>0.88</v>
      </c>
      <c r="J97" s="91">
        <f>E97*G97*(1-H97)*1440/1000000*2.77</f>
        <v>82.049616</v>
      </c>
      <c r="K97" s="91">
        <f>(IF(G97&lt;L97,L97,G97)*(1-IF(H97&lt;N97,H97,N97))*E97*O97*Q97)/100000000</f>
        <v>27.235748571428577</v>
      </c>
      <c r="L97" s="39">
        <v>1260</v>
      </c>
      <c r="M97" s="39">
        <f>+L97-L97*0.0035</f>
        <v>1255.5899999999999</v>
      </c>
      <c r="N97" s="50">
        <f>1-(M97/L97)</f>
        <v>3.5000000000000586E-3</v>
      </c>
      <c r="O97" s="51">
        <f>+'Trim Rwd'!H85</f>
        <v>264.89795918367349</v>
      </c>
      <c r="P97" s="52">
        <f>O97*(Q97-R97-S97)</f>
        <v>122117.95918367348</v>
      </c>
      <c r="Q97" s="51">
        <v>480</v>
      </c>
      <c r="R97" s="422">
        <v>0</v>
      </c>
      <c r="S97" s="422">
        <v>19</v>
      </c>
      <c r="T97" s="41">
        <f>E97*M97*O97*Q97/100000000</f>
        <v>27.140423451428571</v>
      </c>
      <c r="U97" s="41">
        <f>E97*M97*O97*(Q97-R97-S97)/100000000</f>
        <v>26.066115023142856</v>
      </c>
      <c r="V97" s="41">
        <f>E97*G97*(1-N97)*O97/100*(R97+S97)/1000000</f>
        <v>1.0316771414489796</v>
      </c>
      <c r="W97" s="41">
        <f>+'20'!K10/1000</f>
        <v>54.866999999999997</v>
      </c>
      <c r="X97" s="419">
        <f>SUM(W97:W100)/SUM(K97:K100)</f>
        <v>0.82633525617302994</v>
      </c>
      <c r="Y97" s="223">
        <v>0</v>
      </c>
      <c r="Z97" s="41">
        <f>+'20'!D34/1000</f>
        <v>1.012</v>
      </c>
      <c r="AA97" s="53">
        <f>SUM(U97:U100)-SUM(W97:W100)-SUM(Z97:Z100)-SUM(Y97:Y100)</f>
        <v>7.6694865412197828</v>
      </c>
      <c r="AB97" s="53">
        <f>(SUM(K97:K100)-SUM(W97:W100)-SUM(Y97:Y100)-SUM(Z97:Z100)-SUM(AC97:AC100)-SUM(V97:V100))-AA97</f>
        <v>-1.2280769009420212E-2</v>
      </c>
      <c r="AC97" s="41">
        <f>K97-T97</f>
        <v>9.532512000000537E-2</v>
      </c>
      <c r="AD97" s="41">
        <f>+AM97+BA97</f>
        <v>60</v>
      </c>
      <c r="AE97" s="241" t="s">
        <v>478</v>
      </c>
      <c r="AF97" s="41">
        <v>60</v>
      </c>
      <c r="AG97" s="41"/>
      <c r="AH97" s="41"/>
      <c r="AI97" s="461"/>
      <c r="AJ97" s="41"/>
      <c r="AK97" s="41"/>
      <c r="AL97" s="41"/>
      <c r="AM97" s="41">
        <f>SUM(AF97:AL97)+AT97+AV97+AX97</f>
        <v>60</v>
      </c>
      <c r="AN97" s="41"/>
      <c r="AO97" s="41"/>
      <c r="AP97" s="41"/>
      <c r="AQ97" s="41"/>
      <c r="AR97" s="41">
        <f>SUM(AN97:AQ97)</f>
        <v>0</v>
      </c>
      <c r="AS97" s="41"/>
      <c r="AT97" s="41"/>
      <c r="AU97" s="41"/>
      <c r="AV97" s="41"/>
      <c r="AW97" s="41"/>
      <c r="AX97" s="41"/>
      <c r="AY97" s="41"/>
      <c r="AZ97" s="41"/>
      <c r="BA97" s="41">
        <f>+AR97+AS97+AU97+AW97+AY97+AZ97</f>
        <v>0</v>
      </c>
      <c r="BB97" s="37">
        <v>12</v>
      </c>
      <c r="BC97" s="55"/>
      <c r="BD97" s="55"/>
      <c r="BE97" s="55"/>
      <c r="BF97" s="55"/>
    </row>
    <row r="98" spans="1:58" ht="12.95" customHeight="1">
      <c r="A98" s="346"/>
      <c r="B98" s="45" t="s">
        <v>234</v>
      </c>
      <c r="C98" s="452">
        <f>(M98*E98*O98*Q98)/100000000</f>
        <v>54.033462952615388</v>
      </c>
      <c r="D98" s="45" t="s">
        <v>455</v>
      </c>
      <c r="E98" s="46">
        <v>16.5</v>
      </c>
      <c r="F98" s="46">
        <v>1</v>
      </c>
      <c r="G98" s="465">
        <v>1250</v>
      </c>
      <c r="H98" s="48">
        <v>0</v>
      </c>
      <c r="I98" s="49">
        <v>0.88</v>
      </c>
      <c r="J98" s="91">
        <f>E98*G98*(1-H98)*1440/1000000*2.77</f>
        <v>82.269000000000005</v>
      </c>
      <c r="K98" s="91">
        <f>(IF(G98&lt;L98,L98,G98)*(1-IF(H98&lt;N98,H98,N98))*E98*O98*Q98)/100000000</f>
        <v>55.104923076923072</v>
      </c>
      <c r="L98" s="39">
        <v>1230</v>
      </c>
      <c r="M98" s="39">
        <v>1225.6949999999999</v>
      </c>
      <c r="N98" s="50">
        <f>1-(M98/L98)</f>
        <v>3.5000000000000586E-3</v>
      </c>
      <c r="O98" s="51">
        <f>+'Trim Rwd'!H87</f>
        <v>278.30769230769232</v>
      </c>
      <c r="P98" s="52">
        <f>O98*(Q98-R98-S98)</f>
        <v>250476.92307692309</v>
      </c>
      <c r="Q98" s="51">
        <v>960</v>
      </c>
      <c r="R98" s="422">
        <v>0</v>
      </c>
      <c r="S98" s="422">
        <v>60</v>
      </c>
      <c r="T98" s="41">
        <f>E98*M98*O98*Q98/100000000</f>
        <v>54.033462952615388</v>
      </c>
      <c r="U98" s="41">
        <f>E98*M98*O98*(Q98-R98-S98)/100000000</f>
        <v>50.656371518076924</v>
      </c>
      <c r="V98" s="41">
        <f>E98*G98*(1-N98)*O98/100*(R98+S98)/1000000</f>
        <v>3.4320034903846155</v>
      </c>
      <c r="W98" s="41">
        <f>+'20'!K9/1000</f>
        <v>13.173999999999999</v>
      </c>
      <c r="X98" s="419"/>
      <c r="Y98" s="223"/>
      <c r="Z98" s="41">
        <v>0</v>
      </c>
      <c r="AA98" s="53"/>
      <c r="AB98" s="53"/>
      <c r="AC98" s="41">
        <f>K98-T98</f>
        <v>1.0714601243076842</v>
      </c>
      <c r="AD98" s="41">
        <f>+AM98+BA98</f>
        <v>0</v>
      </c>
      <c r="AE98" s="241" t="s">
        <v>448</v>
      </c>
      <c r="AF98" s="41"/>
      <c r="AG98" s="41">
        <v>0</v>
      </c>
      <c r="AH98" s="41"/>
      <c r="AI98" s="461"/>
      <c r="AJ98" s="41"/>
      <c r="AK98" s="41"/>
      <c r="AL98" s="41"/>
      <c r="AM98" s="41">
        <f>SUM(AF98:AL98)+AT98+AV98+AX98</f>
        <v>0</v>
      </c>
      <c r="AN98" s="92"/>
      <c r="AO98" s="41"/>
      <c r="AP98" s="41"/>
      <c r="AQ98" s="41"/>
      <c r="AR98" s="41">
        <f>SUM(AN98:AQ98)</f>
        <v>0</v>
      </c>
      <c r="AS98" s="41"/>
      <c r="AT98" s="41"/>
      <c r="AU98" s="41"/>
      <c r="AV98" s="41"/>
      <c r="AW98" s="41"/>
      <c r="AX98" s="41"/>
      <c r="AY98" s="41"/>
      <c r="AZ98" s="41"/>
      <c r="BA98" s="41">
        <f>+AR98+AS98+AU98+AW98+AY98+AZ98</f>
        <v>0</v>
      </c>
      <c r="BB98" s="54"/>
      <c r="BC98" s="55">
        <v>0</v>
      </c>
      <c r="BD98" s="55"/>
      <c r="BE98" s="55"/>
      <c r="BF98" s="55"/>
    </row>
    <row r="99" spans="1:58" ht="12.95" customHeight="1">
      <c r="A99" s="44"/>
      <c r="B99" s="45"/>
      <c r="C99" s="452"/>
      <c r="D99" s="45"/>
      <c r="E99" s="46"/>
      <c r="F99" s="46"/>
      <c r="G99" s="465"/>
      <c r="H99" s="48"/>
      <c r="I99" s="49"/>
      <c r="J99" s="91"/>
      <c r="K99" s="91"/>
      <c r="L99" s="39"/>
      <c r="M99" s="39"/>
      <c r="N99" s="50"/>
      <c r="O99" s="51"/>
      <c r="P99" s="52"/>
      <c r="Q99" s="51"/>
      <c r="R99" s="422"/>
      <c r="S99" s="422"/>
      <c r="T99" s="41"/>
      <c r="U99" s="41"/>
      <c r="V99" s="41"/>
      <c r="W99" s="41"/>
      <c r="X99" s="42"/>
      <c r="Y99" s="223"/>
      <c r="Z99" s="41"/>
      <c r="AA99" s="41"/>
      <c r="AB99" s="41"/>
      <c r="AC99" s="41"/>
      <c r="AD99" s="41">
        <f>+AM99+BA99</f>
        <v>19</v>
      </c>
      <c r="AE99" s="241" t="s">
        <v>510</v>
      </c>
      <c r="AF99" s="37"/>
      <c r="AG99" s="37"/>
      <c r="AH99" s="37">
        <v>19</v>
      </c>
      <c r="AJ99" s="41"/>
      <c r="AK99" s="41"/>
      <c r="AL99" s="41"/>
      <c r="AM99" s="41">
        <f>SUM(AF99:AL99)+AT99+AV99+AX99</f>
        <v>19</v>
      </c>
      <c r="AN99" s="41"/>
      <c r="AO99" s="41"/>
      <c r="AP99" s="41"/>
      <c r="AQ99" s="41"/>
      <c r="AR99" s="41">
        <f>SUM(AN99:AQ99)</f>
        <v>0</v>
      </c>
      <c r="AS99" s="41"/>
      <c r="AT99" s="41"/>
      <c r="AU99" s="41"/>
      <c r="AV99" s="41"/>
      <c r="AW99" s="41"/>
      <c r="AX99" s="41"/>
      <c r="AY99" s="41"/>
      <c r="AZ99" s="41"/>
      <c r="BA99" s="41">
        <f>+AR99+AS99+AU99+AW99+AY99+AZ99</f>
        <v>0</v>
      </c>
      <c r="BB99" s="37"/>
      <c r="BC99" s="57"/>
      <c r="BD99" s="55"/>
      <c r="BE99" s="55"/>
      <c r="BF99" s="55"/>
    </row>
    <row r="100" spans="1:58" ht="12.95" customHeight="1">
      <c r="A100" s="44"/>
      <c r="B100" s="45"/>
      <c r="C100" s="452"/>
      <c r="D100" s="45"/>
      <c r="E100" s="46"/>
      <c r="F100" s="46"/>
      <c r="G100" s="465"/>
      <c r="H100" s="48"/>
      <c r="I100" s="49"/>
      <c r="J100" s="91"/>
      <c r="K100" s="91"/>
      <c r="L100" s="39"/>
      <c r="M100" s="39"/>
      <c r="N100" s="50"/>
      <c r="O100" s="51"/>
      <c r="P100" s="52"/>
      <c r="Q100" s="51"/>
      <c r="R100" s="422"/>
      <c r="S100" s="422"/>
      <c r="T100" s="41"/>
      <c r="U100" s="41"/>
      <c r="V100" s="41"/>
      <c r="W100" s="41"/>
      <c r="X100" s="42"/>
      <c r="Y100" s="223"/>
      <c r="Z100" s="41"/>
      <c r="AA100" s="41"/>
      <c r="AB100" s="41"/>
      <c r="AC100" s="41"/>
      <c r="AD100" s="41"/>
      <c r="AE100" s="2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37"/>
      <c r="BC100" s="55"/>
      <c r="BD100" s="55"/>
      <c r="BE100" s="55"/>
      <c r="BF100" s="55"/>
    </row>
    <row r="101" spans="1:58" ht="12.95" customHeight="1">
      <c r="A101" s="346">
        <v>46012</v>
      </c>
      <c r="B101" s="45" t="s">
        <v>234</v>
      </c>
      <c r="C101" s="452">
        <f>(M101*E101*O101*Q101)/100000000</f>
        <v>36.753149454351522</v>
      </c>
      <c r="D101" s="45" t="s">
        <v>455</v>
      </c>
      <c r="E101" s="46">
        <v>17</v>
      </c>
      <c r="F101" s="46">
        <v>1</v>
      </c>
      <c r="G101" s="47">
        <v>1210</v>
      </c>
      <c r="H101" s="48">
        <v>0</v>
      </c>
      <c r="I101" s="49">
        <v>0.88</v>
      </c>
      <c r="J101" s="91">
        <f>E101*G101*(1-H101)*1440/1000000*2.77</f>
        <v>82.049616</v>
      </c>
      <c r="K101" s="91">
        <f>(IF(G101&lt;L101,L101,G101)*(1-IF(H101&lt;N101,H101,N101))*E101*O101*Q101)/100000000</f>
        <v>37.018619733333331</v>
      </c>
      <c r="L101" s="39">
        <v>1205.5421686746988</v>
      </c>
      <c r="M101" s="39">
        <v>1201.3227710843375</v>
      </c>
      <c r="N101" s="50">
        <f>1-(M101/L101)</f>
        <v>3.4999999999998366E-3</v>
      </c>
      <c r="O101" s="51">
        <f>+'Trim Rwd'!H90</f>
        <v>271.030303030303</v>
      </c>
      <c r="P101" s="52">
        <f>O101*(Q101-R101-S101)</f>
        <v>170749.09090909088</v>
      </c>
      <c r="Q101" s="51">
        <v>664</v>
      </c>
      <c r="R101" s="422">
        <v>0</v>
      </c>
      <c r="S101" s="422">
        <v>34</v>
      </c>
      <c r="T101" s="41">
        <f>E101*M101*O101*Q101/100000000</f>
        <v>36.753149454351522</v>
      </c>
      <c r="U101" s="41">
        <f>E101*M101*O101*(Q101-R101-S101)/100000000</f>
        <v>34.871211078676893</v>
      </c>
      <c r="V101" s="41">
        <f>E101*G101*(1-N101)*O101/100*(R101+S101)/1000000</f>
        <v>1.8888973722666669</v>
      </c>
      <c r="W101" s="41">
        <f>+'21'!K10/1000</f>
        <v>36.372</v>
      </c>
      <c r="X101" s="419">
        <f>SUM(W101:W104)/SUM(K101:K104)</f>
        <v>0.82681471258816286</v>
      </c>
      <c r="Y101" s="223">
        <v>0</v>
      </c>
      <c r="Z101" s="41">
        <f>+'21'!D34/1000</f>
        <v>0.65300000000000002</v>
      </c>
      <c r="AA101" s="53">
        <f>SUM(U101:U104)-SUM(W101:W104)-SUM(Z101:Z104)-SUM(Y101:Y104)</f>
        <v>6.8355567579254792</v>
      </c>
      <c r="AB101" s="53">
        <f>(SUM(K101:K104)-SUM(W101:W104)-SUM(Y101:Y104)-SUM(Z101:Z104)-SUM(AC101:AC104)-SUM(V101:V104))-AA101</f>
        <v>-0.10826612639197819</v>
      </c>
      <c r="AC101" s="41">
        <f>K101-T101</f>
        <v>0.26547027898180886</v>
      </c>
      <c r="AD101" s="41">
        <f>+AM101+BA101</f>
        <v>40</v>
      </c>
      <c r="AE101" s="244" t="s">
        <v>451</v>
      </c>
      <c r="AF101" s="41">
        <v>40</v>
      </c>
      <c r="AG101" s="41"/>
      <c r="AH101" s="41"/>
      <c r="AI101" s="41"/>
      <c r="AJ101" s="41"/>
      <c r="AK101" s="41"/>
      <c r="AL101" s="41"/>
      <c r="AM101" s="41">
        <f>SUM(AF101:AL101)+AT101+AV101+AX101</f>
        <v>40</v>
      </c>
      <c r="AN101" s="41"/>
      <c r="AO101" s="41"/>
      <c r="AP101" s="41"/>
      <c r="AQ101" s="41"/>
      <c r="AR101" s="41">
        <f>SUM(AN101:AQ101)</f>
        <v>0</v>
      </c>
      <c r="AS101" s="41"/>
      <c r="AT101" s="41"/>
      <c r="AU101" s="41"/>
      <c r="AV101" s="41"/>
      <c r="AW101" s="41"/>
      <c r="AX101" s="41"/>
      <c r="AY101" s="41"/>
      <c r="AZ101" s="41"/>
      <c r="BA101" s="41">
        <f>+AR101+AS101+AU101+AW101+AY101+AZ101</f>
        <v>0</v>
      </c>
      <c r="BB101" s="37">
        <v>8</v>
      </c>
      <c r="BC101" s="55"/>
      <c r="BD101" s="55"/>
      <c r="BE101" s="55"/>
      <c r="BF101" s="55"/>
    </row>
    <row r="102" spans="1:58" ht="12.95" customHeight="1">
      <c r="A102" s="44"/>
      <c r="B102" s="3" t="s">
        <v>234</v>
      </c>
      <c r="C102" s="452">
        <f>(M102*E102*O102*Q102)/100000000</f>
        <v>40.894299248772967</v>
      </c>
      <c r="D102" s="45" t="s">
        <v>455</v>
      </c>
      <c r="E102" s="46">
        <v>16.5</v>
      </c>
      <c r="F102" s="46">
        <v>1</v>
      </c>
      <c r="G102" s="47">
        <v>1250</v>
      </c>
      <c r="H102" s="48">
        <v>0</v>
      </c>
      <c r="I102" s="49">
        <v>0.88</v>
      </c>
      <c r="J102" s="91">
        <f>E102*G102*(1-H102)*1440/1000000*2.77</f>
        <v>82.269000000000005</v>
      </c>
      <c r="K102" s="91">
        <f>(IF(G102&lt;L102,L102,G102)*(1-IF(H102&lt;N102,H102,N102))*E102*O102*Q102)/100000000</f>
        <v>43.010193243243243</v>
      </c>
      <c r="L102" s="39">
        <v>1192.680412371134</v>
      </c>
      <c r="M102" s="39">
        <v>1188.5060309278349</v>
      </c>
      <c r="N102" s="50">
        <f>1-(M102/L102)</f>
        <v>3.5000000000001696E-3</v>
      </c>
      <c r="O102" s="51">
        <f>+'Trim Rwd'!H93</f>
        <v>268.72972972972974</v>
      </c>
      <c r="P102" s="52">
        <f>O102*(Q102-R102-S102)</f>
        <v>197785.08108108109</v>
      </c>
      <c r="Q102" s="38">
        <v>776</v>
      </c>
      <c r="R102" s="422">
        <v>0</v>
      </c>
      <c r="S102" s="422">
        <v>40</v>
      </c>
      <c r="T102" s="41">
        <f>E102*M102*O102*Q102/100000000</f>
        <v>40.894299248772967</v>
      </c>
      <c r="U102" s="41">
        <f>E102*M102*O102*(Q102-R102-S102)/100000000</f>
        <v>38.786345679248591</v>
      </c>
      <c r="V102" s="41">
        <f>E102*G102*(1-N102)*O102/100*(R102+S102)/1000000</f>
        <v>2.2092606993243242</v>
      </c>
      <c r="W102" s="41">
        <f>+'21'!K9/1000</f>
        <v>29.797000000000001</v>
      </c>
      <c r="X102" s="419"/>
      <c r="Y102" s="223"/>
      <c r="Z102" s="41">
        <v>0</v>
      </c>
      <c r="AA102" s="53"/>
      <c r="AB102" s="53"/>
      <c r="AC102" s="41">
        <f>K102-T102</f>
        <v>2.1158939944702766</v>
      </c>
      <c r="AD102" s="41">
        <f>+AM102+BA102</f>
        <v>0</v>
      </c>
      <c r="AE102" s="241" t="s">
        <v>448</v>
      </c>
      <c r="AF102" s="41"/>
      <c r="AG102" s="41">
        <v>0</v>
      </c>
      <c r="AH102" s="41"/>
      <c r="AI102" s="41"/>
      <c r="AJ102" s="41"/>
      <c r="AK102" s="41"/>
      <c r="AL102" s="41"/>
      <c r="AM102" s="41">
        <f>SUM(AF102:AL102)+AT102+AV102+AX102</f>
        <v>0</v>
      </c>
      <c r="AN102" s="41"/>
      <c r="AO102" s="41"/>
      <c r="AP102" s="41"/>
      <c r="AQ102" s="41"/>
      <c r="AR102" s="41">
        <f>SUM(AN102:AQ102)</f>
        <v>0</v>
      </c>
      <c r="AS102" s="41"/>
      <c r="AT102" s="41"/>
      <c r="AU102" s="41"/>
      <c r="AV102" s="41"/>
      <c r="AW102" s="41"/>
      <c r="AX102" s="41"/>
      <c r="AY102" s="41"/>
      <c r="AZ102" s="41"/>
      <c r="BA102" s="41">
        <f>+AR102+AS102+AU102+AW102+AY102+AZ102</f>
        <v>0</v>
      </c>
      <c r="BB102" s="37"/>
      <c r="BC102" s="55">
        <v>0</v>
      </c>
      <c r="BD102" s="55"/>
      <c r="BE102" s="55"/>
      <c r="BF102" s="55"/>
    </row>
    <row r="103" spans="1:58" ht="12.95" customHeight="1">
      <c r="A103" s="346"/>
      <c r="B103" s="45"/>
      <c r="C103" s="452"/>
      <c r="D103" s="45"/>
      <c r="E103" s="46"/>
      <c r="F103" s="46"/>
      <c r="G103" s="465"/>
      <c r="H103" s="48"/>
      <c r="I103" s="49"/>
      <c r="J103" s="91"/>
      <c r="K103" s="91"/>
      <c r="L103" s="39"/>
      <c r="M103" s="39"/>
      <c r="N103" s="50"/>
      <c r="O103" s="51"/>
      <c r="P103" s="52"/>
      <c r="Q103" s="51"/>
      <c r="R103" s="422"/>
      <c r="S103" s="422"/>
      <c r="T103" s="41"/>
      <c r="U103" s="41"/>
      <c r="V103" s="41"/>
      <c r="W103" s="41"/>
      <c r="X103" s="42"/>
      <c r="Y103" s="223"/>
      <c r="Z103" s="41"/>
      <c r="AA103" s="53"/>
      <c r="AB103" s="53"/>
      <c r="AC103" s="41"/>
      <c r="AD103" s="41">
        <f>+AM103+BA103</f>
        <v>34</v>
      </c>
      <c r="AE103" s="241" t="s">
        <v>728</v>
      </c>
      <c r="AF103" s="41"/>
      <c r="AG103" s="41"/>
      <c r="AH103" s="41">
        <v>34</v>
      </c>
      <c r="AI103" s="461"/>
      <c r="AJ103" s="41"/>
      <c r="AK103" s="41"/>
      <c r="AL103" s="41"/>
      <c r="AM103" s="41">
        <f>SUM(AF103:AL103)+AT103+AV103+AX103</f>
        <v>34</v>
      </c>
      <c r="AN103" s="41"/>
      <c r="AO103" s="41"/>
      <c r="AP103" s="41"/>
      <c r="AQ103" s="41"/>
      <c r="AR103" s="41">
        <f>SUM(AN103:AQ103)</f>
        <v>0</v>
      </c>
      <c r="AS103" s="41"/>
      <c r="AT103" s="41"/>
      <c r="AU103" s="41"/>
      <c r="AV103" s="41"/>
      <c r="AW103" s="41"/>
      <c r="AX103" s="41"/>
      <c r="AY103" s="41"/>
      <c r="AZ103" s="41"/>
      <c r="BA103" s="41">
        <f>+AR103+AS103+AU103+AW103+AY103+AZ103</f>
        <v>0</v>
      </c>
      <c r="BB103" s="37"/>
      <c r="BC103" s="55"/>
      <c r="BD103" s="55"/>
      <c r="BE103" s="55"/>
      <c r="BF103" s="55"/>
    </row>
    <row r="104" spans="1:58" ht="12.95" customHeight="1">
      <c r="A104" s="346"/>
      <c r="B104" s="45"/>
      <c r="C104" s="452"/>
      <c r="D104" s="45"/>
      <c r="E104" s="46"/>
      <c r="F104" s="46"/>
      <c r="G104" s="465"/>
      <c r="H104" s="48"/>
      <c r="I104" s="49"/>
      <c r="J104" s="91"/>
      <c r="K104" s="91"/>
      <c r="L104" s="39"/>
      <c r="M104" s="39"/>
      <c r="N104" s="50"/>
      <c r="O104" s="51"/>
      <c r="P104" s="52"/>
      <c r="Q104" s="51"/>
      <c r="R104" s="422"/>
      <c r="S104" s="422"/>
      <c r="T104" s="41"/>
      <c r="U104" s="41"/>
      <c r="V104" s="41"/>
      <c r="W104" s="41"/>
      <c r="X104" s="419"/>
      <c r="Y104" s="223"/>
      <c r="Z104" s="41"/>
      <c r="AA104" s="53"/>
      <c r="AB104" s="53"/>
      <c r="AC104" s="41"/>
      <c r="AD104" s="41"/>
      <c r="AE104" s="241"/>
      <c r="AF104" s="41"/>
      <c r="AG104" s="41"/>
      <c r="AH104" s="41"/>
      <c r="AI104" s="461"/>
      <c r="AJ104" s="41"/>
      <c r="AK104" s="41"/>
      <c r="AL104" s="41"/>
      <c r="AM104" s="41"/>
      <c r="AN104" s="92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54"/>
      <c r="BC104" s="55"/>
      <c r="BD104" s="55"/>
      <c r="BE104" s="55"/>
      <c r="BF104" s="55"/>
    </row>
    <row r="105" spans="1:58" ht="12.95" customHeight="1">
      <c r="A105" s="346">
        <v>46013</v>
      </c>
      <c r="B105" s="45" t="s">
        <v>234</v>
      </c>
      <c r="C105" s="452">
        <f>(M105*E105*O105*Q105)/100000000</f>
        <v>77.388540767999999</v>
      </c>
      <c r="D105" s="45" t="s">
        <v>455</v>
      </c>
      <c r="E105" s="46">
        <v>16.5</v>
      </c>
      <c r="F105" s="46">
        <v>1</v>
      </c>
      <c r="G105" s="465">
        <v>1250</v>
      </c>
      <c r="H105" s="48">
        <v>0</v>
      </c>
      <c r="I105" s="49">
        <v>0.88</v>
      </c>
      <c r="J105" s="91">
        <f>E105*G105*(1-H105)*1440/1000000*2.77</f>
        <v>82.269000000000005</v>
      </c>
      <c r="K105" s="91">
        <f>(IF(G105&lt;L105,L105,G105)*(1-IF(H105&lt;N105,H105,N105))*E105*O105*Q105)/100000000</f>
        <v>80.784000000000006</v>
      </c>
      <c r="L105" s="39">
        <v>1201.6666666666667</v>
      </c>
      <c r="M105" s="39">
        <v>1197.4608333333333</v>
      </c>
      <c r="N105" s="50">
        <f>1-(M105/L105)</f>
        <v>3.5000000000000586E-3</v>
      </c>
      <c r="O105" s="51">
        <f>+'Trim Rwd'!H96</f>
        <v>272</v>
      </c>
      <c r="P105" s="52">
        <f>O105*(Q105-R105-S105)</f>
        <v>382160</v>
      </c>
      <c r="Q105" s="51">
        <v>1440</v>
      </c>
      <c r="R105" s="422">
        <v>0</v>
      </c>
      <c r="S105" s="422">
        <v>35</v>
      </c>
      <c r="T105" s="41">
        <f>E105*M105*O105*Q105/100000000</f>
        <v>77.388540767999999</v>
      </c>
      <c r="U105" s="41">
        <f>E105*M105*O105*(Q105-R105-S105)/100000000</f>
        <v>75.507569290999996</v>
      </c>
      <c r="V105" s="41">
        <f>E105*G105*(1-N105)*O105/100*(R105+S105)/1000000</f>
        <v>1.95662775</v>
      </c>
      <c r="W105" s="41">
        <f>+'22'!K9/1000</f>
        <v>40.792000000000002</v>
      </c>
      <c r="X105" s="419">
        <f>SUM(W105:W108)/SUM(K105:K108)</f>
        <v>0.92336353733412557</v>
      </c>
      <c r="Y105" s="223">
        <v>0</v>
      </c>
      <c r="Z105" s="41">
        <f>+('22'!D16+'22'!D25)/1000</f>
        <v>0.59</v>
      </c>
      <c r="AA105" s="53">
        <f>SUM(U105:U108)-SUM(W105:W108)-SUM(Z105:Z108)-SUM(Y105:Y108)</f>
        <v>-0.14943070900000777</v>
      </c>
      <c r="AB105" s="53">
        <f>(SUM(K105:K108)-SUM(W105:W108)-SUM(Y105:Y108)-SUM(Z105:Z108)-SUM(AC105:AC108)-SUM(V105:V108))-AA105</f>
        <v>-7.5656272999997221E-2</v>
      </c>
      <c r="AC105" s="41">
        <f>K105-T105</f>
        <v>3.3954592320000074</v>
      </c>
      <c r="AD105" s="41">
        <f>+AM105+BA105</f>
        <v>0</v>
      </c>
      <c r="AE105" s="241" t="s">
        <v>492</v>
      </c>
      <c r="AF105" s="41">
        <v>0</v>
      </c>
      <c r="AG105" s="41"/>
      <c r="AH105" s="41"/>
      <c r="AI105" s="461"/>
      <c r="AJ105" s="41"/>
      <c r="AK105" s="41"/>
      <c r="AL105" s="41"/>
      <c r="AM105" s="41">
        <f>SUM(AF105:AL105)+AT105+AV105+AX105</f>
        <v>0</v>
      </c>
      <c r="AN105" s="41"/>
      <c r="AO105" s="41"/>
      <c r="AP105" s="41"/>
      <c r="AQ105" s="41"/>
      <c r="AR105" s="41">
        <f>SUM(AN105:AQ105)</f>
        <v>0</v>
      </c>
      <c r="AS105" s="41"/>
      <c r="AT105" s="41"/>
      <c r="AU105" s="41"/>
      <c r="AV105" s="41"/>
      <c r="AW105" s="41"/>
      <c r="AX105" s="41"/>
      <c r="AY105" s="41"/>
      <c r="AZ105" s="41"/>
      <c r="BA105" s="41">
        <f>+AR105+AS105+AU105+AW105+AY105+AZ105</f>
        <v>0</v>
      </c>
      <c r="BB105" s="37">
        <v>0</v>
      </c>
      <c r="BC105" s="55"/>
      <c r="BD105" s="55"/>
      <c r="BE105" s="37"/>
      <c r="BF105" s="55"/>
    </row>
    <row r="106" spans="1:58" ht="12.95" customHeight="1">
      <c r="A106" s="346"/>
      <c r="B106" s="45" t="s">
        <v>234</v>
      </c>
      <c r="C106" s="452"/>
      <c r="D106" s="45"/>
      <c r="E106" s="46">
        <v>17</v>
      </c>
      <c r="F106" s="46"/>
      <c r="G106" s="465"/>
      <c r="H106" s="48"/>
      <c r="I106" s="49"/>
      <c r="J106" s="91"/>
      <c r="K106" s="91"/>
      <c r="L106" s="39"/>
      <c r="M106" s="39"/>
      <c r="N106" s="50"/>
      <c r="O106" s="51"/>
      <c r="P106" s="52"/>
      <c r="Q106" s="51"/>
      <c r="R106" s="422"/>
      <c r="S106" s="422"/>
      <c r="T106" s="41"/>
      <c r="U106" s="41"/>
      <c r="V106" s="41"/>
      <c r="W106" s="41">
        <f>+'22'!K10/1000</f>
        <v>33.801000000000002</v>
      </c>
      <c r="X106" s="419"/>
      <c r="Y106" s="223"/>
      <c r="Z106" s="41">
        <f>+'22'!D8/1000</f>
        <v>0.47399999999999998</v>
      </c>
      <c r="AA106" s="53"/>
      <c r="AB106" s="53"/>
      <c r="AC106" s="41"/>
      <c r="AD106" s="41">
        <f>+AM106+BA106</f>
        <v>0</v>
      </c>
      <c r="AE106" s="241" t="s">
        <v>448</v>
      </c>
      <c r="AF106" s="41"/>
      <c r="AG106" s="41">
        <v>0</v>
      </c>
      <c r="AH106" s="41"/>
      <c r="AI106" s="461"/>
      <c r="AJ106" s="41"/>
      <c r="AK106" s="41"/>
      <c r="AL106" s="41"/>
      <c r="AM106" s="41">
        <f>SUM(AF106:AL106)+AT106+AV106+AX106</f>
        <v>0</v>
      </c>
      <c r="AN106" s="92"/>
      <c r="AO106" s="41"/>
      <c r="AP106" s="41"/>
      <c r="AQ106" s="41"/>
      <c r="AR106" s="41">
        <f>SUM(AN106:AQ106)</f>
        <v>0</v>
      </c>
      <c r="AS106" s="41"/>
      <c r="AT106" s="41"/>
      <c r="AU106" s="41"/>
      <c r="AV106" s="41"/>
      <c r="AW106" s="41"/>
      <c r="AX106" s="41"/>
      <c r="AY106" s="41"/>
      <c r="AZ106" s="41"/>
      <c r="BA106" s="41">
        <f>+AR106+AS106+AU106+AW106+AY106+AZ106</f>
        <v>0</v>
      </c>
      <c r="BB106" s="54"/>
      <c r="BC106" s="55">
        <v>0</v>
      </c>
      <c r="BD106" s="55"/>
      <c r="BE106" s="54"/>
      <c r="BF106" s="55"/>
    </row>
    <row r="107" spans="1:58" ht="12.95" customHeight="1">
      <c r="A107" s="44"/>
      <c r="B107" s="45"/>
      <c r="C107" s="452"/>
      <c r="D107" s="45"/>
      <c r="E107" s="46"/>
      <c r="F107" s="46"/>
      <c r="G107" s="465"/>
      <c r="H107" s="48"/>
      <c r="I107" s="49"/>
      <c r="J107" s="91"/>
      <c r="K107" s="91"/>
      <c r="L107" s="39"/>
      <c r="M107" s="39"/>
      <c r="N107" s="50"/>
      <c r="O107" s="51"/>
      <c r="P107" s="52"/>
      <c r="Q107" s="51"/>
      <c r="R107" s="422"/>
      <c r="S107" s="422"/>
      <c r="T107" s="41"/>
      <c r="U107" s="41"/>
      <c r="V107" s="41"/>
      <c r="W107" s="41"/>
      <c r="X107" s="42"/>
      <c r="Y107" s="223"/>
      <c r="Z107" s="41"/>
      <c r="AA107" s="41"/>
      <c r="AB107" s="41"/>
      <c r="AC107" s="41"/>
      <c r="AD107" s="41">
        <f>+AM107+BA107</f>
        <v>35</v>
      </c>
      <c r="AE107" s="241" t="s">
        <v>510</v>
      </c>
      <c r="AF107" s="37"/>
      <c r="AG107" s="37"/>
      <c r="AH107" s="37">
        <v>35</v>
      </c>
      <c r="AJ107" s="41"/>
      <c r="AK107" s="41"/>
      <c r="AL107" s="41"/>
      <c r="AM107" s="41">
        <f>SUM(AF107:AL107)+AT107+AV107+AX107</f>
        <v>35</v>
      </c>
      <c r="AN107" s="41"/>
      <c r="AO107" s="41"/>
      <c r="AP107" s="41"/>
      <c r="AQ107" s="41"/>
      <c r="AR107" s="41">
        <f>SUM(AN107:AQ107)</f>
        <v>0</v>
      </c>
      <c r="AS107" s="41"/>
      <c r="AT107" s="41"/>
      <c r="AU107" s="41"/>
      <c r="AV107" s="41"/>
      <c r="AW107" s="41"/>
      <c r="AX107" s="41"/>
      <c r="AY107" s="41"/>
      <c r="AZ107" s="41"/>
      <c r="BA107" s="41">
        <f>+AR107+AS107+AU107+AW107+AY107+AZ107</f>
        <v>0</v>
      </c>
      <c r="BB107" s="37"/>
      <c r="BC107" s="57"/>
      <c r="BD107" s="57"/>
      <c r="BE107" s="37"/>
      <c r="BF107" s="57"/>
    </row>
    <row r="108" spans="1:58" ht="12.95" customHeight="1">
      <c r="A108" s="346"/>
      <c r="B108" s="45"/>
      <c r="C108" s="452"/>
      <c r="D108" s="45"/>
      <c r="E108" s="46"/>
      <c r="F108" s="46"/>
      <c r="G108" s="465"/>
      <c r="H108" s="48"/>
      <c r="I108" s="49"/>
      <c r="J108" s="91"/>
      <c r="K108" s="91"/>
      <c r="L108" s="39"/>
      <c r="M108" s="39"/>
      <c r="N108" s="50"/>
      <c r="O108" s="51"/>
      <c r="P108" s="52"/>
      <c r="Q108" s="51"/>
      <c r="R108" s="422"/>
      <c r="S108" s="422"/>
      <c r="T108" s="41"/>
      <c r="U108" s="41"/>
      <c r="V108" s="41"/>
      <c r="W108" s="41"/>
      <c r="X108" s="419"/>
      <c r="Y108" s="223"/>
      <c r="Z108" s="41"/>
      <c r="AA108" s="53"/>
      <c r="AB108" s="53"/>
      <c r="AC108" s="41"/>
      <c r="AD108" s="41"/>
      <c r="AE108" s="241"/>
      <c r="AF108" s="41"/>
      <c r="AG108" s="41"/>
      <c r="AH108" s="41"/>
      <c r="AI108" s="461"/>
      <c r="AJ108" s="41"/>
      <c r="AK108" s="41"/>
      <c r="AL108" s="41"/>
      <c r="AM108" s="41"/>
      <c r="AN108" s="92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54"/>
      <c r="BC108" s="55"/>
      <c r="BD108" s="55"/>
      <c r="BE108" s="55"/>
      <c r="BF108" s="55"/>
    </row>
    <row r="109" spans="1:58" ht="12.95" customHeight="1">
      <c r="A109" s="346">
        <v>46014</v>
      </c>
      <c r="B109" s="45" t="s">
        <v>234</v>
      </c>
      <c r="C109" s="452">
        <f>(M109*E109*O109*Q109)/100000000</f>
        <v>25.975071936000003</v>
      </c>
      <c r="D109" s="45" t="s">
        <v>455</v>
      </c>
      <c r="E109" s="46">
        <v>16.5</v>
      </c>
      <c r="F109" s="46">
        <v>1</v>
      </c>
      <c r="G109" s="465">
        <v>1250</v>
      </c>
      <c r="H109" s="48">
        <v>0</v>
      </c>
      <c r="I109" s="49">
        <v>0.88</v>
      </c>
      <c r="J109" s="91">
        <f>E109*G109*(1-H109)*1440/1000000*2.77</f>
        <v>82.269000000000005</v>
      </c>
      <c r="K109" s="91">
        <f>(IF(G109&lt;L109,L109,G109)*(1-IF(H109&lt;N109,H109,N109))*E109*O109*Q109)/100000000</f>
        <v>26.928000000000001</v>
      </c>
      <c r="L109" s="39">
        <v>1210</v>
      </c>
      <c r="M109" s="39">
        <v>1205.7650000000001</v>
      </c>
      <c r="N109" s="50">
        <f>1-(M109/L109)</f>
        <v>3.4999999999999476E-3</v>
      </c>
      <c r="O109" s="51">
        <f>+'Trim Rwd'!H100</f>
        <v>272</v>
      </c>
      <c r="P109" s="52">
        <f>O109*(Q109-R109-S109)</f>
        <v>128384</v>
      </c>
      <c r="Q109" s="51">
        <v>480</v>
      </c>
      <c r="R109" s="422">
        <v>0</v>
      </c>
      <c r="S109" s="422">
        <v>8</v>
      </c>
      <c r="T109" s="41">
        <f>E109*M109*O109*Q109/100000000</f>
        <v>25.975071936000003</v>
      </c>
      <c r="U109" s="41">
        <f>E109*M109*O109*(Q109-R109-S109)/100000000</f>
        <v>25.542154070399999</v>
      </c>
      <c r="V109" s="41">
        <f>E109*G109*(1-N109)*O109/100*(R109+S109)/1000000</f>
        <v>0.44722919999999999</v>
      </c>
      <c r="W109" s="41">
        <f>+'23'!K9/1000</f>
        <v>4.843</v>
      </c>
      <c r="X109" s="419">
        <f>SUM(W109:W112)/SUM(K109:K112)</f>
        <v>0.99405536486462198</v>
      </c>
      <c r="Y109" s="223">
        <v>0</v>
      </c>
      <c r="Z109" s="41">
        <v>0</v>
      </c>
      <c r="AA109" s="53">
        <f>SUM(U109:U112)-SUM(W109:W112)-SUM(Z109:Z112)-SUM(Y109:Y112)</f>
        <v>-4.0035890823896185</v>
      </c>
      <c r="AB109" s="53">
        <f>(SUM(K109:K112)-SUM(W109:W112)-SUM(Y109:Y112)-SUM(Z109:Z112)-SUM(AC109:AC112)-SUM(V109:V112))-AA109</f>
        <v>0.18846789286234378</v>
      </c>
      <c r="AC109" s="41">
        <f>K109-T109</f>
        <v>0.95292806399999819</v>
      </c>
      <c r="AD109" s="41">
        <f>+AM109+BA109</f>
        <v>6</v>
      </c>
      <c r="AE109" s="241" t="s">
        <v>477</v>
      </c>
      <c r="AF109" s="41">
        <v>6</v>
      </c>
      <c r="AG109" s="41"/>
      <c r="AH109" s="41"/>
      <c r="AI109" s="461"/>
      <c r="AJ109" s="41"/>
      <c r="AK109" s="41"/>
      <c r="AL109" s="41"/>
      <c r="AM109" s="41">
        <f>SUM(AF109:AL109)+AT109+AV109+AX109</f>
        <v>6</v>
      </c>
      <c r="AN109" s="41"/>
      <c r="AO109" s="41"/>
      <c r="AP109" s="41"/>
      <c r="AQ109" s="41"/>
      <c r="AR109" s="41">
        <f>SUM(AN109:AQ109)</f>
        <v>0</v>
      </c>
      <c r="AS109" s="41"/>
      <c r="AT109" s="41"/>
      <c r="AU109" s="41"/>
      <c r="AV109" s="41"/>
      <c r="AW109" s="41"/>
      <c r="AX109" s="41"/>
      <c r="AY109" s="41"/>
      <c r="AZ109" s="41"/>
      <c r="BA109" s="41">
        <f>+AR109+AS109+AU109+AW109+AY109+AZ109</f>
        <v>0</v>
      </c>
      <c r="BB109" s="37">
        <v>0</v>
      </c>
      <c r="BC109" s="55"/>
      <c r="BD109" s="55"/>
      <c r="BE109" s="37"/>
      <c r="BF109" s="55"/>
    </row>
    <row r="110" spans="1:58" ht="12.95" customHeight="1">
      <c r="A110" s="346"/>
      <c r="B110" s="45" t="s">
        <v>234</v>
      </c>
      <c r="C110" s="452">
        <f>(M110*E110*O110*Q110)/100000000</f>
        <v>53.598566285298702</v>
      </c>
      <c r="D110" s="45" t="s">
        <v>455</v>
      </c>
      <c r="E110" s="46">
        <v>17</v>
      </c>
      <c r="F110" s="46">
        <v>1</v>
      </c>
      <c r="G110" s="465">
        <v>1210</v>
      </c>
      <c r="H110" s="48">
        <v>0</v>
      </c>
      <c r="I110" s="49">
        <v>0.88</v>
      </c>
      <c r="J110" s="91">
        <f>E110*G110*(1-H110)*1440/1000000*2.77</f>
        <v>82.049616</v>
      </c>
      <c r="K110" s="91">
        <f>(IF(G110&lt;L110,L110,G110)*(1-IF(H110&lt;N110,H110,N110))*E110*O110*Q110)/100000000</f>
        <v>53.786820155844154</v>
      </c>
      <c r="L110" s="39">
        <v>1230</v>
      </c>
      <c r="M110" s="39">
        <v>1225.6949999999999</v>
      </c>
      <c r="N110" s="50">
        <f>1-(M110/L110)</f>
        <v>3.5000000000000586E-3</v>
      </c>
      <c r="O110" s="51">
        <f>+'Trim Rwd'!H101</f>
        <v>267.94805194805195</v>
      </c>
      <c r="P110" s="52">
        <f>O110*(Q110-R110-S110)</f>
        <v>252942.96103896105</v>
      </c>
      <c r="Q110" s="51">
        <v>960</v>
      </c>
      <c r="R110" s="422">
        <v>0</v>
      </c>
      <c r="S110" s="422">
        <f>24-S109</f>
        <v>16</v>
      </c>
      <c r="T110" s="41">
        <f>E110*M110*O110*Q110/100000000</f>
        <v>53.598566285298702</v>
      </c>
      <c r="U110" s="41">
        <f>E110*M110*O110*(Q110-R110-S110)/100000000</f>
        <v>52.705256847210386</v>
      </c>
      <c r="V110" s="41">
        <f>E110*G110*(1-N110)*O110/100*(R110+S110)/1000000</f>
        <v>0.8787840813714286</v>
      </c>
      <c r="W110" s="41">
        <f>+'23'!K10/1000</f>
        <v>75.391999999999996</v>
      </c>
      <c r="X110" s="419"/>
      <c r="Y110" s="223"/>
      <c r="Z110" s="41">
        <f>+('23'!D34/1000)</f>
        <v>2.016</v>
      </c>
      <c r="AA110" s="53"/>
      <c r="AB110" s="53"/>
      <c r="AC110" s="41"/>
      <c r="AD110" s="41">
        <f>+AM110+BA110</f>
        <v>0</v>
      </c>
      <c r="AE110" s="241" t="s">
        <v>448</v>
      </c>
      <c r="AF110" s="41"/>
      <c r="AG110" s="41">
        <v>0</v>
      </c>
      <c r="AH110" s="41"/>
      <c r="AI110" s="461"/>
      <c r="AJ110" s="41"/>
      <c r="AK110" s="41"/>
      <c r="AL110" s="41"/>
      <c r="AM110" s="41">
        <f>SUM(AF110:AL110)+AT110+AV110+AX110</f>
        <v>0</v>
      </c>
      <c r="AN110" s="92"/>
      <c r="AO110" s="41"/>
      <c r="AP110" s="41"/>
      <c r="AQ110" s="41"/>
      <c r="AR110" s="41">
        <f>SUM(AN110:AQ110)</f>
        <v>0</v>
      </c>
      <c r="AS110" s="41"/>
      <c r="AT110" s="41"/>
      <c r="AU110" s="41"/>
      <c r="AV110" s="41"/>
      <c r="AW110" s="41"/>
      <c r="AX110" s="41"/>
      <c r="AY110" s="41"/>
      <c r="AZ110" s="41"/>
      <c r="BA110" s="41">
        <f>+AR110+AS110+AU110+AW110+AY110+AZ110</f>
        <v>0</v>
      </c>
      <c r="BB110" s="54"/>
      <c r="BC110" s="55">
        <v>0</v>
      </c>
      <c r="BD110" s="55"/>
      <c r="BE110" s="54"/>
      <c r="BF110" s="55"/>
    </row>
    <row r="111" spans="1:58" ht="12.95" customHeight="1">
      <c r="A111" s="44"/>
      <c r="B111" s="45"/>
      <c r="C111" s="452"/>
      <c r="D111" s="45"/>
      <c r="E111" s="46"/>
      <c r="F111" s="46"/>
      <c r="G111" s="465"/>
      <c r="H111" s="48"/>
      <c r="I111" s="49"/>
      <c r="J111" s="91"/>
      <c r="K111" s="91"/>
      <c r="L111" s="39"/>
      <c r="M111" s="39"/>
      <c r="N111" s="50"/>
      <c r="O111" s="51"/>
      <c r="P111" s="52"/>
      <c r="Q111" s="51"/>
      <c r="R111" s="422"/>
      <c r="S111" s="422"/>
      <c r="T111" s="41"/>
      <c r="U111" s="41"/>
      <c r="V111" s="41"/>
      <c r="W111" s="41"/>
      <c r="X111" s="42"/>
      <c r="Y111" s="223"/>
      <c r="Z111" s="41"/>
      <c r="AA111" s="41"/>
      <c r="AB111" s="41"/>
      <c r="AC111" s="41"/>
      <c r="AD111" s="41">
        <f>+AM111+BA111</f>
        <v>18</v>
      </c>
      <c r="AE111" s="241" t="s">
        <v>510</v>
      </c>
      <c r="AF111" s="37"/>
      <c r="AG111" s="37"/>
      <c r="AH111" s="37">
        <v>18</v>
      </c>
      <c r="AJ111" s="41"/>
      <c r="AK111" s="41"/>
      <c r="AL111" s="41"/>
      <c r="AM111" s="41">
        <f>SUM(AF111:AL111)+AT111+AV111+AX111</f>
        <v>18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/>
      <c r="BC111" s="57"/>
      <c r="BD111" s="57"/>
      <c r="BE111" s="37"/>
      <c r="BF111" s="57"/>
    </row>
    <row r="112" spans="1:58" ht="12.95" customHeight="1">
      <c r="A112" s="346"/>
      <c r="B112" s="45"/>
      <c r="C112" s="452"/>
      <c r="D112" s="45"/>
      <c r="E112" s="46"/>
      <c r="F112" s="46"/>
      <c r="G112" s="465"/>
      <c r="H112" s="48"/>
      <c r="I112" s="49"/>
      <c r="J112" s="91"/>
      <c r="K112" s="91"/>
      <c r="L112" s="39"/>
      <c r="M112" s="39"/>
      <c r="N112" s="50"/>
      <c r="O112" s="51"/>
      <c r="P112" s="52"/>
      <c r="Q112" s="51"/>
      <c r="R112" s="422"/>
      <c r="S112" s="422"/>
      <c r="T112" s="41"/>
      <c r="U112" s="41"/>
      <c r="V112" s="41"/>
      <c r="W112" s="41"/>
      <c r="X112" s="419"/>
      <c r="Y112" s="223"/>
      <c r="Z112" s="41"/>
      <c r="AA112" s="53"/>
      <c r="AB112" s="53"/>
      <c r="AC112" s="41"/>
      <c r="AD112" s="41"/>
      <c r="AE112" s="241"/>
      <c r="AF112" s="41"/>
      <c r="AG112" s="41"/>
      <c r="AH112" s="41"/>
      <c r="AI112" s="461"/>
      <c r="AJ112" s="41"/>
      <c r="AK112" s="41"/>
      <c r="AL112" s="41"/>
      <c r="AM112" s="41"/>
      <c r="AN112" s="92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54"/>
      <c r="BC112" s="55"/>
      <c r="BD112" s="55"/>
      <c r="BE112" s="55"/>
      <c r="BF112" s="55"/>
    </row>
    <row r="113" spans="1:58" ht="12.95" customHeight="1">
      <c r="A113" s="346">
        <v>46015</v>
      </c>
      <c r="B113" s="45" t="s">
        <v>234</v>
      </c>
      <c r="C113" s="452">
        <f>(M113*E113*O113*Q113)/100000000</f>
        <v>78.455756242632916</v>
      </c>
      <c r="D113" s="45" t="s">
        <v>455</v>
      </c>
      <c r="E113" s="46">
        <v>17</v>
      </c>
      <c r="F113" s="46">
        <v>1</v>
      </c>
      <c r="G113" s="465">
        <v>1210</v>
      </c>
      <c r="H113" s="48">
        <v>0</v>
      </c>
      <c r="I113" s="49">
        <v>0.88</v>
      </c>
      <c r="J113" s="91">
        <f>E113*G113*(1-H113)*1440/1000000*2.77</f>
        <v>82.049616</v>
      </c>
      <c r="K113" s="91">
        <f>(IF(G113&lt;L113,L113,G113)*(1-IF(H113&lt;N113,H113,N113))*E113*O113*Q113)/100000000</f>
        <v>78.948805670886074</v>
      </c>
      <c r="L113" s="39">
        <v>1206.6666666666667</v>
      </c>
      <c r="M113" s="39">
        <v>1202.4433333333334</v>
      </c>
      <c r="N113" s="50">
        <f>1-(M113/L113)</f>
        <v>3.5000000000000586E-3</v>
      </c>
      <c r="O113" s="51">
        <f>+'Trim Rwd'!H105</f>
        <v>266.53164556962025</v>
      </c>
      <c r="P113" s="52">
        <f>O113*(Q113-R113-S113)</f>
        <v>367813.67088607594</v>
      </c>
      <c r="Q113" s="51">
        <v>1440</v>
      </c>
      <c r="R113" s="422">
        <v>0</v>
      </c>
      <c r="S113" s="422">
        <v>60</v>
      </c>
      <c r="T113" s="41">
        <f>E113*M113*O113*Q113/100000000</f>
        <v>78.455756242632916</v>
      </c>
      <c r="U113" s="41">
        <f>E113*M113*O113*(Q113-R113-S113)/100000000</f>
        <v>75.186766399189878</v>
      </c>
      <c r="V113" s="41">
        <f>E113*G113*(1-N113)*O113/100*(R113+S113)/1000000</f>
        <v>3.2780202021265819</v>
      </c>
      <c r="W113" s="41">
        <f>+'24'!K10/1000</f>
        <v>76.366</v>
      </c>
      <c r="X113" s="419">
        <f>SUM(W113:W116)/SUM(K113:K116)</f>
        <v>0.96728505708302903</v>
      </c>
      <c r="Y113" s="223">
        <v>0</v>
      </c>
      <c r="Z113" s="41">
        <f>+'24'!D7/1000</f>
        <v>0.32700000000000001</v>
      </c>
      <c r="AA113" s="53">
        <f>SUM(U113:U116)-SUM(W113:W116)-SUM(Z113:Z116)-SUM(Y113:Y116)</f>
        <v>-1.5062336008101216</v>
      </c>
      <c r="AB113" s="53">
        <f>(SUM(K113:K116)-SUM(W113:W116)-SUM(Y113:Y116)-SUM(Z113:Z116)-SUM(AC113:AC116)-SUM(V113:V116))-AA113</f>
        <v>-9.0303586835442928E-3</v>
      </c>
      <c r="AC113" s="41">
        <f>K113-T113</f>
        <v>0.49304942825315834</v>
      </c>
      <c r="AD113" s="41">
        <f>+AM113+BA113</f>
        <v>24</v>
      </c>
      <c r="AE113" s="241" t="s">
        <v>446</v>
      </c>
      <c r="AF113" s="41">
        <v>24</v>
      </c>
      <c r="AG113" s="41"/>
      <c r="AH113" s="41"/>
      <c r="AI113" s="461"/>
      <c r="AJ113" s="41"/>
      <c r="AK113" s="41"/>
      <c r="AL113" s="41"/>
      <c r="AM113" s="41">
        <f>SUM(AF113:AL113)+AT113+AV113+AX113</f>
        <v>24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>
        <v>0</v>
      </c>
      <c r="BC113" s="55"/>
      <c r="BD113" s="55"/>
      <c r="BE113" s="37"/>
      <c r="BF113" s="55"/>
    </row>
    <row r="114" spans="1:58" ht="12.95" customHeight="1">
      <c r="A114" s="346"/>
      <c r="B114" s="45"/>
      <c r="C114" s="452"/>
      <c r="D114" s="45"/>
      <c r="E114" s="46"/>
      <c r="F114" s="46"/>
      <c r="G114" s="465"/>
      <c r="H114" s="48"/>
      <c r="I114" s="49"/>
      <c r="J114" s="91"/>
      <c r="K114" s="91"/>
      <c r="L114" s="39"/>
      <c r="M114" s="39"/>
      <c r="N114" s="50"/>
      <c r="O114" s="51"/>
      <c r="P114" s="52"/>
      <c r="Q114" s="51"/>
      <c r="R114" s="422"/>
      <c r="S114" s="422"/>
      <c r="T114" s="41"/>
      <c r="U114" s="41"/>
      <c r="V114" s="41"/>
      <c r="W114" s="41"/>
      <c r="X114" s="419"/>
      <c r="Y114" s="223"/>
      <c r="Z114" s="41"/>
      <c r="AA114" s="53"/>
      <c r="AB114" s="53"/>
      <c r="AC114" s="41"/>
      <c r="AD114" s="41">
        <f>+AM114+BA114</f>
        <v>0</v>
      </c>
      <c r="AE114" s="241" t="s">
        <v>448</v>
      </c>
      <c r="AF114" s="41"/>
      <c r="AG114" s="41">
        <v>0</v>
      </c>
      <c r="AH114" s="41"/>
      <c r="AI114" s="461"/>
      <c r="AJ114" s="41"/>
      <c r="AK114" s="41"/>
      <c r="AL114" s="41"/>
      <c r="AM114" s="41">
        <f>SUM(AF114:AL114)+AT114+AV114+AX114</f>
        <v>0</v>
      </c>
      <c r="AN114" s="92"/>
      <c r="AO114" s="41"/>
      <c r="AP114" s="41"/>
      <c r="AQ114" s="41"/>
      <c r="AR114" s="41">
        <f>SUM(AN114:AQ114)</f>
        <v>0</v>
      </c>
      <c r="AS114" s="41"/>
      <c r="AT114" s="41"/>
      <c r="AU114" s="41"/>
      <c r="AV114" s="41"/>
      <c r="AW114" s="41"/>
      <c r="AX114" s="41"/>
      <c r="AY114" s="41"/>
      <c r="AZ114" s="41"/>
      <c r="BA114" s="41">
        <f>+AR114+AS114+AU114+AW114+AY114+AZ114</f>
        <v>0</v>
      </c>
      <c r="BB114" s="54"/>
      <c r="BC114" s="55">
        <v>0</v>
      </c>
      <c r="BD114" s="55"/>
      <c r="BE114" s="54"/>
      <c r="BF114" s="55"/>
    </row>
    <row r="115" spans="1:58" ht="12.95" customHeight="1">
      <c r="A115" s="44"/>
      <c r="B115" s="45"/>
      <c r="C115" s="452"/>
      <c r="D115" s="45"/>
      <c r="E115" s="46"/>
      <c r="F115" s="46"/>
      <c r="G115" s="465"/>
      <c r="H115" s="48"/>
      <c r="I115" s="49"/>
      <c r="J115" s="91"/>
      <c r="K115" s="91"/>
      <c r="L115" s="39"/>
      <c r="M115" s="39"/>
      <c r="N115" s="50"/>
      <c r="O115" s="51"/>
      <c r="P115" s="52"/>
      <c r="Q115" s="51"/>
      <c r="R115" s="422"/>
      <c r="S115" s="422"/>
      <c r="T115" s="41"/>
      <c r="U115" s="41"/>
      <c r="V115" s="41"/>
      <c r="W115" s="41"/>
      <c r="X115" s="42"/>
      <c r="Y115" s="223"/>
      <c r="Z115" s="41"/>
      <c r="AA115" s="41"/>
      <c r="AB115" s="41"/>
      <c r="AC115" s="41"/>
      <c r="AD115" s="41">
        <f>+AM115+BA115</f>
        <v>36</v>
      </c>
      <c r="AE115" s="241" t="s">
        <v>564</v>
      </c>
      <c r="AF115" s="37"/>
      <c r="AG115" s="37"/>
      <c r="AH115" s="37">
        <v>36</v>
      </c>
      <c r="AJ115" s="41"/>
      <c r="AK115" s="41"/>
      <c r="AL115" s="41"/>
      <c r="AM115" s="41">
        <f>SUM(AF115:AL115)+AT115+AV115+AX115</f>
        <v>36</v>
      </c>
      <c r="AN115" s="41"/>
      <c r="AO115" s="41"/>
      <c r="AP115" s="41"/>
      <c r="AQ115" s="41"/>
      <c r="AR115" s="41">
        <f>SUM(AN115:AQ115)</f>
        <v>0</v>
      </c>
      <c r="AS115" s="41"/>
      <c r="AT115" s="41"/>
      <c r="AU115" s="41"/>
      <c r="AV115" s="41"/>
      <c r="AW115" s="41"/>
      <c r="AX115" s="41"/>
      <c r="AY115" s="41"/>
      <c r="AZ115" s="41"/>
      <c r="BA115" s="41">
        <f>+AR115+AS115+AU115+AW115+AY115+AZ115</f>
        <v>0</v>
      </c>
      <c r="BB115" s="37"/>
      <c r="BC115" s="57"/>
      <c r="BD115" s="57"/>
      <c r="BE115" s="37"/>
      <c r="BF115" s="57"/>
    </row>
    <row r="116" spans="1:58" ht="12.95" customHeight="1">
      <c r="A116" s="346"/>
      <c r="B116" s="45"/>
      <c r="C116" s="452"/>
      <c r="D116" s="45"/>
      <c r="E116" s="46"/>
      <c r="F116" s="46"/>
      <c r="G116" s="465"/>
      <c r="H116" s="48"/>
      <c r="I116" s="49"/>
      <c r="J116" s="91"/>
      <c r="K116" s="91"/>
      <c r="L116" s="39"/>
      <c r="M116" s="39"/>
      <c r="N116" s="50"/>
      <c r="O116" s="51"/>
      <c r="P116" s="52"/>
      <c r="Q116" s="51"/>
      <c r="R116" s="422"/>
      <c r="S116" s="422"/>
      <c r="T116" s="41"/>
      <c r="U116" s="41"/>
      <c r="V116" s="41"/>
      <c r="W116" s="41"/>
      <c r="X116" s="419"/>
      <c r="Y116" s="223"/>
      <c r="Z116" s="41"/>
      <c r="AA116" s="53"/>
      <c r="AB116" s="53"/>
      <c r="AC116" s="41"/>
      <c r="AD116" s="41"/>
      <c r="AE116" s="241"/>
      <c r="AF116" s="41"/>
      <c r="AG116" s="41"/>
      <c r="AH116" s="41"/>
      <c r="AI116" s="461"/>
      <c r="AJ116" s="41"/>
      <c r="AK116" s="41"/>
      <c r="AL116" s="41"/>
      <c r="AM116" s="41"/>
      <c r="AN116" s="92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54"/>
      <c r="BC116" s="55"/>
      <c r="BD116" s="55"/>
      <c r="BE116" s="55"/>
      <c r="BF116" s="55"/>
    </row>
    <row r="117" spans="1:58" ht="12.95" customHeight="1">
      <c r="A117" s="346">
        <v>46016</v>
      </c>
      <c r="B117" s="45" t="s">
        <v>234</v>
      </c>
      <c r="C117" s="452">
        <f>(M117*E117*O117*Q117)/100000000</f>
        <v>78.075137877760014</v>
      </c>
      <c r="D117" s="45" t="s">
        <v>455</v>
      </c>
      <c r="E117" s="46">
        <v>17</v>
      </c>
      <c r="F117" s="46">
        <v>1</v>
      </c>
      <c r="G117" s="465">
        <v>1210</v>
      </c>
      <c r="H117" s="48">
        <v>0</v>
      </c>
      <c r="I117" s="49">
        <v>0.88</v>
      </c>
      <c r="J117" s="91">
        <f>E117*G117*(1-H117)*1440/1000000*2.77</f>
        <v>82.049616</v>
      </c>
      <c r="K117" s="91">
        <f>(IF(G117&lt;L117,L117,G117)*(1-IF(H117&lt;N117,H117,N117))*E117*O117*Q117)/100000000</f>
        <v>78.783429119999994</v>
      </c>
      <c r="L117" s="39">
        <v>1203.3333333333333</v>
      </c>
      <c r="M117" s="39">
        <v>1199.1216666666669</v>
      </c>
      <c r="N117" s="50">
        <f>1-(M117/L117)</f>
        <v>3.4999999999997256E-3</v>
      </c>
      <c r="O117" s="51">
        <f>+'Trim Rwd'!H110</f>
        <v>265.97333333333336</v>
      </c>
      <c r="P117" s="52">
        <f>O117*(Q117-R117-S117)</f>
        <v>376884.21333333338</v>
      </c>
      <c r="Q117" s="51">
        <v>1440</v>
      </c>
      <c r="R117" s="422">
        <v>0</v>
      </c>
      <c r="S117" s="422">
        <v>23</v>
      </c>
      <c r="T117" s="41">
        <f>E117*M117*O117*Q117/100000000</f>
        <v>78.075137877760014</v>
      </c>
      <c r="U117" s="41">
        <f>E117*M117*O117*(Q117-R117-S117)/100000000</f>
        <v>76.828104425545803</v>
      </c>
      <c r="V117" s="41">
        <f>E117*G117*(1-N117)*O117/100*(R117+S117)/1000000</f>
        <v>1.253942224802667</v>
      </c>
      <c r="W117" s="41">
        <f>+'25'!K10/1000</f>
        <v>77.453999999999994</v>
      </c>
      <c r="X117" s="419">
        <f>SUM(W117:W120)/SUM(K117:K120)</f>
        <v>0.98312552354156779</v>
      </c>
      <c r="Y117" s="223">
        <v>0</v>
      </c>
      <c r="Z117" s="41">
        <v>0</v>
      </c>
      <c r="AA117" s="53">
        <f>SUM(U117:U120)-SUM(W117:W120)-SUM(Z117:Z120)-SUM(Y117:Y120)</f>
        <v>-0.62589557445419075</v>
      </c>
      <c r="AB117" s="53">
        <f>(SUM(K117:K120)-SUM(W117:W120)-SUM(Y117:Y120)-SUM(Z117:Z120)-SUM(AC117:AC120)-SUM(V117:V120))-AA117</f>
        <v>-6.9087725884560136E-3</v>
      </c>
      <c r="AC117" s="41">
        <f>K117-T117</f>
        <v>0.70829124223998008</v>
      </c>
      <c r="AD117" s="41">
        <f>+AM117+BA117</f>
        <v>0</v>
      </c>
      <c r="AE117" s="241" t="s">
        <v>492</v>
      </c>
      <c r="AF117" s="41">
        <v>0</v>
      </c>
      <c r="AG117" s="41"/>
      <c r="AH117" s="41"/>
      <c r="AI117" s="461"/>
      <c r="AJ117" s="41"/>
      <c r="AK117" s="41"/>
      <c r="AL117" s="41"/>
      <c r="AM117" s="41">
        <f>SUM(AF117:AL117)+AT117+AV117+AX117</f>
        <v>0</v>
      </c>
      <c r="AN117" s="41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37">
        <v>0</v>
      </c>
      <c r="BC117" s="55"/>
      <c r="BD117" s="55"/>
      <c r="BE117" s="37"/>
      <c r="BF117" s="55"/>
    </row>
    <row r="118" spans="1:58" ht="12.95" customHeight="1">
      <c r="A118" s="346"/>
      <c r="B118" s="45"/>
      <c r="C118" s="452"/>
      <c r="D118" s="45"/>
      <c r="E118" s="46"/>
      <c r="F118" s="46"/>
      <c r="G118" s="465"/>
      <c r="H118" s="48"/>
      <c r="I118" s="49"/>
      <c r="J118" s="91"/>
      <c r="K118" s="91"/>
      <c r="L118" s="39"/>
      <c r="M118" s="39"/>
      <c r="N118" s="50"/>
      <c r="O118" s="51"/>
      <c r="P118" s="52"/>
      <c r="Q118" s="51"/>
      <c r="R118" s="422"/>
      <c r="S118" s="422"/>
      <c r="T118" s="41"/>
      <c r="U118" s="41"/>
      <c r="V118" s="41"/>
      <c r="W118" s="41"/>
      <c r="X118" s="419"/>
      <c r="Y118" s="223"/>
      <c r="Z118" s="41"/>
      <c r="AA118" s="53"/>
      <c r="AB118" s="53"/>
      <c r="AC118" s="41"/>
      <c r="AD118" s="41">
        <f>+AM118+BA118</f>
        <v>0</v>
      </c>
      <c r="AE118" s="241" t="s">
        <v>448</v>
      </c>
      <c r="AF118" s="41"/>
      <c r="AG118" s="41">
        <v>0</v>
      </c>
      <c r="AH118" s="41"/>
      <c r="AI118" s="461"/>
      <c r="AJ118" s="41"/>
      <c r="AK118" s="41"/>
      <c r="AL118" s="41"/>
      <c r="AM118" s="41">
        <f>SUM(AF118:AL118)+AT118+AV118+AX118</f>
        <v>0</v>
      </c>
      <c r="AN118" s="92"/>
      <c r="AO118" s="41"/>
      <c r="AP118" s="41"/>
      <c r="AQ118" s="41"/>
      <c r="AR118" s="41">
        <f>SUM(AN118:AQ118)</f>
        <v>0</v>
      </c>
      <c r="AS118" s="41"/>
      <c r="AT118" s="41"/>
      <c r="AU118" s="41"/>
      <c r="AV118" s="41"/>
      <c r="AW118" s="41"/>
      <c r="AX118" s="41"/>
      <c r="AY118" s="41"/>
      <c r="AZ118" s="41"/>
      <c r="BA118" s="41">
        <f>+AR118+AS118+AU118+AW118+AY118+AZ118</f>
        <v>0</v>
      </c>
      <c r="BB118" s="54"/>
      <c r="BC118" s="55">
        <v>0</v>
      </c>
      <c r="BD118" s="55"/>
      <c r="BE118" s="54"/>
      <c r="BF118" s="55"/>
    </row>
    <row r="119" spans="1:58" ht="12.95" customHeight="1">
      <c r="A119" s="44"/>
      <c r="B119" s="45"/>
      <c r="C119" s="452"/>
      <c r="D119" s="45"/>
      <c r="E119" s="46"/>
      <c r="F119" s="46"/>
      <c r="G119" s="465"/>
      <c r="H119" s="48"/>
      <c r="I119" s="49"/>
      <c r="J119" s="91"/>
      <c r="K119" s="91"/>
      <c r="L119" s="39"/>
      <c r="M119" s="39"/>
      <c r="N119" s="50"/>
      <c r="O119" s="51"/>
      <c r="P119" s="52"/>
      <c r="Q119" s="51"/>
      <c r="R119" s="422"/>
      <c r="S119" s="422"/>
      <c r="T119" s="41"/>
      <c r="U119" s="41"/>
      <c r="V119" s="41"/>
      <c r="W119" s="41"/>
      <c r="X119" s="42"/>
      <c r="Y119" s="223"/>
      <c r="Z119" s="41"/>
      <c r="AA119" s="41"/>
      <c r="AB119" s="41"/>
      <c r="AC119" s="41"/>
      <c r="AD119" s="41">
        <f>+AM119+BA119</f>
        <v>23</v>
      </c>
      <c r="AE119" s="241" t="s">
        <v>479</v>
      </c>
      <c r="AF119" s="37"/>
      <c r="AG119" s="37"/>
      <c r="AH119" s="37">
        <v>23</v>
      </c>
      <c r="AJ119" s="41"/>
      <c r="AK119" s="41"/>
      <c r="AL119" s="41"/>
      <c r="AM119" s="41">
        <f>SUM(AF119:AL119)+AT119+AV119+AX119</f>
        <v>23</v>
      </c>
      <c r="AN119" s="41"/>
      <c r="AO119" s="41"/>
      <c r="AP119" s="41"/>
      <c r="AQ119" s="41"/>
      <c r="AR119" s="41">
        <f>SUM(AN119:AQ119)</f>
        <v>0</v>
      </c>
      <c r="AS119" s="41"/>
      <c r="AT119" s="41"/>
      <c r="AU119" s="41"/>
      <c r="AV119" s="41"/>
      <c r="AW119" s="41"/>
      <c r="AX119" s="41"/>
      <c r="AY119" s="41"/>
      <c r="AZ119" s="41"/>
      <c r="BA119" s="41">
        <f>+AR119+AS119+AU119+AW119+AY119+AZ119</f>
        <v>0</v>
      </c>
      <c r="BB119" s="37"/>
      <c r="BC119" s="57"/>
      <c r="BD119" s="57"/>
      <c r="BE119" s="37"/>
      <c r="BF119" s="57"/>
    </row>
    <row r="120" spans="1:58" ht="12.95" customHeight="1">
      <c r="A120" s="346"/>
      <c r="B120" s="45"/>
      <c r="C120" s="452"/>
      <c r="D120" s="45"/>
      <c r="E120" s="46"/>
      <c r="F120" s="46"/>
      <c r="G120" s="465"/>
      <c r="H120" s="48"/>
      <c r="I120" s="49"/>
      <c r="J120" s="91"/>
      <c r="K120" s="91"/>
      <c r="L120" s="39"/>
      <c r="M120" s="39"/>
      <c r="N120" s="50"/>
      <c r="O120" s="51"/>
      <c r="P120" s="52"/>
      <c r="Q120" s="51"/>
      <c r="R120" s="422"/>
      <c r="S120" s="422"/>
      <c r="T120" s="41"/>
      <c r="U120" s="41"/>
      <c r="V120" s="41"/>
      <c r="W120" s="41"/>
      <c r="X120" s="419"/>
      <c r="Y120" s="223"/>
      <c r="Z120" s="41"/>
      <c r="AA120" s="53"/>
      <c r="AB120" s="53"/>
      <c r="AC120" s="41"/>
      <c r="AD120" s="41"/>
      <c r="AE120" s="241"/>
      <c r="AF120" s="41"/>
      <c r="AG120" s="41"/>
      <c r="AH120" s="41"/>
      <c r="AI120" s="461"/>
      <c r="AJ120" s="41"/>
      <c r="AK120" s="41"/>
      <c r="AL120" s="41"/>
      <c r="AM120" s="41"/>
      <c r="AN120" s="92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54"/>
      <c r="BC120" s="55"/>
      <c r="BD120" s="55"/>
      <c r="BE120" s="55"/>
      <c r="BF120" s="55"/>
    </row>
    <row r="121" spans="1:58" ht="12.95" customHeight="1">
      <c r="A121" s="346">
        <v>46017</v>
      </c>
      <c r="B121" s="45" t="s">
        <v>234</v>
      </c>
      <c r="C121" s="452">
        <f>(M121*E121*O121*Q121)/100000000</f>
        <v>68.060255426886073</v>
      </c>
      <c r="D121" s="45" t="s">
        <v>455</v>
      </c>
      <c r="E121" s="46">
        <v>16</v>
      </c>
      <c r="F121" s="46">
        <v>1</v>
      </c>
      <c r="G121" s="465">
        <v>1210</v>
      </c>
      <c r="H121" s="48">
        <v>0</v>
      </c>
      <c r="I121" s="49">
        <v>0.88</v>
      </c>
      <c r="J121" s="91">
        <f>E121*G121*(1-H121)*1440/1000000*2.77</f>
        <v>77.223168000000001</v>
      </c>
      <c r="K121" s="91">
        <f>(IF(G121&lt;L121,L121,G121)*(1-IF(H121&lt;N121,H121,N121))*E121*O121*Q121)/100000000</f>
        <v>68.299302987341761</v>
      </c>
      <c r="L121" s="39">
        <v>1211.1867088607594</v>
      </c>
      <c r="M121" s="39">
        <v>1206.9475553797467</v>
      </c>
      <c r="N121" s="50">
        <f>1-(M121/L121)</f>
        <v>3.4999999999999476E-3</v>
      </c>
      <c r="O121" s="51">
        <f>+'Trim Rwd'!H115</f>
        <v>267</v>
      </c>
      <c r="P121" s="52">
        <f>O121*(Q121-R121-S121)</f>
        <v>321468</v>
      </c>
      <c r="Q121" s="51">
        <v>1320</v>
      </c>
      <c r="R121" s="422">
        <v>56</v>
      </c>
      <c r="S121" s="422">
        <v>60</v>
      </c>
      <c r="T121" s="41">
        <f>E121*M121*O121*Q121/100000000</f>
        <v>68.060255426886073</v>
      </c>
      <c r="U121" s="41">
        <f>E121*M121*O121*(Q121-R121-S121)/100000000</f>
        <v>62.07920267725062</v>
      </c>
      <c r="V121" s="41">
        <f>E121*G121*(1-N121)*O121/100*(R121+S121)/1000000</f>
        <v>5.9751925728000002</v>
      </c>
      <c r="W121" s="41">
        <f>+'26'!K20/1000</f>
        <v>63.832000000000001</v>
      </c>
      <c r="X121" s="419">
        <f>SUM(W121:W124)/SUM(K121:K124)</f>
        <v>0.91172477344274316</v>
      </c>
      <c r="Y121" s="223">
        <v>0</v>
      </c>
      <c r="Z121" s="41">
        <f>+'26'!D34/1000</f>
        <v>1.56</v>
      </c>
      <c r="AA121" s="53">
        <f>SUM(U121:U124)-SUM(W121:W124)-SUM(Z121:Z124)-SUM(Y121:Y124)</f>
        <v>-1.4099431524493844</v>
      </c>
      <c r="AB121" s="53">
        <f>(SUM(K121:K124)-SUM(W121:W124)-SUM(Y121:Y124)-SUM(Z121:Z124)-SUM(AC121:AC124)-SUM(V121:V124))-AA121</f>
        <v>5.8601768354624717E-3</v>
      </c>
      <c r="AC121" s="41">
        <f>K121-T121</f>
        <v>0.23904756045568831</v>
      </c>
      <c r="AD121" s="41">
        <f>+AM121+BA121</f>
        <v>40</v>
      </c>
      <c r="AE121" s="241" t="s">
        <v>451</v>
      </c>
      <c r="AF121" s="41">
        <v>40</v>
      </c>
      <c r="AG121" s="41"/>
      <c r="AH121" s="41"/>
      <c r="AI121" s="461"/>
      <c r="AJ121" s="41"/>
      <c r="AK121" s="41"/>
      <c r="AL121" s="41"/>
      <c r="AM121" s="41">
        <f>SUM(AF121:AL121)+AT121+AV121+AX121</f>
        <v>40</v>
      </c>
      <c r="AN121" s="41"/>
      <c r="AO121" s="41"/>
      <c r="AP121" s="41"/>
      <c r="AQ121" s="41"/>
      <c r="AR121" s="41">
        <f>SUM(AN121:AQ121)</f>
        <v>0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0</v>
      </c>
      <c r="BB121" s="37">
        <v>8</v>
      </c>
      <c r="BC121" s="55"/>
      <c r="BD121" s="55"/>
      <c r="BE121" s="37"/>
      <c r="BF121" s="55"/>
    </row>
    <row r="122" spans="1:58" ht="12.95" customHeight="1">
      <c r="A122" s="346"/>
      <c r="B122" s="45" t="s">
        <v>234</v>
      </c>
      <c r="C122" s="452">
        <f>(M122*E122*O122*Q122)/100000000</f>
        <v>5.6767735079999992</v>
      </c>
      <c r="D122" s="45" t="s">
        <v>455</v>
      </c>
      <c r="E122" s="46">
        <v>14</v>
      </c>
      <c r="F122" s="46">
        <v>1</v>
      </c>
      <c r="G122" s="465">
        <v>1270</v>
      </c>
      <c r="H122" s="48">
        <v>0</v>
      </c>
      <c r="I122" s="49">
        <v>0.88</v>
      </c>
      <c r="J122" s="91">
        <f>E122*G122*(1-H122)*1440/1000000*2.77</f>
        <v>70.920864000000009</v>
      </c>
      <c r="K122" s="91">
        <f>(IF(G122&lt;L122,L122,G122)*(1-IF(H122&lt;N122,H122,N122))*E122*O122*Q122)/100000000</f>
        <v>5.6967119999999998</v>
      </c>
      <c r="L122" s="39">
        <v>1270</v>
      </c>
      <c r="M122" s="39">
        <f>+L122-L122*0.0035</f>
        <v>1265.5550000000001</v>
      </c>
      <c r="N122" s="50">
        <f>1-(M122/L122)</f>
        <v>3.4999999999999476E-3</v>
      </c>
      <c r="O122" s="51">
        <f>+'Trim Rwd'!H116</f>
        <v>267</v>
      </c>
      <c r="P122" s="52">
        <f>O122*(Q122-R122-S122)</f>
        <v>31239</v>
      </c>
      <c r="Q122" s="51">
        <v>120</v>
      </c>
      <c r="R122" s="422">
        <v>0</v>
      </c>
      <c r="S122" s="422">
        <v>3</v>
      </c>
      <c r="T122" s="41">
        <f>E122*M122*O122*Q122/100000000</f>
        <v>5.6767735079999992</v>
      </c>
      <c r="U122" s="41">
        <f>E122*M122*O122*(Q122-R122-S122)/100000000</f>
        <v>5.5348541703</v>
      </c>
      <c r="V122" s="41">
        <f>E122*G122*(1-N122)*O122/100*(R122+S122)/1000000</f>
        <v>0.14191933770000001</v>
      </c>
      <c r="W122" s="41">
        <f>+'26'!K11/1000</f>
        <v>0</v>
      </c>
      <c r="X122" s="419"/>
      <c r="Y122" s="223"/>
      <c r="Z122" s="41"/>
      <c r="AA122" s="53"/>
      <c r="AB122" s="53"/>
      <c r="AC122" s="41">
        <f>K122-T122</f>
        <v>1.9938492000000529E-2</v>
      </c>
      <c r="AD122" s="41">
        <f>+AM122+BA122</f>
        <v>1</v>
      </c>
      <c r="AE122" s="241" t="s">
        <v>494</v>
      </c>
      <c r="AF122" s="41"/>
      <c r="AG122" s="41">
        <v>1</v>
      </c>
      <c r="AH122" s="41"/>
      <c r="AI122" s="461"/>
      <c r="AJ122" s="41"/>
      <c r="AK122" s="41"/>
      <c r="AL122" s="41"/>
      <c r="AM122" s="41">
        <f>SUM(AF122:AL122)+AT122+AV122+AX122</f>
        <v>1</v>
      </c>
      <c r="AN122" s="92"/>
      <c r="AO122" s="41"/>
      <c r="AP122" s="41"/>
      <c r="AQ122" s="41"/>
      <c r="AR122" s="41">
        <f>SUM(AN122:AQ122)</f>
        <v>0</v>
      </c>
      <c r="AS122" s="41"/>
      <c r="AT122" s="41"/>
      <c r="AU122" s="41"/>
      <c r="AV122" s="41"/>
      <c r="AW122" s="41"/>
      <c r="AX122" s="41"/>
      <c r="AY122" s="41"/>
      <c r="AZ122" s="41"/>
      <c r="BA122" s="41">
        <f>+AR122+AS122+AU122+AW122+AY122+AZ122</f>
        <v>0</v>
      </c>
      <c r="BB122" s="54"/>
      <c r="BC122" s="55">
        <v>1</v>
      </c>
      <c r="BD122" s="55"/>
      <c r="BE122" s="54"/>
      <c r="BF122" s="55"/>
    </row>
    <row r="123" spans="1:58" ht="12.95" customHeight="1">
      <c r="A123" s="44"/>
      <c r="B123" s="45" t="s">
        <v>234</v>
      </c>
      <c r="C123" s="452"/>
      <c r="D123" s="45"/>
      <c r="E123" s="46">
        <v>17</v>
      </c>
      <c r="F123" s="46"/>
      <c r="G123" s="465"/>
      <c r="H123" s="48"/>
      <c r="I123" s="49"/>
      <c r="J123" s="91"/>
      <c r="K123" s="91"/>
      <c r="L123" s="39"/>
      <c r="M123" s="39"/>
      <c r="N123" s="50"/>
      <c r="O123" s="51"/>
      <c r="P123" s="52"/>
      <c r="Q123" s="51"/>
      <c r="R123" s="422"/>
      <c r="S123" s="422"/>
      <c r="T123" s="41"/>
      <c r="U123" s="41"/>
      <c r="V123" s="41"/>
      <c r="W123" s="41">
        <f>+'26'!K10/1000</f>
        <v>3.6320000000000001</v>
      </c>
      <c r="X123" s="42"/>
      <c r="Y123" s="223"/>
      <c r="Z123" s="41"/>
      <c r="AA123" s="41"/>
      <c r="AB123" s="53"/>
      <c r="AC123" s="41"/>
      <c r="AD123" s="41">
        <f>+AM123+BA123</f>
        <v>22</v>
      </c>
      <c r="AE123" s="241" t="s">
        <v>510</v>
      </c>
      <c r="AF123" s="37"/>
      <c r="AG123" s="37"/>
      <c r="AH123" s="37">
        <v>22</v>
      </c>
      <c r="AJ123" s="41"/>
      <c r="AK123" s="41"/>
      <c r="AL123" s="41"/>
      <c r="AM123" s="41">
        <f>SUM(AF123:AL123)+AT123+AV123+AX123</f>
        <v>22</v>
      </c>
      <c r="AN123" s="41"/>
      <c r="AO123" s="41"/>
      <c r="AP123" s="41"/>
      <c r="AQ123" s="41"/>
      <c r="AR123" s="41">
        <f>SUM(AN123:AQ123)</f>
        <v>0</v>
      </c>
      <c r="AS123" s="41"/>
      <c r="AT123" s="41"/>
      <c r="AU123" s="41"/>
      <c r="AV123" s="41"/>
      <c r="AW123" s="41"/>
      <c r="AX123" s="41"/>
      <c r="AY123" s="41"/>
      <c r="AZ123" s="41"/>
      <c r="BA123" s="41">
        <f>+AR123+AS123+AU123+AW123+AY123+AZ123</f>
        <v>0</v>
      </c>
      <c r="BB123" s="37"/>
      <c r="BC123" s="57"/>
      <c r="BD123" s="57"/>
      <c r="BE123" s="37"/>
      <c r="BF123" s="57"/>
    </row>
    <row r="124" spans="1:58" ht="12.95" customHeight="1">
      <c r="A124" s="346"/>
      <c r="B124" s="45"/>
      <c r="C124" s="452"/>
      <c r="D124" s="45"/>
      <c r="E124" s="46"/>
      <c r="F124" s="46"/>
      <c r="G124" s="465"/>
      <c r="H124" s="48"/>
      <c r="I124" s="49"/>
      <c r="J124" s="91"/>
      <c r="K124" s="91"/>
      <c r="L124" s="39"/>
      <c r="M124" s="39"/>
      <c r="N124" s="50"/>
      <c r="O124" s="51"/>
      <c r="P124" s="52"/>
      <c r="Q124" s="51"/>
      <c r="R124" s="422"/>
      <c r="S124" s="422"/>
      <c r="T124" s="41"/>
      <c r="U124" s="41"/>
      <c r="V124" s="41"/>
      <c r="W124" s="41"/>
      <c r="X124" s="419"/>
      <c r="Y124" s="223"/>
      <c r="Z124" s="41"/>
      <c r="AA124" s="53"/>
      <c r="AB124" s="53"/>
      <c r="AC124" s="41"/>
      <c r="AD124" s="41">
        <f>+AM124+BA124</f>
        <v>56</v>
      </c>
      <c r="AE124" s="244" t="s">
        <v>770</v>
      </c>
      <c r="AF124" s="41"/>
      <c r="AG124" s="41"/>
      <c r="AH124" s="41"/>
      <c r="AI124" s="461"/>
      <c r="AJ124" s="41"/>
      <c r="AK124" s="41"/>
      <c r="AL124" s="41"/>
      <c r="AM124" s="41">
        <f>SUM(AF124:AL124)+AT124+AV124+AX124</f>
        <v>0</v>
      </c>
      <c r="AN124" s="41"/>
      <c r="AO124" s="41"/>
      <c r="AP124" s="41">
        <v>56</v>
      </c>
      <c r="AQ124" s="41"/>
      <c r="AR124" s="41">
        <f>SUM(AN124:AQ124)</f>
        <v>56</v>
      </c>
      <c r="AS124" s="41"/>
      <c r="AT124" s="41"/>
      <c r="AU124" s="41"/>
      <c r="AV124" s="41"/>
      <c r="AW124" s="41"/>
      <c r="AX124" s="41"/>
      <c r="AY124" s="41"/>
      <c r="AZ124" s="41"/>
      <c r="BA124" s="41">
        <f>+AR124+AS124+AU124+AW124+AY124+AZ124</f>
        <v>56</v>
      </c>
      <c r="BB124" s="37"/>
      <c r="BC124" s="57"/>
      <c r="BD124" s="57"/>
      <c r="BE124" s="37"/>
      <c r="BF124" s="57"/>
    </row>
    <row r="125" spans="1:58" ht="12.95" customHeight="1">
      <c r="A125" s="44"/>
      <c r="B125" s="45"/>
      <c r="C125" s="452"/>
      <c r="D125" s="45"/>
      <c r="E125" s="46"/>
      <c r="F125" s="46"/>
      <c r="G125" s="465"/>
      <c r="H125" s="48"/>
      <c r="I125" s="49"/>
      <c r="J125" s="91"/>
      <c r="K125" s="91"/>
      <c r="L125" s="39"/>
      <c r="M125" s="39"/>
      <c r="N125" s="50"/>
      <c r="O125" s="51"/>
      <c r="P125" s="52"/>
      <c r="Q125" s="51"/>
      <c r="R125" s="422"/>
      <c r="S125" s="422"/>
      <c r="T125" s="41"/>
      <c r="U125" s="41"/>
      <c r="V125" s="41"/>
      <c r="W125" s="41"/>
      <c r="X125" s="42"/>
      <c r="Y125" s="223"/>
      <c r="Z125" s="41"/>
      <c r="AA125" s="41"/>
      <c r="AB125" s="41"/>
      <c r="AC125" s="41"/>
      <c r="AD125" s="41"/>
      <c r="AE125" s="241"/>
      <c r="AF125" s="37"/>
      <c r="AG125" s="37"/>
      <c r="AH125" s="37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37"/>
      <c r="BC125" s="57"/>
      <c r="BD125" s="55"/>
      <c r="BE125" s="55"/>
      <c r="BF125" s="55"/>
    </row>
    <row r="126" spans="1:58" ht="12.95" customHeight="1">
      <c r="A126" s="346">
        <v>46018</v>
      </c>
      <c r="B126" s="45" t="s">
        <v>234</v>
      </c>
      <c r="C126" s="452">
        <f>(M126*E126*O126*Q126)/100000000</f>
        <v>66.261283199999994</v>
      </c>
      <c r="D126" s="45" t="s">
        <v>455</v>
      </c>
      <c r="E126" s="46">
        <v>14</v>
      </c>
      <c r="F126" s="46">
        <v>1</v>
      </c>
      <c r="G126" s="465">
        <v>1270</v>
      </c>
      <c r="H126" s="48">
        <v>0</v>
      </c>
      <c r="I126" s="49">
        <v>0.88</v>
      </c>
      <c r="J126" s="91">
        <f>E126*G126*(1-H126)*1440/1000000*2.77</f>
        <v>70.920864000000009</v>
      </c>
      <c r="K126" s="91">
        <f>(IF(G126&lt;L126,L126,G126)*(1-IF(H126&lt;N126,H126,N126))*E126*O126*Q126)/100000000</f>
        <v>68.360544000000004</v>
      </c>
      <c r="L126" s="39">
        <v>1235</v>
      </c>
      <c r="M126" s="39">
        <v>1231</v>
      </c>
      <c r="N126" s="50">
        <f>1-(M126/L126)</f>
        <v>3.2388663967611864E-3</v>
      </c>
      <c r="O126" s="51">
        <f>+'Trim Rwd'!H118</f>
        <v>267</v>
      </c>
      <c r="P126" s="52">
        <f>O126*(Q126-R126-S126)</f>
        <v>362586</v>
      </c>
      <c r="Q126" s="51">
        <v>1440</v>
      </c>
      <c r="R126" s="422">
        <v>0</v>
      </c>
      <c r="S126" s="422">
        <v>82</v>
      </c>
      <c r="T126" s="41">
        <f>E126*M126*O126*Q126/100000000</f>
        <v>66.261283199999994</v>
      </c>
      <c r="U126" s="41">
        <f>E126*M126*O126*(Q126-R126-S126)/100000000</f>
        <v>62.488071239999996</v>
      </c>
      <c r="V126" s="41">
        <f>E126*G126*(1-N126)*O126/100*(R126+S126)/1000000</f>
        <v>3.8801450924696348</v>
      </c>
      <c r="W126" s="41">
        <f>+'27'!K11/1000</f>
        <v>52.726999999999997</v>
      </c>
      <c r="X126" s="419">
        <f>SUM(W126:W129)/SUM(K126:K129)</f>
        <v>0.84346900457667495</v>
      </c>
      <c r="Y126" s="223">
        <v>0</v>
      </c>
      <c r="Z126" s="41">
        <f>+'27'!D34/1000</f>
        <v>2.9079999999999999</v>
      </c>
      <c r="AA126" s="53">
        <f>SUM(U126:U129)-SUM(W126:W129)-SUM(Z126:Z129)-SUM(Y126:Y129)</f>
        <v>1.92007124</v>
      </c>
      <c r="AB126" s="53">
        <f>(SUM(K126:K129)-SUM(W126:W129)-SUM(Y126:Y129)-SUM(Z126:Z129)-SUM(AC126:AC129)-SUM(V126:V129))-AA126</f>
        <v>-0.10693313246963676</v>
      </c>
      <c r="AC126" s="41">
        <f>K126-T126</f>
        <v>2.0992608000000104</v>
      </c>
      <c r="AD126" s="41">
        <f>+AM126+BA126</f>
        <v>50</v>
      </c>
      <c r="AE126" s="241" t="s">
        <v>796</v>
      </c>
      <c r="AF126" s="41">
        <v>50</v>
      </c>
      <c r="AG126" s="41"/>
      <c r="AH126" s="41"/>
      <c r="AI126" s="461"/>
      <c r="AJ126" s="41"/>
      <c r="AK126" s="41"/>
      <c r="AL126" s="41"/>
      <c r="AM126" s="41">
        <f>SUM(AF126:AL126)+AT126+AV126+AX126</f>
        <v>50</v>
      </c>
      <c r="AN126" s="41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37">
        <v>10</v>
      </c>
      <c r="BC126" s="55"/>
      <c r="BD126" s="55"/>
      <c r="BE126" s="37"/>
      <c r="BF126" s="55"/>
    </row>
    <row r="127" spans="1:58" ht="12.95" customHeight="1">
      <c r="A127" s="346"/>
      <c r="B127" s="45"/>
      <c r="C127" s="452"/>
      <c r="D127" s="45"/>
      <c r="E127" s="46"/>
      <c r="F127" s="46"/>
      <c r="G127" s="465"/>
      <c r="H127" s="48"/>
      <c r="I127" s="49"/>
      <c r="J127" s="91"/>
      <c r="K127" s="91"/>
      <c r="L127" s="39"/>
      <c r="M127" s="39"/>
      <c r="N127" s="50"/>
      <c r="O127" s="51"/>
      <c r="P127" s="52"/>
      <c r="Q127" s="51"/>
      <c r="R127" s="422"/>
      <c r="S127" s="422"/>
      <c r="T127" s="41"/>
      <c r="U127" s="41"/>
      <c r="V127" s="41"/>
      <c r="W127" s="41">
        <f>+'27'!K13/1000</f>
        <v>4.9329999999999998</v>
      </c>
      <c r="X127" s="419"/>
      <c r="Y127" s="223"/>
      <c r="Z127" s="41"/>
      <c r="AA127" s="53"/>
      <c r="AB127" s="53"/>
      <c r="AC127" s="41"/>
      <c r="AD127" s="41">
        <f>+AM127+BA127</f>
        <v>0</v>
      </c>
      <c r="AE127" s="241" t="s">
        <v>448</v>
      </c>
      <c r="AF127" s="41"/>
      <c r="AG127" s="41">
        <v>0</v>
      </c>
      <c r="AH127" s="41"/>
      <c r="AI127" s="461"/>
      <c r="AJ127" s="41"/>
      <c r="AK127" s="41"/>
      <c r="AL127" s="41"/>
      <c r="AM127" s="41">
        <f>SUM(AF127:AL127)+AT127+AV127+AX127</f>
        <v>0</v>
      </c>
      <c r="AN127" s="92"/>
      <c r="AO127" s="41"/>
      <c r="AP127" s="41"/>
      <c r="AQ127" s="41"/>
      <c r="AR127" s="41">
        <f>SUM(AN127:AQ127)</f>
        <v>0</v>
      </c>
      <c r="AS127" s="41"/>
      <c r="AT127" s="41"/>
      <c r="AU127" s="41"/>
      <c r="AV127" s="41"/>
      <c r="AW127" s="41"/>
      <c r="AX127" s="41"/>
      <c r="AY127" s="41"/>
      <c r="AZ127" s="41"/>
      <c r="BA127" s="41">
        <f>+AR127+AS127+AU127+AW127+AY127+AZ127</f>
        <v>0</v>
      </c>
      <c r="BB127" s="54"/>
      <c r="BC127" s="55">
        <v>0</v>
      </c>
      <c r="BD127" s="55"/>
      <c r="BE127" s="54"/>
      <c r="BF127" s="55"/>
    </row>
    <row r="128" spans="1:58" ht="12.95" customHeight="1">
      <c r="A128" s="44"/>
      <c r="B128" s="45"/>
      <c r="C128" s="452"/>
      <c r="D128" s="45"/>
      <c r="E128" s="46"/>
      <c r="F128" s="46"/>
      <c r="G128" s="465"/>
      <c r="H128" s="48"/>
      <c r="I128" s="49"/>
      <c r="J128" s="91"/>
      <c r="K128" s="91"/>
      <c r="L128" s="39"/>
      <c r="M128" s="39"/>
      <c r="N128" s="50"/>
      <c r="O128" s="51"/>
      <c r="P128" s="52"/>
      <c r="Q128" s="51"/>
      <c r="R128" s="422"/>
      <c r="S128" s="422"/>
      <c r="T128" s="41"/>
      <c r="U128" s="41"/>
      <c r="V128" s="41"/>
      <c r="W128" s="41"/>
      <c r="X128" s="42"/>
      <c r="Y128" s="223"/>
      <c r="Z128" s="41"/>
      <c r="AA128" s="41"/>
      <c r="AB128" s="53"/>
      <c r="AC128" s="41"/>
      <c r="AD128" s="41">
        <f>+AM128+BA128</f>
        <v>32</v>
      </c>
      <c r="AE128" s="241" t="s">
        <v>531</v>
      </c>
      <c r="AF128" s="37"/>
      <c r="AG128" s="37"/>
      <c r="AH128" s="37">
        <v>32</v>
      </c>
      <c r="AJ128" s="41"/>
      <c r="AK128" s="41"/>
      <c r="AL128" s="41"/>
      <c r="AM128" s="41">
        <f>SUM(AF128:AL128)+AT128+AV128+AX128</f>
        <v>32</v>
      </c>
      <c r="AN128" s="41"/>
      <c r="AO128" s="41"/>
      <c r="AP128" s="41"/>
      <c r="AQ128" s="41"/>
      <c r="AR128" s="41">
        <f>SUM(AN128:AQ128)</f>
        <v>0</v>
      </c>
      <c r="AS128" s="41"/>
      <c r="AT128" s="41"/>
      <c r="AU128" s="41"/>
      <c r="AV128" s="41"/>
      <c r="AW128" s="41"/>
      <c r="AX128" s="41"/>
      <c r="AY128" s="41"/>
      <c r="AZ128" s="41"/>
      <c r="BA128" s="41">
        <f>+AR128+AS128+AU128+AW128+AY128+AZ128</f>
        <v>0</v>
      </c>
      <c r="BB128" s="37"/>
      <c r="BC128" s="57"/>
      <c r="BD128" s="57"/>
      <c r="BE128" s="37"/>
      <c r="BF128" s="57"/>
    </row>
    <row r="129" spans="1:58" ht="12.95" customHeight="1">
      <c r="A129" s="346"/>
      <c r="B129" s="45"/>
      <c r="C129" s="452"/>
      <c r="D129" s="45"/>
      <c r="E129" s="46"/>
      <c r="F129" s="46"/>
      <c r="G129" s="465"/>
      <c r="H129" s="48"/>
      <c r="I129" s="49"/>
      <c r="J129" s="91"/>
      <c r="K129" s="91"/>
      <c r="L129" s="39"/>
      <c r="M129" s="39"/>
      <c r="N129" s="50"/>
      <c r="O129" s="51"/>
      <c r="P129" s="52"/>
      <c r="Q129" s="51"/>
      <c r="R129" s="422"/>
      <c r="S129" s="422"/>
      <c r="T129" s="41"/>
      <c r="U129" s="41"/>
      <c r="V129" s="41"/>
      <c r="W129" s="41"/>
      <c r="X129" s="419"/>
      <c r="Y129" s="223"/>
      <c r="Z129" s="41"/>
      <c r="AA129" s="53"/>
      <c r="AB129" s="53"/>
      <c r="AC129" s="41"/>
      <c r="AD129" s="41"/>
      <c r="AE129" s="244"/>
      <c r="AF129" s="41"/>
      <c r="AG129" s="41"/>
      <c r="AH129" s="41"/>
      <c r="AI129" s="46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37"/>
      <c r="BC129" s="57"/>
      <c r="BD129" s="57"/>
      <c r="BE129" s="37"/>
      <c r="BF129" s="57"/>
    </row>
    <row r="130" spans="1:58" ht="12.95" customHeight="1">
      <c r="A130" s="346">
        <v>46019</v>
      </c>
      <c r="B130" s="45" t="s">
        <v>234</v>
      </c>
      <c r="C130" s="452">
        <f>(M130*E130*O130*Q130)/100000000</f>
        <v>65.400047999999998</v>
      </c>
      <c r="D130" s="45" t="s">
        <v>455</v>
      </c>
      <c r="E130" s="46">
        <v>14</v>
      </c>
      <c r="F130" s="46">
        <v>1</v>
      </c>
      <c r="G130" s="465">
        <v>1270</v>
      </c>
      <c r="H130" s="48">
        <v>0</v>
      </c>
      <c r="I130" s="49">
        <v>0.88</v>
      </c>
      <c r="J130" s="91">
        <f>E130*G130*(1-H130)*1440/1000000*2.77</f>
        <v>70.920864000000009</v>
      </c>
      <c r="K130" s="91">
        <f>(IF(G130&lt;L130,L130,G130)*(1-IF(H130&lt;N130,H130,N130))*E130*O130*Q130)/100000000</f>
        <v>68.360544000000004</v>
      </c>
      <c r="L130" s="39">
        <v>1220</v>
      </c>
      <c r="M130" s="39">
        <v>1215</v>
      </c>
      <c r="N130" s="50">
        <f>1-(M130/L130)</f>
        <v>4.098360655737654E-3</v>
      </c>
      <c r="O130" s="51">
        <f>+'Trim Rwd'!H121</f>
        <v>267</v>
      </c>
      <c r="P130" s="52">
        <f>O130*(Q130-R130-S130)</f>
        <v>378873</v>
      </c>
      <c r="Q130" s="51">
        <v>1440</v>
      </c>
      <c r="R130" s="422">
        <v>0</v>
      </c>
      <c r="S130" s="422">
        <v>21</v>
      </c>
      <c r="T130" s="41">
        <f>E130*M130*O130*Q130/100000000</f>
        <v>65.400047999999998</v>
      </c>
      <c r="U130" s="41">
        <f>E130*M130*O130*(Q130-R130-S130)/100000000</f>
        <v>64.446297299999998</v>
      </c>
      <c r="V130" s="41">
        <f>E130*G130*(1-N130)*O130/100*(R130+S130)/1000000</f>
        <v>0.99283884344262319</v>
      </c>
      <c r="W130" s="41">
        <f>+'28'!K34/1000</f>
        <v>67.025000000000006</v>
      </c>
      <c r="X130" s="419">
        <f>SUM(W130:W133)/SUM(K130:K133)</f>
        <v>0.98046323329434015</v>
      </c>
      <c r="Y130" s="223">
        <v>0</v>
      </c>
      <c r="Z130" s="41">
        <f>+'28'!D34/1000</f>
        <v>0.57299999999999995</v>
      </c>
      <c r="AA130" s="53">
        <f>SUM(U130:U133)-SUM(W130:W133)-SUM(Z130:Z133)-SUM(Y130:Y133)</f>
        <v>-3.151702700000008</v>
      </c>
      <c r="AB130" s="53">
        <f>(SUM(K130:K133)-SUM(W130:W133)-SUM(Y130:Y133)-SUM(Z130:Z133)-SUM(AC130:AC133)-SUM(V130:V133))-AA130</f>
        <v>-3.908814344262268E-2</v>
      </c>
      <c r="AC130" s="41">
        <f>K130-T130</f>
        <v>2.9604960000000062</v>
      </c>
      <c r="AD130" s="41">
        <f>+AM130+BA130</f>
        <v>0</v>
      </c>
      <c r="AE130" s="241" t="s">
        <v>492</v>
      </c>
      <c r="AF130" s="41">
        <v>0</v>
      </c>
      <c r="AG130" s="41"/>
      <c r="AH130" s="41"/>
      <c r="AI130" s="461"/>
      <c r="AJ130" s="41"/>
      <c r="AK130" s="41"/>
      <c r="AL130" s="41"/>
      <c r="AM130" s="41">
        <f>SUM(AF130:AL130)+AT130+AV130+AX130</f>
        <v>0</v>
      </c>
      <c r="AN130" s="4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37">
        <v>0</v>
      </c>
      <c r="BC130" s="55"/>
      <c r="BD130" s="55"/>
      <c r="BE130" s="37"/>
      <c r="BF130" s="55"/>
    </row>
    <row r="131" spans="1:58" ht="12.95" customHeight="1">
      <c r="A131" s="346"/>
      <c r="B131" s="45"/>
      <c r="C131" s="452"/>
      <c r="D131" s="45"/>
      <c r="E131" s="46"/>
      <c r="F131" s="46"/>
      <c r="G131" s="465"/>
      <c r="H131" s="48"/>
      <c r="I131" s="49"/>
      <c r="J131" s="91"/>
      <c r="K131" s="91"/>
      <c r="L131" s="39"/>
      <c r="M131" s="39"/>
      <c r="N131" s="50"/>
      <c r="O131" s="51"/>
      <c r="P131" s="52"/>
      <c r="Q131" s="51"/>
      <c r="R131" s="422"/>
      <c r="S131" s="422"/>
      <c r="T131" s="41"/>
      <c r="U131" s="41"/>
      <c r="V131" s="41"/>
      <c r="W131" s="41"/>
      <c r="X131" s="419"/>
      <c r="Y131" s="223"/>
      <c r="Z131" s="41"/>
      <c r="AA131" s="53"/>
      <c r="AB131" s="53"/>
      <c r="AC131" s="41"/>
      <c r="AD131" s="41">
        <f>+AM131+BA131</f>
        <v>0</v>
      </c>
      <c r="AE131" s="241" t="s">
        <v>448</v>
      </c>
      <c r="AF131" s="41"/>
      <c r="AG131" s="41">
        <v>0</v>
      </c>
      <c r="AH131" s="41"/>
      <c r="AI131" s="461"/>
      <c r="AJ131" s="41"/>
      <c r="AK131" s="41"/>
      <c r="AL131" s="41"/>
      <c r="AM131" s="41">
        <f>SUM(AF131:AL131)+AT131+AV131+AX131</f>
        <v>0</v>
      </c>
      <c r="AN131" s="92"/>
      <c r="AO131" s="41"/>
      <c r="AP131" s="41"/>
      <c r="AQ131" s="41"/>
      <c r="AR131" s="41">
        <f>SUM(AN131:AQ131)</f>
        <v>0</v>
      </c>
      <c r="AS131" s="41"/>
      <c r="AT131" s="41"/>
      <c r="AU131" s="41"/>
      <c r="AV131" s="41"/>
      <c r="AW131" s="41"/>
      <c r="AX131" s="41"/>
      <c r="AY131" s="41"/>
      <c r="AZ131" s="41"/>
      <c r="BA131" s="41">
        <f>+AR131+AS131+AU131+AW131+AY131+AZ131</f>
        <v>0</v>
      </c>
      <c r="BB131" s="54"/>
      <c r="BC131" s="55">
        <v>0</v>
      </c>
      <c r="BD131" s="55"/>
      <c r="BE131" s="54"/>
      <c r="BF131" s="55"/>
    </row>
    <row r="132" spans="1:58" ht="12.95" customHeight="1">
      <c r="A132" s="44"/>
      <c r="B132" s="45"/>
      <c r="C132" s="452"/>
      <c r="D132" s="45"/>
      <c r="E132" s="46"/>
      <c r="F132" s="46"/>
      <c r="G132" s="465"/>
      <c r="H132" s="48"/>
      <c r="I132" s="49"/>
      <c r="J132" s="91"/>
      <c r="K132" s="91"/>
      <c r="L132" s="39"/>
      <c r="M132" s="39"/>
      <c r="N132" s="50"/>
      <c r="O132" s="51"/>
      <c r="P132" s="52"/>
      <c r="Q132" s="51"/>
      <c r="R132" s="422"/>
      <c r="S132" s="422"/>
      <c r="T132" s="41"/>
      <c r="U132" s="41"/>
      <c r="V132" s="41"/>
      <c r="W132" s="41"/>
      <c r="X132" s="42"/>
      <c r="Y132" s="223"/>
      <c r="Z132" s="41"/>
      <c r="AA132" s="41"/>
      <c r="AB132" s="53"/>
      <c r="AC132" s="41"/>
      <c r="AD132" s="41">
        <f>+AM132+BA132</f>
        <v>21</v>
      </c>
      <c r="AE132" s="241" t="s">
        <v>531</v>
      </c>
      <c r="AF132" s="37"/>
      <c r="AG132" s="37"/>
      <c r="AH132" s="37">
        <v>21</v>
      </c>
      <c r="AJ132" s="41"/>
      <c r="AK132" s="41"/>
      <c r="AL132" s="41"/>
      <c r="AM132" s="41">
        <f>SUM(AF132:AL132)+AT132+AV132+AX132</f>
        <v>21</v>
      </c>
      <c r="AN132" s="41"/>
      <c r="AO132" s="41"/>
      <c r="AP132" s="41"/>
      <c r="AQ132" s="41"/>
      <c r="AR132" s="41">
        <f>SUM(AN132:AQ132)</f>
        <v>0</v>
      </c>
      <c r="AS132" s="41"/>
      <c r="AT132" s="41"/>
      <c r="AU132" s="41"/>
      <c r="AV132" s="41"/>
      <c r="AW132" s="41"/>
      <c r="AX132" s="41"/>
      <c r="AY132" s="41"/>
      <c r="AZ132" s="41"/>
      <c r="BA132" s="41">
        <f>+AR132+AS132+AU132+AW132+AY132+AZ132</f>
        <v>0</v>
      </c>
      <c r="BB132" s="37"/>
      <c r="BC132" s="57"/>
      <c r="BD132" s="57"/>
      <c r="BE132" s="37"/>
      <c r="BF132" s="57"/>
    </row>
    <row r="133" spans="1:58" ht="12.95" customHeight="1">
      <c r="A133" s="346"/>
      <c r="B133" s="45"/>
      <c r="C133" s="452"/>
      <c r="D133" s="45"/>
      <c r="E133" s="46"/>
      <c r="F133" s="46"/>
      <c r="G133" s="465"/>
      <c r="H133" s="48"/>
      <c r="I133" s="49"/>
      <c r="J133" s="91"/>
      <c r="K133" s="91"/>
      <c r="L133" s="39"/>
      <c r="M133" s="39"/>
      <c r="N133" s="50"/>
      <c r="O133" s="51"/>
      <c r="P133" s="52"/>
      <c r="Q133" s="51"/>
      <c r="R133" s="422"/>
      <c r="S133" s="422"/>
      <c r="T133" s="41"/>
      <c r="U133" s="41"/>
      <c r="V133" s="41"/>
      <c r="W133" s="41"/>
      <c r="X133" s="419"/>
      <c r="Y133" s="223"/>
      <c r="Z133" s="41"/>
      <c r="AA133" s="53"/>
      <c r="AB133" s="53"/>
      <c r="AC133" s="41"/>
      <c r="AD133" s="41"/>
      <c r="AE133" s="244"/>
      <c r="AF133" s="41"/>
      <c r="AG133" s="41"/>
      <c r="AH133" s="41"/>
      <c r="AI133" s="46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37"/>
      <c r="BC133" s="57"/>
      <c r="BD133" s="57"/>
      <c r="BE133" s="37"/>
      <c r="BF133" s="57"/>
    </row>
    <row r="134" spans="1:58" ht="12.95" customHeight="1">
      <c r="A134" s="346">
        <v>46020</v>
      </c>
      <c r="B134" s="45" t="s">
        <v>234</v>
      </c>
      <c r="C134" s="452">
        <f>(M134*E134*O134*Q134)/100000000</f>
        <v>40.899588659999999</v>
      </c>
      <c r="D134" s="45" t="s">
        <v>455</v>
      </c>
      <c r="E134" s="46">
        <v>14</v>
      </c>
      <c r="F134" s="46">
        <v>1</v>
      </c>
      <c r="G134" s="465">
        <v>1270</v>
      </c>
      <c r="H134" s="48">
        <v>0</v>
      </c>
      <c r="I134" s="49">
        <v>0.88</v>
      </c>
      <c r="J134" s="91">
        <f>E134*G134*(1-H134)*1440/1000000*2.77</f>
        <v>70.920864000000009</v>
      </c>
      <c r="K134" s="91">
        <f>(IF(G134&lt;L134,L134,G134)*(1-IF(H134&lt;N134,H134,N134))*E134*O134*Q134)/100000000</f>
        <v>42.725340000000003</v>
      </c>
      <c r="L134" s="39">
        <v>1220</v>
      </c>
      <c r="M134" s="39">
        <v>1215.73</v>
      </c>
      <c r="N134" s="50">
        <f>1-(M134/L134)</f>
        <v>3.4999999999999476E-3</v>
      </c>
      <c r="O134" s="51">
        <f>+'Trim Rwd'!H123</f>
        <v>267</v>
      </c>
      <c r="P134" s="52">
        <f>O134*(Q134-R134-S134)</f>
        <v>236295</v>
      </c>
      <c r="Q134" s="51">
        <v>900</v>
      </c>
      <c r="R134" s="422">
        <v>0</v>
      </c>
      <c r="S134" s="422">
        <v>15</v>
      </c>
      <c r="T134" s="41">
        <f>E134*M134*O134*Q134/100000000</f>
        <v>40.899588659999999</v>
      </c>
      <c r="U134" s="41">
        <f>E134*M134*O134*(Q134-R134-S134)/100000000</f>
        <v>40.217928849000003</v>
      </c>
      <c r="V134" s="41">
        <f>E134*G134*(1-N134)*O134/100*(R134+S134)/1000000</f>
        <v>0.70959668849999991</v>
      </c>
      <c r="W134" s="41">
        <f>+'29'!K11/1000</f>
        <v>47.503</v>
      </c>
      <c r="X134" s="419">
        <f>SUM(W134:W137)/SUM(K134:K137)</f>
        <v>0.9089063643531452</v>
      </c>
      <c r="Y134" s="223">
        <v>0</v>
      </c>
      <c r="Z134" s="41">
        <f>+('29'!D7+'29'!D16+'29'!D25)/1000</f>
        <v>1.385</v>
      </c>
      <c r="AA134" s="53">
        <f>SUM(U134:U137)-SUM(W134:W137)-SUM(Z134:Z137)-SUM(Y134:Y137)</f>
        <v>-0.94166782974999652</v>
      </c>
      <c r="AB134" s="53">
        <f>(SUM(K134:K137)-SUM(W134:W137)-SUM(Y134:Y137)-SUM(Z134:Z137)-SUM(AC134:AC137)-SUM(V134:V137))-AA134</f>
        <v>-2.7936877500012169E-2</v>
      </c>
      <c r="AC134" s="41">
        <f>K134-T134</f>
        <v>1.8257513400000036</v>
      </c>
      <c r="AD134" s="41">
        <f>+AM134+BA134</f>
        <v>0</v>
      </c>
      <c r="AE134" s="241" t="s">
        <v>492</v>
      </c>
      <c r="AF134" s="41">
        <v>0</v>
      </c>
      <c r="AG134" s="41"/>
      <c r="AH134" s="41"/>
      <c r="AI134" s="461"/>
      <c r="AJ134" s="41"/>
      <c r="AK134" s="41"/>
      <c r="AL134" s="41"/>
      <c r="AM134" s="41">
        <f>SUM(AF134:AL134)+AT134+AV134+AX134</f>
        <v>0</v>
      </c>
      <c r="AN134" s="41"/>
      <c r="AO134" s="41"/>
      <c r="AP134" s="41"/>
      <c r="AQ134" s="41"/>
      <c r="AR134" s="41">
        <f>SUM(AN134:AQ134)</f>
        <v>0</v>
      </c>
      <c r="AS134" s="41"/>
      <c r="AT134" s="41"/>
      <c r="AU134" s="41"/>
      <c r="AV134" s="41"/>
      <c r="AW134" s="41"/>
      <c r="AX134" s="41"/>
      <c r="AY134" s="41"/>
      <c r="AZ134" s="41"/>
      <c r="BA134" s="41">
        <f>+AR134+AS134+AU134+AW134+AY134+AZ134</f>
        <v>0</v>
      </c>
      <c r="BB134" s="37">
        <v>0</v>
      </c>
      <c r="BC134" s="55"/>
      <c r="BD134" s="55"/>
      <c r="BE134" s="37"/>
      <c r="BF134" s="55"/>
    </row>
    <row r="135" spans="1:58" ht="12.95" customHeight="1">
      <c r="A135" s="346"/>
      <c r="B135" s="45" t="s">
        <v>234</v>
      </c>
      <c r="C135" s="452">
        <f>(M135*E135*O135*Q135)/100000000</f>
        <v>29.609368222499999</v>
      </c>
      <c r="D135" s="45" t="s">
        <v>410</v>
      </c>
      <c r="E135" s="46">
        <v>17</v>
      </c>
      <c r="F135" s="46">
        <v>1</v>
      </c>
      <c r="G135" s="465">
        <v>1210</v>
      </c>
      <c r="H135" s="48">
        <v>0</v>
      </c>
      <c r="I135" s="49">
        <v>0.88</v>
      </c>
      <c r="J135" s="91">
        <f>E135*G135*(1-H135)*1440/1000000*2.77</f>
        <v>82.049616</v>
      </c>
      <c r="K135" s="91">
        <f>(IF(G135&lt;L135,L135,G135)*(1-IF(H135&lt;N135,H135,N135))*E135*O135*Q135)/100000000</f>
        <v>29.713365</v>
      </c>
      <c r="L135" s="39">
        <v>1210</v>
      </c>
      <c r="M135" s="39">
        <v>1205.7650000000001</v>
      </c>
      <c r="N135" s="50">
        <f>1-(M135/L135)</f>
        <v>3.4999999999999476E-3</v>
      </c>
      <c r="O135" s="51">
        <f>+'Trim Rwd'!H124</f>
        <v>267.5</v>
      </c>
      <c r="P135" s="52">
        <f>O135*(Q135-R135-S135)</f>
        <v>136425</v>
      </c>
      <c r="Q135" s="51">
        <v>540</v>
      </c>
      <c r="R135" s="422">
        <v>0</v>
      </c>
      <c r="S135" s="422">
        <v>30</v>
      </c>
      <c r="T135" s="41">
        <f>E135*M135*O135*Q135/100000000</f>
        <v>29.609368222499999</v>
      </c>
      <c r="U135" s="41">
        <f>E135*M135*O135*(Q135-R135-S135)/100000000</f>
        <v>27.96440332125</v>
      </c>
      <c r="V135" s="41">
        <f>E135*G135*(1-N135)*O135/100*(R135+S135)/1000000</f>
        <v>1.6449649012500001</v>
      </c>
      <c r="W135" s="41">
        <f>+'29'!K10/1000</f>
        <v>18.337</v>
      </c>
      <c r="X135" s="419"/>
      <c r="Y135" s="223"/>
      <c r="Z135" s="41">
        <f>+'29'!D26/1000</f>
        <v>1.899</v>
      </c>
      <c r="AA135" s="53"/>
      <c r="AB135" s="53"/>
      <c r="AC135" s="41">
        <f>K135-T135</f>
        <v>0.1039967775000008</v>
      </c>
      <c r="AD135" s="41">
        <f>+AM135+BA135</f>
        <v>0</v>
      </c>
      <c r="AE135" s="241" t="s">
        <v>448</v>
      </c>
      <c r="AF135" s="41"/>
      <c r="AG135" s="41">
        <v>0</v>
      </c>
      <c r="AH135" s="41"/>
      <c r="AI135" s="461"/>
      <c r="AJ135" s="41"/>
      <c r="AK135" s="41"/>
      <c r="AL135" s="41"/>
      <c r="AM135" s="41">
        <f>SUM(AF135:AL135)+AT135+AV135+AX135</f>
        <v>0</v>
      </c>
      <c r="AN135" s="92"/>
      <c r="AO135" s="41"/>
      <c r="AP135" s="41"/>
      <c r="AQ135" s="41"/>
      <c r="AR135" s="41">
        <f>SUM(AN135:AQ135)</f>
        <v>0</v>
      </c>
      <c r="AS135" s="41"/>
      <c r="AT135" s="41"/>
      <c r="AU135" s="41"/>
      <c r="AV135" s="41"/>
      <c r="AW135" s="41"/>
      <c r="AX135" s="41"/>
      <c r="AY135" s="41"/>
      <c r="AZ135" s="41"/>
      <c r="BA135" s="41">
        <f>+AR135+AS135+AU135+AW135+AY135+AZ135</f>
        <v>0</v>
      </c>
      <c r="BB135" s="54"/>
      <c r="BC135" s="55">
        <v>0</v>
      </c>
      <c r="BD135" s="55"/>
      <c r="BE135" s="54"/>
      <c r="BF135" s="55"/>
    </row>
    <row r="136" spans="1:58" ht="12.95" customHeight="1">
      <c r="A136" s="44"/>
      <c r="B136" s="45"/>
      <c r="C136" s="452"/>
      <c r="D136" s="45"/>
      <c r="E136" s="46"/>
      <c r="F136" s="46"/>
      <c r="G136" s="465"/>
      <c r="H136" s="48"/>
      <c r="I136" s="49"/>
      <c r="J136" s="91"/>
      <c r="K136" s="91"/>
      <c r="L136" s="39"/>
      <c r="M136" s="39"/>
      <c r="N136" s="50"/>
      <c r="O136" s="51"/>
      <c r="P136" s="52"/>
      <c r="Q136" s="51"/>
      <c r="R136" s="422"/>
      <c r="S136" s="422"/>
      <c r="T136" s="41"/>
      <c r="U136" s="41"/>
      <c r="V136" s="41"/>
      <c r="W136" s="41"/>
      <c r="X136" s="42"/>
      <c r="Y136" s="223"/>
      <c r="Z136" s="41"/>
      <c r="AA136" s="41"/>
      <c r="AB136" s="53"/>
      <c r="AC136" s="41"/>
      <c r="AD136" s="41">
        <f>+AM136+BA136</f>
        <v>15</v>
      </c>
      <c r="AE136" s="241" t="s">
        <v>510</v>
      </c>
      <c r="AF136" s="37"/>
      <c r="AG136" s="37"/>
      <c r="AH136" s="37">
        <v>15</v>
      </c>
      <c r="AJ136" s="41"/>
      <c r="AK136" s="41"/>
      <c r="AL136" s="41"/>
      <c r="AM136" s="41">
        <f>SUM(AF136:AL136)+AT136+AV136+AX136</f>
        <v>15</v>
      </c>
      <c r="AN136" s="41"/>
      <c r="AO136" s="41"/>
      <c r="AP136" s="41"/>
      <c r="AQ136" s="41"/>
      <c r="AR136" s="41">
        <f>SUM(AN136:AQ136)</f>
        <v>0</v>
      </c>
      <c r="AS136" s="41"/>
      <c r="AT136" s="41"/>
      <c r="AU136" s="41"/>
      <c r="AV136" s="41"/>
      <c r="AW136" s="41"/>
      <c r="AX136" s="41"/>
      <c r="AY136" s="41"/>
      <c r="AZ136" s="41"/>
      <c r="BA136" s="41">
        <f>+AR136+AS136+AU136+AW136+AY136+AZ136</f>
        <v>0</v>
      </c>
      <c r="BB136" s="37"/>
      <c r="BC136" s="57"/>
      <c r="BD136" s="57"/>
      <c r="BE136" s="37"/>
      <c r="BF136" s="57"/>
    </row>
    <row r="137" spans="1:58" ht="12.95" customHeight="1">
      <c r="A137" s="346"/>
      <c r="B137" s="45"/>
      <c r="C137" s="452"/>
      <c r="D137" s="45"/>
      <c r="E137" s="46"/>
      <c r="F137" s="46"/>
      <c r="G137" s="465"/>
      <c r="H137" s="48"/>
      <c r="I137" s="49"/>
      <c r="J137" s="91"/>
      <c r="K137" s="91"/>
      <c r="L137" s="39"/>
      <c r="M137" s="39"/>
      <c r="N137" s="50"/>
      <c r="O137" s="51"/>
      <c r="P137" s="52"/>
      <c r="Q137" s="51"/>
      <c r="R137" s="422"/>
      <c r="S137" s="422"/>
      <c r="T137" s="41"/>
      <c r="U137" s="41"/>
      <c r="V137" s="41"/>
      <c r="W137" s="41"/>
      <c r="X137" s="419"/>
      <c r="Y137" s="223"/>
      <c r="Z137" s="41"/>
      <c r="AA137" s="53"/>
      <c r="AB137" s="53"/>
      <c r="AC137" s="41"/>
      <c r="AD137" s="41">
        <f>+AM137+BA137</f>
        <v>30</v>
      </c>
      <c r="AE137" s="244" t="s">
        <v>799</v>
      </c>
      <c r="AF137" s="41"/>
      <c r="AG137" s="41"/>
      <c r="AH137" s="41"/>
      <c r="AI137" s="461"/>
      <c r="AJ137" s="41"/>
      <c r="AK137" s="41">
        <v>30</v>
      </c>
      <c r="AL137" s="41"/>
      <c r="AM137" s="41">
        <f>SUM(AF137:AL137)+AT137+AV137+AX137</f>
        <v>30</v>
      </c>
      <c r="AN137" s="41"/>
      <c r="AO137" s="41"/>
      <c r="AP137" s="41"/>
      <c r="AQ137" s="41"/>
      <c r="AR137" s="41">
        <f>SUM(AN137:AQ137)</f>
        <v>0</v>
      </c>
      <c r="AS137" s="41"/>
      <c r="AT137" s="41"/>
      <c r="AU137" s="41"/>
      <c r="AV137" s="41"/>
      <c r="AW137" s="41"/>
      <c r="AX137" s="41"/>
      <c r="AY137" s="41"/>
      <c r="AZ137" s="41"/>
      <c r="BA137" s="41">
        <f>+AR137+AS137+AU137+AW137+AY137+AZ137</f>
        <v>0</v>
      </c>
      <c r="BB137" s="37"/>
      <c r="BC137" s="57"/>
      <c r="BD137" s="57"/>
      <c r="BE137" s="37"/>
      <c r="BF137" s="57"/>
    </row>
    <row r="138" spans="1:58" ht="12.95" customHeight="1">
      <c r="A138" s="44"/>
      <c r="B138" s="3"/>
      <c r="C138" s="452"/>
      <c r="D138" s="45"/>
      <c r="E138" s="258"/>
      <c r="F138" s="46"/>
      <c r="G138" s="47"/>
      <c r="H138" s="48"/>
      <c r="I138" s="49"/>
      <c r="J138" s="91"/>
      <c r="K138" s="91"/>
      <c r="L138" s="39"/>
      <c r="M138" s="39"/>
      <c r="N138" s="50"/>
      <c r="O138" s="51"/>
      <c r="P138" s="52"/>
      <c r="Q138" s="351"/>
      <c r="R138" s="54"/>
      <c r="S138" s="54"/>
      <c r="T138" s="41"/>
      <c r="U138" s="41"/>
      <c r="V138" s="41"/>
      <c r="W138" s="37"/>
      <c r="X138" s="42"/>
      <c r="Y138" s="42"/>
      <c r="Z138" s="621"/>
      <c r="AA138" s="53"/>
      <c r="AB138" s="53"/>
      <c r="AC138" s="41"/>
      <c r="AD138" s="41"/>
      <c r="AE138" s="22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37"/>
      <c r="BC138" s="55"/>
      <c r="BD138" s="55"/>
      <c r="BE138" s="55"/>
      <c r="BF138" s="55"/>
    </row>
    <row r="139" spans="1:58" ht="12.95" customHeight="1">
      <c r="A139" s="346">
        <v>46021</v>
      </c>
      <c r="B139" s="45" t="s">
        <v>234</v>
      </c>
      <c r="C139" s="452">
        <f>(M139*E139*O139*Q139)/100000000</f>
        <v>80.286585984000013</v>
      </c>
      <c r="D139" s="45" t="s">
        <v>410</v>
      </c>
      <c r="E139" s="46">
        <v>17</v>
      </c>
      <c r="F139" s="46">
        <v>1</v>
      </c>
      <c r="G139" s="465">
        <v>1210</v>
      </c>
      <c r="H139" s="48">
        <v>0</v>
      </c>
      <c r="I139" s="49">
        <v>0.88</v>
      </c>
      <c r="J139" s="91">
        <f>E139*G139*(1-H139)*1440/1000000*2.77</f>
        <v>82.049616</v>
      </c>
      <c r="K139" s="91">
        <f>(IF(G139&lt;L139,L139,G139)*(1-IF(H139&lt;N139,H139,N139))*E139*O139*Q139)/100000000</f>
        <v>80.568575999999993</v>
      </c>
      <c r="L139" s="39">
        <v>1210</v>
      </c>
      <c r="M139" s="39">
        <v>1205.7650000000001</v>
      </c>
      <c r="N139" s="50">
        <f>1-(M139/L139)</f>
        <v>3.4999999999999476E-3</v>
      </c>
      <c r="O139" s="51">
        <f>+'Trim Rwd'!H127</f>
        <v>272</v>
      </c>
      <c r="P139" s="52">
        <f>O139*(Q139-R139-S139)</f>
        <v>386784</v>
      </c>
      <c r="Q139" s="51">
        <v>1440</v>
      </c>
      <c r="R139" s="422">
        <v>0</v>
      </c>
      <c r="S139" s="422">
        <v>18</v>
      </c>
      <c r="T139" s="41">
        <f>E139*M139*O139*Q139/100000000</f>
        <v>80.286585984000013</v>
      </c>
      <c r="U139" s="41">
        <f>E139*M139*O139*(Q139-R139-S139)/100000000</f>
        <v>79.283003659200006</v>
      </c>
      <c r="V139" s="41">
        <f>E139*G139*(1-N139)*O139/100*(R139+S139)/1000000</f>
        <v>1.0035823248</v>
      </c>
      <c r="W139" s="41">
        <f>+'30'!K13/1000</f>
        <v>81.028000000000006</v>
      </c>
      <c r="X139" s="419">
        <f>SUM(W139:W142)/SUM(K139:K142)</f>
        <v>1.0057022728067084</v>
      </c>
      <c r="Y139" s="223">
        <v>0</v>
      </c>
      <c r="Z139" s="41">
        <f>+'30'!D34/1000</f>
        <v>1.111</v>
      </c>
      <c r="AA139" s="53">
        <f>SUM(U139:U142)-SUM(W139:W142)-SUM(Z139:Z142)-SUM(Y139:Y142)</f>
        <v>-2.8559963408</v>
      </c>
      <c r="AB139" s="53">
        <f>(SUM(K139:K142)-SUM(W139:W142)-SUM(Y139:Y142)-SUM(Z139:Z142)-SUM(AC139:AC142)-SUM(V139:V142))-AA139</f>
        <v>7.1054273576010019E-15</v>
      </c>
      <c r="AC139" s="41">
        <f>K139-T139</f>
        <v>0.28199001599998041</v>
      </c>
      <c r="AD139" s="41">
        <f>+AM139+BA139</f>
        <v>0</v>
      </c>
      <c r="AE139" s="241" t="s">
        <v>492</v>
      </c>
      <c r="AF139" s="41">
        <v>0</v>
      </c>
      <c r="AG139" s="41"/>
      <c r="AH139" s="41"/>
      <c r="AI139" s="461"/>
      <c r="AJ139" s="41"/>
      <c r="AK139" s="41"/>
      <c r="AL139" s="41"/>
      <c r="AM139" s="41">
        <f>SUM(AF139:AL139)+AT139+AV139+AX139</f>
        <v>0</v>
      </c>
      <c r="AN139" s="41"/>
      <c r="AO139" s="41"/>
      <c r="AP139" s="41"/>
      <c r="AQ139" s="41"/>
      <c r="AR139" s="41">
        <f>SUM(AN139:AQ139)</f>
        <v>0</v>
      </c>
      <c r="AS139" s="41"/>
      <c r="AT139" s="41"/>
      <c r="AU139" s="41"/>
      <c r="AV139" s="41"/>
      <c r="AW139" s="41"/>
      <c r="AX139" s="41"/>
      <c r="AY139" s="41"/>
      <c r="AZ139" s="41"/>
      <c r="BA139" s="41">
        <f>+AR139+AS139+AU139+AW139+AY139+AZ139</f>
        <v>0</v>
      </c>
      <c r="BB139" s="37">
        <v>0</v>
      </c>
      <c r="BC139" s="55"/>
      <c r="BD139" s="55"/>
      <c r="BE139" s="37"/>
      <c r="BF139" s="55"/>
    </row>
    <row r="140" spans="1:58" ht="12.95" customHeight="1">
      <c r="A140" s="346"/>
      <c r="B140" s="45"/>
      <c r="C140" s="452"/>
      <c r="D140" s="45"/>
      <c r="E140" s="46"/>
      <c r="F140" s="46"/>
      <c r="G140" s="465"/>
      <c r="H140" s="48"/>
      <c r="I140" s="49"/>
      <c r="J140" s="91"/>
      <c r="K140" s="91"/>
      <c r="L140" s="39"/>
      <c r="M140" s="39"/>
      <c r="N140" s="50"/>
      <c r="O140" s="51"/>
      <c r="P140" s="52"/>
      <c r="Q140" s="51"/>
      <c r="R140" s="422"/>
      <c r="S140" s="422"/>
      <c r="T140" s="41"/>
      <c r="U140" s="41"/>
      <c r="V140" s="41"/>
      <c r="W140" s="41"/>
      <c r="X140" s="419"/>
      <c r="Y140" s="223"/>
      <c r="Z140" s="41"/>
      <c r="AA140" s="53"/>
      <c r="AB140" s="53"/>
      <c r="AC140" s="41"/>
      <c r="AD140" s="41">
        <f>+AM140+BA140</f>
        <v>0</v>
      </c>
      <c r="AE140" s="241" t="s">
        <v>448</v>
      </c>
      <c r="AF140" s="41"/>
      <c r="AG140" s="41">
        <v>0</v>
      </c>
      <c r="AH140" s="41"/>
      <c r="AI140" s="461"/>
      <c r="AJ140" s="41"/>
      <c r="AK140" s="41"/>
      <c r="AL140" s="41"/>
      <c r="AM140" s="41">
        <f>SUM(AF140:AL140)+AT140+AV140+AX140</f>
        <v>0</v>
      </c>
      <c r="AN140" s="92"/>
      <c r="AO140" s="41"/>
      <c r="AP140" s="41"/>
      <c r="AQ140" s="41"/>
      <c r="AR140" s="41">
        <f>SUM(AN140:AQ140)</f>
        <v>0</v>
      </c>
      <c r="AS140" s="41"/>
      <c r="AT140" s="41"/>
      <c r="AU140" s="41"/>
      <c r="AV140" s="41"/>
      <c r="AW140" s="41"/>
      <c r="AX140" s="41"/>
      <c r="AY140" s="41"/>
      <c r="AZ140" s="41"/>
      <c r="BA140" s="41">
        <f>+AR140+AS140+AU140+AW140+AY140+AZ140</f>
        <v>0</v>
      </c>
      <c r="BB140" s="54"/>
      <c r="BC140" s="55">
        <v>0</v>
      </c>
      <c r="BD140" s="55"/>
      <c r="BE140" s="54"/>
      <c r="BF140" s="55"/>
    </row>
    <row r="141" spans="1:58" ht="12.95" customHeight="1">
      <c r="A141" s="44"/>
      <c r="B141" s="45"/>
      <c r="C141" s="452"/>
      <c r="D141" s="45"/>
      <c r="E141" s="46"/>
      <c r="F141" s="46"/>
      <c r="G141" s="465"/>
      <c r="H141" s="48"/>
      <c r="I141" s="49"/>
      <c r="J141" s="91"/>
      <c r="K141" s="91"/>
      <c r="L141" s="39"/>
      <c r="M141" s="39"/>
      <c r="N141" s="50"/>
      <c r="O141" s="51"/>
      <c r="P141" s="52"/>
      <c r="Q141" s="51"/>
      <c r="R141" s="422"/>
      <c r="S141" s="422"/>
      <c r="T141" s="41"/>
      <c r="U141" s="41"/>
      <c r="V141" s="41"/>
      <c r="W141" s="41"/>
      <c r="X141" s="42"/>
      <c r="Y141" s="223"/>
      <c r="Z141" s="41"/>
      <c r="AA141" s="41"/>
      <c r="AB141" s="41"/>
      <c r="AC141" s="41"/>
      <c r="AD141" s="41">
        <f>+AM141+BA141</f>
        <v>18</v>
      </c>
      <c r="AE141" s="241" t="s">
        <v>457</v>
      </c>
      <c r="AF141" s="37"/>
      <c r="AG141" s="37"/>
      <c r="AH141" s="37">
        <v>18</v>
      </c>
      <c r="AJ141" s="41"/>
      <c r="AK141" s="41"/>
      <c r="AL141" s="41"/>
      <c r="AM141" s="41">
        <f>SUM(AF141:AL141)+AT141+AV141+AX141</f>
        <v>18</v>
      </c>
      <c r="AN141" s="41"/>
      <c r="AO141" s="41"/>
      <c r="AP141" s="41"/>
      <c r="AQ141" s="41"/>
      <c r="AR141" s="41">
        <f>SUM(AN141:AQ141)</f>
        <v>0</v>
      </c>
      <c r="AS141" s="41"/>
      <c r="AT141" s="41"/>
      <c r="AU141" s="41"/>
      <c r="AV141" s="41"/>
      <c r="AW141" s="41"/>
      <c r="AX141" s="41"/>
      <c r="AY141" s="41"/>
      <c r="AZ141" s="41"/>
      <c r="BA141" s="41">
        <f>+AR141+AS141+AU141+AW141+AY141+AZ141</f>
        <v>0</v>
      </c>
      <c r="BB141" s="37"/>
      <c r="BC141" s="57"/>
      <c r="BD141" s="57"/>
      <c r="BE141" s="37"/>
      <c r="BF141" s="57"/>
    </row>
    <row r="142" spans="1:58" ht="12.95" customHeight="1">
      <c r="A142" s="346"/>
      <c r="B142" s="45"/>
      <c r="C142" s="452"/>
      <c r="D142" s="45"/>
      <c r="E142" s="46"/>
      <c r="F142" s="46"/>
      <c r="G142" s="465"/>
      <c r="H142" s="48"/>
      <c r="I142" s="49"/>
      <c r="J142" s="91"/>
      <c r="K142" s="91"/>
      <c r="L142" s="39"/>
      <c r="M142" s="39"/>
      <c r="N142" s="50"/>
      <c r="O142" s="51"/>
      <c r="P142" s="52"/>
      <c r="Q142" s="51"/>
      <c r="R142" s="422"/>
      <c r="S142" s="422"/>
      <c r="T142" s="41"/>
      <c r="U142" s="41"/>
      <c r="V142" s="41"/>
      <c r="W142" s="41"/>
      <c r="X142" s="419"/>
      <c r="Y142" s="223"/>
      <c r="Z142" s="41"/>
      <c r="AA142" s="53"/>
      <c r="AB142" s="53"/>
      <c r="AC142" s="41"/>
      <c r="AD142" s="41"/>
      <c r="AE142" s="241"/>
      <c r="AF142" s="41"/>
      <c r="AG142" s="41"/>
      <c r="AH142" s="41"/>
      <c r="AI142" s="461"/>
      <c r="AJ142" s="41"/>
      <c r="AK142" s="41"/>
      <c r="AL142" s="41"/>
      <c r="AM142" s="41"/>
      <c r="AN142" s="92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54"/>
      <c r="BC142" s="55"/>
      <c r="BD142" s="55"/>
      <c r="BE142" s="55"/>
      <c r="BF142" s="55"/>
    </row>
    <row r="143" spans="1:58" ht="12.95" customHeight="1">
      <c r="A143" s="346">
        <v>46387</v>
      </c>
      <c r="B143" s="45" t="s">
        <v>234</v>
      </c>
      <c r="C143" s="452">
        <f>(M143*E143*O143*Q143)/100000000</f>
        <v>36.798018576000004</v>
      </c>
      <c r="D143" s="45" t="s">
        <v>410</v>
      </c>
      <c r="E143" s="46">
        <v>17</v>
      </c>
      <c r="F143" s="46">
        <v>1</v>
      </c>
      <c r="G143" s="465">
        <v>1210</v>
      </c>
      <c r="H143" s="48">
        <v>0</v>
      </c>
      <c r="I143" s="49">
        <v>0.88</v>
      </c>
      <c r="J143" s="91">
        <f>E143*G143*(1-H143)*1440/1000000*2.77</f>
        <v>82.049616</v>
      </c>
      <c r="K143" s="91">
        <f>(IF(G143&lt;L143,L143,G143)*(1-IF(H143&lt;N143,H143,N143))*E143*O143*Q143)/100000000</f>
        <v>36.927264000000001</v>
      </c>
      <c r="L143" s="39">
        <v>1210</v>
      </c>
      <c r="M143" s="39">
        <v>1205.7650000000001</v>
      </c>
      <c r="N143" s="50">
        <f>1-(M143/L143)</f>
        <v>3.4999999999999476E-3</v>
      </c>
      <c r="O143" s="51">
        <f>+'Trim Rwd'!H129</f>
        <v>272</v>
      </c>
      <c r="P143" s="52">
        <f>O143*(Q143-R143-S143)</f>
        <v>171632</v>
      </c>
      <c r="Q143" s="51">
        <v>660</v>
      </c>
      <c r="R143" s="422">
        <v>0</v>
      </c>
      <c r="S143" s="422">
        <v>29</v>
      </c>
      <c r="T143" s="41">
        <f>E143*M143*O143*Q143/100000000</f>
        <v>36.798018576000004</v>
      </c>
      <c r="U143" s="41">
        <f>E143*M143*O143*(Q143-R143-S143)/100000000</f>
        <v>35.181135941600004</v>
      </c>
      <c r="V143" s="41">
        <f>E143*G143*(1-N143)*O143/100*(R143+S143)/1000000</f>
        <v>1.6168826344</v>
      </c>
      <c r="W143" s="41">
        <f>+'31'!K13/1000</f>
        <v>47.540999999999997</v>
      </c>
      <c r="X143" s="419">
        <f>SUM(W143:W146)/SUM(K143:K146)</f>
        <v>0.97402681164769844</v>
      </c>
      <c r="Y143" s="223">
        <f>+SUM(RBP!$AG$3:$AG$4)</f>
        <v>5.3970000000000002</v>
      </c>
      <c r="Z143" s="41">
        <v>0</v>
      </c>
      <c r="AA143" s="53">
        <f>SUM(U143:U146)-SUM(W143:W146)-SUM(Z143:Z146)-SUM(Y143:Y146)</f>
        <v>-10.217403258399992</v>
      </c>
      <c r="AB143" s="53">
        <f>(SUM(K143:K146)-SUM(W143:W146)-SUM(Y143:Y146)-SUM(Z143:Z146)-SUM(AC143:AC146)-SUM(V143:V146))-AA143</f>
        <v>-0.110905279999999</v>
      </c>
      <c r="AC143" s="41">
        <f>K143-T143</f>
        <v>0.12924542399999694</v>
      </c>
      <c r="AD143" s="41">
        <f>+AM143+BA143</f>
        <v>0</v>
      </c>
      <c r="AE143" s="241" t="s">
        <v>492</v>
      </c>
      <c r="AF143" s="41">
        <v>0</v>
      </c>
      <c r="AG143" s="41"/>
      <c r="AH143" s="41"/>
      <c r="AI143" s="461"/>
      <c r="AJ143" s="41"/>
      <c r="AK143" s="41"/>
      <c r="AL143" s="41"/>
      <c r="AM143" s="41">
        <f>SUM(AF143:AL143)+AT143+AV143+AX143</f>
        <v>0</v>
      </c>
      <c r="AN143" s="41"/>
      <c r="AO143" s="41"/>
      <c r="AP143" s="41"/>
      <c r="AQ143" s="41"/>
      <c r="AR143" s="41">
        <f>SUM(AN143:AQ143)</f>
        <v>0</v>
      </c>
      <c r="AS143" s="41"/>
      <c r="AT143" s="41"/>
      <c r="AU143" s="41"/>
      <c r="AV143" s="41"/>
      <c r="AW143" s="41"/>
      <c r="AX143" s="41"/>
      <c r="AY143" s="41"/>
      <c r="AZ143" s="41"/>
      <c r="BA143" s="41">
        <f>+AR143+AS143+AU143+AW143+AY143+AZ143</f>
        <v>0</v>
      </c>
      <c r="BB143" s="37">
        <v>0</v>
      </c>
      <c r="BC143" s="55"/>
      <c r="BD143" s="55"/>
      <c r="BE143" s="37"/>
      <c r="BF143" s="55"/>
    </row>
    <row r="144" spans="1:58" ht="12.95" customHeight="1">
      <c r="A144" s="346"/>
      <c r="B144" s="45" t="s">
        <v>7</v>
      </c>
      <c r="C144" s="452">
        <f>(M144*E144*O144*Q144)/100000000</f>
        <v>32.651423999999999</v>
      </c>
      <c r="D144" s="45" t="s">
        <v>410</v>
      </c>
      <c r="E144" s="46">
        <v>13</v>
      </c>
      <c r="F144" s="46">
        <v>1</v>
      </c>
      <c r="G144" s="465">
        <v>1700</v>
      </c>
      <c r="H144" s="48">
        <v>0.24</v>
      </c>
      <c r="I144" s="49">
        <v>0.88</v>
      </c>
      <c r="J144" s="91">
        <f>E144*G144*(1-H144)*1440/1000000*2.77</f>
        <v>66.995884799999999</v>
      </c>
      <c r="K144" s="91">
        <f>(IF(G144&lt;L144,L144,G144)*(1-IF(H144&lt;N144,H144,N144))*E144*O144*Q144)/100000000</f>
        <v>35.634393600000003</v>
      </c>
      <c r="L144" s="39">
        <v>1557.6923076923076</v>
      </c>
      <c r="M144" s="39">
        <v>1183.8461538461538</v>
      </c>
      <c r="N144" s="50">
        <f>1-(M144/L144)</f>
        <v>0.24</v>
      </c>
      <c r="O144" s="51">
        <f>+'Trim Rwd'!H130</f>
        <v>272</v>
      </c>
      <c r="P144" s="52">
        <f>O144*(Q144-R144-S144)</f>
        <v>204272</v>
      </c>
      <c r="Q144" s="51">
        <v>780</v>
      </c>
      <c r="R144" s="422">
        <v>0</v>
      </c>
      <c r="S144" s="422">
        <v>29</v>
      </c>
      <c r="T144" s="41">
        <f>E144*M144*O144*Q144/100000000</f>
        <v>32.651423999999999</v>
      </c>
      <c r="U144" s="41">
        <f>E144*M144*O144*(Q144-R144-S144)/100000000</f>
        <v>31.4374608</v>
      </c>
      <c r="V144" s="41">
        <f>E144*G144*(1-N144)*O144/100*(R144+S144)/1000000</f>
        <v>1.3248684799999999</v>
      </c>
      <c r="W144" s="41">
        <f>+'31'!K7/1000</f>
        <v>23.135999999999999</v>
      </c>
      <c r="X144" s="419"/>
      <c r="Y144" s="223"/>
      <c r="Z144" s="41">
        <f>+'31'!D34/1000</f>
        <v>0.76200000000000001</v>
      </c>
      <c r="AA144" s="53"/>
      <c r="AB144" s="53"/>
      <c r="AC144" s="41">
        <f>K144-T144</f>
        <v>2.9829696000000041</v>
      </c>
      <c r="AD144" s="41">
        <f>+AM144+BA144</f>
        <v>7</v>
      </c>
      <c r="AE144" s="241" t="s">
        <v>581</v>
      </c>
      <c r="AF144" s="41"/>
      <c r="AG144" s="41">
        <v>7</v>
      </c>
      <c r="AH144" s="41"/>
      <c r="AI144" s="461"/>
      <c r="AJ144" s="41"/>
      <c r="AK144" s="41"/>
      <c r="AL144" s="41"/>
      <c r="AM144" s="41">
        <f>SUM(AF144:AL144)+AT144+AV144+AX144</f>
        <v>7</v>
      </c>
      <c r="AN144" s="92"/>
      <c r="AO144" s="41"/>
      <c r="AP144" s="41"/>
      <c r="AQ144" s="41"/>
      <c r="AR144" s="41">
        <f>SUM(AN144:AQ144)</f>
        <v>0</v>
      </c>
      <c r="AS144" s="41"/>
      <c r="AT144" s="41"/>
      <c r="AU144" s="41"/>
      <c r="AV144" s="41"/>
      <c r="AW144" s="41"/>
      <c r="AX144" s="41"/>
      <c r="AY144" s="41"/>
      <c r="AZ144" s="41"/>
      <c r="BA144" s="41">
        <f>+AR144+AS144+AU144+AW144+AY144+AZ144</f>
        <v>0</v>
      </c>
      <c r="BB144" s="54"/>
      <c r="BC144" s="55">
        <v>5</v>
      </c>
      <c r="BD144" s="55"/>
      <c r="BE144" s="54"/>
      <c r="BF144" s="55"/>
    </row>
    <row r="145" spans="1:58" ht="12.95" customHeight="1">
      <c r="A145" s="44"/>
      <c r="B145" s="45"/>
      <c r="C145" s="452"/>
      <c r="D145" s="45"/>
      <c r="E145" s="46"/>
      <c r="F145" s="46"/>
      <c r="G145" s="465"/>
      <c r="H145" s="48"/>
      <c r="I145" s="49"/>
      <c r="J145" s="91"/>
      <c r="K145" s="91"/>
      <c r="L145" s="39"/>
      <c r="M145" s="39"/>
      <c r="N145" s="50"/>
      <c r="O145" s="51"/>
      <c r="P145" s="52"/>
      <c r="Q145" s="51"/>
      <c r="R145" s="422"/>
      <c r="S145" s="422"/>
      <c r="T145" s="41"/>
      <c r="U145" s="41"/>
      <c r="V145" s="41"/>
      <c r="W145" s="41"/>
      <c r="X145" s="42"/>
      <c r="Y145" s="223"/>
      <c r="Z145" s="41"/>
      <c r="AA145" s="41"/>
      <c r="AB145" s="41"/>
      <c r="AC145" s="41"/>
      <c r="AD145" s="41">
        <f>+AM145+BA145</f>
        <v>30</v>
      </c>
      <c r="AE145" s="241" t="s">
        <v>457</v>
      </c>
      <c r="AF145" s="37"/>
      <c r="AG145" s="37"/>
      <c r="AH145" s="37">
        <v>30</v>
      </c>
      <c r="AJ145" s="41"/>
      <c r="AK145" s="41"/>
      <c r="AL145" s="41"/>
      <c r="AM145" s="41">
        <f>SUM(AF145:AL145)+AT145+AV145+AX145</f>
        <v>30</v>
      </c>
      <c r="AN145" s="41"/>
      <c r="AO145" s="41"/>
      <c r="AP145" s="41"/>
      <c r="AQ145" s="41"/>
      <c r="AR145" s="41">
        <f>SUM(AN145:AQ145)</f>
        <v>0</v>
      </c>
      <c r="AS145" s="41"/>
      <c r="AT145" s="41"/>
      <c r="AU145" s="41"/>
      <c r="AV145" s="41"/>
      <c r="AW145" s="41"/>
      <c r="AX145" s="41"/>
      <c r="AY145" s="41"/>
      <c r="AZ145" s="41"/>
      <c r="BA145" s="41">
        <f>+AR145+AS145+AU145+AW145+AY145+AZ145</f>
        <v>0</v>
      </c>
      <c r="BB145" s="37"/>
      <c r="BC145" s="57"/>
      <c r="BD145" s="57"/>
      <c r="BE145" s="37"/>
      <c r="BF145" s="57"/>
    </row>
    <row r="146" spans="1:58" ht="12.95" customHeight="1">
      <c r="A146" s="346"/>
      <c r="B146" s="45"/>
      <c r="C146" s="452"/>
      <c r="D146" s="45"/>
      <c r="E146" s="46"/>
      <c r="F146" s="46"/>
      <c r="G146" s="465"/>
      <c r="H146" s="48"/>
      <c r="I146" s="49"/>
      <c r="J146" s="91"/>
      <c r="K146" s="91"/>
      <c r="L146" s="39"/>
      <c r="M146" s="39"/>
      <c r="N146" s="50"/>
      <c r="O146" s="51"/>
      <c r="P146" s="52"/>
      <c r="Q146" s="51"/>
      <c r="R146" s="422"/>
      <c r="S146" s="422"/>
      <c r="T146" s="41"/>
      <c r="U146" s="41"/>
      <c r="V146" s="41"/>
      <c r="W146" s="41"/>
      <c r="X146" s="419"/>
      <c r="Y146" s="223"/>
      <c r="Z146" s="41"/>
      <c r="AA146" s="53"/>
      <c r="AB146" s="53"/>
      <c r="AC146" s="41"/>
      <c r="AD146" s="41">
        <f>+AM146+BA146</f>
        <v>21</v>
      </c>
      <c r="AE146" s="241" t="s">
        <v>420</v>
      </c>
      <c r="AF146" s="41"/>
      <c r="AG146" s="41"/>
      <c r="AH146" s="41"/>
      <c r="AI146" s="461">
        <v>21</v>
      </c>
      <c r="AJ146" s="41"/>
      <c r="AK146" s="41"/>
      <c r="AL146" s="41"/>
      <c r="AM146" s="41">
        <f>SUM(AF146:AL146)+AT146+AV146+AX146</f>
        <v>21</v>
      </c>
      <c r="AN146" s="41"/>
      <c r="AO146" s="41"/>
      <c r="AP146" s="41"/>
      <c r="AQ146" s="41"/>
      <c r="AR146" s="41">
        <f>SUM(AN146:AQ146)</f>
        <v>0</v>
      </c>
      <c r="AS146" s="41"/>
      <c r="AT146" s="41"/>
      <c r="AU146" s="41"/>
      <c r="AV146" s="41"/>
      <c r="AW146" s="41"/>
      <c r="AX146" s="41"/>
      <c r="AY146" s="41"/>
      <c r="AZ146" s="41"/>
      <c r="BA146" s="41">
        <f>+AR146+AS146+AU146+AW146+AY146+AZ146</f>
        <v>0</v>
      </c>
      <c r="BB146" s="37"/>
      <c r="BC146" s="57"/>
      <c r="BD146" s="57"/>
      <c r="BE146" s="37"/>
      <c r="BF146" s="57"/>
    </row>
    <row r="147" spans="1:58" ht="12.95" customHeight="1">
      <c r="A147" s="44"/>
      <c r="B147" s="3"/>
      <c r="C147" s="452"/>
      <c r="D147" s="45"/>
      <c r="E147" s="258"/>
      <c r="F147" s="46"/>
      <c r="G147" s="47"/>
      <c r="H147" s="48"/>
      <c r="I147" s="49"/>
      <c r="J147" s="91"/>
      <c r="K147" s="91"/>
      <c r="L147" s="39"/>
      <c r="M147" s="39"/>
      <c r="N147" s="50"/>
      <c r="O147" s="51"/>
      <c r="P147" s="52"/>
      <c r="Q147" s="351"/>
      <c r="R147" s="54"/>
      <c r="S147" s="54"/>
      <c r="T147" s="41"/>
      <c r="U147" s="41"/>
      <c r="V147" s="41"/>
      <c r="W147" s="37"/>
      <c r="X147" s="42"/>
      <c r="Y147" s="42"/>
      <c r="Z147" s="621"/>
      <c r="AA147" s="53"/>
      <c r="AB147" s="53"/>
      <c r="AC147" s="41"/>
      <c r="AD147" s="41"/>
      <c r="AE147" s="22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37"/>
      <c r="BC147" s="55"/>
      <c r="BD147" s="55"/>
      <c r="BE147" s="55"/>
      <c r="BF147" s="55"/>
    </row>
    <row r="148" spans="1:58" ht="12.95" customHeight="1">
      <c r="A148" s="346"/>
      <c r="B148" s="3"/>
      <c r="C148" s="452"/>
      <c r="D148" s="45"/>
      <c r="E148" s="46"/>
      <c r="F148" s="46"/>
      <c r="G148" s="47"/>
      <c r="H148" s="48"/>
      <c r="I148" s="49"/>
      <c r="J148" s="91"/>
      <c r="K148" s="91"/>
      <c r="L148" s="39"/>
      <c r="M148" s="39"/>
      <c r="N148" s="50"/>
      <c r="O148" s="51"/>
      <c r="P148" s="52"/>
      <c r="Q148" s="51"/>
      <c r="R148" s="422"/>
      <c r="S148" s="422"/>
      <c r="T148" s="41"/>
      <c r="U148" s="41"/>
      <c r="V148" s="41"/>
      <c r="W148" s="41"/>
      <c r="X148" s="42"/>
      <c r="Y148" s="223"/>
      <c r="Z148" s="41"/>
      <c r="AA148" s="41"/>
      <c r="AB148" s="41"/>
      <c r="AC148" s="41"/>
      <c r="AD148" s="41"/>
      <c r="AE148" s="566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37"/>
      <c r="BC148" s="55"/>
      <c r="BD148" s="55"/>
      <c r="BE148" s="55"/>
      <c r="BF148" s="55"/>
    </row>
    <row r="149" spans="1:58" ht="12.95" customHeight="1">
      <c r="A149" s="346"/>
      <c r="B149" s="3"/>
      <c r="C149" s="452"/>
      <c r="D149" s="45"/>
      <c r="E149" s="46"/>
      <c r="F149" s="46"/>
      <c r="G149" s="47"/>
      <c r="H149" s="48"/>
      <c r="I149" s="49"/>
      <c r="J149" s="91"/>
      <c r="K149" s="91"/>
      <c r="L149" s="39"/>
      <c r="M149" s="39"/>
      <c r="N149" s="50"/>
      <c r="O149" s="51"/>
      <c r="P149" s="52"/>
      <c r="Q149" s="51"/>
      <c r="R149" s="422"/>
      <c r="S149" s="422"/>
      <c r="T149" s="41"/>
      <c r="U149" s="41"/>
      <c r="V149" s="41"/>
      <c r="W149" s="41"/>
      <c r="X149" s="42"/>
      <c r="Y149" s="223"/>
      <c r="Z149" s="41"/>
      <c r="AA149" s="41"/>
      <c r="AB149" s="41"/>
      <c r="AC149" s="41"/>
      <c r="AD149" s="41"/>
      <c r="AE149" s="566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37"/>
      <c r="BC149" s="55"/>
      <c r="BD149" s="55"/>
      <c r="BE149" s="55"/>
      <c r="BF149" s="55"/>
    </row>
    <row r="150" spans="1:58" ht="12.95" customHeight="1">
      <c r="A150" s="346"/>
      <c r="B150" s="3"/>
      <c r="C150" s="452"/>
      <c r="D150" s="45"/>
      <c r="E150" s="46"/>
      <c r="F150" s="46"/>
      <c r="G150" s="47"/>
      <c r="H150" s="48"/>
      <c r="I150" s="49"/>
      <c r="J150" s="91"/>
      <c r="K150" s="91"/>
      <c r="L150" s="39"/>
      <c r="M150" s="39"/>
      <c r="N150" s="50"/>
      <c r="O150" s="51"/>
      <c r="P150" s="52"/>
      <c r="Q150" s="51"/>
      <c r="R150" s="422"/>
      <c r="S150" s="422"/>
      <c r="T150" s="41"/>
      <c r="U150" s="41"/>
      <c r="V150" s="41"/>
      <c r="W150" s="41"/>
      <c r="X150" s="42"/>
      <c r="Y150" s="223"/>
      <c r="Z150" s="41"/>
      <c r="AA150" s="41"/>
      <c r="AB150" s="41"/>
      <c r="AC150" s="41"/>
      <c r="AD150" s="41"/>
      <c r="AE150" s="566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37"/>
      <c r="BC150" s="55"/>
      <c r="BD150" s="55"/>
      <c r="BE150" s="55"/>
      <c r="BF150" s="55"/>
    </row>
    <row r="151" spans="1:58" ht="12.95" customHeight="1">
      <c r="A151" s="346"/>
      <c r="B151" s="3"/>
      <c r="C151" s="452"/>
      <c r="D151" s="45"/>
      <c r="E151" s="46"/>
      <c r="F151" s="46"/>
      <c r="G151" s="47"/>
      <c r="H151" s="48"/>
      <c r="I151" s="49"/>
      <c r="J151" s="91"/>
      <c r="K151" s="91"/>
      <c r="L151" s="39"/>
      <c r="M151" s="39"/>
      <c r="N151" s="50"/>
      <c r="O151" s="51"/>
      <c r="P151" s="52"/>
      <c r="Q151" s="51"/>
      <c r="R151" s="422"/>
      <c r="S151" s="422"/>
      <c r="T151" s="41"/>
      <c r="U151" s="41"/>
      <c r="V151" s="41"/>
      <c r="W151" s="41"/>
      <c r="X151" s="42"/>
      <c r="Y151" s="223"/>
      <c r="Z151" s="41"/>
      <c r="AA151" s="41"/>
      <c r="AB151" s="41"/>
      <c r="AC151" s="41"/>
      <c r="AD151" s="41"/>
      <c r="AE151" s="566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37"/>
      <c r="BC151" s="55"/>
      <c r="BD151" s="55"/>
      <c r="BE151" s="55"/>
      <c r="BF151" s="55"/>
    </row>
    <row r="152" spans="1:58" ht="12.75">
      <c r="B152" s="3"/>
      <c r="R152" s="423"/>
      <c r="S152" s="423"/>
      <c r="AA152" s="259">
        <f>U152-W152-Z152</f>
        <v>0</v>
      </c>
      <c r="AB152" s="259"/>
      <c r="AC152" s="260">
        <f>K152-T152</f>
        <v>0</v>
      </c>
      <c r="AD152" s="41"/>
      <c r="AF152" s="56"/>
      <c r="AG152" s="56"/>
      <c r="AH152" s="56"/>
      <c r="AI152" s="56"/>
      <c r="AJ152" s="56"/>
      <c r="AK152" s="56"/>
      <c r="AL152" s="56"/>
      <c r="AM152" s="41">
        <f>SUM(AF152:AL152)</f>
        <v>0</v>
      </c>
      <c r="AN152" s="56"/>
      <c r="AO152" s="56"/>
      <c r="AP152" s="56"/>
      <c r="AQ152" s="56"/>
      <c r="AR152" s="41">
        <f>SUM(AN152:AQ152)</f>
        <v>0</v>
      </c>
      <c r="AS152" s="56"/>
      <c r="AT152" s="56"/>
      <c r="AU152" s="56"/>
      <c r="AV152" s="56"/>
      <c r="AW152" s="56"/>
      <c r="AX152" s="56"/>
      <c r="AY152" s="56"/>
      <c r="AZ152" s="56"/>
      <c r="BA152" s="41"/>
      <c r="BB152" s="72"/>
      <c r="BC152" s="72"/>
      <c r="BD152" s="55"/>
      <c r="BE152" s="55"/>
      <c r="BF152" s="55"/>
    </row>
    <row r="153" spans="1:58" s="29" customFormat="1" ht="12.95" customHeight="1">
      <c r="A153" s="65"/>
      <c r="B153" s="3"/>
      <c r="C153" s="453">
        <f>SUM(C6:C151)</f>
        <v>2142.6394281278413</v>
      </c>
      <c r="D153" s="66"/>
      <c r="E153" s="67"/>
      <c r="F153" s="67"/>
      <c r="G153" s="68"/>
      <c r="H153" s="68"/>
      <c r="I153" s="69">
        <v>0.85</v>
      </c>
      <c r="J153" s="91"/>
      <c r="K153" s="93">
        <f>SUM(K6:K151)</f>
        <v>2201.6495749464943</v>
      </c>
      <c r="L153" s="71"/>
      <c r="M153" s="71"/>
      <c r="N153" s="72"/>
      <c r="O153" s="73">
        <f>P153/(Q153-R153-S153)</f>
        <v>267.7959782751916</v>
      </c>
      <c r="P153" s="70">
        <f>SUM(P6:P151)</f>
        <v>11261892.070384908</v>
      </c>
      <c r="Q153" s="353">
        <f>SUM(Q6:Q152)</f>
        <v>44580</v>
      </c>
      <c r="R153" s="70">
        <f t="shared" ref="R153:W153" si="0">SUM(R6:R151)</f>
        <v>989</v>
      </c>
      <c r="S153" s="70">
        <f t="shared" si="0"/>
        <v>1537</v>
      </c>
      <c r="T153" s="70">
        <f t="shared" si="0"/>
        <v>2142.6394281278413</v>
      </c>
      <c r="U153" s="70">
        <f t="shared" si="0"/>
        <v>2016.4569576519027</v>
      </c>
      <c r="V153" s="378">
        <f t="shared" si="0"/>
        <v>131.41836941078404</v>
      </c>
      <c r="W153" s="464">
        <f t="shared" si="0"/>
        <v>1959.0760000000002</v>
      </c>
      <c r="X153" s="382">
        <f>W153/K153</f>
        <v>0.88982189640583964</v>
      </c>
      <c r="Y153" s="379">
        <f>SUM(Y6:Y151)</f>
        <v>5.3970000000000002</v>
      </c>
      <c r="Z153" s="464">
        <f>SUM(Z6:Z151)</f>
        <v>46.992999999999995</v>
      </c>
      <c r="AA153" s="70">
        <f>SUM(AA6:AA151)</f>
        <v>4.9909576519029937</v>
      </c>
      <c r="AB153" s="70">
        <f>SUM(AB6:AB151)</f>
        <v>-5.0476450643003155</v>
      </c>
      <c r="AC153" s="70">
        <f>SUM(AC6:AC151)</f>
        <v>58.821892948107738</v>
      </c>
      <c r="AD153" s="41">
        <f>SUM(AD6:AD152)</f>
        <v>2526</v>
      </c>
      <c r="AE153" s="74"/>
      <c r="AF153" s="70">
        <f t="shared" ref="AF153:BF153" si="1">SUM(AF6:AF152)</f>
        <v>497</v>
      </c>
      <c r="AG153" s="70">
        <f t="shared" si="1"/>
        <v>97</v>
      </c>
      <c r="AH153" s="70">
        <f t="shared" si="1"/>
        <v>672</v>
      </c>
      <c r="AI153" s="70">
        <f t="shared" si="1"/>
        <v>132</v>
      </c>
      <c r="AJ153" s="70">
        <f t="shared" si="1"/>
        <v>49</v>
      </c>
      <c r="AK153" s="70">
        <f t="shared" si="1"/>
        <v>90</v>
      </c>
      <c r="AL153" s="70">
        <f t="shared" si="1"/>
        <v>0</v>
      </c>
      <c r="AM153" s="70">
        <f t="shared" si="1"/>
        <v>1537</v>
      </c>
      <c r="AN153" s="56">
        <f t="shared" si="1"/>
        <v>0</v>
      </c>
      <c r="AO153" s="56">
        <f t="shared" si="1"/>
        <v>0</v>
      </c>
      <c r="AP153" s="56">
        <f t="shared" si="1"/>
        <v>121</v>
      </c>
      <c r="AQ153" s="56">
        <f t="shared" si="1"/>
        <v>0</v>
      </c>
      <c r="AR153" s="70">
        <f t="shared" si="1"/>
        <v>121</v>
      </c>
      <c r="AS153" s="70">
        <f t="shared" si="1"/>
        <v>805</v>
      </c>
      <c r="AT153" s="70">
        <f t="shared" si="1"/>
        <v>0</v>
      </c>
      <c r="AU153" s="70">
        <f t="shared" si="1"/>
        <v>0</v>
      </c>
      <c r="AV153" s="70">
        <f t="shared" si="1"/>
        <v>0</v>
      </c>
      <c r="AW153" s="70">
        <f t="shared" si="1"/>
        <v>0</v>
      </c>
      <c r="AX153" s="70">
        <f t="shared" si="1"/>
        <v>0</v>
      </c>
      <c r="AY153" s="70">
        <f t="shared" si="1"/>
        <v>63</v>
      </c>
      <c r="AZ153" s="70">
        <f t="shared" si="1"/>
        <v>0</v>
      </c>
      <c r="BA153" s="70">
        <f t="shared" si="1"/>
        <v>989</v>
      </c>
      <c r="BB153" s="56">
        <f t="shared" si="1"/>
        <v>91</v>
      </c>
      <c r="BC153" s="56">
        <f t="shared" si="1"/>
        <v>77</v>
      </c>
      <c r="BD153" s="56">
        <f t="shared" si="1"/>
        <v>0</v>
      </c>
      <c r="BE153" s="56">
        <f t="shared" si="1"/>
        <v>1</v>
      </c>
      <c r="BF153" s="56">
        <f t="shared" si="1"/>
        <v>0</v>
      </c>
    </row>
    <row r="154" spans="1:58" s="29" customFormat="1" ht="12.95" customHeight="1">
      <c r="A154" s="65"/>
      <c r="B154" s="3"/>
      <c r="C154" s="66"/>
      <c r="D154" s="66"/>
      <c r="E154" s="67"/>
      <c r="F154" s="67"/>
      <c r="G154" s="68"/>
      <c r="H154" s="68"/>
      <c r="I154" s="68"/>
      <c r="J154" s="94"/>
      <c r="K154" s="94"/>
      <c r="L154" s="71"/>
      <c r="M154" s="71"/>
      <c r="N154" s="72"/>
      <c r="O154" s="895"/>
      <c r="P154" s="896"/>
      <c r="Q154" s="68">
        <f>31*1440-Q153</f>
        <v>60</v>
      </c>
      <c r="R154" s="75">
        <f>R153/Q153</f>
        <v>2.2184836249439212E-2</v>
      </c>
      <c r="S154" s="75">
        <f>S153/Q153</f>
        <v>3.4477344100493496E-2</v>
      </c>
      <c r="T154" s="364"/>
      <c r="U154" s="364"/>
      <c r="V154" s="366">
        <f>V153/K153</f>
        <v>5.9690865842706976E-2</v>
      </c>
      <c r="W154" s="383" t="s">
        <v>175</v>
      </c>
      <c r="X154" s="384">
        <v>0.85</v>
      </c>
      <c r="Y154" s="380">
        <f>Y153/K153</f>
        <v>2.451343783958517E-3</v>
      </c>
      <c r="Z154" s="76">
        <f>Z153/K153</f>
        <v>2.1344450331584691E-2</v>
      </c>
      <c r="AA154" s="76">
        <f>AA153/K153</f>
        <v>2.2669173644603666E-3</v>
      </c>
      <c r="AB154" s="76">
        <f>AB153/K153</f>
        <v>-2.2926650642952507E-3</v>
      </c>
      <c r="AC154" s="99">
        <f>AC153/K153</f>
        <v>2.6717191335745273E-2</v>
      </c>
      <c r="AD154" s="367"/>
      <c r="AE154" s="43"/>
      <c r="AF154" s="76">
        <f>AF153/$AD$153*$V$154</f>
        <v>1.1744402345140684E-2</v>
      </c>
      <c r="AG154" s="76">
        <f>AG153/$AD$153*$V$154</f>
        <v>2.2921670573010991E-3</v>
      </c>
      <c r="AH154" s="76">
        <f>AH153/$AD$153*$V$154</f>
        <v>1.5879755283570503E-2</v>
      </c>
      <c r="AI154" s="76">
        <f>AI153/$AD$153*$V$154</f>
        <v>3.1192376449870629E-3</v>
      </c>
      <c r="AJ154" s="76">
        <f t="shared" ref="AJ154:BA154" si="2">AJ153/$AD$153*$V$154</f>
        <v>1.1578988227603491E-3</v>
      </c>
      <c r="AK154" s="76">
        <f t="shared" si="2"/>
        <v>2.1267529397639064E-3</v>
      </c>
      <c r="AL154" s="76">
        <f t="shared" si="2"/>
        <v>0</v>
      </c>
      <c r="AM154" s="76">
        <f t="shared" si="2"/>
        <v>3.6320214093523602E-2</v>
      </c>
      <c r="AN154" s="76">
        <f t="shared" si="2"/>
        <v>0</v>
      </c>
      <c r="AO154" s="76">
        <f t="shared" si="2"/>
        <v>0</v>
      </c>
      <c r="AP154" s="76">
        <f t="shared" si="2"/>
        <v>2.8593011745714743E-3</v>
      </c>
      <c r="AQ154" s="76">
        <f t="shared" si="2"/>
        <v>0</v>
      </c>
      <c r="AR154" s="76">
        <f t="shared" si="2"/>
        <v>2.8593011745714743E-3</v>
      </c>
      <c r="AS154" s="76">
        <f t="shared" si="2"/>
        <v>1.9022623516777165E-2</v>
      </c>
      <c r="AT154" s="76">
        <f t="shared" si="2"/>
        <v>0</v>
      </c>
      <c r="AU154" s="76">
        <f t="shared" si="2"/>
        <v>0</v>
      </c>
      <c r="AV154" s="76">
        <f>AV153/$AD$153*$V$154</f>
        <v>0</v>
      </c>
      <c r="AW154" s="76">
        <f>AW153/$AD$153*$V$154</f>
        <v>0</v>
      </c>
      <c r="AX154" s="76">
        <f>AX153/$AD$153*$V$154</f>
        <v>0</v>
      </c>
      <c r="AY154" s="76">
        <f>AY153/$AD$153*$V$154</f>
        <v>1.4887270578347346E-3</v>
      </c>
      <c r="AZ154" s="76">
        <f>AZ153/$AD$153*$V$154</f>
        <v>0</v>
      </c>
      <c r="BA154" s="76">
        <f t="shared" si="2"/>
        <v>2.3370651749183374E-2</v>
      </c>
      <c r="BB154" s="38" t="s">
        <v>174</v>
      </c>
      <c r="BC154" s="38" t="s">
        <v>174</v>
      </c>
      <c r="BD154" s="38" t="s">
        <v>417</v>
      </c>
      <c r="BE154" s="38" t="s">
        <v>417</v>
      </c>
      <c r="BF154" s="38" t="s">
        <v>417</v>
      </c>
    </row>
    <row r="155" spans="1:58" ht="12.95" customHeight="1">
      <c r="A155" s="65"/>
      <c r="B155" s="3"/>
      <c r="C155" s="66"/>
      <c r="D155" s="66"/>
      <c r="E155" s="67"/>
      <c r="F155" s="67"/>
      <c r="G155" s="38"/>
      <c r="H155" s="38"/>
      <c r="I155" s="38"/>
      <c r="J155" s="91"/>
      <c r="K155" s="91"/>
      <c r="L155" s="39"/>
      <c r="M155" s="39"/>
      <c r="N155" s="37"/>
      <c r="O155" s="40"/>
      <c r="P155" s="32"/>
      <c r="Q155" s="38"/>
      <c r="R155" s="98">
        <f>R153-(BA153)</f>
        <v>0</v>
      </c>
      <c r="S155" s="98">
        <f>+S153-AM153</f>
        <v>0</v>
      </c>
      <c r="T155" s="37"/>
      <c r="U155" s="37"/>
      <c r="V155" s="37"/>
      <c r="W155" s="41">
        <f>+W153-'31'!$M$34/1000</f>
        <v>0</v>
      </c>
      <c r="X155" s="381"/>
      <c r="Y155" s="77">
        <f>+Y153-SUM(RBP!AG3:AG4)</f>
        <v>0</v>
      </c>
      <c r="Z155" s="41">
        <f>+Z153-'31'!J56/1000</f>
        <v>0</v>
      </c>
      <c r="AA155" s="37"/>
      <c r="AB155" s="37"/>
      <c r="AC155" s="37"/>
      <c r="AD155" s="37"/>
      <c r="AE155" s="43"/>
      <c r="AF155" s="354"/>
      <c r="AG155" s="354"/>
      <c r="AH155" s="354"/>
      <c r="AI155" s="354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563">
        <f>0.5%*1440*31</f>
        <v>223.20000000000002</v>
      </c>
      <c r="AY155" s="86"/>
      <c r="AZ155" s="86"/>
      <c r="BA155" s="86"/>
      <c r="BB155" s="96">
        <f>BB153/($Q$153/1440)/2</f>
        <v>1.4697173620457604</v>
      </c>
      <c r="BC155" s="96">
        <f>BC153/($Q$153/1440)/2</f>
        <v>1.243606998654105</v>
      </c>
      <c r="BD155" s="96">
        <f>BD153/($Q$153/1440)</f>
        <v>0</v>
      </c>
      <c r="BE155" s="96">
        <f>BE153/($Q$153/1440)</f>
        <v>3.2301480484522208E-2</v>
      </c>
      <c r="BF155" s="96">
        <f>BF153/($Q$153/1440)</f>
        <v>0</v>
      </c>
    </row>
    <row r="156" spans="1:58">
      <c r="A156" s="78"/>
      <c r="C156" s="79"/>
      <c r="D156" s="79"/>
      <c r="E156" s="80"/>
      <c r="F156" s="80"/>
      <c r="G156" s="81"/>
      <c r="H156" s="81"/>
      <c r="I156" s="81"/>
      <c r="J156" s="95"/>
      <c r="K156" s="95"/>
      <c r="O156" s="82"/>
      <c r="P156" s="83"/>
      <c r="Q156" s="81"/>
      <c r="R156" s="62"/>
      <c r="S156" s="62"/>
      <c r="U156" s="84"/>
      <c r="V156" s="84"/>
      <c r="W156" s="85" t="s">
        <v>121</v>
      </c>
      <c r="X156" s="97">
        <f>W153/U153</f>
        <v>0.97154367345449288</v>
      </c>
      <c r="Y156" s="97"/>
      <c r="Z156" s="62"/>
      <c r="AD156" s="92"/>
      <c r="AE156" s="87"/>
      <c r="AF156" s="88"/>
      <c r="AG156" s="88"/>
      <c r="AH156" s="88"/>
      <c r="AI156" s="88"/>
      <c r="AJ156" s="88"/>
      <c r="AK156" s="88"/>
      <c r="AL156" s="88"/>
      <c r="AM156" s="88"/>
      <c r="AN156" s="86"/>
      <c r="AO156" s="86"/>
      <c r="AP156" s="86"/>
      <c r="AQ156" s="86"/>
      <c r="AR156" s="86"/>
      <c r="AS156" s="88"/>
      <c r="AT156" s="88"/>
      <c r="AU156" s="88"/>
      <c r="AV156" s="88"/>
      <c r="AW156" s="88"/>
      <c r="AX156" s="88"/>
      <c r="AY156" s="88"/>
      <c r="AZ156" s="88"/>
      <c r="BA156" s="86"/>
      <c r="BB156" s="29"/>
      <c r="BC156" s="86"/>
      <c r="BD156" s="86"/>
      <c r="BE156" s="29"/>
      <c r="BF156" s="86"/>
    </row>
    <row r="157" spans="1:58">
      <c r="A157" s="78"/>
      <c r="C157" s="79"/>
      <c r="D157" s="79"/>
      <c r="E157" s="80"/>
      <c r="F157" s="80"/>
      <c r="G157" s="81"/>
      <c r="H157" s="81"/>
      <c r="I157" s="81"/>
      <c r="J157" s="95"/>
      <c r="K157" s="95"/>
      <c r="O157" s="82"/>
      <c r="P157" s="83"/>
      <c r="Q157" s="81"/>
      <c r="R157" s="62"/>
      <c r="S157" s="62"/>
      <c r="U157" s="84"/>
      <c r="V157" s="84"/>
      <c r="W157" s="85"/>
      <c r="X157" s="86"/>
      <c r="Y157" s="86"/>
      <c r="Z157" s="62"/>
      <c r="AA157" s="102"/>
      <c r="AB157" s="102"/>
      <c r="AD157" s="92"/>
      <c r="AE157" s="87"/>
      <c r="AF157" s="88"/>
      <c r="AG157" s="88"/>
      <c r="AH157" s="88"/>
      <c r="AI157" s="88"/>
      <c r="AJ157" s="88"/>
      <c r="AK157" s="88"/>
      <c r="AL157" s="88"/>
      <c r="AM157" s="88"/>
      <c r="AN157" s="88"/>
      <c r="AO157" s="86"/>
      <c r="AP157" s="86"/>
      <c r="AQ157" s="86"/>
      <c r="AR157" s="88"/>
      <c r="AS157" s="86"/>
      <c r="AT157" s="86"/>
      <c r="AU157" s="86"/>
      <c r="AV157" s="86"/>
      <c r="AW157" s="86"/>
      <c r="AX157" s="86"/>
      <c r="AY157" s="86"/>
      <c r="AZ157" s="86"/>
      <c r="BA157" s="86"/>
      <c r="BB157" s="29"/>
      <c r="BC157" s="86"/>
      <c r="BD157" s="86"/>
      <c r="BE157" s="29"/>
      <c r="BF157" s="86"/>
    </row>
    <row r="158" spans="1:58">
      <c r="A158" s="78"/>
      <c r="C158" s="79"/>
      <c r="D158" s="79"/>
      <c r="E158" s="80"/>
      <c r="F158" s="80"/>
      <c r="G158" s="81"/>
      <c r="H158" s="81"/>
      <c r="I158" s="81"/>
      <c r="J158" s="95"/>
      <c r="K158" s="95"/>
      <c r="O158" s="82"/>
      <c r="P158" s="83"/>
      <c r="Q158" s="81"/>
      <c r="R158" s="365"/>
      <c r="S158" s="62"/>
      <c r="U158" s="84"/>
      <c r="V158" s="84"/>
      <c r="W158" s="85" t="s">
        <v>144</v>
      </c>
      <c r="X158" s="354">
        <f>+W153+Y153</f>
        <v>1964.4730000000002</v>
      </c>
      <c r="Y158" s="86"/>
      <c r="Z158" s="62"/>
      <c r="AD158" s="92"/>
      <c r="AE158" s="87"/>
      <c r="AF158" s="92"/>
      <c r="AG158" s="92"/>
      <c r="AH158" s="92"/>
      <c r="AI158" s="92"/>
      <c r="AJ158" s="86"/>
      <c r="AK158" s="86"/>
      <c r="AL158" s="86"/>
      <c r="AM158" s="88"/>
      <c r="AN158" s="86"/>
      <c r="AO158" s="86"/>
      <c r="AP158" s="86"/>
      <c r="AQ158" s="86"/>
      <c r="AR158" s="88"/>
      <c r="AS158" s="86"/>
      <c r="AT158" s="86"/>
      <c r="AU158" s="86"/>
      <c r="AV158" s="86"/>
      <c r="AW158" s="86"/>
      <c r="AX158" s="86"/>
      <c r="AY158" s="86"/>
      <c r="AZ158" s="86"/>
      <c r="BA158" s="86"/>
      <c r="BB158" s="29"/>
      <c r="BC158" s="86"/>
      <c r="BD158" s="86"/>
      <c r="BE158" s="29"/>
      <c r="BF158" s="86"/>
    </row>
    <row r="159" spans="1:58">
      <c r="A159" s="78"/>
      <c r="C159" s="79" t="s">
        <v>235</v>
      </c>
      <c r="D159" s="79"/>
      <c r="E159" s="80"/>
      <c r="F159" s="80"/>
      <c r="G159" s="81"/>
      <c r="H159" s="81"/>
      <c r="I159" s="81"/>
      <c r="J159" s="95"/>
      <c r="K159" s="95"/>
      <c r="O159" s="82"/>
      <c r="P159" s="83"/>
      <c r="Q159" s="81"/>
      <c r="R159" s="365"/>
      <c r="S159" s="62"/>
      <c r="U159" s="84"/>
      <c r="V159" s="376"/>
      <c r="W159" s="377"/>
      <c r="X159" s="370"/>
      <c r="Y159" s="377"/>
      <c r="Z159" s="370"/>
      <c r="AD159" s="363"/>
      <c r="AE159" s="87"/>
      <c r="AF159" s="363"/>
      <c r="AG159" s="363"/>
      <c r="AH159" s="363"/>
      <c r="AI159" s="363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29"/>
      <c r="BC159" s="86"/>
      <c r="BD159" s="86"/>
      <c r="BE159" s="29"/>
      <c r="BF159" s="86"/>
    </row>
    <row r="160" spans="1:58">
      <c r="A160" s="78"/>
      <c r="C160" s="79" t="s">
        <v>238</v>
      </c>
      <c r="D160" s="79"/>
      <c r="E160" s="80"/>
      <c r="F160" s="80"/>
      <c r="G160" s="81"/>
      <c r="H160" s="81"/>
      <c r="I160" s="81"/>
      <c r="J160" s="95"/>
      <c r="K160" s="95"/>
      <c r="O160" s="82"/>
      <c r="P160" s="83"/>
      <c r="Q160" s="81"/>
      <c r="R160" s="365"/>
      <c r="S160" s="62"/>
      <c r="V160" s="368"/>
      <c r="W160" s="369" t="s">
        <v>233</v>
      </c>
      <c r="X160" s="368"/>
      <c r="Y160" s="368"/>
      <c r="Z160" s="370"/>
      <c r="AE160" s="87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29"/>
      <c r="BE160" s="29"/>
    </row>
    <row r="161" spans="1:57">
      <c r="A161" s="78"/>
      <c r="C161" s="79"/>
      <c r="D161" s="79"/>
      <c r="E161" s="80"/>
      <c r="F161" s="80"/>
      <c r="G161" s="81"/>
      <c r="H161" s="81"/>
      <c r="I161" s="81"/>
      <c r="J161" s="95"/>
      <c r="K161" s="95"/>
      <c r="O161" s="82"/>
      <c r="P161" s="83"/>
      <c r="Q161" s="81"/>
      <c r="R161" s="365"/>
      <c r="S161" s="62"/>
      <c r="V161" s="368"/>
      <c r="W161" s="371" t="s">
        <v>331</v>
      </c>
      <c r="X161" s="375">
        <f>Y154</f>
        <v>2.451343783958517E-3</v>
      </c>
      <c r="Y161" s="372"/>
      <c r="Z161" s="370"/>
      <c r="AE161" s="87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29"/>
      <c r="BE161" s="29"/>
    </row>
    <row r="162" spans="1:57">
      <c r="R162" s="102"/>
      <c r="V162" s="368"/>
      <c r="W162" s="371" t="s">
        <v>154</v>
      </c>
      <c r="X162" s="374">
        <f>Z154</f>
        <v>2.1344450331584691E-2</v>
      </c>
      <c r="Y162" s="373"/>
      <c r="Z162" s="368"/>
    </row>
    <row r="163" spans="1:57">
      <c r="R163" s="102"/>
      <c r="V163" s="368"/>
      <c r="W163" s="371" t="s">
        <v>155</v>
      </c>
      <c r="X163" s="374">
        <f>AC154</f>
        <v>2.6717191335745273E-2</v>
      </c>
      <c r="Y163" s="374"/>
      <c r="Z163" s="368"/>
    </row>
    <row r="164" spans="1:57">
      <c r="R164" s="102"/>
      <c r="V164" s="368"/>
      <c r="W164" s="371" t="s">
        <v>156</v>
      </c>
      <c r="X164" s="374">
        <f>AA154</f>
        <v>2.2669173644603666E-3</v>
      </c>
      <c r="Y164" s="373"/>
      <c r="Z164" s="368"/>
    </row>
    <row r="165" spans="1:57">
      <c r="V165" s="368"/>
      <c r="W165" s="371" t="s">
        <v>172</v>
      </c>
      <c r="X165" s="374">
        <f>AB154</f>
        <v>-2.2926650642952507E-3</v>
      </c>
      <c r="Y165" s="373" t="s">
        <v>170</v>
      </c>
      <c r="Z165" s="368"/>
    </row>
    <row r="166" spans="1:57">
      <c r="V166" s="368"/>
      <c r="W166" s="371" t="s">
        <v>208</v>
      </c>
      <c r="X166" s="374">
        <f>AF154</f>
        <v>1.1744402345140684E-2</v>
      </c>
      <c r="Y166" s="373"/>
      <c r="Z166" s="368"/>
    </row>
    <row r="167" spans="1:57">
      <c r="V167" s="368"/>
      <c r="W167" s="371" t="s">
        <v>209</v>
      </c>
      <c r="X167" s="374">
        <f>+AG154</f>
        <v>2.2921670573010991E-3</v>
      </c>
      <c r="Y167" s="373"/>
      <c r="Z167" s="368"/>
    </row>
    <row r="168" spans="1:57">
      <c r="V168" s="368"/>
      <c r="W168" s="371" t="s">
        <v>210</v>
      </c>
      <c r="X168" s="374">
        <f>+AH154</f>
        <v>1.5879755283570503E-2</v>
      </c>
      <c r="Y168" s="373"/>
      <c r="Z168" s="368"/>
    </row>
    <row r="169" spans="1:57">
      <c r="V169" s="368"/>
      <c r="W169" s="371" t="s">
        <v>211</v>
      </c>
      <c r="X169" s="374">
        <f>+AI154</f>
        <v>3.1192376449870629E-3</v>
      </c>
      <c r="Y169" s="373"/>
      <c r="Z169" s="368"/>
    </row>
    <row r="170" spans="1:57">
      <c r="V170" s="368"/>
      <c r="W170" s="371" t="s">
        <v>163</v>
      </c>
      <c r="X170" s="374">
        <f>+AJ154</f>
        <v>1.1578988227603491E-3</v>
      </c>
      <c r="Y170" s="373"/>
      <c r="Z170" s="368"/>
    </row>
    <row r="171" spans="1:57">
      <c r="V171" s="368"/>
      <c r="W171" s="371" t="s">
        <v>165</v>
      </c>
      <c r="X171" s="374">
        <f>+AK154</f>
        <v>2.1267529397639064E-3</v>
      </c>
      <c r="Y171" s="373"/>
      <c r="Z171" s="368"/>
    </row>
    <row r="172" spans="1:57">
      <c r="V172" s="368"/>
      <c r="W172" s="371" t="s">
        <v>164</v>
      </c>
      <c r="X172" s="374">
        <f>+AL154</f>
        <v>0</v>
      </c>
      <c r="Y172" s="373"/>
      <c r="Z172" s="368"/>
    </row>
    <row r="173" spans="1:57">
      <c r="V173" s="368"/>
      <c r="W173" s="371" t="s">
        <v>157</v>
      </c>
      <c r="X173" s="374">
        <f>+AN154</f>
        <v>0</v>
      </c>
      <c r="Y173" s="373"/>
      <c r="Z173" s="368"/>
    </row>
    <row r="174" spans="1:57">
      <c r="V174" s="368"/>
      <c r="W174" s="371" t="s">
        <v>167</v>
      </c>
      <c r="X174" s="374">
        <f>+AO154</f>
        <v>0</v>
      </c>
      <c r="Y174" s="373"/>
      <c r="Z174" s="368"/>
    </row>
    <row r="175" spans="1:57">
      <c r="V175" s="368"/>
      <c r="W175" s="371" t="s">
        <v>158</v>
      </c>
      <c r="X175" s="374">
        <f>+AP154</f>
        <v>2.8593011745714743E-3</v>
      </c>
      <c r="Y175" s="373"/>
      <c r="Z175" s="368"/>
    </row>
    <row r="176" spans="1:57">
      <c r="V176" s="368"/>
      <c r="W176" s="371" t="s">
        <v>166</v>
      </c>
      <c r="X176" s="374">
        <f>+AQ154</f>
        <v>0</v>
      </c>
      <c r="Y176" s="373"/>
      <c r="Z176" s="368"/>
    </row>
    <row r="177" spans="6:26">
      <c r="F177" s="33"/>
      <c r="J177" s="33"/>
      <c r="K177" s="33"/>
      <c r="L177" s="33"/>
      <c r="M177" s="33"/>
      <c r="Q177" s="33"/>
      <c r="V177" s="368"/>
      <c r="W177" s="371" t="s">
        <v>169</v>
      </c>
      <c r="X177" s="374">
        <f>+AS154</f>
        <v>1.9022623516777165E-2</v>
      </c>
      <c r="Y177" s="373"/>
      <c r="Z177" s="368"/>
    </row>
    <row r="178" spans="6:26">
      <c r="F178" s="33"/>
      <c r="J178" s="33"/>
      <c r="K178" s="33"/>
      <c r="L178" s="33"/>
      <c r="M178" s="33"/>
      <c r="Q178" s="33"/>
      <c r="V178" s="368"/>
      <c r="W178" s="371" t="s">
        <v>332</v>
      </c>
      <c r="X178" s="374">
        <f>+AT154</f>
        <v>0</v>
      </c>
      <c r="Y178" s="373"/>
      <c r="Z178" s="368"/>
    </row>
    <row r="179" spans="6:26">
      <c r="F179" s="33"/>
      <c r="J179" s="33"/>
      <c r="K179" s="33"/>
      <c r="L179" s="33"/>
      <c r="M179" s="33"/>
      <c r="Q179" s="33"/>
      <c r="V179" s="368"/>
      <c r="W179" s="371" t="s">
        <v>250</v>
      </c>
      <c r="X179" s="374">
        <f>+AU154</f>
        <v>0</v>
      </c>
      <c r="Y179" s="373"/>
      <c r="Z179" s="368"/>
    </row>
    <row r="180" spans="6:26">
      <c r="F180" s="33"/>
      <c r="J180" s="33"/>
      <c r="K180" s="33"/>
      <c r="L180" s="33"/>
      <c r="M180" s="33"/>
      <c r="Q180" s="33"/>
      <c r="V180" s="368"/>
      <c r="W180" s="371" t="s">
        <v>338</v>
      </c>
      <c r="X180" s="374">
        <f>AV154</f>
        <v>0</v>
      </c>
      <c r="Y180" s="373"/>
      <c r="Z180" s="368"/>
    </row>
    <row r="181" spans="6:26">
      <c r="F181" s="33"/>
      <c r="J181" s="33"/>
      <c r="K181" s="33"/>
      <c r="L181" s="33"/>
      <c r="M181" s="33"/>
      <c r="Q181" s="33"/>
      <c r="V181" s="368"/>
      <c r="W181" s="371" t="s">
        <v>339</v>
      </c>
      <c r="X181" s="374">
        <f>AW154</f>
        <v>0</v>
      </c>
      <c r="Y181" s="373"/>
      <c r="Z181" s="368"/>
    </row>
    <row r="182" spans="6:26">
      <c r="F182" s="33"/>
      <c r="J182" s="33"/>
      <c r="K182" s="33"/>
      <c r="L182" s="33"/>
      <c r="M182" s="33"/>
      <c r="Q182" s="33"/>
      <c r="V182" s="368"/>
      <c r="W182" s="368" t="s">
        <v>168</v>
      </c>
      <c r="X182" s="374">
        <f>AX154+AY154</f>
        <v>1.4887270578347346E-3</v>
      </c>
      <c r="Y182" s="374"/>
      <c r="Z182" s="368"/>
    </row>
    <row r="183" spans="6:26">
      <c r="F183" s="33"/>
      <c r="J183" s="33"/>
      <c r="K183" s="33"/>
      <c r="L183" s="33"/>
      <c r="M183" s="33"/>
      <c r="Q183" s="33"/>
      <c r="V183" s="368"/>
      <c r="W183" s="368" t="s">
        <v>337</v>
      </c>
      <c r="X183" s="374">
        <f>AZ154</f>
        <v>0</v>
      </c>
      <c r="Y183" s="368"/>
      <c r="Z183" s="368"/>
    </row>
    <row r="184" spans="6:26">
      <c r="F184" s="33"/>
      <c r="J184" s="33"/>
      <c r="K184" s="33"/>
      <c r="L184" s="33"/>
      <c r="M184" s="33"/>
      <c r="Q184" s="33"/>
      <c r="V184" s="368"/>
      <c r="W184" s="368"/>
      <c r="X184" s="530">
        <f>SUM(X161:X183)</f>
        <v>0.11017810359416057</v>
      </c>
      <c r="Y184" s="368"/>
      <c r="Z184" s="368"/>
    </row>
    <row r="185" spans="6:26">
      <c r="F185" s="33"/>
      <c r="J185" s="33"/>
      <c r="K185" s="33"/>
      <c r="L185" s="33"/>
      <c r="M185" s="33"/>
      <c r="Q185" s="33"/>
    </row>
    <row r="186" spans="6:26">
      <c r="F186" s="33"/>
      <c r="J186" s="33"/>
      <c r="K186" s="33"/>
      <c r="L186" s="33"/>
      <c r="M186" s="33"/>
      <c r="Q186" s="33"/>
      <c r="X186" s="102">
        <f>+X184+X153</f>
        <v>1.0000000000000002</v>
      </c>
    </row>
    <row r="187" spans="6:26">
      <c r="F187" s="33"/>
      <c r="J187" s="33"/>
      <c r="K187" s="33"/>
      <c r="L187" s="33"/>
      <c r="M187" s="33"/>
      <c r="Q187" s="33"/>
    </row>
    <row r="188" spans="6:26">
      <c r="F188" s="33"/>
      <c r="J188" s="33"/>
      <c r="K188" s="33"/>
      <c r="L188" s="33"/>
      <c r="M188" s="33"/>
      <c r="Q188" s="33"/>
    </row>
    <row r="189" spans="6:26">
      <c r="F189" s="33"/>
      <c r="J189" s="33"/>
      <c r="K189" s="33"/>
      <c r="L189" s="33"/>
      <c r="M189" s="33"/>
      <c r="Q189" s="33"/>
    </row>
    <row r="190" spans="6:26">
      <c r="F190" s="33"/>
      <c r="J190" s="33"/>
      <c r="K190" s="33"/>
      <c r="L190" s="33"/>
      <c r="M190" s="33"/>
      <c r="Q190" s="33"/>
    </row>
    <row r="191" spans="6:26">
      <c r="F191" s="33"/>
      <c r="J191" s="33"/>
      <c r="K191" s="33"/>
      <c r="L191" s="33"/>
      <c r="M191" s="33"/>
      <c r="Q191" s="33"/>
    </row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54:P154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54 C152">
    <cfRule type="cellIs" dxfId="34" priority="35726" stopIfTrue="1" operator="equal">
      <formula>"Napkin Hs"</formula>
    </cfRule>
  </conditionalFormatting>
  <conditionalFormatting sqref="C101:C102">
    <cfRule type="cellIs" dxfId="33" priority="32576" stopIfTrue="1" operator="equal">
      <formula>"Napkin Hs"</formula>
    </cfRule>
  </conditionalFormatting>
  <conditionalFormatting sqref="C101:C102">
    <cfRule type="cellIs" dxfId="32" priority="32574" stopIfTrue="1" operator="equal">
      <formula>"Napkin Hs"</formula>
    </cfRule>
  </conditionalFormatting>
  <conditionalFormatting sqref="C103">
    <cfRule type="cellIs" dxfId="31" priority="32448" stopIfTrue="1" operator="equal">
      <formula>"Napkin Hs"</formula>
    </cfRule>
  </conditionalFormatting>
  <conditionalFormatting sqref="C103">
    <cfRule type="cellIs" dxfId="30" priority="32446" stopIfTrue="1" operator="equal">
      <formula>"Napkin Hs"</formula>
    </cfRule>
  </conditionalFormatting>
  <conditionalFormatting sqref="C103">
    <cfRule type="cellIs" dxfId="29" priority="32436" stopIfTrue="1" operator="equal">
      <formula>"Napkin Hs"</formula>
    </cfRule>
  </conditionalFormatting>
  <conditionalFormatting sqref="C103">
    <cfRule type="cellIs" dxfId="28" priority="32434" stopIfTrue="1" operator="equal">
      <formula>"Napkin Hs"</formula>
    </cfRule>
  </conditionalFormatting>
  <conditionalFormatting sqref="C103">
    <cfRule type="cellIs" dxfId="27" priority="32400" stopIfTrue="1" operator="equal">
      <formula>"Napkin Hs"</formula>
    </cfRule>
  </conditionalFormatting>
  <conditionalFormatting sqref="C103">
    <cfRule type="cellIs" dxfId="26" priority="32398" stopIfTrue="1" operator="equal">
      <formula>"Napkin Hs"</formula>
    </cfRule>
  </conditionalFormatting>
  <conditionalFormatting sqref="C104">
    <cfRule type="cellIs" dxfId="25" priority="32394" stopIfTrue="1" operator="equal">
      <formula>"Napkin Hs"</formula>
    </cfRule>
  </conditionalFormatting>
  <conditionalFormatting sqref="C104">
    <cfRule type="cellIs" dxfId="24" priority="32392" stopIfTrue="1" operator="equal">
      <formula>"Napkin Hs"</formula>
    </cfRule>
  </conditionalFormatting>
  <conditionalFormatting sqref="C104">
    <cfRule type="cellIs" dxfId="23" priority="32382" stopIfTrue="1" operator="equal">
      <formula>"Napkin Hs"</formula>
    </cfRule>
  </conditionalFormatting>
  <conditionalFormatting sqref="C104">
    <cfRule type="cellIs" dxfId="22" priority="32380" stopIfTrue="1" operator="equal">
      <formula>"Napkin Hs"</formula>
    </cfRule>
  </conditionalFormatting>
  <conditionalFormatting sqref="C104">
    <cfRule type="cellIs" dxfId="21" priority="32346" stopIfTrue="1" operator="equal">
      <formula>"Napkin Hs"</formula>
    </cfRule>
  </conditionalFormatting>
  <conditionalFormatting sqref="C104">
    <cfRule type="cellIs" dxfId="20" priority="32344" stopIfTrue="1" operator="equal">
      <formula>"Napkin Hs"</formula>
    </cfRule>
  </conditionalFormatting>
  <conditionalFormatting sqref="C148:C151">
    <cfRule type="cellIs" dxfId="19" priority="31772" stopIfTrue="1" operator="equal">
      <formula>"Napkin Hs"</formula>
    </cfRule>
  </conditionalFormatting>
  <conditionalFormatting sqref="C148:C151">
    <cfRule type="cellIs" dxfId="18" priority="31770" stopIfTrue="1" operator="equal">
      <formula>"Napkin Hs"</formula>
    </cfRule>
  </conditionalFormatting>
  <conditionalFormatting sqref="C9 C34 C39">
    <cfRule type="cellIs" dxfId="17" priority="17481" stopIfTrue="1" operator="equal">
      <formula>"Napkin Hs"</formula>
    </cfRule>
  </conditionalFormatting>
  <conditionalFormatting sqref="C44">
    <cfRule type="cellIs" dxfId="16" priority="16280" stopIfTrue="1" operator="equal">
      <formula>"Napkin Hs"</formula>
    </cfRule>
  </conditionalFormatting>
  <conditionalFormatting sqref="C82:C83">
    <cfRule type="cellIs" dxfId="15" priority="10113" stopIfTrue="1" operator="equal">
      <formula>"Napkin Hs"</formula>
    </cfRule>
  </conditionalFormatting>
  <conditionalFormatting sqref="C87">
    <cfRule type="cellIs" dxfId="14" priority="9374" stopIfTrue="1" operator="equal">
      <formula>"Napkin Hs"</formula>
    </cfRule>
  </conditionalFormatting>
  <conditionalFormatting sqref="C97">
    <cfRule type="cellIs" dxfId="13" priority="7689" stopIfTrue="1" operator="equal">
      <formula>"Napkin Hs"</formula>
    </cfRule>
  </conditionalFormatting>
  <conditionalFormatting sqref="C112">
    <cfRule type="cellIs" dxfId="12" priority="6415" stopIfTrue="1" operator="equal">
      <formula>"Napkin Hs"</formula>
    </cfRule>
  </conditionalFormatting>
  <conditionalFormatting sqref="C128:C129">
    <cfRule type="cellIs" dxfId="11" priority="4259" stopIfTrue="1" operator="equal">
      <formula>"Napkin Hs"</formula>
    </cfRule>
  </conditionalFormatting>
  <conditionalFormatting sqref="C132:C133">
    <cfRule type="cellIs" dxfId="10" priority="3447" stopIfTrue="1" operator="equal">
      <formula>"Napkin Hs"</formula>
    </cfRule>
  </conditionalFormatting>
  <conditionalFormatting sqref="C138">
    <cfRule type="cellIs" dxfId="9" priority="1693" stopIfTrue="1" operator="equal">
      <formula>"Napkin Hs"</formula>
    </cfRule>
  </conditionalFormatting>
  <conditionalFormatting sqref="C147">
    <cfRule type="cellIs" dxfId="8" priority="343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5"/>
  <sheetViews>
    <sheetView zoomScale="85" workbookViewId="0">
      <pane xSplit="5" ySplit="9" topLeftCell="F32" activePane="bottomRight" state="frozen"/>
      <selection pane="topRight"/>
      <selection pane="bottomLeft"/>
      <selection pane="bottomRight" activeCell="CD42" sqref="A4:CD42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hidden="1" customWidth="1"/>
    <col min="28" max="28" width="8.7109375" hidden="1" customWidth="1"/>
    <col min="29" max="29" width="12.140625" hidden="1" customWidth="1"/>
    <col min="30" max="30" width="9.28515625" hidden="1" customWidth="1"/>
    <col min="31" max="31" width="13.140625" bestFit="1" customWidth="1"/>
    <col min="32" max="32" width="8.28515625" bestFit="1" customWidth="1"/>
    <col min="33" max="33" width="14.42578125" bestFit="1" customWidth="1"/>
    <col min="34" max="34" width="8" bestFit="1" customWidth="1"/>
    <col min="35" max="35" width="13.140625" hidden="1" customWidth="1"/>
    <col min="36" max="36" width="7.7109375" hidden="1" customWidth="1"/>
    <col min="37" max="37" width="13.140625" hidden="1" customWidth="1"/>
    <col min="38" max="38" width="7.7109375" hidden="1" customWidth="1"/>
    <col min="39" max="39" width="12.85546875" hidden="1" customWidth="1"/>
    <col min="40" max="40" width="7.7109375" hidden="1" customWidth="1"/>
    <col min="41" max="41" width="12.42578125" hidden="1" customWidth="1"/>
    <col min="42" max="42" width="7.7109375" hidden="1" customWidth="1"/>
    <col min="43" max="43" width="17.7109375" hidden="1" customWidth="1"/>
    <col min="44" max="44" width="12.28515625" hidden="1" customWidth="1"/>
    <col min="45" max="45" width="14.42578125" hidden="1" customWidth="1"/>
    <col min="46" max="46" width="9.42578125" hidden="1" customWidth="1"/>
    <col min="47" max="47" width="17.7109375" hidden="1" customWidth="1"/>
    <col min="48" max="48" width="9.28515625" hidden="1" customWidth="1"/>
    <col min="49" max="49" width="14.42578125" hidden="1" customWidth="1"/>
    <col min="50" max="50" width="8.140625" hidden="1" customWidth="1"/>
    <col min="51" max="51" width="11.42578125" hidden="1" customWidth="1"/>
    <col min="52" max="52" width="8.5703125" hidden="1" customWidth="1"/>
    <col min="53" max="53" width="11.42578125" hidden="1" customWidth="1"/>
    <col min="54" max="54" width="8" hidden="1" customWidth="1"/>
    <col min="55" max="55" width="13.7109375" customWidth="1"/>
    <col min="56" max="56" width="8.140625" customWidth="1"/>
    <col min="57" max="57" width="13.140625" bestFit="1" customWidth="1"/>
    <col min="58" max="58" width="8.140625" customWidth="1"/>
    <col min="59" max="59" width="12.140625" hidden="1" customWidth="1"/>
    <col min="60" max="60" width="7.7109375" hidden="1" customWidth="1"/>
    <col min="61" max="61" width="12.140625" hidden="1" customWidth="1"/>
    <col min="62" max="62" width="7.7109375" hidden="1" customWidth="1"/>
    <col min="63" max="63" width="13.28515625" hidden="1" customWidth="1"/>
    <col min="64" max="64" width="8.85546875" hidden="1" customWidth="1"/>
    <col min="65" max="65" width="15.28515625" hidden="1" customWidth="1"/>
    <col min="66" max="66" width="7.7109375" hidden="1" customWidth="1"/>
    <col min="67" max="67" width="10.28515625" hidden="1" customWidth="1"/>
    <col min="68" max="68" width="8.140625" hidden="1" customWidth="1"/>
    <col min="69" max="69" width="11.42578125" hidden="1" customWidth="1"/>
    <col min="70" max="70" width="7.7109375" hidden="1" customWidth="1"/>
    <col min="71" max="71" width="17.7109375" hidden="1" customWidth="1"/>
    <col min="72" max="72" width="9.28515625" hidden="1" customWidth="1"/>
    <col min="73" max="73" width="14.42578125" hidden="1" customWidth="1"/>
    <col min="74" max="74" width="10" hidden="1" customWidth="1"/>
    <col min="75" max="75" width="15.42578125" hidden="1" customWidth="1"/>
    <col min="76" max="76" width="8.7109375" hidden="1" customWidth="1"/>
    <col min="77" max="77" width="12.85546875" hidden="1" customWidth="1"/>
    <col min="78" max="78" width="8.42578125" hidden="1" customWidth="1"/>
    <col min="79" max="79" width="17.7109375" bestFit="1" customWidth="1"/>
    <col min="80" max="80" width="14.42578125" bestFit="1" customWidth="1"/>
    <col min="81" max="81" width="8.85546875" bestFit="1" customWidth="1"/>
    <col min="82" max="82" width="10.28515625" bestFit="1" customWidth="1"/>
    <col min="83" max="83" width="13.28515625" bestFit="1" customWidth="1"/>
    <col min="84" max="84" width="10.42578125" bestFit="1" customWidth="1"/>
    <col min="86" max="86" width="15.42578125" bestFit="1" customWidth="1"/>
    <col min="87" max="87" width="10.42578125" bestFit="1" customWidth="1"/>
    <col min="90" max="90" width="10.42578125" bestFit="1" customWidth="1"/>
  </cols>
  <sheetData>
    <row r="1" spans="1:82" ht="15.75">
      <c r="A1" s="160"/>
      <c r="AP1" s="4"/>
      <c r="AU1" s="264"/>
    </row>
    <row r="2" spans="1:82" ht="15.75">
      <c r="A2" s="160"/>
      <c r="AU2" s="264"/>
      <c r="AY2" s="20"/>
    </row>
    <row r="3" spans="1:82" ht="15">
      <c r="A3" s="162"/>
      <c r="AU3" s="264"/>
    </row>
    <row r="4" spans="1:82" ht="15.75">
      <c r="A4" s="163" t="s">
        <v>326</v>
      </c>
      <c r="G4" s="13"/>
      <c r="AQ4" s="13"/>
      <c r="AU4" s="264"/>
      <c r="BL4" s="20"/>
    </row>
    <row r="5" spans="1:82" ht="15.75">
      <c r="A5" s="163"/>
      <c r="G5" s="13"/>
      <c r="AQ5" s="13"/>
      <c r="AU5" s="13"/>
    </row>
    <row r="6" spans="1:82" ht="18">
      <c r="A6" s="265"/>
      <c r="AQ6" s="13"/>
      <c r="AU6" s="13"/>
      <c r="BT6" s="13"/>
      <c r="BU6" s="13"/>
      <c r="BV6" s="13"/>
      <c r="CB6" s="13"/>
    </row>
    <row r="7" spans="1:82" ht="16.5" thickBot="1">
      <c r="A7" s="266"/>
      <c r="B7" s="266"/>
      <c r="C7" s="266"/>
      <c r="D7" s="266"/>
      <c r="E7" s="266"/>
      <c r="F7" s="266"/>
      <c r="G7" s="462">
        <v>230.59</v>
      </c>
      <c r="K7" s="467">
        <v>248.91800000000001</v>
      </c>
      <c r="O7" s="266">
        <v>214.10599999999999</v>
      </c>
      <c r="P7" s="266"/>
      <c r="Q7" s="266"/>
      <c r="R7" s="266"/>
      <c r="S7">
        <v>250</v>
      </c>
      <c r="W7">
        <v>197.22</v>
      </c>
      <c r="AA7">
        <v>222.79599999999999</v>
      </c>
      <c r="AE7" s="266"/>
      <c r="AF7" s="266"/>
      <c r="AG7" s="267"/>
      <c r="AH7" s="267"/>
      <c r="AI7" s="266">
        <v>251.43899999999999</v>
      </c>
      <c r="AJ7" s="266"/>
      <c r="AK7" s="266"/>
      <c r="AL7" s="266"/>
      <c r="AQ7" s="468">
        <v>250</v>
      </c>
      <c r="AR7" s="266"/>
      <c r="AS7" s="266"/>
      <c r="AT7" s="266"/>
      <c r="AU7" s="463">
        <v>243.255</v>
      </c>
      <c r="AV7" s="266"/>
      <c r="AW7" s="266"/>
      <c r="AX7" s="266"/>
      <c r="AY7" s="266">
        <v>250</v>
      </c>
      <c r="AZ7" s="266"/>
      <c r="BA7" s="266"/>
      <c r="BB7" s="266"/>
      <c r="BC7" s="266"/>
      <c r="BD7" s="266"/>
      <c r="BE7" s="266"/>
      <c r="BF7" s="266"/>
      <c r="BG7" s="266">
        <v>244.68</v>
      </c>
      <c r="BH7" s="266"/>
      <c r="BI7" s="266"/>
      <c r="BJ7" s="266"/>
      <c r="BK7" s="266">
        <v>245.55600000000001</v>
      </c>
      <c r="BL7" s="266"/>
      <c r="BM7" s="266"/>
      <c r="BN7" s="266"/>
      <c r="BO7" s="266"/>
      <c r="BP7" s="266"/>
      <c r="BQ7" s="266"/>
      <c r="BR7" s="266"/>
      <c r="BS7" s="267"/>
      <c r="BT7" s="267"/>
      <c r="BU7" s="266"/>
      <c r="BV7" s="266"/>
      <c r="BW7" s="266"/>
      <c r="BX7" s="266"/>
      <c r="BY7" s="266"/>
      <c r="BZ7" s="266"/>
      <c r="CA7" s="266"/>
      <c r="CB7" s="266"/>
      <c r="CC7" s="266"/>
      <c r="CD7" s="266"/>
    </row>
    <row r="8" spans="1:82" ht="38.25" customHeight="1" thickTop="1">
      <c r="A8" s="941" t="s">
        <v>30</v>
      </c>
      <c r="B8" s="941" t="s">
        <v>4</v>
      </c>
      <c r="C8" s="941" t="s">
        <v>5</v>
      </c>
      <c r="D8" s="943" t="s">
        <v>41</v>
      </c>
      <c r="E8" s="935" t="s">
        <v>39</v>
      </c>
      <c r="F8" s="937"/>
      <c r="G8" s="935" t="s">
        <v>212</v>
      </c>
      <c r="H8" s="936"/>
      <c r="I8" s="936"/>
      <c r="J8" s="937"/>
      <c r="K8" s="935" t="s">
        <v>42</v>
      </c>
      <c r="L8" s="936"/>
      <c r="M8" s="936"/>
      <c r="N8" s="937"/>
      <c r="O8" s="935" t="s">
        <v>413</v>
      </c>
      <c r="P8" s="936"/>
      <c r="Q8" s="936"/>
      <c r="R8" s="937"/>
      <c r="S8" s="935" t="s">
        <v>335</v>
      </c>
      <c r="T8" s="936"/>
      <c r="U8" s="936"/>
      <c r="V8" s="937"/>
      <c r="W8" s="945" t="s">
        <v>460</v>
      </c>
      <c r="X8" s="946"/>
      <c r="Y8" s="946"/>
      <c r="Z8" s="947"/>
      <c r="AA8" s="935" t="s">
        <v>422</v>
      </c>
      <c r="AB8" s="936"/>
      <c r="AC8" s="936"/>
      <c r="AD8" s="937"/>
      <c r="AE8" s="935" t="s">
        <v>43</v>
      </c>
      <c r="AF8" s="936"/>
      <c r="AG8" s="936"/>
      <c r="AH8" s="937"/>
      <c r="AI8" s="935" t="s">
        <v>336</v>
      </c>
      <c r="AJ8" s="936"/>
      <c r="AK8" s="936"/>
      <c r="AL8" s="937"/>
      <c r="AM8" s="938" t="s">
        <v>44</v>
      </c>
      <c r="AN8" s="939"/>
      <c r="AO8" s="939"/>
      <c r="AP8" s="940"/>
      <c r="AQ8" s="935" t="s">
        <v>315</v>
      </c>
      <c r="AR8" s="936"/>
      <c r="AS8" s="936"/>
      <c r="AT8" s="937"/>
      <c r="AU8" s="935" t="s">
        <v>213</v>
      </c>
      <c r="AV8" s="936"/>
      <c r="AW8" s="936"/>
      <c r="AX8" s="937"/>
      <c r="AY8" s="935" t="s">
        <v>236</v>
      </c>
      <c r="AZ8" s="936"/>
      <c r="BA8" s="936"/>
      <c r="BB8" s="937"/>
      <c r="BC8" s="935" t="s">
        <v>91</v>
      </c>
      <c r="BD8" s="936"/>
      <c r="BE8" s="936"/>
      <c r="BF8" s="937"/>
      <c r="BG8" s="935" t="s">
        <v>214</v>
      </c>
      <c r="BH8" s="936"/>
      <c r="BI8" s="936"/>
      <c r="BJ8" s="937"/>
      <c r="BK8" s="935" t="s">
        <v>411</v>
      </c>
      <c r="BL8" s="936"/>
      <c r="BM8" s="936"/>
      <c r="BN8" s="937"/>
      <c r="BO8" s="935" t="s">
        <v>147</v>
      </c>
      <c r="BP8" s="936"/>
      <c r="BQ8" s="936"/>
      <c r="BR8" s="937"/>
      <c r="BS8" s="935" t="s">
        <v>92</v>
      </c>
      <c r="BT8" s="936"/>
      <c r="BU8" s="936"/>
      <c r="BV8" s="937"/>
      <c r="BW8" s="935" t="s">
        <v>45</v>
      </c>
      <c r="BX8" s="936"/>
      <c r="BY8" s="936"/>
      <c r="BZ8" s="937"/>
      <c r="CA8" s="935" t="s">
        <v>46</v>
      </c>
      <c r="CB8" s="937"/>
      <c r="CC8" s="935" t="s">
        <v>47</v>
      </c>
      <c r="CD8" s="937"/>
    </row>
    <row r="9" spans="1:82">
      <c r="A9" s="942"/>
      <c r="B9" s="942"/>
      <c r="C9" s="942"/>
      <c r="D9" s="944"/>
      <c r="E9" s="2" t="s">
        <v>37</v>
      </c>
      <c r="F9" s="610" t="s">
        <v>38</v>
      </c>
      <c r="G9" s="9" t="s">
        <v>37</v>
      </c>
      <c r="H9" s="9" t="s">
        <v>11</v>
      </c>
      <c r="I9" s="609" t="s">
        <v>38</v>
      </c>
      <c r="J9" s="609" t="s">
        <v>11</v>
      </c>
      <c r="K9" s="9" t="s">
        <v>37</v>
      </c>
      <c r="L9" s="9" t="s">
        <v>11</v>
      </c>
      <c r="M9" s="609" t="s">
        <v>38</v>
      </c>
      <c r="N9" s="609" t="s">
        <v>11</v>
      </c>
      <c r="O9" s="609" t="s">
        <v>37</v>
      </c>
      <c r="P9" s="609" t="s">
        <v>11</v>
      </c>
      <c r="Q9" s="609" t="s">
        <v>38</v>
      </c>
      <c r="R9" s="609" t="s">
        <v>11</v>
      </c>
      <c r="S9" s="9" t="s">
        <v>37</v>
      </c>
      <c r="T9" s="9" t="s">
        <v>11</v>
      </c>
      <c r="U9" s="609" t="s">
        <v>38</v>
      </c>
      <c r="V9" s="609" t="s">
        <v>11</v>
      </c>
      <c r="W9" s="9" t="s">
        <v>37</v>
      </c>
      <c r="X9" s="9" t="s">
        <v>11</v>
      </c>
      <c r="Y9" s="609" t="s">
        <v>38</v>
      </c>
      <c r="Z9" s="609" t="s">
        <v>11</v>
      </c>
      <c r="AA9" s="9" t="s">
        <v>37</v>
      </c>
      <c r="AB9" s="9" t="s">
        <v>11</v>
      </c>
      <c r="AC9" s="609" t="s">
        <v>38</v>
      </c>
      <c r="AD9" s="609" t="s">
        <v>11</v>
      </c>
      <c r="AE9" s="609" t="s">
        <v>37</v>
      </c>
      <c r="AF9" s="609" t="s">
        <v>11</v>
      </c>
      <c r="AG9" s="609" t="s">
        <v>38</v>
      </c>
      <c r="AH9" s="609" t="s">
        <v>11</v>
      </c>
      <c r="AI9" s="609" t="s">
        <v>37</v>
      </c>
      <c r="AJ9" s="609" t="s">
        <v>11</v>
      </c>
      <c r="AK9" s="609" t="s">
        <v>38</v>
      </c>
      <c r="AL9" s="609" t="s">
        <v>11</v>
      </c>
      <c r="AM9" s="609" t="s">
        <v>37</v>
      </c>
      <c r="AN9" s="609" t="s">
        <v>11</v>
      </c>
      <c r="AO9" s="609" t="s">
        <v>38</v>
      </c>
      <c r="AP9" s="609" t="s">
        <v>11</v>
      </c>
      <c r="AQ9" s="609" t="s">
        <v>37</v>
      </c>
      <c r="AR9" s="609" t="s">
        <v>11</v>
      </c>
      <c r="AS9" s="609" t="s">
        <v>38</v>
      </c>
      <c r="AT9" s="609" t="s">
        <v>11</v>
      </c>
      <c r="AU9" s="609" t="s">
        <v>37</v>
      </c>
      <c r="AV9" s="609" t="s">
        <v>11</v>
      </c>
      <c r="AW9" s="609" t="s">
        <v>38</v>
      </c>
      <c r="AX9" s="609" t="s">
        <v>11</v>
      </c>
      <c r="AY9" s="609" t="s">
        <v>37</v>
      </c>
      <c r="AZ9" s="609" t="s">
        <v>11</v>
      </c>
      <c r="BA9" s="609" t="s">
        <v>38</v>
      </c>
      <c r="BB9" s="609" t="s">
        <v>11</v>
      </c>
      <c r="BC9" s="609" t="s">
        <v>37</v>
      </c>
      <c r="BD9" s="609" t="s">
        <v>11</v>
      </c>
      <c r="BE9" s="609" t="s">
        <v>38</v>
      </c>
      <c r="BF9" s="609" t="s">
        <v>11</v>
      </c>
      <c r="BG9" s="609" t="s">
        <v>37</v>
      </c>
      <c r="BH9" s="609" t="s">
        <v>11</v>
      </c>
      <c r="BI9" s="609" t="s">
        <v>38</v>
      </c>
      <c r="BJ9" s="609" t="s">
        <v>11</v>
      </c>
      <c r="BK9" s="609" t="s">
        <v>37</v>
      </c>
      <c r="BL9" s="609" t="s">
        <v>11</v>
      </c>
      <c r="BM9" s="609" t="s">
        <v>38</v>
      </c>
      <c r="BN9" s="609" t="s">
        <v>11</v>
      </c>
      <c r="BO9" s="609" t="s">
        <v>37</v>
      </c>
      <c r="BP9" s="609" t="s">
        <v>11</v>
      </c>
      <c r="BQ9" s="609" t="s">
        <v>38</v>
      </c>
      <c r="BR9" s="609" t="s">
        <v>11</v>
      </c>
      <c r="BS9" s="609" t="s">
        <v>37</v>
      </c>
      <c r="BT9" s="609" t="s">
        <v>11</v>
      </c>
      <c r="BU9" s="609" t="s">
        <v>38</v>
      </c>
      <c r="BV9" s="609" t="s">
        <v>11</v>
      </c>
      <c r="BW9" s="609" t="s">
        <v>37</v>
      </c>
      <c r="BX9" s="609" t="s">
        <v>11</v>
      </c>
      <c r="BY9" s="609" t="s">
        <v>38</v>
      </c>
      <c r="BZ9" s="609" t="s">
        <v>11</v>
      </c>
      <c r="CA9" s="609" t="s">
        <v>37</v>
      </c>
      <c r="CB9" s="609" t="s">
        <v>38</v>
      </c>
      <c r="CC9" s="609" t="s">
        <v>37</v>
      </c>
      <c r="CD9" s="609" t="s">
        <v>38</v>
      </c>
    </row>
    <row r="10" spans="1:82">
      <c r="A10" s="16">
        <f>+Chem!A9</f>
        <v>45992</v>
      </c>
      <c r="B10" s="6" t="str">
        <f>+Chem!B9</f>
        <v>Facial/MG</v>
      </c>
      <c r="C10" s="16" t="str">
        <f>+Chem!C9</f>
        <v>13/15,5/16,5</v>
      </c>
      <c r="D10" s="8">
        <f>+Chem!D9</f>
        <v>57.165000000000006</v>
      </c>
      <c r="E10" s="7">
        <f>+Chem!E9</f>
        <v>41.514000000000003</v>
      </c>
      <c r="F10" s="7">
        <f>+E10</f>
        <v>41.514000000000003</v>
      </c>
      <c r="G10" s="108"/>
      <c r="H10" s="10">
        <f t="shared" ref="H10:H40" si="0">G10/CA10*100</f>
        <v>0</v>
      </c>
      <c r="I10" s="8">
        <f>G10</f>
        <v>0</v>
      </c>
      <c r="J10" s="10">
        <f t="shared" ref="J10:J40" si="1">I10/CB10*100</f>
        <v>0</v>
      </c>
      <c r="K10" s="108"/>
      <c r="L10" s="10">
        <f t="shared" ref="L10:L40" si="2">+K10/CA10*100</f>
        <v>0</v>
      </c>
      <c r="M10" s="10">
        <f>+K10</f>
        <v>0</v>
      </c>
      <c r="N10" s="10">
        <f t="shared" ref="N10:N40" si="3">+M10/CB10*100</f>
        <v>0</v>
      </c>
      <c r="O10" s="108"/>
      <c r="P10" s="10">
        <f t="shared" ref="P10:P40" si="4">+O10/CA10*100</f>
        <v>0</v>
      </c>
      <c r="Q10" s="10">
        <f>+O10</f>
        <v>0</v>
      </c>
      <c r="R10" s="10">
        <f t="shared" ref="R10:R40" si="5">+Q10/CB10*100</f>
        <v>0</v>
      </c>
      <c r="S10" s="108">
        <f>30.5*S7</f>
        <v>7625</v>
      </c>
      <c r="T10" s="10">
        <f t="shared" ref="T10:T40" si="6">+S10/CA10*100</f>
        <v>12.948893561623317</v>
      </c>
      <c r="U10" s="10">
        <f>+S10</f>
        <v>7625</v>
      </c>
      <c r="V10" s="10">
        <f t="shared" ref="V10:V40" si="7">+U10/CB10*100</f>
        <v>12.948893561623317</v>
      </c>
      <c r="W10" s="108">
        <f>102*W7</f>
        <v>20116.439999999999</v>
      </c>
      <c r="X10" s="10">
        <f t="shared" ref="X10:X40" si="8">+W10/CA10*100</f>
        <v>34.162051199840235</v>
      </c>
      <c r="Y10" s="10">
        <f>+W10</f>
        <v>20116.439999999999</v>
      </c>
      <c r="Z10" s="10">
        <f t="shared" ref="Z10:Z40" si="9">+Y10/CB10*100</f>
        <v>34.162051199840235</v>
      </c>
      <c r="AA10" s="108">
        <v>0</v>
      </c>
      <c r="AB10" s="10">
        <f t="shared" ref="AB10:AB40" si="10">AA10/CA10*100</f>
        <v>0</v>
      </c>
      <c r="AC10" s="10">
        <f>AA10</f>
        <v>0</v>
      </c>
      <c r="AD10" s="10">
        <f t="shared" ref="AD10:AD40" si="11">AC10/CB10*100</f>
        <v>0</v>
      </c>
      <c r="AE10" s="10">
        <f>G10+AA10+K10+W10+S10+O10</f>
        <v>27741.439999999999</v>
      </c>
      <c r="AF10" s="10">
        <f t="shared" ref="AF10:AF40" si="12">AE10/CA10*100</f>
        <v>47.11094476146355</v>
      </c>
      <c r="AG10" s="10">
        <f>AE10</f>
        <v>27741.439999999999</v>
      </c>
      <c r="AH10" s="10">
        <f t="shared" ref="AH10:AH40" si="13">AG10/CB10*100</f>
        <v>47.11094476146355</v>
      </c>
      <c r="AI10" s="109">
        <f>100*AI7</f>
        <v>25143.899999999998</v>
      </c>
      <c r="AJ10" s="10">
        <f t="shared" ref="AJ10:AJ40" si="14">AI10/CA10*100</f>
        <v>42.699761944144335</v>
      </c>
      <c r="AK10" s="10">
        <f>AI10</f>
        <v>25143.899999999998</v>
      </c>
      <c r="AL10" s="10">
        <f t="shared" ref="AL10:AL40" si="15">AK10/CB10*100</f>
        <v>42.699761944144335</v>
      </c>
      <c r="AM10" s="108"/>
      <c r="AN10" s="10">
        <f t="shared" ref="AN10:AN40" si="16">AM10/CA10*100</f>
        <v>0</v>
      </c>
      <c r="AO10" s="10">
        <f>AM10</f>
        <v>0</v>
      </c>
      <c r="AP10" s="10">
        <f t="shared" ref="AP10:AP40" si="17">AO10/CB10*100</f>
        <v>0</v>
      </c>
      <c r="AQ10" s="108">
        <f>24*AQ7</f>
        <v>6000</v>
      </c>
      <c r="AR10" s="10">
        <f t="shared" ref="AR10:AR40" si="18">AQ10/CA10*100</f>
        <v>10.189293294392119</v>
      </c>
      <c r="AS10" s="10">
        <f>AQ10</f>
        <v>6000</v>
      </c>
      <c r="AT10" s="10">
        <f t="shared" ref="AT10:AT40" si="19">AS10/CB10*100</f>
        <v>10.189293294392119</v>
      </c>
      <c r="AU10" s="108"/>
      <c r="AV10" s="10">
        <f t="shared" ref="AV10:AV40" si="20">AU10/CA10*100</f>
        <v>0</v>
      </c>
      <c r="AW10" s="10">
        <f>AU10</f>
        <v>0</v>
      </c>
      <c r="AX10" s="10">
        <f t="shared" ref="AX10:AX40" si="21">AW10/CB10*100</f>
        <v>0</v>
      </c>
      <c r="AY10" s="108"/>
      <c r="AZ10" s="10">
        <f t="shared" ref="AZ10:AZ40" si="22">AY10/CA10*100</f>
        <v>0</v>
      </c>
      <c r="BA10" s="10">
        <f>AY10</f>
        <v>0</v>
      </c>
      <c r="BB10" s="10">
        <f t="shared" ref="BB10:BB40" si="23">BA10/CB10</f>
        <v>0</v>
      </c>
      <c r="BC10" s="10">
        <f>AI10+AM10+AQ10+AU10+AY10</f>
        <v>31143.899999999998</v>
      </c>
      <c r="BD10" s="10">
        <f t="shared" ref="BD10:BD39" si="24">BC10/CA10*100</f>
        <v>52.88905523853645</v>
      </c>
      <c r="BE10" s="10">
        <f>BC10</f>
        <v>31143.899999999998</v>
      </c>
      <c r="BF10" s="10">
        <f t="shared" ref="BF10:BF39" si="25">BE10/CB10*100</f>
        <v>52.88905523853645</v>
      </c>
      <c r="BG10" s="108"/>
      <c r="BH10" s="10">
        <f t="shared" ref="BH10:BH39" si="26">+BG10/CA10*100</f>
        <v>0</v>
      </c>
      <c r="BI10" s="10">
        <f>+BG10</f>
        <v>0</v>
      </c>
      <c r="BJ10" s="10">
        <f t="shared" ref="BJ10:BJ39" si="27">+BI10/CB10*100</f>
        <v>0</v>
      </c>
      <c r="BK10" s="108"/>
      <c r="BL10" s="10">
        <f t="shared" ref="BL10:BL39" si="28">BK10/CA10*100</f>
        <v>0</v>
      </c>
      <c r="BM10" s="10">
        <f>BK10</f>
        <v>0</v>
      </c>
      <c r="BN10" s="10">
        <f t="shared" ref="BN10:BN39" si="29">BM10/CB10*100</f>
        <v>0</v>
      </c>
      <c r="BO10" s="108"/>
      <c r="BP10" s="15">
        <f t="shared" ref="BP10:BP39" si="30">BO10/CA10*100</f>
        <v>0</v>
      </c>
      <c r="BQ10" s="10">
        <f>BO10</f>
        <v>0</v>
      </c>
      <c r="BR10" s="10">
        <f t="shared" ref="BR10:BR39" si="31">BQ10/CB10*100</f>
        <v>0</v>
      </c>
      <c r="BS10" s="10">
        <f>BG10+BK10+BO10</f>
        <v>0</v>
      </c>
      <c r="BT10" s="10">
        <f t="shared" ref="BT10:BT39" si="32">BS10/CA10*100</f>
        <v>0</v>
      </c>
      <c r="BU10" s="10">
        <f>BS10</f>
        <v>0</v>
      </c>
      <c r="BV10" s="10">
        <f t="shared" ref="BV10:BV39" si="33">BU10/CB10*100</f>
        <v>0</v>
      </c>
      <c r="BW10" s="108">
        <v>0</v>
      </c>
      <c r="BX10" s="10">
        <f t="shared" ref="BX10:BX39" si="34">BW10/CA10*100</f>
        <v>0</v>
      </c>
      <c r="BY10" s="10">
        <f>BW10</f>
        <v>0</v>
      </c>
      <c r="BZ10" s="10">
        <f t="shared" ref="BZ10:BZ39" si="35">BY10/CB10*100</f>
        <v>0</v>
      </c>
      <c r="CA10" s="10">
        <f t="shared" ref="CA10:CA40" si="36">AE10+BC10+BS10+BW10</f>
        <v>58885.34</v>
      </c>
      <c r="CB10" s="10">
        <f>CA10</f>
        <v>58885.34</v>
      </c>
      <c r="CC10" s="10">
        <f t="shared" ref="CC10:CC40" si="37">CA10/1000/E10</f>
        <v>1.4184453437394613</v>
      </c>
      <c r="CD10" s="10">
        <f t="shared" ref="CD10:CD40" si="38">(CB10/1000)/F10</f>
        <v>1.4184453437394613</v>
      </c>
    </row>
    <row r="11" spans="1:82">
      <c r="A11" s="16">
        <f>+Chem!A10</f>
        <v>45993</v>
      </c>
      <c r="B11" s="6" t="str">
        <f>+Chem!B10</f>
        <v>MG</v>
      </c>
      <c r="C11" s="16" t="str">
        <f>+Chem!C10</f>
        <v>16,5</v>
      </c>
      <c r="D11" s="8">
        <f>+Chem!D10</f>
        <v>45.629222009999999</v>
      </c>
      <c r="E11" s="7">
        <f>+Chem!E10</f>
        <v>44.883000000000003</v>
      </c>
      <c r="F11" s="7">
        <f t="shared" ref="F11:F39" si="39">+E11+F10</f>
        <v>86.397000000000006</v>
      </c>
      <c r="G11" s="108"/>
      <c r="H11" s="10">
        <f t="shared" si="0"/>
        <v>0</v>
      </c>
      <c r="I11" s="8">
        <f t="shared" ref="I11:I39" si="40">G11+I10</f>
        <v>0</v>
      </c>
      <c r="J11" s="10">
        <f t="shared" si="1"/>
        <v>0</v>
      </c>
      <c r="K11" s="108"/>
      <c r="L11" s="10">
        <f t="shared" si="2"/>
        <v>0</v>
      </c>
      <c r="M11" s="10">
        <f t="shared" ref="M11:M39" si="41">+K11+M10</f>
        <v>0</v>
      </c>
      <c r="N11" s="10">
        <f t="shared" si="3"/>
        <v>0</v>
      </c>
      <c r="O11" s="108"/>
      <c r="P11" s="10">
        <f t="shared" si="4"/>
        <v>0</v>
      </c>
      <c r="Q11" s="10">
        <f t="shared" ref="Q11:Q39" si="42">+O11+Q10</f>
        <v>0</v>
      </c>
      <c r="R11" s="10">
        <f t="shared" si="5"/>
        <v>0</v>
      </c>
      <c r="S11" s="109">
        <v>0</v>
      </c>
      <c r="T11" s="10">
        <f t="shared" si="6"/>
        <v>0</v>
      </c>
      <c r="U11" s="10">
        <f t="shared" ref="U11:U39" si="43">+S11+U10</f>
        <v>7625</v>
      </c>
      <c r="V11" s="10">
        <f t="shared" si="7"/>
        <v>6.1279992698800294</v>
      </c>
      <c r="W11" s="108">
        <f>136*W7</f>
        <v>26821.919999999998</v>
      </c>
      <c r="X11" s="10">
        <f t="shared" si="8"/>
        <v>40.922302532213479</v>
      </c>
      <c r="Y11" s="10">
        <f t="shared" ref="Y11:Y39" si="44">+W11+Y10</f>
        <v>46938.36</v>
      </c>
      <c r="Z11" s="10">
        <f t="shared" si="9"/>
        <v>37.723047319261113</v>
      </c>
      <c r="AA11" s="108">
        <v>0</v>
      </c>
      <c r="AB11" s="10">
        <f t="shared" si="10"/>
        <v>0</v>
      </c>
      <c r="AC11" s="10">
        <f t="shared" ref="AC11:AC39" si="45">AA11+AC10</f>
        <v>0</v>
      </c>
      <c r="AD11" s="10">
        <f t="shared" si="11"/>
        <v>0</v>
      </c>
      <c r="AE11" s="10">
        <f t="shared" ref="AE11:AE40" si="46">G11+AA11+K11+W11+S11+O11</f>
        <v>26821.919999999998</v>
      </c>
      <c r="AF11" s="10">
        <f t="shared" si="12"/>
        <v>40.922302532213479</v>
      </c>
      <c r="AG11" s="10">
        <f t="shared" ref="AG11:AG39" si="47">AE11+AG10</f>
        <v>54563.360000000001</v>
      </c>
      <c r="AH11" s="10">
        <f t="shared" si="13"/>
        <v>43.851046589141141</v>
      </c>
      <c r="AI11" s="109">
        <f>154*AI7</f>
        <v>38721.606</v>
      </c>
      <c r="AJ11" s="10">
        <f t="shared" si="14"/>
        <v>59.077697467786528</v>
      </c>
      <c r="AK11" s="10">
        <f t="shared" ref="AK11:AK39" si="48">AI11+AK10</f>
        <v>63865.505999999994</v>
      </c>
      <c r="AL11" s="10">
        <f t="shared" si="15"/>
        <v>51.326921198494247</v>
      </c>
      <c r="AM11" s="108"/>
      <c r="AN11" s="10">
        <f t="shared" si="16"/>
        <v>0</v>
      </c>
      <c r="AO11" s="10">
        <f t="shared" ref="AO11:AO39" si="49">AM11+AO10</f>
        <v>0</v>
      </c>
      <c r="AP11" s="10">
        <f t="shared" si="17"/>
        <v>0</v>
      </c>
      <c r="AQ11" s="108"/>
      <c r="AR11" s="10">
        <f t="shared" si="18"/>
        <v>0</v>
      </c>
      <c r="AS11" s="10">
        <f t="shared" ref="AS11:AS39" si="50">AQ11+AS10</f>
        <v>6000</v>
      </c>
      <c r="AT11" s="10">
        <f t="shared" si="19"/>
        <v>4.8220322123646131</v>
      </c>
      <c r="AU11" s="108"/>
      <c r="AV11" s="10">
        <f t="shared" si="20"/>
        <v>0</v>
      </c>
      <c r="AW11" s="10">
        <f t="shared" ref="AW11:AW39" si="51">AU11+AW10</f>
        <v>0</v>
      </c>
      <c r="AX11" s="10">
        <f t="shared" si="21"/>
        <v>0</v>
      </c>
      <c r="AY11" s="108"/>
      <c r="AZ11" s="10">
        <f t="shared" si="22"/>
        <v>0</v>
      </c>
      <c r="BA11" s="10">
        <f t="shared" ref="BA11:BA39" si="52">AY11+BA10</f>
        <v>0</v>
      </c>
      <c r="BB11" s="10">
        <f t="shared" si="23"/>
        <v>0</v>
      </c>
      <c r="BC11" s="10">
        <f t="shared" ref="BC11:BC40" si="53">AI11+AM11+AQ11+AU11+AY11</f>
        <v>38721.606</v>
      </c>
      <c r="BD11" s="10">
        <f t="shared" si="24"/>
        <v>59.077697467786528</v>
      </c>
      <c r="BE11" s="10">
        <f t="shared" ref="BE11:BE39" si="54">BC11+BE10</f>
        <v>69865.505999999994</v>
      </c>
      <c r="BF11" s="10">
        <f t="shared" si="25"/>
        <v>56.148953410858859</v>
      </c>
      <c r="BG11" s="108"/>
      <c r="BH11" s="10">
        <f t="shared" si="26"/>
        <v>0</v>
      </c>
      <c r="BI11" s="10">
        <f t="shared" ref="BI11:BI39" si="55">+BG11+BI10</f>
        <v>0</v>
      </c>
      <c r="BJ11" s="10">
        <f t="shared" si="27"/>
        <v>0</v>
      </c>
      <c r="BK11" s="108"/>
      <c r="BL11" s="10">
        <f t="shared" si="28"/>
        <v>0</v>
      </c>
      <c r="BM11" s="10">
        <f t="shared" ref="BM11:BM39" si="56">BK11+BM10</f>
        <v>0</v>
      </c>
      <c r="BN11" s="10">
        <f t="shared" si="29"/>
        <v>0</v>
      </c>
      <c r="BO11" s="108"/>
      <c r="BP11" s="15">
        <f t="shared" si="30"/>
        <v>0</v>
      </c>
      <c r="BQ11" s="10">
        <f t="shared" ref="BQ11:BQ39" si="57">BO11+BQ10</f>
        <v>0</v>
      </c>
      <c r="BR11" s="10">
        <f t="shared" si="31"/>
        <v>0</v>
      </c>
      <c r="BS11" s="10">
        <f t="shared" ref="BS11:BS39" si="58">BG11+BK11+BO11</f>
        <v>0</v>
      </c>
      <c r="BT11" s="10">
        <f t="shared" si="32"/>
        <v>0</v>
      </c>
      <c r="BU11" s="10">
        <f t="shared" ref="BU11:BU39" si="59">BS11+BU10</f>
        <v>0</v>
      </c>
      <c r="BV11" s="10">
        <f t="shared" si="33"/>
        <v>0</v>
      </c>
      <c r="BW11" s="108">
        <v>0</v>
      </c>
      <c r="BX11" s="10">
        <f t="shared" si="34"/>
        <v>0</v>
      </c>
      <c r="BY11" s="10">
        <f t="shared" ref="BY11:BY39" si="60">BW11+BY10</f>
        <v>0</v>
      </c>
      <c r="BZ11" s="10">
        <f t="shared" si="35"/>
        <v>0</v>
      </c>
      <c r="CA11" s="10">
        <f t="shared" si="36"/>
        <v>65543.525999999998</v>
      </c>
      <c r="CB11" s="10">
        <f t="shared" ref="CB11:CB39" si="61">CA11+CB10</f>
        <v>124428.86599999999</v>
      </c>
      <c r="CC11" s="10">
        <f t="shared" si="37"/>
        <v>1.4603196310407058</v>
      </c>
      <c r="CD11" s="10">
        <f t="shared" si="38"/>
        <v>1.4401989189439448</v>
      </c>
    </row>
    <row r="12" spans="1:82">
      <c r="A12" s="16">
        <f>+Chem!A11</f>
        <v>45994</v>
      </c>
      <c r="B12" s="6" t="str">
        <f>+Chem!B11</f>
        <v>MG</v>
      </c>
      <c r="C12" s="16" t="str">
        <f>+Chem!C11</f>
        <v>16,5</v>
      </c>
      <c r="D12" s="8">
        <f>+Chem!D11</f>
        <v>30.673000000000002</v>
      </c>
      <c r="E12" s="7">
        <f>+Chem!E11</f>
        <v>23.981000000000002</v>
      </c>
      <c r="F12" s="7">
        <f t="shared" si="39"/>
        <v>110.37800000000001</v>
      </c>
      <c r="G12" s="108"/>
      <c r="H12" s="10">
        <f t="shared" si="0"/>
        <v>0</v>
      </c>
      <c r="I12" s="8">
        <f t="shared" si="40"/>
        <v>0</v>
      </c>
      <c r="J12" s="10">
        <f t="shared" si="1"/>
        <v>0</v>
      </c>
      <c r="K12" s="108"/>
      <c r="L12" s="10">
        <f t="shared" si="2"/>
        <v>0</v>
      </c>
      <c r="M12" s="10">
        <f t="shared" si="41"/>
        <v>0</v>
      </c>
      <c r="N12" s="10">
        <f t="shared" si="3"/>
        <v>0</v>
      </c>
      <c r="O12" s="108"/>
      <c r="P12" s="10">
        <f t="shared" si="4"/>
        <v>0</v>
      </c>
      <c r="Q12" s="10">
        <f t="shared" si="42"/>
        <v>0</v>
      </c>
      <c r="R12" s="10">
        <f t="shared" si="5"/>
        <v>0</v>
      </c>
      <c r="S12" s="109">
        <v>0</v>
      </c>
      <c r="T12" s="10">
        <f t="shared" si="6"/>
        <v>0</v>
      </c>
      <c r="U12" s="10">
        <f t="shared" si="43"/>
        <v>7625</v>
      </c>
      <c r="V12" s="10">
        <f t="shared" si="7"/>
        <v>4.9326395508419294</v>
      </c>
      <c r="W12" s="108">
        <f>56*W7</f>
        <v>11044.32</v>
      </c>
      <c r="X12" s="10">
        <f t="shared" si="8"/>
        <v>36.626768390887165</v>
      </c>
      <c r="Y12" s="10">
        <f t="shared" si="44"/>
        <v>57982.68</v>
      </c>
      <c r="Z12" s="10">
        <f t="shared" si="9"/>
        <v>37.509201394335911</v>
      </c>
      <c r="AA12" s="108">
        <v>0</v>
      </c>
      <c r="AB12" s="10">
        <f t="shared" si="10"/>
        <v>0</v>
      </c>
      <c r="AC12" s="10">
        <f t="shared" si="45"/>
        <v>0</v>
      </c>
      <c r="AD12" s="10">
        <f t="shared" si="11"/>
        <v>0</v>
      </c>
      <c r="AE12" s="10">
        <f t="shared" si="46"/>
        <v>11044.32</v>
      </c>
      <c r="AF12" s="10">
        <f t="shared" si="12"/>
        <v>36.626768390887165</v>
      </c>
      <c r="AG12" s="10">
        <f t="shared" si="47"/>
        <v>65607.679999999993</v>
      </c>
      <c r="AH12" s="10">
        <f t="shared" si="13"/>
        <v>42.44184094517783</v>
      </c>
      <c r="AI12" s="109">
        <f>76*AI7</f>
        <v>19109.363999999998</v>
      </c>
      <c r="AJ12" s="10">
        <f t="shared" si="14"/>
        <v>63.373231609112835</v>
      </c>
      <c r="AK12" s="10">
        <f t="shared" si="48"/>
        <v>82974.87</v>
      </c>
      <c r="AL12" s="10">
        <f t="shared" si="15"/>
        <v>53.67673776891376</v>
      </c>
      <c r="AM12" s="108"/>
      <c r="AN12" s="10">
        <f t="shared" si="16"/>
        <v>0</v>
      </c>
      <c r="AO12" s="10">
        <f t="shared" si="49"/>
        <v>0</v>
      </c>
      <c r="AP12" s="10">
        <f t="shared" si="17"/>
        <v>0</v>
      </c>
      <c r="AQ12" s="108"/>
      <c r="AR12" s="10">
        <f t="shared" si="18"/>
        <v>0</v>
      </c>
      <c r="AS12" s="10">
        <f t="shared" si="50"/>
        <v>6000</v>
      </c>
      <c r="AT12" s="10">
        <f t="shared" si="19"/>
        <v>3.8814212859084032</v>
      </c>
      <c r="AU12" s="108"/>
      <c r="AV12" s="10">
        <f t="shared" si="20"/>
        <v>0</v>
      </c>
      <c r="AW12" s="10">
        <f t="shared" si="51"/>
        <v>0</v>
      </c>
      <c r="AX12" s="10">
        <f t="shared" si="21"/>
        <v>0</v>
      </c>
      <c r="AY12" s="108"/>
      <c r="AZ12" s="10">
        <f t="shared" si="22"/>
        <v>0</v>
      </c>
      <c r="BA12" s="10">
        <f t="shared" si="52"/>
        <v>0</v>
      </c>
      <c r="BB12" s="10">
        <f t="shared" si="23"/>
        <v>0</v>
      </c>
      <c r="BC12" s="10">
        <f t="shared" si="53"/>
        <v>19109.363999999998</v>
      </c>
      <c r="BD12" s="10">
        <f t="shared" si="24"/>
        <v>63.373231609112835</v>
      </c>
      <c r="BE12" s="10">
        <f t="shared" si="54"/>
        <v>88974.87</v>
      </c>
      <c r="BF12" s="10">
        <f t="shared" si="25"/>
        <v>57.55815905482217</v>
      </c>
      <c r="BG12" s="108"/>
      <c r="BH12" s="10">
        <f t="shared" si="26"/>
        <v>0</v>
      </c>
      <c r="BI12" s="10">
        <f t="shared" si="55"/>
        <v>0</v>
      </c>
      <c r="BJ12" s="10">
        <f t="shared" si="27"/>
        <v>0</v>
      </c>
      <c r="BK12" s="108"/>
      <c r="BL12" s="10">
        <f t="shared" si="28"/>
        <v>0</v>
      </c>
      <c r="BM12" s="10">
        <f t="shared" si="56"/>
        <v>0</v>
      </c>
      <c r="BN12" s="10">
        <f t="shared" si="29"/>
        <v>0</v>
      </c>
      <c r="BO12" s="108"/>
      <c r="BP12" s="15">
        <f t="shared" si="30"/>
        <v>0</v>
      </c>
      <c r="BQ12" s="10">
        <f t="shared" si="57"/>
        <v>0</v>
      </c>
      <c r="BR12" s="10">
        <f t="shared" si="31"/>
        <v>0</v>
      </c>
      <c r="BS12" s="10">
        <f t="shared" si="58"/>
        <v>0</v>
      </c>
      <c r="BT12" s="10">
        <f t="shared" si="32"/>
        <v>0</v>
      </c>
      <c r="BU12" s="10">
        <f t="shared" si="59"/>
        <v>0</v>
      </c>
      <c r="BV12" s="10">
        <f t="shared" si="33"/>
        <v>0</v>
      </c>
      <c r="BW12" s="108">
        <v>0</v>
      </c>
      <c r="BX12" s="10">
        <f t="shared" si="34"/>
        <v>0</v>
      </c>
      <c r="BY12" s="10">
        <f t="shared" si="60"/>
        <v>0</v>
      </c>
      <c r="BZ12" s="10">
        <f t="shared" si="35"/>
        <v>0</v>
      </c>
      <c r="CA12" s="10">
        <f t="shared" si="36"/>
        <v>30153.683999999997</v>
      </c>
      <c r="CB12" s="10">
        <f t="shared" si="61"/>
        <v>154582.54999999999</v>
      </c>
      <c r="CC12" s="10">
        <f t="shared" si="37"/>
        <v>1.2573989408281554</v>
      </c>
      <c r="CD12" s="10">
        <f t="shared" si="38"/>
        <v>1.4004833390711915</v>
      </c>
    </row>
    <row r="13" spans="1:82">
      <c r="A13" s="16">
        <f>+Chem!A12</f>
        <v>45995</v>
      </c>
      <c r="B13" s="6" t="str">
        <f>+Chem!B12</f>
        <v>MG</v>
      </c>
      <c r="C13" s="16" t="str">
        <f>+Chem!C12</f>
        <v>17</v>
      </c>
      <c r="D13" s="8">
        <f>+Chem!D12</f>
        <v>75.64500000000001</v>
      </c>
      <c r="E13" s="7">
        <f>+Chem!E12</f>
        <v>70.632000000000005</v>
      </c>
      <c r="F13" s="7">
        <f t="shared" si="39"/>
        <v>181.01000000000002</v>
      </c>
      <c r="G13" s="108"/>
      <c r="H13" s="10">
        <f t="shared" si="0"/>
        <v>0</v>
      </c>
      <c r="I13" s="8">
        <f t="shared" si="40"/>
        <v>0</v>
      </c>
      <c r="J13" s="10">
        <f t="shared" si="1"/>
        <v>0</v>
      </c>
      <c r="K13" s="108"/>
      <c r="L13" s="10">
        <f t="shared" si="2"/>
        <v>0</v>
      </c>
      <c r="M13" s="10">
        <f t="shared" si="41"/>
        <v>0</v>
      </c>
      <c r="N13" s="10">
        <f t="shared" si="3"/>
        <v>0</v>
      </c>
      <c r="O13" s="108"/>
      <c r="P13" s="10">
        <f t="shared" si="4"/>
        <v>0</v>
      </c>
      <c r="Q13" s="10">
        <f t="shared" si="42"/>
        <v>0</v>
      </c>
      <c r="R13" s="10">
        <f t="shared" si="5"/>
        <v>0</v>
      </c>
      <c r="S13" s="109">
        <v>0</v>
      </c>
      <c r="T13" s="10">
        <f t="shared" si="6"/>
        <v>0</v>
      </c>
      <c r="U13" s="10">
        <f t="shared" si="43"/>
        <v>7625</v>
      </c>
      <c r="V13" s="10">
        <f t="shared" si="7"/>
        <v>3.3249663371686804</v>
      </c>
      <c r="W13" s="108">
        <f>124*W7</f>
        <v>24455.279999999999</v>
      </c>
      <c r="X13" s="10">
        <f t="shared" si="8"/>
        <v>32.719122626469236</v>
      </c>
      <c r="Y13" s="10">
        <f t="shared" si="44"/>
        <v>82437.959999999992</v>
      </c>
      <c r="Z13" s="10">
        <f t="shared" si="9"/>
        <v>35.947992380965005</v>
      </c>
      <c r="AA13" s="108">
        <v>0</v>
      </c>
      <c r="AB13" s="10">
        <f t="shared" si="10"/>
        <v>0</v>
      </c>
      <c r="AC13" s="10">
        <f t="shared" si="45"/>
        <v>0</v>
      </c>
      <c r="AD13" s="10">
        <f t="shared" si="11"/>
        <v>0</v>
      </c>
      <c r="AE13" s="10">
        <f t="shared" si="46"/>
        <v>24455.279999999999</v>
      </c>
      <c r="AF13" s="10">
        <f t="shared" si="12"/>
        <v>32.719122626469236</v>
      </c>
      <c r="AG13" s="10">
        <f t="shared" si="47"/>
        <v>90062.959999999992</v>
      </c>
      <c r="AH13" s="10">
        <f t="shared" si="13"/>
        <v>39.272958718133687</v>
      </c>
      <c r="AI13" s="109">
        <f>200*AI7</f>
        <v>50287.799999999996</v>
      </c>
      <c r="AJ13" s="10">
        <f t="shared" si="14"/>
        <v>67.280877373530771</v>
      </c>
      <c r="AK13" s="10">
        <f t="shared" si="48"/>
        <v>133262.66999999998</v>
      </c>
      <c r="AL13" s="10">
        <f t="shared" si="15"/>
        <v>58.110674328028665</v>
      </c>
      <c r="AM13" s="108"/>
      <c r="AN13" s="10">
        <f t="shared" si="16"/>
        <v>0</v>
      </c>
      <c r="AO13" s="10">
        <f t="shared" si="49"/>
        <v>0</v>
      </c>
      <c r="AP13" s="10">
        <f t="shared" si="17"/>
        <v>0</v>
      </c>
      <c r="AQ13" s="108"/>
      <c r="AR13" s="10">
        <f t="shared" si="18"/>
        <v>0</v>
      </c>
      <c r="AS13" s="10">
        <f t="shared" si="50"/>
        <v>6000</v>
      </c>
      <c r="AT13" s="10">
        <f t="shared" si="19"/>
        <v>2.6163669538376504</v>
      </c>
      <c r="AU13" s="108"/>
      <c r="AV13" s="10">
        <f t="shared" si="20"/>
        <v>0</v>
      </c>
      <c r="AW13" s="10">
        <f t="shared" si="51"/>
        <v>0</v>
      </c>
      <c r="AX13" s="10">
        <f t="shared" si="21"/>
        <v>0</v>
      </c>
      <c r="AY13" s="108"/>
      <c r="AZ13" s="10">
        <f t="shared" si="22"/>
        <v>0</v>
      </c>
      <c r="BA13" s="10">
        <f t="shared" si="52"/>
        <v>0</v>
      </c>
      <c r="BB13" s="10">
        <f t="shared" si="23"/>
        <v>0</v>
      </c>
      <c r="BC13" s="10">
        <f t="shared" si="53"/>
        <v>50287.799999999996</v>
      </c>
      <c r="BD13" s="10">
        <f t="shared" si="24"/>
        <v>67.280877373530771</v>
      </c>
      <c r="BE13" s="10">
        <f t="shared" si="54"/>
        <v>139262.66999999998</v>
      </c>
      <c r="BF13" s="10">
        <f t="shared" si="25"/>
        <v>60.727041281866313</v>
      </c>
      <c r="BG13" s="108"/>
      <c r="BH13" s="10">
        <f t="shared" si="26"/>
        <v>0</v>
      </c>
      <c r="BI13" s="10">
        <f t="shared" si="55"/>
        <v>0</v>
      </c>
      <c r="BJ13" s="10">
        <f t="shared" si="27"/>
        <v>0</v>
      </c>
      <c r="BK13" s="108"/>
      <c r="BL13" s="10">
        <f t="shared" si="28"/>
        <v>0</v>
      </c>
      <c r="BM13" s="10">
        <f t="shared" si="56"/>
        <v>0</v>
      </c>
      <c r="BN13" s="10">
        <f t="shared" si="29"/>
        <v>0</v>
      </c>
      <c r="BO13" s="108"/>
      <c r="BP13" s="15">
        <f t="shared" si="30"/>
        <v>0</v>
      </c>
      <c r="BQ13" s="10">
        <f t="shared" si="57"/>
        <v>0</v>
      </c>
      <c r="BR13" s="10">
        <f t="shared" si="31"/>
        <v>0</v>
      </c>
      <c r="BS13" s="10">
        <f t="shared" si="58"/>
        <v>0</v>
      </c>
      <c r="BT13" s="10">
        <f t="shared" si="32"/>
        <v>0</v>
      </c>
      <c r="BU13" s="10">
        <f t="shared" si="59"/>
        <v>0</v>
      </c>
      <c r="BV13" s="10">
        <f t="shared" si="33"/>
        <v>0</v>
      </c>
      <c r="BW13" s="108">
        <v>0</v>
      </c>
      <c r="BX13" s="10">
        <f t="shared" si="34"/>
        <v>0</v>
      </c>
      <c r="BY13" s="10">
        <f t="shared" si="60"/>
        <v>0</v>
      </c>
      <c r="BZ13" s="10">
        <f t="shared" si="35"/>
        <v>0</v>
      </c>
      <c r="CA13" s="10">
        <f t="shared" si="36"/>
        <v>74743.079999999987</v>
      </c>
      <c r="CB13" s="10">
        <f t="shared" si="61"/>
        <v>229325.62999999998</v>
      </c>
      <c r="CC13" s="10">
        <f t="shared" si="37"/>
        <v>1.0582042133876994</v>
      </c>
      <c r="CD13" s="10">
        <f t="shared" si="38"/>
        <v>1.2669224352245729</v>
      </c>
    </row>
    <row r="14" spans="1:82">
      <c r="A14" s="16">
        <f>+Chem!A13</f>
        <v>45996</v>
      </c>
      <c r="B14" s="6" t="str">
        <f>+Chem!B13</f>
        <v>MG</v>
      </c>
      <c r="C14" s="16" t="str">
        <f>+Chem!C13</f>
        <v>17/14</v>
      </c>
      <c r="D14" s="8">
        <f>+Chem!D13</f>
        <v>79.574000000000012</v>
      </c>
      <c r="E14" s="7">
        <f>+Chem!E13</f>
        <v>76.335999999999999</v>
      </c>
      <c r="F14" s="7">
        <f t="shared" si="39"/>
        <v>257.346</v>
      </c>
      <c r="G14" s="109"/>
      <c r="H14" s="100">
        <f t="shared" si="0"/>
        <v>0</v>
      </c>
      <c r="I14" s="8">
        <f t="shared" si="40"/>
        <v>0</v>
      </c>
      <c r="J14" s="100">
        <f t="shared" si="1"/>
        <v>0</v>
      </c>
      <c r="K14" s="109"/>
      <c r="L14" s="100">
        <f t="shared" si="2"/>
        <v>0</v>
      </c>
      <c r="M14" s="100">
        <f t="shared" si="41"/>
        <v>0</v>
      </c>
      <c r="N14" s="100">
        <f t="shared" si="3"/>
        <v>0</v>
      </c>
      <c r="O14" s="108"/>
      <c r="P14" s="100">
        <f t="shared" si="4"/>
        <v>0</v>
      </c>
      <c r="Q14" s="100">
        <f t="shared" si="42"/>
        <v>0</v>
      </c>
      <c r="R14" s="100">
        <f t="shared" si="5"/>
        <v>0</v>
      </c>
      <c r="S14" s="109">
        <v>0</v>
      </c>
      <c r="T14" s="100">
        <f t="shared" si="6"/>
        <v>0</v>
      </c>
      <c r="U14" s="100">
        <f t="shared" si="43"/>
        <v>7625</v>
      </c>
      <c r="V14" s="100">
        <f t="shared" si="7"/>
        <v>2.508305484672944</v>
      </c>
      <c r="W14" s="108">
        <f>144*W7</f>
        <v>28399.68</v>
      </c>
      <c r="X14" s="100">
        <f t="shared" si="8"/>
        <v>38.036411863765537</v>
      </c>
      <c r="Y14" s="100">
        <f t="shared" si="44"/>
        <v>110837.63999999998</v>
      </c>
      <c r="Z14" s="100">
        <f t="shared" si="9"/>
        <v>36.460939058387574</v>
      </c>
      <c r="AA14" s="108">
        <v>0</v>
      </c>
      <c r="AB14" s="100">
        <f t="shared" si="10"/>
        <v>0</v>
      </c>
      <c r="AC14" s="100">
        <f t="shared" si="45"/>
        <v>0</v>
      </c>
      <c r="AD14" s="100">
        <f t="shared" si="11"/>
        <v>0</v>
      </c>
      <c r="AE14" s="10">
        <f t="shared" si="46"/>
        <v>28399.68</v>
      </c>
      <c r="AF14" s="100">
        <f t="shared" si="12"/>
        <v>38.036411863765537</v>
      </c>
      <c r="AG14" s="100">
        <f t="shared" si="47"/>
        <v>118462.63999999998</v>
      </c>
      <c r="AH14" s="100">
        <f t="shared" si="13"/>
        <v>38.969244543060519</v>
      </c>
      <c r="AI14" s="109">
        <f>184*AI7</f>
        <v>46264.775999999998</v>
      </c>
      <c r="AJ14" s="100">
        <f t="shared" si="14"/>
        <v>61.963588136234463</v>
      </c>
      <c r="AK14" s="100">
        <f t="shared" si="48"/>
        <v>179527.446</v>
      </c>
      <c r="AL14" s="100">
        <f t="shared" si="15"/>
        <v>59.05700687883617</v>
      </c>
      <c r="AM14" s="109"/>
      <c r="AN14" s="100">
        <f t="shared" si="16"/>
        <v>0</v>
      </c>
      <c r="AO14" s="100">
        <f t="shared" si="49"/>
        <v>0</v>
      </c>
      <c r="AP14" s="100">
        <f t="shared" si="17"/>
        <v>0</v>
      </c>
      <c r="AQ14" s="109"/>
      <c r="AR14" s="100">
        <f t="shared" si="18"/>
        <v>0</v>
      </c>
      <c r="AS14" s="100">
        <f t="shared" si="50"/>
        <v>6000</v>
      </c>
      <c r="AT14" s="100">
        <f t="shared" si="19"/>
        <v>1.9737485781033004</v>
      </c>
      <c r="AU14" s="109"/>
      <c r="AV14" s="100">
        <f t="shared" si="20"/>
        <v>0</v>
      </c>
      <c r="AW14" s="100">
        <f t="shared" si="51"/>
        <v>0</v>
      </c>
      <c r="AX14" s="100">
        <f t="shared" si="21"/>
        <v>0</v>
      </c>
      <c r="AY14" s="109"/>
      <c r="AZ14" s="100">
        <f t="shared" si="22"/>
        <v>0</v>
      </c>
      <c r="BA14" s="100">
        <f t="shared" si="52"/>
        <v>0</v>
      </c>
      <c r="BB14" s="100">
        <f t="shared" si="23"/>
        <v>0</v>
      </c>
      <c r="BC14" s="10">
        <f t="shared" si="53"/>
        <v>46264.775999999998</v>
      </c>
      <c r="BD14" s="100">
        <f t="shared" si="24"/>
        <v>61.963588136234463</v>
      </c>
      <c r="BE14" s="100">
        <f t="shared" si="54"/>
        <v>185527.446</v>
      </c>
      <c r="BF14" s="100">
        <f t="shared" si="25"/>
        <v>61.030755456939467</v>
      </c>
      <c r="BG14" s="109"/>
      <c r="BH14" s="100">
        <f t="shared" si="26"/>
        <v>0</v>
      </c>
      <c r="BI14" s="100">
        <f t="shared" si="55"/>
        <v>0</v>
      </c>
      <c r="BJ14" s="100">
        <f t="shared" si="27"/>
        <v>0</v>
      </c>
      <c r="BK14" s="109"/>
      <c r="BL14" s="100">
        <f t="shared" si="28"/>
        <v>0</v>
      </c>
      <c r="BM14" s="100">
        <f t="shared" si="56"/>
        <v>0</v>
      </c>
      <c r="BN14" s="100">
        <f t="shared" si="29"/>
        <v>0</v>
      </c>
      <c r="BO14" s="109"/>
      <c r="BP14" s="101">
        <f t="shared" si="30"/>
        <v>0</v>
      </c>
      <c r="BQ14" s="100">
        <f t="shared" si="57"/>
        <v>0</v>
      </c>
      <c r="BR14" s="100">
        <f t="shared" si="31"/>
        <v>0</v>
      </c>
      <c r="BS14" s="100">
        <f t="shared" si="58"/>
        <v>0</v>
      </c>
      <c r="BT14" s="100">
        <f t="shared" si="32"/>
        <v>0</v>
      </c>
      <c r="BU14" s="100">
        <f t="shared" si="59"/>
        <v>0</v>
      </c>
      <c r="BV14" s="100">
        <f t="shared" si="33"/>
        <v>0</v>
      </c>
      <c r="BW14" s="109">
        <v>0</v>
      </c>
      <c r="BX14" s="100">
        <f t="shared" si="34"/>
        <v>0</v>
      </c>
      <c r="BY14" s="100">
        <f t="shared" si="60"/>
        <v>0</v>
      </c>
      <c r="BZ14" s="100">
        <f t="shared" si="35"/>
        <v>0</v>
      </c>
      <c r="CA14" s="100">
        <f t="shared" si="36"/>
        <v>74664.456000000006</v>
      </c>
      <c r="CB14" s="100">
        <f t="shared" si="61"/>
        <v>303990.08600000001</v>
      </c>
      <c r="CC14" s="100">
        <f t="shared" si="37"/>
        <v>0.97810280863550625</v>
      </c>
      <c r="CD14" s="100">
        <f t="shared" si="38"/>
        <v>1.1812504798986578</v>
      </c>
    </row>
    <row r="15" spans="1:82">
      <c r="A15" s="16">
        <f>+Chem!A14</f>
        <v>45997</v>
      </c>
      <c r="B15" s="6" t="str">
        <f>+Chem!B14</f>
        <v>MG</v>
      </c>
      <c r="C15" s="16" t="str">
        <f>+Chem!C14</f>
        <v>14</v>
      </c>
      <c r="D15" s="8">
        <f>+Chem!D14</f>
        <v>69.167000000000002</v>
      </c>
      <c r="E15" s="7">
        <f>+Chem!E14</f>
        <v>72.11</v>
      </c>
      <c r="F15" s="7">
        <f t="shared" si="39"/>
        <v>329.45600000000002</v>
      </c>
      <c r="G15" s="109"/>
      <c r="H15" s="100">
        <f t="shared" si="0"/>
        <v>0</v>
      </c>
      <c r="I15" s="8">
        <f t="shared" si="40"/>
        <v>0</v>
      </c>
      <c r="J15" s="100">
        <f t="shared" si="1"/>
        <v>0</v>
      </c>
      <c r="K15" s="109"/>
      <c r="L15" s="100">
        <f t="shared" si="2"/>
        <v>0</v>
      </c>
      <c r="M15" s="100">
        <f t="shared" si="41"/>
        <v>0</v>
      </c>
      <c r="N15" s="100">
        <f t="shared" si="3"/>
        <v>0</v>
      </c>
      <c r="O15" s="108"/>
      <c r="P15" s="100">
        <f t="shared" si="4"/>
        <v>0</v>
      </c>
      <c r="Q15" s="100">
        <f t="shared" si="42"/>
        <v>0</v>
      </c>
      <c r="R15" s="100">
        <f t="shared" si="5"/>
        <v>0</v>
      </c>
      <c r="S15" s="109">
        <v>0</v>
      </c>
      <c r="T15" s="100">
        <f t="shared" si="6"/>
        <v>0</v>
      </c>
      <c r="U15" s="100">
        <f t="shared" si="43"/>
        <v>7625</v>
      </c>
      <c r="V15" s="100">
        <f t="shared" si="7"/>
        <v>2.0419974686944111</v>
      </c>
      <c r="W15" s="108">
        <f>148*W7</f>
        <v>29188.560000000001</v>
      </c>
      <c r="X15" s="100">
        <f t="shared" si="8"/>
        <v>42.047053535929749</v>
      </c>
      <c r="Y15" s="100">
        <f t="shared" si="44"/>
        <v>140026.19999999998</v>
      </c>
      <c r="Z15" s="100">
        <f t="shared" si="9"/>
        <v>37.499428977166865</v>
      </c>
      <c r="AA15" s="108">
        <v>0</v>
      </c>
      <c r="AB15" s="100">
        <f t="shared" si="10"/>
        <v>0</v>
      </c>
      <c r="AC15" s="100">
        <f t="shared" si="45"/>
        <v>0</v>
      </c>
      <c r="AD15" s="100">
        <f t="shared" si="11"/>
        <v>0</v>
      </c>
      <c r="AE15" s="10">
        <f t="shared" si="46"/>
        <v>29188.560000000001</v>
      </c>
      <c r="AF15" s="100">
        <f t="shared" si="12"/>
        <v>42.047053535929749</v>
      </c>
      <c r="AG15" s="100">
        <f t="shared" si="47"/>
        <v>147651.19999999998</v>
      </c>
      <c r="AH15" s="100">
        <f t="shared" si="13"/>
        <v>39.541426445861276</v>
      </c>
      <c r="AI15" s="109">
        <f>160*AI7</f>
        <v>40230.239999999998</v>
      </c>
      <c r="AJ15" s="100">
        <f t="shared" si="14"/>
        <v>57.952946464070244</v>
      </c>
      <c r="AK15" s="100">
        <f t="shared" si="48"/>
        <v>219757.68599999999</v>
      </c>
      <c r="AL15" s="100">
        <f t="shared" si="15"/>
        <v>58.851755873854593</v>
      </c>
      <c r="AM15" s="109"/>
      <c r="AN15" s="100">
        <f t="shared" si="16"/>
        <v>0</v>
      </c>
      <c r="AO15" s="100">
        <f t="shared" si="49"/>
        <v>0</v>
      </c>
      <c r="AP15" s="100">
        <f t="shared" si="17"/>
        <v>0</v>
      </c>
      <c r="AQ15" s="109"/>
      <c r="AR15" s="100">
        <f t="shared" si="18"/>
        <v>0</v>
      </c>
      <c r="AS15" s="100">
        <f t="shared" si="50"/>
        <v>6000</v>
      </c>
      <c r="AT15" s="100">
        <f t="shared" si="19"/>
        <v>1.606817680284127</v>
      </c>
      <c r="AU15" s="109"/>
      <c r="AV15" s="100">
        <f t="shared" si="20"/>
        <v>0</v>
      </c>
      <c r="AW15" s="100">
        <f t="shared" si="51"/>
        <v>0</v>
      </c>
      <c r="AX15" s="100">
        <f t="shared" si="21"/>
        <v>0</v>
      </c>
      <c r="AY15" s="109"/>
      <c r="AZ15" s="100">
        <f t="shared" si="22"/>
        <v>0</v>
      </c>
      <c r="BA15" s="100">
        <f t="shared" si="52"/>
        <v>0</v>
      </c>
      <c r="BB15" s="100">
        <f t="shared" si="23"/>
        <v>0</v>
      </c>
      <c r="BC15" s="10">
        <f t="shared" si="53"/>
        <v>40230.239999999998</v>
      </c>
      <c r="BD15" s="100">
        <f t="shared" si="24"/>
        <v>57.952946464070244</v>
      </c>
      <c r="BE15" s="100">
        <f t="shared" si="54"/>
        <v>225757.68599999999</v>
      </c>
      <c r="BF15" s="100">
        <f t="shared" si="25"/>
        <v>60.458573554138717</v>
      </c>
      <c r="BG15" s="109"/>
      <c r="BH15" s="100">
        <f t="shared" si="26"/>
        <v>0</v>
      </c>
      <c r="BI15" s="100">
        <f t="shared" si="55"/>
        <v>0</v>
      </c>
      <c r="BJ15" s="100">
        <f t="shared" si="27"/>
        <v>0</v>
      </c>
      <c r="BK15" s="109"/>
      <c r="BL15" s="100">
        <f t="shared" si="28"/>
        <v>0</v>
      </c>
      <c r="BM15" s="100">
        <f t="shared" si="56"/>
        <v>0</v>
      </c>
      <c r="BN15" s="100">
        <f t="shared" si="29"/>
        <v>0</v>
      </c>
      <c r="BO15" s="109"/>
      <c r="BP15" s="101">
        <f t="shared" si="30"/>
        <v>0</v>
      </c>
      <c r="BQ15" s="100">
        <f t="shared" si="57"/>
        <v>0</v>
      </c>
      <c r="BR15" s="100">
        <f t="shared" si="31"/>
        <v>0</v>
      </c>
      <c r="BS15" s="100">
        <f t="shared" si="58"/>
        <v>0</v>
      </c>
      <c r="BT15" s="100">
        <f t="shared" si="32"/>
        <v>0</v>
      </c>
      <c r="BU15" s="100">
        <f t="shared" si="59"/>
        <v>0</v>
      </c>
      <c r="BV15" s="100">
        <f t="shared" si="33"/>
        <v>0</v>
      </c>
      <c r="BW15" s="109">
        <v>0</v>
      </c>
      <c r="BX15" s="100">
        <f t="shared" si="34"/>
        <v>0</v>
      </c>
      <c r="BY15" s="100">
        <f t="shared" si="60"/>
        <v>0</v>
      </c>
      <c r="BZ15" s="100">
        <f t="shared" si="35"/>
        <v>0</v>
      </c>
      <c r="CA15" s="100">
        <f t="shared" si="36"/>
        <v>69418.8</v>
      </c>
      <c r="CB15" s="100">
        <f t="shared" si="61"/>
        <v>373408.886</v>
      </c>
      <c r="CC15" s="100">
        <f t="shared" si="37"/>
        <v>0.96267924004992378</v>
      </c>
      <c r="CD15" s="100">
        <f t="shared" si="38"/>
        <v>1.1334104888057888</v>
      </c>
    </row>
    <row r="16" spans="1:82">
      <c r="A16" s="16">
        <f>+Chem!A15</f>
        <v>45998</v>
      </c>
      <c r="B16" s="6" t="str">
        <f>+Chem!B15</f>
        <v>MG</v>
      </c>
      <c r="C16" s="16" t="str">
        <f>+Chem!C15</f>
        <v>14/19</v>
      </c>
      <c r="D16" s="8">
        <f>+Chem!D15</f>
        <v>70.668999999999997</v>
      </c>
      <c r="E16" s="7">
        <f>+Chem!E15</f>
        <v>74.795000000000002</v>
      </c>
      <c r="F16" s="7">
        <f t="shared" si="39"/>
        <v>404.25100000000003</v>
      </c>
      <c r="G16" s="109"/>
      <c r="H16" s="100">
        <f t="shared" si="0"/>
        <v>0</v>
      </c>
      <c r="I16" s="8">
        <f t="shared" si="40"/>
        <v>0</v>
      </c>
      <c r="J16" s="100">
        <f t="shared" si="1"/>
        <v>0</v>
      </c>
      <c r="K16" s="109"/>
      <c r="L16" s="100">
        <f t="shared" si="2"/>
        <v>0</v>
      </c>
      <c r="M16" s="100">
        <f t="shared" si="41"/>
        <v>0</v>
      </c>
      <c r="N16" s="100">
        <f t="shared" si="3"/>
        <v>0</v>
      </c>
      <c r="O16" s="108"/>
      <c r="P16" s="100">
        <f t="shared" si="4"/>
        <v>0</v>
      </c>
      <c r="Q16" s="100">
        <f t="shared" si="42"/>
        <v>0</v>
      </c>
      <c r="R16" s="100">
        <f t="shared" si="5"/>
        <v>0</v>
      </c>
      <c r="S16" s="109">
        <v>0</v>
      </c>
      <c r="T16" s="100">
        <f t="shared" si="6"/>
        <v>0</v>
      </c>
      <c r="U16" s="100">
        <f t="shared" si="43"/>
        <v>7625</v>
      </c>
      <c r="V16" s="100">
        <f t="shared" si="7"/>
        <v>1.7249616767809295</v>
      </c>
      <c r="W16" s="108">
        <f>144*W7</f>
        <v>28399.68</v>
      </c>
      <c r="X16" s="100">
        <f t="shared" si="8"/>
        <v>41.380902090516791</v>
      </c>
      <c r="Y16" s="100">
        <f t="shared" si="44"/>
        <v>168425.87999999998</v>
      </c>
      <c r="Z16" s="100">
        <f t="shared" si="9"/>
        <v>38.102057492210307</v>
      </c>
      <c r="AA16" s="108">
        <v>0</v>
      </c>
      <c r="AB16" s="100">
        <f t="shared" si="10"/>
        <v>0</v>
      </c>
      <c r="AC16" s="100">
        <f t="shared" si="45"/>
        <v>0</v>
      </c>
      <c r="AD16" s="100">
        <f t="shared" si="11"/>
        <v>0</v>
      </c>
      <c r="AE16" s="10">
        <f t="shared" si="46"/>
        <v>28399.68</v>
      </c>
      <c r="AF16" s="100">
        <f t="shared" si="12"/>
        <v>41.380902090516791</v>
      </c>
      <c r="AG16" s="100">
        <f t="shared" si="47"/>
        <v>176050.87999999998</v>
      </c>
      <c r="AH16" s="100">
        <f t="shared" si="13"/>
        <v>39.827019168991235</v>
      </c>
      <c r="AI16" s="109">
        <f>160*AI7</f>
        <v>40230.239999999998</v>
      </c>
      <c r="AJ16" s="100">
        <f t="shared" si="14"/>
        <v>58.619097909483209</v>
      </c>
      <c r="AK16" s="100">
        <f t="shared" si="48"/>
        <v>259987.92599999998</v>
      </c>
      <c r="AL16" s="100">
        <f t="shared" si="15"/>
        <v>58.815633937804094</v>
      </c>
      <c r="AM16" s="109"/>
      <c r="AN16" s="100">
        <f t="shared" si="16"/>
        <v>0</v>
      </c>
      <c r="AO16" s="100">
        <f t="shared" si="49"/>
        <v>0</v>
      </c>
      <c r="AP16" s="100">
        <f t="shared" si="17"/>
        <v>0</v>
      </c>
      <c r="AQ16" s="109"/>
      <c r="AR16" s="100">
        <f t="shared" si="18"/>
        <v>0</v>
      </c>
      <c r="AS16" s="100">
        <f t="shared" si="50"/>
        <v>6000</v>
      </c>
      <c r="AT16" s="100">
        <f t="shared" si="19"/>
        <v>1.3573468932046659</v>
      </c>
      <c r="AU16" s="109"/>
      <c r="AV16" s="100">
        <f t="shared" si="20"/>
        <v>0</v>
      </c>
      <c r="AW16" s="100">
        <f t="shared" si="51"/>
        <v>0</v>
      </c>
      <c r="AX16" s="100">
        <f t="shared" si="21"/>
        <v>0</v>
      </c>
      <c r="AY16" s="109"/>
      <c r="AZ16" s="100">
        <f t="shared" si="22"/>
        <v>0</v>
      </c>
      <c r="BA16" s="100">
        <f t="shared" si="52"/>
        <v>0</v>
      </c>
      <c r="BB16" s="100">
        <f t="shared" si="23"/>
        <v>0</v>
      </c>
      <c r="BC16" s="10">
        <f t="shared" si="53"/>
        <v>40230.239999999998</v>
      </c>
      <c r="BD16" s="100">
        <f t="shared" si="24"/>
        <v>58.619097909483209</v>
      </c>
      <c r="BE16" s="100">
        <f t="shared" si="54"/>
        <v>265987.92599999998</v>
      </c>
      <c r="BF16" s="100">
        <f t="shared" si="25"/>
        <v>60.172980831008758</v>
      </c>
      <c r="BG16" s="109"/>
      <c r="BH16" s="100">
        <f t="shared" si="26"/>
        <v>0</v>
      </c>
      <c r="BI16" s="100">
        <f t="shared" si="55"/>
        <v>0</v>
      </c>
      <c r="BJ16" s="100">
        <f t="shared" si="27"/>
        <v>0</v>
      </c>
      <c r="BK16" s="109"/>
      <c r="BL16" s="100">
        <f t="shared" si="28"/>
        <v>0</v>
      </c>
      <c r="BM16" s="100">
        <f t="shared" si="56"/>
        <v>0</v>
      </c>
      <c r="BN16" s="100">
        <f t="shared" si="29"/>
        <v>0</v>
      </c>
      <c r="BO16" s="109"/>
      <c r="BP16" s="101">
        <f t="shared" si="30"/>
        <v>0</v>
      </c>
      <c r="BQ16" s="100">
        <f t="shared" si="57"/>
        <v>0</v>
      </c>
      <c r="BR16" s="100">
        <f t="shared" si="31"/>
        <v>0</v>
      </c>
      <c r="BS16" s="100">
        <f t="shared" si="58"/>
        <v>0</v>
      </c>
      <c r="BT16" s="100">
        <f t="shared" si="32"/>
        <v>0</v>
      </c>
      <c r="BU16" s="100">
        <f t="shared" si="59"/>
        <v>0</v>
      </c>
      <c r="BV16" s="100">
        <f t="shared" si="33"/>
        <v>0</v>
      </c>
      <c r="BW16" s="109">
        <v>0</v>
      </c>
      <c r="BX16" s="100">
        <f t="shared" si="34"/>
        <v>0</v>
      </c>
      <c r="BY16" s="100">
        <f t="shared" si="60"/>
        <v>0</v>
      </c>
      <c r="BZ16" s="100">
        <f t="shared" si="35"/>
        <v>0</v>
      </c>
      <c r="CA16" s="100">
        <f t="shared" si="36"/>
        <v>68629.919999999998</v>
      </c>
      <c r="CB16" s="100">
        <f t="shared" si="61"/>
        <v>442038.80599999998</v>
      </c>
      <c r="CC16" s="100">
        <f t="shared" si="37"/>
        <v>0.9175736346012433</v>
      </c>
      <c r="CD16" s="100">
        <f t="shared" si="38"/>
        <v>1.0934760977709392</v>
      </c>
    </row>
    <row r="17" spans="1:91">
      <c r="A17" s="16">
        <f>+Chem!A16</f>
        <v>45999</v>
      </c>
      <c r="B17" s="6" t="str">
        <f>+Chem!B16</f>
        <v>MG</v>
      </c>
      <c r="C17" s="16" t="str">
        <f>+Chem!C16</f>
        <v>19/17/17/21,5</v>
      </c>
      <c r="D17" s="8">
        <f>+Chem!D16</f>
        <v>79.239000000000004</v>
      </c>
      <c r="E17" s="7">
        <f>+Chem!E16</f>
        <v>90.966999999999999</v>
      </c>
      <c r="F17" s="7">
        <f t="shared" si="39"/>
        <v>495.21800000000002</v>
      </c>
      <c r="G17" s="109"/>
      <c r="H17" s="100">
        <f t="shared" si="0"/>
        <v>0</v>
      </c>
      <c r="I17" s="8">
        <f t="shared" si="40"/>
        <v>0</v>
      </c>
      <c r="J17" s="100">
        <f t="shared" si="1"/>
        <v>0</v>
      </c>
      <c r="K17" s="109"/>
      <c r="L17" s="100">
        <f t="shared" si="2"/>
        <v>0</v>
      </c>
      <c r="M17" s="100">
        <f t="shared" si="41"/>
        <v>0</v>
      </c>
      <c r="N17" s="100">
        <f t="shared" si="3"/>
        <v>0</v>
      </c>
      <c r="O17" s="108"/>
      <c r="P17" s="100">
        <f t="shared" si="4"/>
        <v>0</v>
      </c>
      <c r="Q17" s="100">
        <f t="shared" si="42"/>
        <v>0</v>
      </c>
      <c r="R17" s="100">
        <f t="shared" si="5"/>
        <v>0</v>
      </c>
      <c r="S17" s="109">
        <f>30*S7</f>
        <v>7500</v>
      </c>
      <c r="T17" s="100">
        <f t="shared" si="6"/>
        <v>9.7606867025714177</v>
      </c>
      <c r="U17" s="100">
        <f t="shared" si="43"/>
        <v>15125</v>
      </c>
      <c r="V17" s="100">
        <f t="shared" si="7"/>
        <v>2.9149452959106186</v>
      </c>
      <c r="W17" s="108">
        <f>66*W7</f>
        <v>13016.52</v>
      </c>
      <c r="X17" s="100">
        <f t="shared" si="8"/>
        <v>16.940023157033991</v>
      </c>
      <c r="Y17" s="100">
        <f t="shared" si="44"/>
        <v>181442.39999999997</v>
      </c>
      <c r="Z17" s="100">
        <f t="shared" si="9"/>
        <v>34.968242668345965</v>
      </c>
      <c r="AA17" s="108">
        <v>0</v>
      </c>
      <c r="AB17" s="100">
        <f t="shared" si="10"/>
        <v>0</v>
      </c>
      <c r="AC17" s="100">
        <f t="shared" si="45"/>
        <v>0</v>
      </c>
      <c r="AD17" s="100">
        <f t="shared" si="11"/>
        <v>0</v>
      </c>
      <c r="AE17" s="10">
        <f t="shared" si="46"/>
        <v>20516.52</v>
      </c>
      <c r="AF17" s="100">
        <f t="shared" si="12"/>
        <v>26.700709859605404</v>
      </c>
      <c r="AG17" s="100">
        <f t="shared" si="47"/>
        <v>196567.39999999997</v>
      </c>
      <c r="AH17" s="100">
        <f t="shared" si="13"/>
        <v>37.883187964256578</v>
      </c>
      <c r="AI17" s="109">
        <f>224*AI7</f>
        <v>56322.335999999996</v>
      </c>
      <c r="AJ17" s="100">
        <f t="shared" si="14"/>
        <v>73.299290140394589</v>
      </c>
      <c r="AK17" s="100">
        <f t="shared" si="48"/>
        <v>316310.26199999999</v>
      </c>
      <c r="AL17" s="100">
        <f t="shared" si="15"/>
        <v>60.960470100175556</v>
      </c>
      <c r="AM17" s="109"/>
      <c r="AN17" s="100">
        <f t="shared" si="16"/>
        <v>0</v>
      </c>
      <c r="AO17" s="100">
        <f t="shared" si="49"/>
        <v>0</v>
      </c>
      <c r="AP17" s="100">
        <f t="shared" si="17"/>
        <v>0</v>
      </c>
      <c r="AQ17" s="109"/>
      <c r="AR17" s="100">
        <f t="shared" si="18"/>
        <v>0</v>
      </c>
      <c r="AS17" s="100">
        <f t="shared" si="50"/>
        <v>6000</v>
      </c>
      <c r="AT17" s="100">
        <f t="shared" si="19"/>
        <v>1.1563419355678486</v>
      </c>
      <c r="AU17" s="109"/>
      <c r="AV17" s="100">
        <f t="shared" si="20"/>
        <v>0</v>
      </c>
      <c r="AW17" s="100">
        <f t="shared" si="51"/>
        <v>0</v>
      </c>
      <c r="AX17" s="100">
        <f t="shared" si="21"/>
        <v>0</v>
      </c>
      <c r="AY17" s="109"/>
      <c r="AZ17" s="100">
        <f t="shared" si="22"/>
        <v>0</v>
      </c>
      <c r="BA17" s="100">
        <f t="shared" si="52"/>
        <v>0</v>
      </c>
      <c r="BB17" s="100">
        <f t="shared" si="23"/>
        <v>0</v>
      </c>
      <c r="BC17" s="10">
        <f t="shared" si="53"/>
        <v>56322.335999999996</v>
      </c>
      <c r="BD17" s="100">
        <f t="shared" si="24"/>
        <v>73.299290140394589</v>
      </c>
      <c r="BE17" s="100">
        <f t="shared" si="54"/>
        <v>322310.26199999999</v>
      </c>
      <c r="BF17" s="100">
        <f t="shared" si="25"/>
        <v>62.116812035743408</v>
      </c>
      <c r="BG17" s="109"/>
      <c r="BH17" s="100">
        <f t="shared" si="26"/>
        <v>0</v>
      </c>
      <c r="BI17" s="100">
        <f t="shared" si="55"/>
        <v>0</v>
      </c>
      <c r="BJ17" s="100">
        <f t="shared" si="27"/>
        <v>0</v>
      </c>
      <c r="BK17" s="109"/>
      <c r="BL17" s="100">
        <f t="shared" si="28"/>
        <v>0</v>
      </c>
      <c r="BM17" s="100">
        <f t="shared" si="56"/>
        <v>0</v>
      </c>
      <c r="BN17" s="100">
        <f t="shared" si="29"/>
        <v>0</v>
      </c>
      <c r="BO17" s="109"/>
      <c r="BP17" s="101">
        <f t="shared" si="30"/>
        <v>0</v>
      </c>
      <c r="BQ17" s="100">
        <f t="shared" si="57"/>
        <v>0</v>
      </c>
      <c r="BR17" s="100">
        <f t="shared" si="31"/>
        <v>0</v>
      </c>
      <c r="BS17" s="100">
        <f t="shared" si="58"/>
        <v>0</v>
      </c>
      <c r="BT17" s="100">
        <f t="shared" si="32"/>
        <v>0</v>
      </c>
      <c r="BU17" s="100">
        <f t="shared" si="59"/>
        <v>0</v>
      </c>
      <c r="BV17" s="100">
        <f t="shared" si="33"/>
        <v>0</v>
      </c>
      <c r="BW17" s="109">
        <v>0</v>
      </c>
      <c r="BX17" s="100">
        <f t="shared" si="34"/>
        <v>0</v>
      </c>
      <c r="BY17" s="100">
        <f t="shared" si="60"/>
        <v>0</v>
      </c>
      <c r="BZ17" s="100">
        <f t="shared" si="35"/>
        <v>0</v>
      </c>
      <c r="CA17" s="100">
        <f t="shared" si="36"/>
        <v>76838.856</v>
      </c>
      <c r="CB17" s="100">
        <f t="shared" si="61"/>
        <v>518877.66200000001</v>
      </c>
      <c r="CC17" s="100">
        <f t="shared" si="37"/>
        <v>0.84468934888476033</v>
      </c>
      <c r="CD17" s="100">
        <f t="shared" si="38"/>
        <v>1.0477762561134691</v>
      </c>
    </row>
    <row r="18" spans="1:91">
      <c r="A18" s="16">
        <f>+Chem!A17</f>
        <v>46000</v>
      </c>
      <c r="B18" s="6" t="str">
        <f>+Chem!B17</f>
        <v>MG/Facial</v>
      </c>
      <c r="C18" s="16" t="str">
        <f>+Chem!C17</f>
        <v>21,5/13</v>
      </c>
      <c r="D18" s="8">
        <f>+Chem!D17</f>
        <v>62.222999999999999</v>
      </c>
      <c r="E18" s="7">
        <f>+Chem!E17</f>
        <v>54.371000000000002</v>
      </c>
      <c r="F18" s="7">
        <f t="shared" si="39"/>
        <v>549.58900000000006</v>
      </c>
      <c r="G18" s="108"/>
      <c r="H18" s="10">
        <f t="shared" si="0"/>
        <v>0</v>
      </c>
      <c r="I18" s="8">
        <f t="shared" si="40"/>
        <v>0</v>
      </c>
      <c r="J18" s="10">
        <f t="shared" si="1"/>
        <v>0</v>
      </c>
      <c r="K18" s="108"/>
      <c r="L18" s="10">
        <f t="shared" si="2"/>
        <v>0</v>
      </c>
      <c r="M18" s="10">
        <f t="shared" si="41"/>
        <v>0</v>
      </c>
      <c r="N18" s="10">
        <f t="shared" si="3"/>
        <v>0</v>
      </c>
      <c r="O18" s="108"/>
      <c r="P18" s="10">
        <f t="shared" si="4"/>
        <v>0</v>
      </c>
      <c r="Q18" s="10">
        <f t="shared" si="42"/>
        <v>0</v>
      </c>
      <c r="R18" s="10">
        <f t="shared" si="5"/>
        <v>0</v>
      </c>
      <c r="S18" s="108">
        <f>26*S7</f>
        <v>6500</v>
      </c>
      <c r="T18" s="10">
        <f t="shared" si="6"/>
        <v>11.149910130008982</v>
      </c>
      <c r="U18" s="10">
        <f t="shared" si="43"/>
        <v>21625</v>
      </c>
      <c r="V18" s="10">
        <f t="shared" si="7"/>
        <v>3.7467031437945892</v>
      </c>
      <c r="W18" s="108"/>
      <c r="X18" s="10">
        <f t="shared" si="8"/>
        <v>0</v>
      </c>
      <c r="Y18" s="10">
        <f t="shared" si="44"/>
        <v>181442.39999999997</v>
      </c>
      <c r="Z18" s="10">
        <f t="shared" si="9"/>
        <v>31.436338057694112</v>
      </c>
      <c r="AA18" s="108">
        <v>0</v>
      </c>
      <c r="AB18" s="10">
        <f t="shared" si="10"/>
        <v>0</v>
      </c>
      <c r="AC18" s="10">
        <f t="shared" si="45"/>
        <v>0</v>
      </c>
      <c r="AD18" s="10">
        <f t="shared" si="11"/>
        <v>0</v>
      </c>
      <c r="AE18" s="10">
        <f t="shared" si="46"/>
        <v>6500</v>
      </c>
      <c r="AF18" s="10">
        <f t="shared" si="12"/>
        <v>11.149910130008982</v>
      </c>
      <c r="AG18" s="10">
        <f t="shared" si="47"/>
        <v>203067.39999999997</v>
      </c>
      <c r="AH18" s="10">
        <f t="shared" si="13"/>
        <v>35.183041201488699</v>
      </c>
      <c r="AI18" s="108">
        <f>206*AI7</f>
        <v>51796.434000000001</v>
      </c>
      <c r="AJ18" s="10">
        <f t="shared" si="14"/>
        <v>88.850089869991024</v>
      </c>
      <c r="AK18" s="10">
        <f t="shared" si="48"/>
        <v>368106.696</v>
      </c>
      <c r="AL18" s="10">
        <f t="shared" si="15"/>
        <v>63.777411105435334</v>
      </c>
      <c r="AM18" s="108"/>
      <c r="AN18" s="10">
        <f t="shared" si="16"/>
        <v>0</v>
      </c>
      <c r="AO18" s="10">
        <f t="shared" si="49"/>
        <v>0</v>
      </c>
      <c r="AP18" s="10">
        <f t="shared" si="17"/>
        <v>0</v>
      </c>
      <c r="AQ18" s="108"/>
      <c r="AR18" s="10">
        <f t="shared" si="18"/>
        <v>0</v>
      </c>
      <c r="AS18" s="10">
        <f t="shared" si="50"/>
        <v>6000</v>
      </c>
      <c r="AT18" s="10">
        <f t="shared" si="19"/>
        <v>1.0395476930759553</v>
      </c>
      <c r="AU18" s="108"/>
      <c r="AV18" s="10">
        <f t="shared" si="20"/>
        <v>0</v>
      </c>
      <c r="AW18" s="10">
        <f t="shared" si="51"/>
        <v>0</v>
      </c>
      <c r="AX18" s="10">
        <f t="shared" si="21"/>
        <v>0</v>
      </c>
      <c r="AY18" s="108"/>
      <c r="AZ18" s="10">
        <f t="shared" si="22"/>
        <v>0</v>
      </c>
      <c r="BA18" s="10">
        <f t="shared" si="52"/>
        <v>0</v>
      </c>
      <c r="BB18" s="10">
        <f t="shared" si="23"/>
        <v>0</v>
      </c>
      <c r="BC18" s="10">
        <f t="shared" si="53"/>
        <v>51796.434000000001</v>
      </c>
      <c r="BD18" s="10">
        <f t="shared" si="24"/>
        <v>88.850089869991024</v>
      </c>
      <c r="BE18" s="10">
        <f t="shared" si="54"/>
        <v>374106.696</v>
      </c>
      <c r="BF18" s="10">
        <f t="shared" si="25"/>
        <v>64.816958798511294</v>
      </c>
      <c r="BG18" s="108"/>
      <c r="BH18" s="10">
        <f t="shared" si="26"/>
        <v>0</v>
      </c>
      <c r="BI18" s="10">
        <f t="shared" si="55"/>
        <v>0</v>
      </c>
      <c r="BJ18" s="10">
        <f t="shared" si="27"/>
        <v>0</v>
      </c>
      <c r="BK18" s="108"/>
      <c r="BL18" s="10">
        <f t="shared" si="28"/>
        <v>0</v>
      </c>
      <c r="BM18" s="10">
        <f t="shared" si="56"/>
        <v>0</v>
      </c>
      <c r="BN18" s="10">
        <f t="shared" si="29"/>
        <v>0</v>
      </c>
      <c r="BO18" s="108"/>
      <c r="BP18" s="15">
        <f t="shared" si="30"/>
        <v>0</v>
      </c>
      <c r="BQ18" s="10">
        <f t="shared" si="57"/>
        <v>0</v>
      </c>
      <c r="BR18" s="10">
        <f t="shared" si="31"/>
        <v>0</v>
      </c>
      <c r="BS18" s="10">
        <f t="shared" si="58"/>
        <v>0</v>
      </c>
      <c r="BT18" s="10">
        <f t="shared" si="32"/>
        <v>0</v>
      </c>
      <c r="BU18" s="10">
        <f t="shared" si="59"/>
        <v>0</v>
      </c>
      <c r="BV18" s="10">
        <f t="shared" si="33"/>
        <v>0</v>
      </c>
      <c r="BW18" s="108">
        <v>0</v>
      </c>
      <c r="BX18" s="10">
        <f t="shared" si="34"/>
        <v>0</v>
      </c>
      <c r="BY18" s="10">
        <f t="shared" si="60"/>
        <v>0</v>
      </c>
      <c r="BZ18" s="10">
        <f t="shared" si="35"/>
        <v>0</v>
      </c>
      <c r="CA18" s="10">
        <f t="shared" si="36"/>
        <v>58296.434000000001</v>
      </c>
      <c r="CB18" s="10">
        <f t="shared" si="61"/>
        <v>577174.09600000002</v>
      </c>
      <c r="CC18" s="10">
        <f t="shared" si="37"/>
        <v>1.0721972007136156</v>
      </c>
      <c r="CD18" s="10">
        <f t="shared" si="38"/>
        <v>1.0501922272825692</v>
      </c>
    </row>
    <row r="19" spans="1:91">
      <c r="A19" s="16">
        <f>+Chem!A18</f>
        <v>46001</v>
      </c>
      <c r="B19" s="6" t="str">
        <f>+Chem!B18</f>
        <v>Facial</v>
      </c>
      <c r="C19" s="16" t="str">
        <f>+Chem!C18</f>
        <v>13/10,5</v>
      </c>
      <c r="D19" s="8">
        <f>+Chem!D18</f>
        <v>59.295999999999999</v>
      </c>
      <c r="E19" s="7">
        <f>+Chem!E18</f>
        <v>58.976999999999997</v>
      </c>
      <c r="F19" s="7">
        <f t="shared" si="39"/>
        <v>608.56600000000003</v>
      </c>
      <c r="G19" s="108"/>
      <c r="H19" s="10">
        <f t="shared" si="0"/>
        <v>0</v>
      </c>
      <c r="I19" s="8">
        <f t="shared" si="40"/>
        <v>0</v>
      </c>
      <c r="J19" s="10">
        <f t="shared" si="1"/>
        <v>0</v>
      </c>
      <c r="K19" s="108"/>
      <c r="L19" s="10">
        <f t="shared" si="2"/>
        <v>0</v>
      </c>
      <c r="M19" s="10">
        <f t="shared" si="41"/>
        <v>0</v>
      </c>
      <c r="N19" s="10">
        <f t="shared" si="3"/>
        <v>0</v>
      </c>
      <c r="O19" s="108"/>
      <c r="P19" s="10">
        <f t="shared" si="4"/>
        <v>0</v>
      </c>
      <c r="Q19" s="10">
        <f t="shared" si="42"/>
        <v>0</v>
      </c>
      <c r="R19" s="10">
        <f t="shared" si="5"/>
        <v>0</v>
      </c>
      <c r="S19" s="108">
        <f>33*S7</f>
        <v>8250</v>
      </c>
      <c r="T19" s="10">
        <f t="shared" si="6"/>
        <v>15.71330879543032</v>
      </c>
      <c r="U19" s="10">
        <f t="shared" si="43"/>
        <v>29875</v>
      </c>
      <c r="V19" s="10">
        <f t="shared" si="7"/>
        <v>4.7444932750956781</v>
      </c>
      <c r="W19" s="108"/>
      <c r="X19" s="10">
        <f t="shared" si="8"/>
        <v>0</v>
      </c>
      <c r="Y19" s="10">
        <f t="shared" si="44"/>
        <v>181442.39999999997</v>
      </c>
      <c r="Z19" s="10">
        <f t="shared" si="9"/>
        <v>28.81513796208267</v>
      </c>
      <c r="AA19" s="108">
        <v>0</v>
      </c>
      <c r="AB19" s="10">
        <f t="shared" si="10"/>
        <v>0</v>
      </c>
      <c r="AC19" s="10">
        <f t="shared" si="45"/>
        <v>0</v>
      </c>
      <c r="AD19" s="10">
        <f t="shared" si="11"/>
        <v>0</v>
      </c>
      <c r="AE19" s="10">
        <f t="shared" si="46"/>
        <v>8250</v>
      </c>
      <c r="AF19" s="10">
        <f t="shared" si="12"/>
        <v>15.71330879543032</v>
      </c>
      <c r="AG19" s="10">
        <f t="shared" si="47"/>
        <v>211317.39999999997</v>
      </c>
      <c r="AH19" s="10">
        <f t="shared" si="13"/>
        <v>33.559631237178351</v>
      </c>
      <c r="AI19" s="108">
        <f>176*AI7</f>
        <v>44253.263999999996</v>
      </c>
      <c r="AJ19" s="10">
        <f t="shared" si="14"/>
        <v>84.286691204569678</v>
      </c>
      <c r="AK19" s="10">
        <f t="shared" si="48"/>
        <v>412359.95999999996</v>
      </c>
      <c r="AL19" s="10">
        <f t="shared" si="15"/>
        <v>65.487499820543022</v>
      </c>
      <c r="AM19" s="108"/>
      <c r="AN19" s="10">
        <f t="shared" si="16"/>
        <v>0</v>
      </c>
      <c r="AO19" s="10">
        <f t="shared" si="49"/>
        <v>0</v>
      </c>
      <c r="AP19" s="10">
        <f t="shared" si="17"/>
        <v>0</v>
      </c>
      <c r="AQ19" s="108"/>
      <c r="AR19" s="10">
        <f t="shared" si="18"/>
        <v>0</v>
      </c>
      <c r="AS19" s="10">
        <f t="shared" si="50"/>
        <v>6000</v>
      </c>
      <c r="AT19" s="10">
        <f t="shared" si="19"/>
        <v>0.95286894227862984</v>
      </c>
      <c r="AU19" s="108"/>
      <c r="AV19" s="10">
        <f t="shared" si="20"/>
        <v>0</v>
      </c>
      <c r="AW19" s="10">
        <f t="shared" si="51"/>
        <v>0</v>
      </c>
      <c r="AX19" s="10">
        <f t="shared" si="21"/>
        <v>0</v>
      </c>
      <c r="AY19" s="108"/>
      <c r="AZ19" s="10">
        <f t="shared" si="22"/>
        <v>0</v>
      </c>
      <c r="BA19" s="10">
        <f t="shared" si="52"/>
        <v>0</v>
      </c>
      <c r="BB19" s="10">
        <f t="shared" si="23"/>
        <v>0</v>
      </c>
      <c r="BC19" s="10">
        <f t="shared" si="53"/>
        <v>44253.263999999996</v>
      </c>
      <c r="BD19" s="10">
        <f t="shared" si="24"/>
        <v>84.286691204569678</v>
      </c>
      <c r="BE19" s="10">
        <f t="shared" si="54"/>
        <v>418359.95999999996</v>
      </c>
      <c r="BF19" s="10">
        <f t="shared" si="25"/>
        <v>66.440368762821649</v>
      </c>
      <c r="BG19" s="108"/>
      <c r="BH19" s="10">
        <f t="shared" si="26"/>
        <v>0</v>
      </c>
      <c r="BI19" s="10">
        <f t="shared" si="55"/>
        <v>0</v>
      </c>
      <c r="BJ19" s="10">
        <f t="shared" si="27"/>
        <v>0</v>
      </c>
      <c r="BK19" s="108"/>
      <c r="BL19" s="10">
        <f t="shared" si="28"/>
        <v>0</v>
      </c>
      <c r="BM19" s="10">
        <f t="shared" si="56"/>
        <v>0</v>
      </c>
      <c r="BN19" s="10">
        <f t="shared" si="29"/>
        <v>0</v>
      </c>
      <c r="BO19" s="108"/>
      <c r="BP19" s="15">
        <f t="shared" si="30"/>
        <v>0</v>
      </c>
      <c r="BQ19" s="10">
        <f t="shared" si="57"/>
        <v>0</v>
      </c>
      <c r="BR19" s="10">
        <f t="shared" si="31"/>
        <v>0</v>
      </c>
      <c r="BS19" s="10">
        <f t="shared" si="58"/>
        <v>0</v>
      </c>
      <c r="BT19" s="10">
        <f t="shared" si="32"/>
        <v>0</v>
      </c>
      <c r="BU19" s="10">
        <f t="shared" si="59"/>
        <v>0</v>
      </c>
      <c r="BV19" s="10">
        <f t="shared" si="33"/>
        <v>0</v>
      </c>
      <c r="BW19" s="108"/>
      <c r="BX19" s="10">
        <f t="shared" si="34"/>
        <v>0</v>
      </c>
      <c r="BY19" s="10">
        <f t="shared" si="60"/>
        <v>0</v>
      </c>
      <c r="BZ19" s="10">
        <f t="shared" si="35"/>
        <v>0</v>
      </c>
      <c r="CA19" s="10">
        <f t="shared" si="36"/>
        <v>52503.263999999996</v>
      </c>
      <c r="CB19" s="10">
        <f t="shared" si="61"/>
        <v>629677.36</v>
      </c>
      <c r="CC19" s="10">
        <f t="shared" si="37"/>
        <v>0.89023287044101929</v>
      </c>
      <c r="CD19" s="10">
        <f t="shared" si="38"/>
        <v>1.0346903376133403</v>
      </c>
    </row>
    <row r="20" spans="1:91">
      <c r="A20" s="16">
        <f>+Chem!A19</f>
        <v>46002</v>
      </c>
      <c r="B20" s="6" t="str">
        <f>+Chem!B19</f>
        <v>Facial/Sanitary Napkin</v>
      </c>
      <c r="C20" s="16" t="str">
        <f>+Chem!C19</f>
        <v>10,3/13</v>
      </c>
      <c r="D20" s="8">
        <f>+Chem!D19</f>
        <v>50.820999999999998</v>
      </c>
      <c r="E20" s="7">
        <f>+Chem!E19</f>
        <v>47.878999999999998</v>
      </c>
      <c r="F20" s="7">
        <f t="shared" si="39"/>
        <v>656.44500000000005</v>
      </c>
      <c r="G20" s="108"/>
      <c r="H20" s="10">
        <f t="shared" si="0"/>
        <v>0</v>
      </c>
      <c r="I20" s="8">
        <f t="shared" si="40"/>
        <v>0</v>
      </c>
      <c r="J20" s="10">
        <f t="shared" si="1"/>
        <v>0</v>
      </c>
      <c r="K20" s="108"/>
      <c r="L20" s="10">
        <f t="shared" si="2"/>
        <v>0</v>
      </c>
      <c r="M20" s="10">
        <f t="shared" si="41"/>
        <v>0</v>
      </c>
      <c r="N20" s="10">
        <f t="shared" si="3"/>
        <v>0</v>
      </c>
      <c r="O20" s="108"/>
      <c r="P20" s="10">
        <f t="shared" si="4"/>
        <v>0</v>
      </c>
      <c r="Q20" s="10">
        <f t="shared" si="42"/>
        <v>0</v>
      </c>
      <c r="R20" s="10">
        <f t="shared" si="5"/>
        <v>0</v>
      </c>
      <c r="S20" s="108">
        <f>17*S7</f>
        <v>4250</v>
      </c>
      <c r="T20" s="10">
        <f t="shared" si="6"/>
        <v>8.6331066191511301</v>
      </c>
      <c r="U20" s="10">
        <f t="shared" si="43"/>
        <v>34125</v>
      </c>
      <c r="V20" s="10">
        <f t="shared" si="7"/>
        <v>5.0264657081208588</v>
      </c>
      <c r="W20" s="108"/>
      <c r="X20" s="10">
        <f t="shared" si="8"/>
        <v>0</v>
      </c>
      <c r="Y20" s="10">
        <f t="shared" si="44"/>
        <v>181442.39999999997</v>
      </c>
      <c r="Z20" s="10">
        <f t="shared" si="9"/>
        <v>26.725685028546458</v>
      </c>
      <c r="AA20" s="108">
        <f>80*AA7</f>
        <v>17823.68</v>
      </c>
      <c r="AB20" s="10">
        <f t="shared" si="10"/>
        <v>36.205583478972144</v>
      </c>
      <c r="AC20" s="10">
        <f t="shared" si="45"/>
        <v>17823.68</v>
      </c>
      <c r="AD20" s="10">
        <f t="shared" si="11"/>
        <v>2.6253513937734678</v>
      </c>
      <c r="AE20" s="10">
        <f t="shared" si="46"/>
        <v>22073.68</v>
      </c>
      <c r="AF20" s="10">
        <f t="shared" si="12"/>
        <v>44.83869009812328</v>
      </c>
      <c r="AG20" s="10">
        <f t="shared" si="47"/>
        <v>233391.07999999996</v>
      </c>
      <c r="AH20" s="10">
        <f t="shared" si="13"/>
        <v>34.377502130440782</v>
      </c>
      <c r="AI20" s="108">
        <f>108*AI7</f>
        <v>27155.412</v>
      </c>
      <c r="AJ20" s="10">
        <f t="shared" si="14"/>
        <v>55.16130990187672</v>
      </c>
      <c r="AK20" s="10">
        <f t="shared" si="48"/>
        <v>439515.37199999997</v>
      </c>
      <c r="AL20" s="10">
        <f t="shared" si="15"/>
        <v>64.738723679120369</v>
      </c>
      <c r="AM20" s="108"/>
      <c r="AN20" s="10">
        <f t="shared" si="16"/>
        <v>0</v>
      </c>
      <c r="AO20" s="10">
        <f t="shared" si="49"/>
        <v>0</v>
      </c>
      <c r="AP20" s="10">
        <f t="shared" si="17"/>
        <v>0</v>
      </c>
      <c r="AQ20" s="108"/>
      <c r="AR20" s="10">
        <f t="shared" si="18"/>
        <v>0</v>
      </c>
      <c r="AS20" s="10">
        <f t="shared" si="50"/>
        <v>6000</v>
      </c>
      <c r="AT20" s="10">
        <f t="shared" si="19"/>
        <v>0.88377419043883221</v>
      </c>
      <c r="AU20" s="108"/>
      <c r="AV20" s="10">
        <f t="shared" si="20"/>
        <v>0</v>
      </c>
      <c r="AW20" s="10">
        <f t="shared" si="51"/>
        <v>0</v>
      </c>
      <c r="AX20" s="10">
        <f t="shared" si="21"/>
        <v>0</v>
      </c>
      <c r="AY20" s="108"/>
      <c r="AZ20" s="10">
        <f t="shared" si="22"/>
        <v>0</v>
      </c>
      <c r="BA20" s="10">
        <f t="shared" si="52"/>
        <v>0</v>
      </c>
      <c r="BB20" s="10">
        <f t="shared" si="23"/>
        <v>0</v>
      </c>
      <c r="BC20" s="10">
        <f t="shared" si="53"/>
        <v>27155.412</v>
      </c>
      <c r="BD20" s="10">
        <f t="shared" si="24"/>
        <v>55.16130990187672</v>
      </c>
      <c r="BE20" s="10">
        <f t="shared" si="54"/>
        <v>445515.37199999997</v>
      </c>
      <c r="BF20" s="10">
        <f t="shared" si="25"/>
        <v>65.622497869559197</v>
      </c>
      <c r="BG20" s="108"/>
      <c r="BH20" s="10">
        <f t="shared" si="26"/>
        <v>0</v>
      </c>
      <c r="BI20" s="10">
        <f t="shared" si="55"/>
        <v>0</v>
      </c>
      <c r="BJ20" s="10">
        <f t="shared" si="27"/>
        <v>0</v>
      </c>
      <c r="BK20" s="108"/>
      <c r="BL20" s="10">
        <f t="shared" si="28"/>
        <v>0</v>
      </c>
      <c r="BM20" s="10">
        <f t="shared" si="56"/>
        <v>0</v>
      </c>
      <c r="BN20" s="10">
        <f t="shared" si="29"/>
        <v>0</v>
      </c>
      <c r="BO20" s="108"/>
      <c r="BP20" s="15">
        <f t="shared" si="30"/>
        <v>0</v>
      </c>
      <c r="BQ20" s="10">
        <f t="shared" si="57"/>
        <v>0</v>
      </c>
      <c r="BR20" s="10">
        <f t="shared" si="31"/>
        <v>0</v>
      </c>
      <c r="BS20" s="10">
        <f t="shared" si="58"/>
        <v>0</v>
      </c>
      <c r="BT20" s="10">
        <f t="shared" si="32"/>
        <v>0</v>
      </c>
      <c r="BU20" s="10">
        <f t="shared" si="59"/>
        <v>0</v>
      </c>
      <c r="BV20" s="10">
        <f t="shared" si="33"/>
        <v>0</v>
      </c>
      <c r="BW20" s="108"/>
      <c r="BX20" s="10">
        <f t="shared" si="34"/>
        <v>0</v>
      </c>
      <c r="BY20" s="10">
        <f t="shared" si="60"/>
        <v>0</v>
      </c>
      <c r="BZ20" s="10">
        <f t="shared" si="35"/>
        <v>0</v>
      </c>
      <c r="CA20" s="10">
        <f t="shared" si="36"/>
        <v>49229.092000000004</v>
      </c>
      <c r="CB20" s="10">
        <f t="shared" si="61"/>
        <v>678906.45200000005</v>
      </c>
      <c r="CC20" s="10">
        <f t="shared" si="37"/>
        <v>1.0281979991227888</v>
      </c>
      <c r="CD20" s="10">
        <f t="shared" si="38"/>
        <v>1.0342168071963378</v>
      </c>
    </row>
    <row r="21" spans="1:91">
      <c r="A21" s="16">
        <f>+Chem!A20</f>
        <v>46003</v>
      </c>
      <c r="B21" s="6" t="str">
        <f>+Chem!B20</f>
        <v>Sanitary Napkin</v>
      </c>
      <c r="C21" s="16" t="str">
        <f>+Chem!C20</f>
        <v>13</v>
      </c>
      <c r="D21" s="8">
        <f>+Chem!D20</f>
        <v>54.747</v>
      </c>
      <c r="E21" s="7">
        <f>+Chem!E20</f>
        <v>54.314999999999998</v>
      </c>
      <c r="F21" s="7">
        <f t="shared" si="39"/>
        <v>710.76</v>
      </c>
      <c r="G21" s="108"/>
      <c r="H21" s="10">
        <f t="shared" si="0"/>
        <v>0</v>
      </c>
      <c r="I21" s="8">
        <f t="shared" si="40"/>
        <v>0</v>
      </c>
      <c r="J21" s="10">
        <f t="shared" si="1"/>
        <v>0</v>
      </c>
      <c r="K21" s="108"/>
      <c r="L21" s="10">
        <f t="shared" si="2"/>
        <v>0</v>
      </c>
      <c r="M21" s="10">
        <f t="shared" si="41"/>
        <v>0</v>
      </c>
      <c r="N21" s="10">
        <f t="shared" si="3"/>
        <v>0</v>
      </c>
      <c r="O21" s="108"/>
      <c r="P21" s="10">
        <f t="shared" si="4"/>
        <v>0</v>
      </c>
      <c r="Q21" s="10">
        <f t="shared" si="42"/>
        <v>0</v>
      </c>
      <c r="R21" s="10">
        <f t="shared" si="5"/>
        <v>0</v>
      </c>
      <c r="S21" s="108">
        <v>0</v>
      </c>
      <c r="T21" s="10">
        <f t="shared" si="6"/>
        <v>0</v>
      </c>
      <c r="U21" s="10">
        <f t="shared" si="43"/>
        <v>34125</v>
      </c>
      <c r="V21" s="10">
        <f t="shared" si="7"/>
        <v>4.6723982952593595</v>
      </c>
      <c r="W21" s="108"/>
      <c r="X21" s="10">
        <f t="shared" si="8"/>
        <v>0</v>
      </c>
      <c r="Y21" s="10">
        <f t="shared" si="44"/>
        <v>181442.39999999997</v>
      </c>
      <c r="Z21" s="10">
        <f t="shared" si="9"/>
        <v>24.843110928872285</v>
      </c>
      <c r="AA21" s="108">
        <f>100*AA7</f>
        <v>22279.599999999999</v>
      </c>
      <c r="AB21" s="10">
        <f t="shared" si="10"/>
        <v>43.306327167992926</v>
      </c>
      <c r="AC21" s="10">
        <f t="shared" si="45"/>
        <v>40103.279999999999</v>
      </c>
      <c r="AD21" s="10">
        <f t="shared" si="11"/>
        <v>5.4909449701482416</v>
      </c>
      <c r="AE21" s="10">
        <f t="shared" si="46"/>
        <v>22279.599999999999</v>
      </c>
      <c r="AF21" s="10">
        <f t="shared" si="12"/>
        <v>43.306327167992926</v>
      </c>
      <c r="AG21" s="10">
        <f t="shared" si="47"/>
        <v>255670.67999999996</v>
      </c>
      <c r="AH21" s="10">
        <f t="shared" si="13"/>
        <v>35.006454194279883</v>
      </c>
      <c r="AI21" s="108">
        <f>116*AI7</f>
        <v>29166.923999999999</v>
      </c>
      <c r="AJ21" s="10">
        <f t="shared" si="14"/>
        <v>56.693672832007081</v>
      </c>
      <c r="AK21" s="10">
        <f t="shared" si="48"/>
        <v>468682.29599999997</v>
      </c>
      <c r="AL21" s="10">
        <f t="shared" si="15"/>
        <v>64.172025226333844</v>
      </c>
      <c r="AM21" s="108"/>
      <c r="AN21" s="10">
        <f t="shared" si="16"/>
        <v>0</v>
      </c>
      <c r="AO21" s="10">
        <f t="shared" si="49"/>
        <v>0</v>
      </c>
      <c r="AP21" s="10">
        <f t="shared" si="17"/>
        <v>0</v>
      </c>
      <c r="AQ21" s="108"/>
      <c r="AR21" s="10">
        <f t="shared" si="18"/>
        <v>0</v>
      </c>
      <c r="AS21" s="10">
        <f t="shared" si="50"/>
        <v>6000</v>
      </c>
      <c r="AT21" s="10">
        <f t="shared" si="19"/>
        <v>0.82152057938626111</v>
      </c>
      <c r="AU21" s="108"/>
      <c r="AV21" s="10">
        <f t="shared" si="20"/>
        <v>0</v>
      </c>
      <c r="AW21" s="10">
        <f t="shared" si="51"/>
        <v>0</v>
      </c>
      <c r="AX21" s="10">
        <f t="shared" si="21"/>
        <v>0</v>
      </c>
      <c r="AY21" s="108"/>
      <c r="AZ21" s="10">
        <f t="shared" si="22"/>
        <v>0</v>
      </c>
      <c r="BA21" s="10">
        <f t="shared" si="52"/>
        <v>0</v>
      </c>
      <c r="BB21" s="10">
        <f t="shared" si="23"/>
        <v>0</v>
      </c>
      <c r="BC21" s="10">
        <f t="shared" si="53"/>
        <v>29166.923999999999</v>
      </c>
      <c r="BD21" s="10">
        <f t="shared" si="24"/>
        <v>56.693672832007081</v>
      </c>
      <c r="BE21" s="10">
        <f t="shared" si="54"/>
        <v>474682.29599999997</v>
      </c>
      <c r="BF21" s="10">
        <f t="shared" si="25"/>
        <v>64.993545805720103</v>
      </c>
      <c r="BG21" s="108"/>
      <c r="BH21" s="10">
        <f t="shared" si="26"/>
        <v>0</v>
      </c>
      <c r="BI21" s="10">
        <f t="shared" si="55"/>
        <v>0</v>
      </c>
      <c r="BJ21" s="10">
        <f t="shared" si="27"/>
        <v>0</v>
      </c>
      <c r="BK21" s="108"/>
      <c r="BL21" s="10">
        <f t="shared" si="28"/>
        <v>0</v>
      </c>
      <c r="BM21" s="10">
        <f t="shared" si="56"/>
        <v>0</v>
      </c>
      <c r="BN21" s="10">
        <f t="shared" si="29"/>
        <v>0</v>
      </c>
      <c r="BO21" s="108"/>
      <c r="BP21" s="15">
        <f t="shared" si="30"/>
        <v>0</v>
      </c>
      <c r="BQ21" s="10">
        <f t="shared" si="57"/>
        <v>0</v>
      </c>
      <c r="BR21" s="10">
        <f t="shared" si="31"/>
        <v>0</v>
      </c>
      <c r="BS21" s="10">
        <f t="shared" si="58"/>
        <v>0</v>
      </c>
      <c r="BT21" s="10">
        <f t="shared" si="32"/>
        <v>0</v>
      </c>
      <c r="BU21" s="10">
        <f t="shared" si="59"/>
        <v>0</v>
      </c>
      <c r="BV21" s="10">
        <f t="shared" si="33"/>
        <v>0</v>
      </c>
      <c r="BW21" s="108"/>
      <c r="BX21" s="10">
        <f t="shared" si="34"/>
        <v>0</v>
      </c>
      <c r="BY21" s="10">
        <f t="shared" si="60"/>
        <v>0</v>
      </c>
      <c r="BZ21" s="10">
        <f t="shared" si="35"/>
        <v>0</v>
      </c>
      <c r="CA21" s="10">
        <f t="shared" si="36"/>
        <v>51446.523999999998</v>
      </c>
      <c r="CB21" s="10">
        <f t="shared" si="61"/>
        <v>730352.97600000002</v>
      </c>
      <c r="CC21" s="10">
        <f t="shared" si="37"/>
        <v>0.94718814323851608</v>
      </c>
      <c r="CD21" s="10">
        <f t="shared" si="38"/>
        <v>1.0275662333277056</v>
      </c>
      <c r="CH21" s="13"/>
      <c r="CI21" s="13"/>
      <c r="CL21" s="13"/>
      <c r="CM21" s="13"/>
    </row>
    <row r="22" spans="1:91">
      <c r="A22" s="16">
        <f>+Chem!A21</f>
        <v>46004</v>
      </c>
      <c r="B22" s="6" t="str">
        <f>+Chem!B21</f>
        <v>Sanitary Napkin</v>
      </c>
      <c r="C22" s="16" t="str">
        <f>+Chem!C21</f>
        <v>13/14/15</v>
      </c>
      <c r="D22" s="8">
        <f>+Chem!D21</f>
        <v>56.959000000000003</v>
      </c>
      <c r="E22" s="7">
        <f>+Chem!E21</f>
        <v>50.185000000000002</v>
      </c>
      <c r="F22" s="7">
        <f t="shared" si="39"/>
        <v>760.94499999999994</v>
      </c>
      <c r="G22" s="108"/>
      <c r="H22" s="10">
        <f t="shared" si="0"/>
        <v>0</v>
      </c>
      <c r="I22" s="8">
        <f t="shared" si="40"/>
        <v>0</v>
      </c>
      <c r="J22" s="10">
        <f t="shared" si="1"/>
        <v>0</v>
      </c>
      <c r="K22" s="108"/>
      <c r="L22" s="10">
        <f t="shared" si="2"/>
        <v>0</v>
      </c>
      <c r="M22" s="10">
        <f t="shared" si="41"/>
        <v>0</v>
      </c>
      <c r="N22" s="10">
        <f t="shared" si="3"/>
        <v>0</v>
      </c>
      <c r="O22" s="108"/>
      <c r="P22" s="10">
        <f t="shared" si="4"/>
        <v>0</v>
      </c>
      <c r="Q22" s="10">
        <f t="shared" si="42"/>
        <v>0</v>
      </c>
      <c r="R22" s="10">
        <f t="shared" si="5"/>
        <v>0</v>
      </c>
      <c r="S22" s="108">
        <v>0</v>
      </c>
      <c r="T22" s="10">
        <f t="shared" si="6"/>
        <v>0</v>
      </c>
      <c r="U22" s="10">
        <f t="shared" si="43"/>
        <v>34125</v>
      </c>
      <c r="V22" s="10">
        <f t="shared" si="7"/>
        <v>4.3236007680022492</v>
      </c>
      <c r="W22" s="108"/>
      <c r="X22" s="10">
        <f t="shared" si="8"/>
        <v>0</v>
      </c>
      <c r="Y22" s="10">
        <f t="shared" si="44"/>
        <v>181442.39999999997</v>
      </c>
      <c r="Z22" s="10">
        <f t="shared" si="9"/>
        <v>22.988556776210146</v>
      </c>
      <c r="AA22" s="108">
        <f>120*AA7</f>
        <v>26735.52</v>
      </c>
      <c r="AB22" s="10">
        <f t="shared" si="10"/>
        <v>45.376189211515495</v>
      </c>
      <c r="AC22" s="10">
        <f t="shared" si="45"/>
        <v>66838.8</v>
      </c>
      <c r="AD22" s="10">
        <f t="shared" si="11"/>
        <v>8.4684040150138831</v>
      </c>
      <c r="AE22" s="10">
        <f t="shared" si="46"/>
        <v>26735.52</v>
      </c>
      <c r="AF22" s="10">
        <f t="shared" si="12"/>
        <v>45.376189211515495</v>
      </c>
      <c r="AG22" s="10">
        <f t="shared" si="47"/>
        <v>282406.19999999995</v>
      </c>
      <c r="AH22" s="10">
        <f t="shared" si="13"/>
        <v>35.780561559226278</v>
      </c>
      <c r="AI22" s="108">
        <f>128*AI7</f>
        <v>32184.191999999999</v>
      </c>
      <c r="AJ22" s="10">
        <f t="shared" si="14"/>
        <v>54.623810788484505</v>
      </c>
      <c r="AK22" s="10">
        <f t="shared" si="48"/>
        <v>500866.48799999995</v>
      </c>
      <c r="AL22" s="10">
        <f t="shared" si="15"/>
        <v>63.459244899146938</v>
      </c>
      <c r="AM22" s="108"/>
      <c r="AN22" s="10">
        <f t="shared" si="16"/>
        <v>0</v>
      </c>
      <c r="AO22" s="10">
        <f t="shared" si="49"/>
        <v>0</v>
      </c>
      <c r="AP22" s="10">
        <f t="shared" si="17"/>
        <v>0</v>
      </c>
      <c r="AQ22" s="108"/>
      <c r="AR22" s="10">
        <f t="shared" si="18"/>
        <v>0</v>
      </c>
      <c r="AS22" s="10">
        <f t="shared" si="50"/>
        <v>6000</v>
      </c>
      <c r="AT22" s="10">
        <f t="shared" si="19"/>
        <v>0.76019354162676911</v>
      </c>
      <c r="AU22" s="108"/>
      <c r="AV22" s="10">
        <f t="shared" si="20"/>
        <v>0</v>
      </c>
      <c r="AW22" s="10">
        <f t="shared" si="51"/>
        <v>0</v>
      </c>
      <c r="AX22" s="10">
        <f t="shared" si="21"/>
        <v>0</v>
      </c>
      <c r="AY22" s="108"/>
      <c r="AZ22" s="10">
        <f t="shared" si="22"/>
        <v>0</v>
      </c>
      <c r="BA22" s="10">
        <f t="shared" si="52"/>
        <v>0</v>
      </c>
      <c r="BB22" s="10">
        <f t="shared" si="23"/>
        <v>0</v>
      </c>
      <c r="BC22" s="10">
        <f t="shared" si="53"/>
        <v>32184.191999999999</v>
      </c>
      <c r="BD22" s="10">
        <f t="shared" si="24"/>
        <v>54.623810788484505</v>
      </c>
      <c r="BE22" s="10">
        <f t="shared" si="54"/>
        <v>506866.48799999995</v>
      </c>
      <c r="BF22" s="10">
        <f t="shared" si="25"/>
        <v>64.2194384407737</v>
      </c>
      <c r="BG22" s="108"/>
      <c r="BH22" s="10">
        <f t="shared" si="26"/>
        <v>0</v>
      </c>
      <c r="BI22" s="10">
        <f t="shared" si="55"/>
        <v>0</v>
      </c>
      <c r="BJ22" s="10">
        <f t="shared" si="27"/>
        <v>0</v>
      </c>
      <c r="BK22" s="108"/>
      <c r="BL22" s="10">
        <f t="shared" si="28"/>
        <v>0</v>
      </c>
      <c r="BM22" s="10">
        <f t="shared" si="56"/>
        <v>0</v>
      </c>
      <c r="BN22" s="10">
        <f t="shared" si="29"/>
        <v>0</v>
      </c>
      <c r="BO22" s="108"/>
      <c r="BP22" s="15">
        <f t="shared" si="30"/>
        <v>0</v>
      </c>
      <c r="BQ22" s="10">
        <f t="shared" si="57"/>
        <v>0</v>
      </c>
      <c r="BR22" s="10">
        <f t="shared" si="31"/>
        <v>0</v>
      </c>
      <c r="BS22" s="10">
        <f t="shared" si="58"/>
        <v>0</v>
      </c>
      <c r="BT22" s="10">
        <f t="shared" si="32"/>
        <v>0</v>
      </c>
      <c r="BU22" s="10">
        <f t="shared" si="59"/>
        <v>0</v>
      </c>
      <c r="BV22" s="10">
        <f t="shared" si="33"/>
        <v>0</v>
      </c>
      <c r="BW22" s="108"/>
      <c r="BX22" s="10">
        <f t="shared" si="34"/>
        <v>0</v>
      </c>
      <c r="BY22" s="10">
        <f t="shared" si="60"/>
        <v>0</v>
      </c>
      <c r="BZ22" s="10">
        <f t="shared" si="35"/>
        <v>0</v>
      </c>
      <c r="CA22" s="10">
        <f t="shared" si="36"/>
        <v>58919.712</v>
      </c>
      <c r="CB22" s="10">
        <f t="shared" si="61"/>
        <v>789272.68800000008</v>
      </c>
      <c r="CC22" s="10">
        <f t="shared" si="37"/>
        <v>1.174050254059978</v>
      </c>
      <c r="CD22" s="10">
        <f t="shared" si="38"/>
        <v>1.0372269848675006</v>
      </c>
      <c r="CH22" s="13"/>
      <c r="CI22" s="13"/>
      <c r="CL22" s="13"/>
      <c r="CM22" s="13"/>
    </row>
    <row r="23" spans="1:91">
      <c r="A23" s="16">
        <f>+Chem!A22</f>
        <v>46005</v>
      </c>
      <c r="B23" s="6" t="str">
        <f>+Chem!B22</f>
        <v>Sanitary Napkin/Facial</v>
      </c>
      <c r="C23" s="16" t="str">
        <f>+Chem!C22</f>
        <v>15/10,3</v>
      </c>
      <c r="D23" s="8">
        <f>+Chem!D22</f>
        <v>60.744</v>
      </c>
      <c r="E23" s="7">
        <f>+Chem!E22</f>
        <v>47.676000000000002</v>
      </c>
      <c r="F23" s="7">
        <f t="shared" si="39"/>
        <v>808.62099999999998</v>
      </c>
      <c r="G23" s="108"/>
      <c r="H23" s="10">
        <f t="shared" si="0"/>
        <v>0</v>
      </c>
      <c r="I23" s="8">
        <f t="shared" si="40"/>
        <v>0</v>
      </c>
      <c r="J23" s="10">
        <f t="shared" si="1"/>
        <v>0</v>
      </c>
      <c r="K23" s="108"/>
      <c r="L23" s="10">
        <f t="shared" si="2"/>
        <v>0</v>
      </c>
      <c r="M23" s="10">
        <f t="shared" si="41"/>
        <v>0</v>
      </c>
      <c r="N23" s="10">
        <f t="shared" si="3"/>
        <v>0</v>
      </c>
      <c r="O23" s="108"/>
      <c r="P23" s="10">
        <f t="shared" si="4"/>
        <v>0</v>
      </c>
      <c r="Q23" s="10">
        <f t="shared" si="42"/>
        <v>0</v>
      </c>
      <c r="R23" s="10">
        <f t="shared" si="5"/>
        <v>0</v>
      </c>
      <c r="S23" s="108">
        <v>0</v>
      </c>
      <c r="T23" s="10">
        <f t="shared" si="6"/>
        <v>0</v>
      </c>
      <c r="U23" s="10">
        <f t="shared" si="43"/>
        <v>34125</v>
      </c>
      <c r="V23" s="10">
        <f t="shared" si="7"/>
        <v>4.0232617033588127</v>
      </c>
      <c r="W23" s="108"/>
      <c r="X23" s="10">
        <f t="shared" si="8"/>
        <v>0</v>
      </c>
      <c r="Y23" s="10">
        <f t="shared" si="44"/>
        <v>181442.39999999997</v>
      </c>
      <c r="Z23" s="10">
        <f t="shared" si="9"/>
        <v>21.391655949758562</v>
      </c>
      <c r="AA23" s="108">
        <f>120*AA7</f>
        <v>26735.52</v>
      </c>
      <c r="AB23" s="10">
        <f t="shared" si="10"/>
        <v>45.376189211515495</v>
      </c>
      <c r="AC23" s="10">
        <f t="shared" si="45"/>
        <v>93574.32</v>
      </c>
      <c r="AD23" s="10">
        <f t="shared" si="11"/>
        <v>11.032204485680371</v>
      </c>
      <c r="AE23" s="10">
        <f t="shared" si="46"/>
        <v>26735.52</v>
      </c>
      <c r="AF23" s="10">
        <f t="shared" si="12"/>
        <v>45.376189211515495</v>
      </c>
      <c r="AG23" s="10">
        <f t="shared" si="47"/>
        <v>309141.71999999997</v>
      </c>
      <c r="AH23" s="10">
        <f t="shared" si="13"/>
        <v>36.447122138797745</v>
      </c>
      <c r="AI23" s="108">
        <f>128*AI7</f>
        <v>32184.191999999999</v>
      </c>
      <c r="AJ23" s="10">
        <f t="shared" si="14"/>
        <v>54.623810788484505</v>
      </c>
      <c r="AK23" s="10">
        <f t="shared" si="48"/>
        <v>533050.67999999993</v>
      </c>
      <c r="AL23" s="10">
        <f t="shared" si="15"/>
        <v>62.845491188084189</v>
      </c>
      <c r="AM23" s="108"/>
      <c r="AN23" s="10">
        <f t="shared" si="16"/>
        <v>0</v>
      </c>
      <c r="AO23" s="10">
        <f t="shared" si="49"/>
        <v>0</v>
      </c>
      <c r="AP23" s="10">
        <f t="shared" si="17"/>
        <v>0</v>
      </c>
      <c r="AQ23" s="108"/>
      <c r="AR23" s="10">
        <f t="shared" si="18"/>
        <v>0</v>
      </c>
      <c r="AS23" s="10">
        <f t="shared" si="50"/>
        <v>6000</v>
      </c>
      <c r="AT23" s="10">
        <f t="shared" si="19"/>
        <v>0.70738667311803294</v>
      </c>
      <c r="AU23" s="108"/>
      <c r="AV23" s="10">
        <f t="shared" si="20"/>
        <v>0</v>
      </c>
      <c r="AW23" s="10">
        <f t="shared" si="51"/>
        <v>0</v>
      </c>
      <c r="AX23" s="10">
        <f t="shared" si="21"/>
        <v>0</v>
      </c>
      <c r="AY23" s="108"/>
      <c r="AZ23" s="10">
        <f t="shared" si="22"/>
        <v>0</v>
      </c>
      <c r="BA23" s="10">
        <f t="shared" si="52"/>
        <v>0</v>
      </c>
      <c r="BB23" s="10">
        <f t="shared" si="23"/>
        <v>0</v>
      </c>
      <c r="BC23" s="10">
        <f t="shared" si="53"/>
        <v>32184.191999999999</v>
      </c>
      <c r="BD23" s="10">
        <f t="shared" si="24"/>
        <v>54.623810788484505</v>
      </c>
      <c r="BE23" s="10">
        <f t="shared" si="54"/>
        <v>539050.67999999993</v>
      </c>
      <c r="BF23" s="10">
        <f t="shared" si="25"/>
        <v>63.552877861202226</v>
      </c>
      <c r="BG23" s="108"/>
      <c r="BH23" s="10">
        <f t="shared" si="26"/>
        <v>0</v>
      </c>
      <c r="BI23" s="10">
        <f t="shared" si="55"/>
        <v>0</v>
      </c>
      <c r="BJ23" s="10">
        <f t="shared" si="27"/>
        <v>0</v>
      </c>
      <c r="BK23" s="108"/>
      <c r="BL23" s="10">
        <f t="shared" si="28"/>
        <v>0</v>
      </c>
      <c r="BM23" s="10">
        <f t="shared" si="56"/>
        <v>0</v>
      </c>
      <c r="BN23" s="10">
        <f t="shared" si="29"/>
        <v>0</v>
      </c>
      <c r="BO23" s="108"/>
      <c r="BP23" s="15">
        <f t="shared" si="30"/>
        <v>0</v>
      </c>
      <c r="BQ23" s="10">
        <f t="shared" si="57"/>
        <v>0</v>
      </c>
      <c r="BR23" s="10">
        <f t="shared" si="31"/>
        <v>0</v>
      </c>
      <c r="BS23" s="10">
        <f t="shared" si="58"/>
        <v>0</v>
      </c>
      <c r="BT23" s="10">
        <f t="shared" si="32"/>
        <v>0</v>
      </c>
      <c r="BU23" s="10">
        <f t="shared" si="59"/>
        <v>0</v>
      </c>
      <c r="BV23" s="10">
        <f t="shared" si="33"/>
        <v>0</v>
      </c>
      <c r="BW23" s="108"/>
      <c r="BX23" s="10">
        <f t="shared" si="34"/>
        <v>0</v>
      </c>
      <c r="BY23" s="10">
        <f t="shared" si="60"/>
        <v>0</v>
      </c>
      <c r="BZ23" s="10">
        <f t="shared" si="35"/>
        <v>0</v>
      </c>
      <c r="CA23" s="10">
        <f t="shared" si="36"/>
        <v>58919.712</v>
      </c>
      <c r="CB23" s="10">
        <f t="shared" si="61"/>
        <v>848192.40000000014</v>
      </c>
      <c r="CC23" s="10">
        <f t="shared" si="37"/>
        <v>1.2358358922728416</v>
      </c>
      <c r="CD23" s="10">
        <f t="shared" si="38"/>
        <v>1.0489368937982073</v>
      </c>
      <c r="CL23" s="13"/>
      <c r="CM23" s="13"/>
    </row>
    <row r="24" spans="1:91">
      <c r="A24" s="16">
        <f>+Chem!A23</f>
        <v>46006</v>
      </c>
      <c r="B24" s="6" t="str">
        <f>+Chem!B23</f>
        <v>Facial</v>
      </c>
      <c r="C24" s="16" t="str">
        <f>+Chem!C23</f>
        <v>10,3</v>
      </c>
      <c r="D24" s="8">
        <f>+Chem!D23</f>
        <v>53.219000000000001</v>
      </c>
      <c r="E24" s="7">
        <f>+Chem!E23</f>
        <v>64.352999999999994</v>
      </c>
      <c r="F24" s="7">
        <f t="shared" si="39"/>
        <v>872.97399999999993</v>
      </c>
      <c r="G24" s="108"/>
      <c r="H24" s="10">
        <f t="shared" si="0"/>
        <v>0</v>
      </c>
      <c r="I24" s="8">
        <f t="shared" si="40"/>
        <v>0</v>
      </c>
      <c r="J24" s="10">
        <f t="shared" si="1"/>
        <v>0</v>
      </c>
      <c r="K24" s="108"/>
      <c r="L24" s="10">
        <f t="shared" si="2"/>
        <v>0</v>
      </c>
      <c r="M24" s="10">
        <f t="shared" si="41"/>
        <v>0</v>
      </c>
      <c r="N24" s="10">
        <f t="shared" si="3"/>
        <v>0</v>
      </c>
      <c r="O24" s="108"/>
      <c r="P24" s="10">
        <f t="shared" si="4"/>
        <v>0</v>
      </c>
      <c r="Q24" s="10">
        <f t="shared" si="42"/>
        <v>0</v>
      </c>
      <c r="R24" s="10">
        <f t="shared" si="5"/>
        <v>0</v>
      </c>
      <c r="S24" s="108">
        <f>10*S7</f>
        <v>2500</v>
      </c>
      <c r="T24" s="10">
        <f t="shared" si="6"/>
        <v>4.6974207176847145</v>
      </c>
      <c r="U24" s="10">
        <f t="shared" si="43"/>
        <v>36625</v>
      </c>
      <c r="V24" s="10">
        <f t="shared" si="7"/>
        <v>4.0630649990024104</v>
      </c>
      <c r="W24" s="108"/>
      <c r="X24" s="10">
        <f t="shared" si="8"/>
        <v>0</v>
      </c>
      <c r="Y24" s="10">
        <f t="shared" si="44"/>
        <v>181442.39999999997</v>
      </c>
      <c r="Z24" s="10">
        <f t="shared" si="9"/>
        <v>20.128662519453783</v>
      </c>
      <c r="AA24" s="108">
        <f>20*AA7</f>
        <v>4455.92</v>
      </c>
      <c r="AB24" s="10">
        <f t="shared" si="10"/>
        <v>8.3725323697382699</v>
      </c>
      <c r="AC24" s="10">
        <f t="shared" si="45"/>
        <v>98030.24</v>
      </c>
      <c r="AD24" s="10">
        <f t="shared" si="11"/>
        <v>10.875173706151701</v>
      </c>
      <c r="AE24" s="10">
        <f t="shared" si="46"/>
        <v>6955.92</v>
      </c>
      <c r="AF24" s="10">
        <f t="shared" si="12"/>
        <v>13.069953087422984</v>
      </c>
      <c r="AG24" s="10">
        <f t="shared" si="47"/>
        <v>316097.63999999996</v>
      </c>
      <c r="AH24" s="10">
        <f t="shared" si="13"/>
        <v>35.066901224607896</v>
      </c>
      <c r="AI24" s="108">
        <f>184*AI7</f>
        <v>46264.775999999998</v>
      </c>
      <c r="AJ24" s="10">
        <f t="shared" si="14"/>
        <v>86.930046912577012</v>
      </c>
      <c r="AK24" s="10">
        <f t="shared" si="48"/>
        <v>579315.45599999989</v>
      </c>
      <c r="AL24" s="10">
        <f t="shared" si="15"/>
        <v>64.267477205589628</v>
      </c>
      <c r="AM24" s="108"/>
      <c r="AN24" s="10">
        <f t="shared" si="16"/>
        <v>0</v>
      </c>
      <c r="AO24" s="10">
        <f t="shared" si="49"/>
        <v>0</v>
      </c>
      <c r="AP24" s="10">
        <f t="shared" si="17"/>
        <v>0</v>
      </c>
      <c r="AQ24" s="108"/>
      <c r="AR24" s="10">
        <f t="shared" si="18"/>
        <v>0</v>
      </c>
      <c r="AS24" s="10">
        <f t="shared" si="50"/>
        <v>6000</v>
      </c>
      <c r="AT24" s="10">
        <f t="shared" si="19"/>
        <v>0.66562156980244269</v>
      </c>
      <c r="AU24" s="108"/>
      <c r="AV24" s="10">
        <f t="shared" si="20"/>
        <v>0</v>
      </c>
      <c r="AW24" s="10">
        <f t="shared" si="51"/>
        <v>0</v>
      </c>
      <c r="AX24" s="10">
        <f t="shared" si="21"/>
        <v>0</v>
      </c>
      <c r="AY24" s="108"/>
      <c r="AZ24" s="10">
        <f t="shared" si="22"/>
        <v>0</v>
      </c>
      <c r="BA24" s="10">
        <f t="shared" si="52"/>
        <v>0</v>
      </c>
      <c r="BB24" s="10">
        <f t="shared" si="23"/>
        <v>0</v>
      </c>
      <c r="BC24" s="10">
        <f t="shared" si="53"/>
        <v>46264.775999999998</v>
      </c>
      <c r="BD24" s="10">
        <f t="shared" si="24"/>
        <v>86.930046912577012</v>
      </c>
      <c r="BE24" s="10">
        <f t="shared" si="54"/>
        <v>585315.45599999989</v>
      </c>
      <c r="BF24" s="10">
        <f t="shared" si="25"/>
        <v>64.933098775392068</v>
      </c>
      <c r="BG24" s="108"/>
      <c r="BH24" s="10">
        <f t="shared" si="26"/>
        <v>0</v>
      </c>
      <c r="BI24" s="10">
        <f t="shared" si="55"/>
        <v>0</v>
      </c>
      <c r="BJ24" s="10">
        <f t="shared" si="27"/>
        <v>0</v>
      </c>
      <c r="BK24" s="108"/>
      <c r="BL24" s="10">
        <f t="shared" si="28"/>
        <v>0</v>
      </c>
      <c r="BM24" s="10">
        <f t="shared" si="56"/>
        <v>0</v>
      </c>
      <c r="BN24" s="10">
        <f t="shared" si="29"/>
        <v>0</v>
      </c>
      <c r="BO24" s="108"/>
      <c r="BP24" s="15">
        <f t="shared" si="30"/>
        <v>0</v>
      </c>
      <c r="BQ24" s="10">
        <f t="shared" si="57"/>
        <v>0</v>
      </c>
      <c r="BR24" s="10">
        <f t="shared" si="31"/>
        <v>0</v>
      </c>
      <c r="BS24" s="10">
        <f t="shared" si="58"/>
        <v>0</v>
      </c>
      <c r="BT24" s="10">
        <f t="shared" si="32"/>
        <v>0</v>
      </c>
      <c r="BU24" s="10">
        <f t="shared" si="59"/>
        <v>0</v>
      </c>
      <c r="BV24" s="10">
        <f t="shared" si="33"/>
        <v>0</v>
      </c>
      <c r="BW24" s="108"/>
      <c r="BX24" s="10">
        <f t="shared" si="34"/>
        <v>0</v>
      </c>
      <c r="BY24" s="10">
        <f t="shared" si="60"/>
        <v>0</v>
      </c>
      <c r="BZ24" s="10">
        <f t="shared" si="35"/>
        <v>0</v>
      </c>
      <c r="CA24" s="10">
        <f t="shared" si="36"/>
        <v>53220.695999999996</v>
      </c>
      <c r="CB24" s="10">
        <f t="shared" si="61"/>
        <v>901413.09600000014</v>
      </c>
      <c r="CC24" s="10">
        <f t="shared" si="37"/>
        <v>0.82701188755768962</v>
      </c>
      <c r="CD24" s="10">
        <f t="shared" si="38"/>
        <v>1.0325772543053977</v>
      </c>
      <c r="CL24" s="13"/>
      <c r="CM24" s="13"/>
    </row>
    <row r="25" spans="1:91">
      <c r="A25" s="16">
        <f>+Chem!A24</f>
        <v>46007</v>
      </c>
      <c r="B25" s="6" t="str">
        <f>+Chem!B24</f>
        <v>Facial</v>
      </c>
      <c r="C25" s="16" t="str">
        <f>+Chem!C24</f>
        <v>10,3/13</v>
      </c>
      <c r="D25" s="8">
        <f>+Chem!D24</f>
        <v>54.137</v>
      </c>
      <c r="E25" s="7">
        <f>+Chem!E24</f>
        <v>58.548000000000002</v>
      </c>
      <c r="F25" s="7">
        <f t="shared" si="39"/>
        <v>931.52199999999993</v>
      </c>
      <c r="G25" s="108"/>
      <c r="H25" s="10">
        <f t="shared" si="0"/>
        <v>0</v>
      </c>
      <c r="I25" s="8">
        <f t="shared" si="40"/>
        <v>0</v>
      </c>
      <c r="J25" s="10">
        <f t="shared" si="1"/>
        <v>0</v>
      </c>
      <c r="K25" s="108"/>
      <c r="L25" s="10">
        <f t="shared" si="2"/>
        <v>0</v>
      </c>
      <c r="M25" s="10">
        <f t="shared" si="41"/>
        <v>0</v>
      </c>
      <c r="N25" s="10">
        <f t="shared" si="3"/>
        <v>0</v>
      </c>
      <c r="O25" s="108"/>
      <c r="P25" s="10">
        <f t="shared" si="4"/>
        <v>0</v>
      </c>
      <c r="Q25" s="10">
        <f t="shared" si="42"/>
        <v>0</v>
      </c>
      <c r="R25" s="10">
        <f t="shared" si="5"/>
        <v>0</v>
      </c>
      <c r="S25" s="108">
        <f>33.75*S7</f>
        <v>8437.5</v>
      </c>
      <c r="T25" s="10">
        <f t="shared" si="6"/>
        <v>15.71330879543032</v>
      </c>
      <c r="U25" s="10">
        <f t="shared" si="43"/>
        <v>45062.5</v>
      </c>
      <c r="V25" s="10">
        <f t="shared" si="7"/>
        <v>4.7180448448128693</v>
      </c>
      <c r="W25" s="108"/>
      <c r="X25" s="10">
        <f t="shared" si="8"/>
        <v>0</v>
      </c>
      <c r="Y25" s="10">
        <f t="shared" si="44"/>
        <v>181442.39999999997</v>
      </c>
      <c r="Z25" s="10">
        <f t="shared" si="9"/>
        <v>18.997023688221347</v>
      </c>
      <c r="AA25" s="108"/>
      <c r="AB25" s="10">
        <f t="shared" si="10"/>
        <v>0</v>
      </c>
      <c r="AC25" s="10">
        <f t="shared" si="45"/>
        <v>98030.24</v>
      </c>
      <c r="AD25" s="10">
        <f t="shared" si="11"/>
        <v>10.263768509686955</v>
      </c>
      <c r="AE25" s="10">
        <f t="shared" si="46"/>
        <v>8437.5</v>
      </c>
      <c r="AF25" s="10">
        <f t="shared" si="12"/>
        <v>15.71330879543032</v>
      </c>
      <c r="AG25" s="10">
        <f t="shared" si="47"/>
        <v>324535.13999999996</v>
      </c>
      <c r="AH25" s="10">
        <f t="shared" si="13"/>
        <v>33.978837042721167</v>
      </c>
      <c r="AI25" s="108">
        <f>180*AI7</f>
        <v>45259.02</v>
      </c>
      <c r="AJ25" s="10">
        <f t="shared" si="14"/>
        <v>84.286691204569692</v>
      </c>
      <c r="AK25" s="10">
        <f t="shared" si="48"/>
        <v>624574.47599999991</v>
      </c>
      <c r="AL25" s="10">
        <f t="shared" si="15"/>
        <v>65.392962811506223</v>
      </c>
      <c r="AM25" s="108"/>
      <c r="AN25" s="10">
        <f t="shared" si="16"/>
        <v>0</v>
      </c>
      <c r="AO25" s="10">
        <f t="shared" si="49"/>
        <v>0</v>
      </c>
      <c r="AP25" s="10">
        <f t="shared" si="17"/>
        <v>0</v>
      </c>
      <c r="AQ25" s="108"/>
      <c r="AR25" s="10">
        <f t="shared" si="18"/>
        <v>0</v>
      </c>
      <c r="AS25" s="10">
        <f t="shared" si="50"/>
        <v>6000</v>
      </c>
      <c r="AT25" s="10">
        <f t="shared" si="19"/>
        <v>0.62820014577258732</v>
      </c>
      <c r="AU25" s="108"/>
      <c r="AV25" s="10">
        <f t="shared" si="20"/>
        <v>0</v>
      </c>
      <c r="AW25" s="10">
        <f t="shared" si="51"/>
        <v>0</v>
      </c>
      <c r="AX25" s="10">
        <f t="shared" si="21"/>
        <v>0</v>
      </c>
      <c r="AY25" s="108"/>
      <c r="AZ25" s="10">
        <f t="shared" si="22"/>
        <v>0</v>
      </c>
      <c r="BA25" s="10">
        <f t="shared" si="52"/>
        <v>0</v>
      </c>
      <c r="BB25" s="10">
        <f t="shared" si="23"/>
        <v>0</v>
      </c>
      <c r="BC25" s="10">
        <f t="shared" si="53"/>
        <v>45259.02</v>
      </c>
      <c r="BD25" s="10">
        <f t="shared" si="24"/>
        <v>84.286691204569692</v>
      </c>
      <c r="BE25" s="10">
        <f t="shared" si="54"/>
        <v>630574.47599999991</v>
      </c>
      <c r="BF25" s="10">
        <f t="shared" si="25"/>
        <v>66.021162957278804</v>
      </c>
      <c r="BG25" s="108"/>
      <c r="BH25" s="10">
        <f t="shared" si="26"/>
        <v>0</v>
      </c>
      <c r="BI25" s="10">
        <f t="shared" si="55"/>
        <v>0</v>
      </c>
      <c r="BJ25" s="10">
        <f t="shared" si="27"/>
        <v>0</v>
      </c>
      <c r="BK25" s="108"/>
      <c r="BL25" s="10">
        <f t="shared" si="28"/>
        <v>0</v>
      </c>
      <c r="BM25" s="10">
        <f t="shared" si="56"/>
        <v>0</v>
      </c>
      <c r="BN25" s="10">
        <f t="shared" si="29"/>
        <v>0</v>
      </c>
      <c r="BO25" s="108"/>
      <c r="BP25" s="15">
        <f t="shared" si="30"/>
        <v>0</v>
      </c>
      <c r="BQ25" s="10">
        <f t="shared" si="57"/>
        <v>0</v>
      </c>
      <c r="BR25" s="10">
        <f t="shared" si="31"/>
        <v>0</v>
      </c>
      <c r="BS25" s="10">
        <f t="shared" si="58"/>
        <v>0</v>
      </c>
      <c r="BT25" s="10">
        <f t="shared" si="32"/>
        <v>0</v>
      </c>
      <c r="BU25" s="10">
        <f t="shared" si="59"/>
        <v>0</v>
      </c>
      <c r="BV25" s="10">
        <f t="shared" si="33"/>
        <v>0</v>
      </c>
      <c r="BW25" s="108"/>
      <c r="BX25" s="10">
        <f t="shared" si="34"/>
        <v>0</v>
      </c>
      <c r="BY25" s="10">
        <f t="shared" si="60"/>
        <v>0</v>
      </c>
      <c r="BZ25" s="10">
        <f t="shared" si="35"/>
        <v>0</v>
      </c>
      <c r="CA25" s="10">
        <f t="shared" si="36"/>
        <v>53696.52</v>
      </c>
      <c r="CB25" s="10">
        <f t="shared" si="61"/>
        <v>955109.61600000015</v>
      </c>
      <c r="CC25" s="10">
        <f t="shared" si="37"/>
        <v>0.91713670834187333</v>
      </c>
      <c r="CD25" s="10">
        <f t="shared" si="38"/>
        <v>1.0253215876812358</v>
      </c>
      <c r="CL25" s="13"/>
      <c r="CM25" s="13"/>
    </row>
    <row r="26" spans="1:91">
      <c r="A26" s="16">
        <f>+Chem!A25</f>
        <v>46008</v>
      </c>
      <c r="B26" s="6" t="str">
        <f>+Chem!B25</f>
        <v>Facial</v>
      </c>
      <c r="C26" s="16" t="str">
        <f>+Chem!C25</f>
        <v>13</v>
      </c>
      <c r="D26" s="8">
        <f>+Chem!D25</f>
        <v>61.677000000000007</v>
      </c>
      <c r="E26" s="7">
        <f>+Chem!E25</f>
        <v>56.588000000000001</v>
      </c>
      <c r="F26" s="7">
        <f t="shared" si="39"/>
        <v>988.1099999999999</v>
      </c>
      <c r="G26" s="108"/>
      <c r="H26" s="10">
        <f t="shared" si="0"/>
        <v>0</v>
      </c>
      <c r="I26" s="8">
        <f t="shared" si="40"/>
        <v>0</v>
      </c>
      <c r="J26" s="10">
        <f t="shared" si="1"/>
        <v>0</v>
      </c>
      <c r="K26" s="108"/>
      <c r="L26" s="10">
        <f t="shared" si="2"/>
        <v>0</v>
      </c>
      <c r="M26" s="10">
        <f t="shared" si="41"/>
        <v>0</v>
      </c>
      <c r="N26" s="10">
        <f t="shared" si="3"/>
        <v>0</v>
      </c>
      <c r="O26" s="108"/>
      <c r="P26" s="10">
        <f t="shared" si="4"/>
        <v>0</v>
      </c>
      <c r="Q26" s="10">
        <f t="shared" si="42"/>
        <v>0</v>
      </c>
      <c r="R26" s="10">
        <f t="shared" si="5"/>
        <v>0</v>
      </c>
      <c r="S26" s="108">
        <f>35.25*S7</f>
        <v>8812.5</v>
      </c>
      <c r="T26" s="10">
        <f t="shared" si="6"/>
        <v>15.71330879543032</v>
      </c>
      <c r="U26" s="10">
        <f t="shared" si="43"/>
        <v>53875</v>
      </c>
      <c r="V26" s="10">
        <f t="shared" si="7"/>
        <v>5.3278670594131921</v>
      </c>
      <c r="W26" s="108"/>
      <c r="X26" s="10">
        <f t="shared" si="8"/>
        <v>0</v>
      </c>
      <c r="Y26" s="10">
        <f t="shared" si="44"/>
        <v>181442.39999999997</v>
      </c>
      <c r="Z26" s="10">
        <f t="shared" si="9"/>
        <v>17.943405775236602</v>
      </c>
      <c r="AA26" s="108"/>
      <c r="AB26" s="10">
        <f t="shared" si="10"/>
        <v>0</v>
      </c>
      <c r="AC26" s="10">
        <f t="shared" si="45"/>
        <v>98030.24</v>
      </c>
      <c r="AD26" s="10">
        <f t="shared" si="11"/>
        <v>9.6945166871901538</v>
      </c>
      <c r="AE26" s="10">
        <f t="shared" si="46"/>
        <v>8812.5</v>
      </c>
      <c r="AF26" s="10">
        <f t="shared" si="12"/>
        <v>15.71330879543032</v>
      </c>
      <c r="AG26" s="10">
        <f t="shared" si="47"/>
        <v>333347.63999999996</v>
      </c>
      <c r="AH26" s="10">
        <f t="shared" si="13"/>
        <v>32.965789521839952</v>
      </c>
      <c r="AI26" s="108">
        <f>188*AI7</f>
        <v>47270.531999999999</v>
      </c>
      <c r="AJ26" s="10">
        <f t="shared" si="14"/>
        <v>84.286691204569692</v>
      </c>
      <c r="AK26" s="10">
        <f t="shared" si="48"/>
        <v>671845.00799999991</v>
      </c>
      <c r="AL26" s="10">
        <f t="shared" si="15"/>
        <v>66.440851733724216</v>
      </c>
      <c r="AM26" s="108"/>
      <c r="AN26" s="10">
        <f t="shared" si="16"/>
        <v>0</v>
      </c>
      <c r="AO26" s="10">
        <f t="shared" si="49"/>
        <v>0</v>
      </c>
      <c r="AP26" s="10">
        <f t="shared" si="17"/>
        <v>0</v>
      </c>
      <c r="AQ26" s="108"/>
      <c r="AR26" s="10">
        <f t="shared" si="18"/>
        <v>0</v>
      </c>
      <c r="AS26" s="10">
        <f t="shared" si="50"/>
        <v>6000</v>
      </c>
      <c r="AT26" s="10">
        <f t="shared" si="19"/>
        <v>0.59335874443580794</v>
      </c>
      <c r="AU26" s="108"/>
      <c r="AV26" s="10">
        <f t="shared" si="20"/>
        <v>0</v>
      </c>
      <c r="AW26" s="10">
        <f t="shared" si="51"/>
        <v>0</v>
      </c>
      <c r="AX26" s="10">
        <f t="shared" si="21"/>
        <v>0</v>
      </c>
      <c r="AY26" s="108"/>
      <c r="AZ26" s="10">
        <f t="shared" si="22"/>
        <v>0</v>
      </c>
      <c r="BA26" s="10">
        <f t="shared" si="52"/>
        <v>0</v>
      </c>
      <c r="BB26" s="10">
        <f t="shared" si="23"/>
        <v>0</v>
      </c>
      <c r="BC26" s="10">
        <f t="shared" si="53"/>
        <v>47270.531999999999</v>
      </c>
      <c r="BD26" s="10">
        <f t="shared" si="24"/>
        <v>84.286691204569692</v>
      </c>
      <c r="BE26" s="10">
        <f t="shared" si="54"/>
        <v>677845.00799999991</v>
      </c>
      <c r="BF26" s="10">
        <f t="shared" si="25"/>
        <v>67.034210478160034</v>
      </c>
      <c r="BG26" s="108"/>
      <c r="BH26" s="10">
        <f t="shared" si="26"/>
        <v>0</v>
      </c>
      <c r="BI26" s="10">
        <f t="shared" si="55"/>
        <v>0</v>
      </c>
      <c r="BJ26" s="10">
        <f t="shared" si="27"/>
        <v>0</v>
      </c>
      <c r="BK26" s="108"/>
      <c r="BL26" s="10">
        <f t="shared" si="28"/>
        <v>0</v>
      </c>
      <c r="BM26" s="10">
        <f t="shared" si="56"/>
        <v>0</v>
      </c>
      <c r="BN26" s="10">
        <f t="shared" si="29"/>
        <v>0</v>
      </c>
      <c r="BO26" s="108"/>
      <c r="BP26" s="15">
        <f t="shared" si="30"/>
        <v>0</v>
      </c>
      <c r="BQ26" s="10">
        <f t="shared" si="57"/>
        <v>0</v>
      </c>
      <c r="BR26" s="10">
        <f t="shared" si="31"/>
        <v>0</v>
      </c>
      <c r="BS26" s="10">
        <f t="shared" si="58"/>
        <v>0</v>
      </c>
      <c r="BT26" s="10">
        <f t="shared" si="32"/>
        <v>0</v>
      </c>
      <c r="BU26" s="10">
        <f t="shared" si="59"/>
        <v>0</v>
      </c>
      <c r="BV26" s="10">
        <f t="shared" si="33"/>
        <v>0</v>
      </c>
      <c r="BW26" s="108"/>
      <c r="BX26" s="10">
        <f t="shared" si="34"/>
        <v>0</v>
      </c>
      <c r="BY26" s="10">
        <f t="shared" si="60"/>
        <v>0</v>
      </c>
      <c r="BZ26" s="10">
        <f t="shared" si="35"/>
        <v>0</v>
      </c>
      <c r="CA26" s="10">
        <f t="shared" si="36"/>
        <v>56083.031999999999</v>
      </c>
      <c r="CB26" s="10">
        <f t="shared" si="61"/>
        <v>1011192.6480000002</v>
      </c>
      <c r="CC26" s="10">
        <f t="shared" si="37"/>
        <v>0.99107641196013285</v>
      </c>
      <c r="CD26" s="10">
        <f t="shared" si="38"/>
        <v>1.0233604031939767</v>
      </c>
      <c r="CF26" s="13"/>
      <c r="CL26" s="13"/>
    </row>
    <row r="27" spans="1:91">
      <c r="A27" s="16">
        <f>+Chem!A26</f>
        <v>46009</v>
      </c>
      <c r="B27" s="6" t="str">
        <f>+Chem!B26</f>
        <v>Facial/MG</v>
      </c>
      <c r="C27" s="16" t="str">
        <f>+Chem!C26</f>
        <v>13/14</v>
      </c>
      <c r="D27" s="8">
        <f>+Chem!D26</f>
        <v>61.581000000000003</v>
      </c>
      <c r="E27" s="7">
        <f>+Chem!E26</f>
        <v>59.009</v>
      </c>
      <c r="F27" s="7">
        <f t="shared" si="39"/>
        <v>1047.1189999999999</v>
      </c>
      <c r="G27" s="108"/>
      <c r="H27" s="10">
        <f t="shared" si="0"/>
        <v>0</v>
      </c>
      <c r="I27" s="8">
        <f t="shared" si="40"/>
        <v>0</v>
      </c>
      <c r="J27" s="10">
        <f t="shared" si="1"/>
        <v>0</v>
      </c>
      <c r="K27" s="108"/>
      <c r="L27" s="10">
        <f t="shared" si="2"/>
        <v>0</v>
      </c>
      <c r="M27" s="10">
        <f t="shared" si="41"/>
        <v>0</v>
      </c>
      <c r="N27" s="10">
        <f t="shared" si="3"/>
        <v>0</v>
      </c>
      <c r="O27" s="108"/>
      <c r="P27" s="10">
        <f t="shared" si="4"/>
        <v>0</v>
      </c>
      <c r="Q27" s="10">
        <f t="shared" si="42"/>
        <v>0</v>
      </c>
      <c r="R27" s="10">
        <f t="shared" si="5"/>
        <v>0</v>
      </c>
      <c r="S27" s="108">
        <f>47*S7</f>
        <v>11750</v>
      </c>
      <c r="T27" s="10">
        <f t="shared" si="6"/>
        <v>19.740132495769313</v>
      </c>
      <c r="U27" s="10">
        <f t="shared" si="43"/>
        <v>65625</v>
      </c>
      <c r="V27" s="10">
        <f t="shared" si="7"/>
        <v>6.1290759122994292</v>
      </c>
      <c r="W27" s="108"/>
      <c r="X27" s="10">
        <f t="shared" si="8"/>
        <v>0</v>
      </c>
      <c r="Y27" s="10">
        <f t="shared" si="44"/>
        <v>181442.39999999997</v>
      </c>
      <c r="Z27" s="10">
        <f t="shared" si="9"/>
        <v>16.945893231387394</v>
      </c>
      <c r="AA27" s="108"/>
      <c r="AB27" s="10">
        <f t="shared" si="10"/>
        <v>0</v>
      </c>
      <c r="AC27" s="10">
        <f t="shared" si="45"/>
        <v>98030.24</v>
      </c>
      <c r="AD27" s="10">
        <f t="shared" si="11"/>
        <v>9.155577640547536</v>
      </c>
      <c r="AE27" s="10">
        <f t="shared" si="46"/>
        <v>11750</v>
      </c>
      <c r="AF27" s="10">
        <f t="shared" si="12"/>
        <v>19.740132495769313</v>
      </c>
      <c r="AG27" s="10">
        <f t="shared" si="47"/>
        <v>345097.63999999996</v>
      </c>
      <c r="AH27" s="10">
        <f t="shared" si="13"/>
        <v>32.230546784234363</v>
      </c>
      <c r="AI27" s="108">
        <f>190*AI7</f>
        <v>47773.409999999996</v>
      </c>
      <c r="AJ27" s="10">
        <f t="shared" si="14"/>
        <v>80.259867504230684</v>
      </c>
      <c r="AK27" s="10">
        <f t="shared" si="48"/>
        <v>719618.41799999995</v>
      </c>
      <c r="AL27" s="10">
        <f t="shared" si="15"/>
        <v>67.209080560926807</v>
      </c>
      <c r="AM27" s="108"/>
      <c r="AN27" s="10">
        <f t="shared" si="16"/>
        <v>0</v>
      </c>
      <c r="AO27" s="10">
        <f t="shared" si="49"/>
        <v>0</v>
      </c>
      <c r="AP27" s="10">
        <f t="shared" si="17"/>
        <v>0</v>
      </c>
      <c r="AQ27" s="108"/>
      <c r="AR27" s="10">
        <f t="shared" si="18"/>
        <v>0</v>
      </c>
      <c r="AS27" s="10">
        <f t="shared" si="50"/>
        <v>6000</v>
      </c>
      <c r="AT27" s="10">
        <f t="shared" si="19"/>
        <v>0.56037265483880505</v>
      </c>
      <c r="AU27" s="108"/>
      <c r="AV27" s="10">
        <f t="shared" si="20"/>
        <v>0</v>
      </c>
      <c r="AW27" s="10">
        <f t="shared" si="51"/>
        <v>0</v>
      </c>
      <c r="AX27" s="10">
        <f t="shared" si="21"/>
        <v>0</v>
      </c>
      <c r="AY27" s="108"/>
      <c r="AZ27" s="10">
        <f t="shared" si="22"/>
        <v>0</v>
      </c>
      <c r="BA27" s="10">
        <f t="shared" si="52"/>
        <v>0</v>
      </c>
      <c r="BB27" s="10">
        <f t="shared" si="23"/>
        <v>0</v>
      </c>
      <c r="BC27" s="10">
        <f t="shared" si="53"/>
        <v>47773.409999999996</v>
      </c>
      <c r="BD27" s="10">
        <f t="shared" si="24"/>
        <v>80.259867504230684</v>
      </c>
      <c r="BE27" s="10">
        <f t="shared" si="54"/>
        <v>725618.41799999995</v>
      </c>
      <c r="BF27" s="10">
        <f t="shared" si="25"/>
        <v>67.769453215765623</v>
      </c>
      <c r="BG27" s="108"/>
      <c r="BH27" s="10">
        <f t="shared" si="26"/>
        <v>0</v>
      </c>
      <c r="BI27" s="10">
        <f t="shared" si="55"/>
        <v>0</v>
      </c>
      <c r="BJ27" s="10">
        <f t="shared" si="27"/>
        <v>0</v>
      </c>
      <c r="BK27" s="108"/>
      <c r="BL27" s="10">
        <f t="shared" si="28"/>
        <v>0</v>
      </c>
      <c r="BM27" s="10">
        <f t="shared" si="56"/>
        <v>0</v>
      </c>
      <c r="BN27" s="10">
        <f t="shared" si="29"/>
        <v>0</v>
      </c>
      <c r="BO27" s="108"/>
      <c r="BP27" s="15">
        <f t="shared" si="30"/>
        <v>0</v>
      </c>
      <c r="BQ27" s="10">
        <f t="shared" si="57"/>
        <v>0</v>
      </c>
      <c r="BR27" s="10">
        <f t="shared" si="31"/>
        <v>0</v>
      </c>
      <c r="BS27" s="10">
        <f t="shared" si="58"/>
        <v>0</v>
      </c>
      <c r="BT27" s="10">
        <f t="shared" si="32"/>
        <v>0</v>
      </c>
      <c r="BU27" s="10">
        <f t="shared" si="59"/>
        <v>0</v>
      </c>
      <c r="BV27" s="10">
        <f t="shared" si="33"/>
        <v>0</v>
      </c>
      <c r="BW27" s="108"/>
      <c r="BX27" s="10">
        <f t="shared" si="34"/>
        <v>0</v>
      </c>
      <c r="BY27" s="10">
        <f t="shared" si="60"/>
        <v>0</v>
      </c>
      <c r="BZ27" s="10">
        <f t="shared" si="35"/>
        <v>0</v>
      </c>
      <c r="CA27" s="10">
        <f t="shared" si="36"/>
        <v>59523.409999999996</v>
      </c>
      <c r="CB27" s="10">
        <f t="shared" si="61"/>
        <v>1070716.0580000002</v>
      </c>
      <c r="CC27" s="10">
        <f t="shared" si="37"/>
        <v>1.0087174837736617</v>
      </c>
      <c r="CD27" s="10">
        <f t="shared" si="38"/>
        <v>1.0225352209252245</v>
      </c>
      <c r="CL27" s="13"/>
    </row>
    <row r="28" spans="1:91">
      <c r="A28" s="16">
        <f>+Chem!A27</f>
        <v>46010</v>
      </c>
      <c r="B28" s="6" t="str">
        <f>+Chem!B27</f>
        <v>MG</v>
      </c>
      <c r="C28" s="16" t="str">
        <f>+Chem!C27</f>
        <v>14/16,5/17</v>
      </c>
      <c r="D28" s="8">
        <f>+Chem!D27</f>
        <v>69.900000000000006</v>
      </c>
      <c r="E28" s="7">
        <f>+Chem!E27</f>
        <v>59.405000000000001</v>
      </c>
      <c r="F28" s="7">
        <f t="shared" si="39"/>
        <v>1106.5239999999999</v>
      </c>
      <c r="G28" s="108"/>
      <c r="H28" s="10">
        <f t="shared" si="0"/>
        <v>0</v>
      </c>
      <c r="I28" s="8">
        <f t="shared" si="40"/>
        <v>0</v>
      </c>
      <c r="J28" s="10">
        <f t="shared" si="1"/>
        <v>0</v>
      </c>
      <c r="K28" s="108"/>
      <c r="L28" s="10">
        <f t="shared" si="2"/>
        <v>0</v>
      </c>
      <c r="M28" s="10">
        <f t="shared" si="41"/>
        <v>0</v>
      </c>
      <c r="N28" s="10">
        <f t="shared" si="3"/>
        <v>0</v>
      </c>
      <c r="O28" s="108"/>
      <c r="P28" s="10">
        <f t="shared" si="4"/>
        <v>0</v>
      </c>
      <c r="Q28" s="10">
        <f t="shared" si="42"/>
        <v>0</v>
      </c>
      <c r="R28" s="10">
        <f t="shared" si="5"/>
        <v>0</v>
      </c>
      <c r="S28" s="108">
        <f>112*S7</f>
        <v>28000</v>
      </c>
      <c r="T28" s="10">
        <f t="shared" si="6"/>
        <v>39.299620135486002</v>
      </c>
      <c r="U28" s="10">
        <f t="shared" si="43"/>
        <v>93625</v>
      </c>
      <c r="V28" s="10">
        <f t="shared" si="7"/>
        <v>8.1985978176119847</v>
      </c>
      <c r="W28" s="108"/>
      <c r="X28" s="10">
        <f t="shared" si="8"/>
        <v>0</v>
      </c>
      <c r="Y28" s="10">
        <f t="shared" si="44"/>
        <v>181442.39999999997</v>
      </c>
      <c r="Z28" s="10">
        <f t="shared" si="9"/>
        <v>15.888633000398189</v>
      </c>
      <c r="AA28" s="108"/>
      <c r="AB28" s="10">
        <f t="shared" si="10"/>
        <v>0</v>
      </c>
      <c r="AC28" s="10">
        <f t="shared" si="45"/>
        <v>98030.24</v>
      </c>
      <c r="AD28" s="10">
        <f t="shared" si="11"/>
        <v>8.5843579356366266</v>
      </c>
      <c r="AE28" s="10">
        <f t="shared" si="46"/>
        <v>28000</v>
      </c>
      <c r="AF28" s="10">
        <f t="shared" si="12"/>
        <v>39.299620135486002</v>
      </c>
      <c r="AG28" s="10">
        <f t="shared" si="47"/>
        <v>373097.63999999996</v>
      </c>
      <c r="AH28" s="10">
        <f t="shared" si="13"/>
        <v>32.671588753646795</v>
      </c>
      <c r="AI28" s="108">
        <f>172*AI7</f>
        <v>43247.508000000002</v>
      </c>
      <c r="AJ28" s="10">
        <f t="shared" si="14"/>
        <v>60.700379864513998</v>
      </c>
      <c r="AK28" s="10">
        <f t="shared" si="48"/>
        <v>762865.92599999998</v>
      </c>
      <c r="AL28" s="10">
        <f t="shared" si="15"/>
        <v>66.803000438281927</v>
      </c>
      <c r="AM28" s="108"/>
      <c r="AN28" s="10">
        <f t="shared" si="16"/>
        <v>0</v>
      </c>
      <c r="AO28" s="10">
        <f t="shared" si="49"/>
        <v>0</v>
      </c>
      <c r="AP28" s="10">
        <f t="shared" si="17"/>
        <v>0</v>
      </c>
      <c r="AQ28" s="108"/>
      <c r="AR28" s="10">
        <f t="shared" si="18"/>
        <v>0</v>
      </c>
      <c r="AS28" s="10">
        <f t="shared" si="50"/>
        <v>6000</v>
      </c>
      <c r="AT28" s="10">
        <f t="shared" si="19"/>
        <v>0.52541080807126206</v>
      </c>
      <c r="AU28" s="108"/>
      <c r="AV28" s="10">
        <f t="shared" si="20"/>
        <v>0</v>
      </c>
      <c r="AW28" s="10">
        <f t="shared" si="51"/>
        <v>0</v>
      </c>
      <c r="AX28" s="10">
        <f t="shared" si="21"/>
        <v>0</v>
      </c>
      <c r="AY28" s="108"/>
      <c r="AZ28" s="10">
        <f t="shared" si="22"/>
        <v>0</v>
      </c>
      <c r="BA28" s="10">
        <f t="shared" si="52"/>
        <v>0</v>
      </c>
      <c r="BB28" s="10">
        <f t="shared" si="23"/>
        <v>0</v>
      </c>
      <c r="BC28" s="10">
        <f t="shared" si="53"/>
        <v>43247.508000000002</v>
      </c>
      <c r="BD28" s="10">
        <f t="shared" si="24"/>
        <v>60.700379864513998</v>
      </c>
      <c r="BE28" s="10">
        <f t="shared" si="54"/>
        <v>768865.92599999998</v>
      </c>
      <c r="BF28" s="10">
        <f t="shared" si="25"/>
        <v>67.328411246353198</v>
      </c>
      <c r="BG28" s="108"/>
      <c r="BH28" s="10">
        <f t="shared" si="26"/>
        <v>0</v>
      </c>
      <c r="BI28" s="10">
        <f t="shared" si="55"/>
        <v>0</v>
      </c>
      <c r="BJ28" s="10">
        <f t="shared" si="27"/>
        <v>0</v>
      </c>
      <c r="BK28" s="108"/>
      <c r="BL28" s="10">
        <f t="shared" si="28"/>
        <v>0</v>
      </c>
      <c r="BM28" s="10">
        <f t="shared" si="56"/>
        <v>0</v>
      </c>
      <c r="BN28" s="10">
        <f t="shared" si="29"/>
        <v>0</v>
      </c>
      <c r="BO28" s="108"/>
      <c r="BP28" s="15">
        <f t="shared" si="30"/>
        <v>0</v>
      </c>
      <c r="BQ28" s="10">
        <f t="shared" si="57"/>
        <v>0</v>
      </c>
      <c r="BR28" s="10">
        <f t="shared" si="31"/>
        <v>0</v>
      </c>
      <c r="BS28" s="10">
        <f t="shared" si="58"/>
        <v>0</v>
      </c>
      <c r="BT28" s="10">
        <f t="shared" si="32"/>
        <v>0</v>
      </c>
      <c r="BU28" s="10">
        <f t="shared" si="59"/>
        <v>0</v>
      </c>
      <c r="BV28" s="10">
        <f t="shared" si="33"/>
        <v>0</v>
      </c>
      <c r="BW28" s="108"/>
      <c r="BX28" s="10">
        <f t="shared" si="34"/>
        <v>0</v>
      </c>
      <c r="BY28" s="10">
        <f t="shared" si="60"/>
        <v>0</v>
      </c>
      <c r="BZ28" s="10">
        <f t="shared" si="35"/>
        <v>0</v>
      </c>
      <c r="CA28" s="10">
        <f t="shared" si="36"/>
        <v>71247.508000000002</v>
      </c>
      <c r="CB28" s="10">
        <f t="shared" si="61"/>
        <v>1141963.5660000001</v>
      </c>
      <c r="CC28" s="10">
        <f t="shared" si="37"/>
        <v>1.1993520410739835</v>
      </c>
      <c r="CD28" s="10">
        <f t="shared" si="38"/>
        <v>1.0320278331061958</v>
      </c>
      <c r="CL28" s="13"/>
    </row>
    <row r="29" spans="1:91">
      <c r="A29" s="16">
        <f>+Chem!A28</f>
        <v>46011</v>
      </c>
      <c r="B29" s="6" t="str">
        <f>+Chem!B28</f>
        <v>MG</v>
      </c>
      <c r="C29" s="16" t="str">
        <f>+Chem!C28</f>
        <v>17/16,5</v>
      </c>
      <c r="D29" s="8">
        <f>+Chem!D28</f>
        <v>72.647999999999996</v>
      </c>
      <c r="E29" s="7">
        <f>+Chem!E28</f>
        <v>68.040999999999997</v>
      </c>
      <c r="F29" s="7">
        <f t="shared" si="39"/>
        <v>1174.5649999999998</v>
      </c>
      <c r="G29" s="108"/>
      <c r="H29" s="10">
        <f t="shared" si="0"/>
        <v>0</v>
      </c>
      <c r="I29" s="8">
        <f t="shared" si="40"/>
        <v>0</v>
      </c>
      <c r="J29" s="10">
        <f t="shared" si="1"/>
        <v>0</v>
      </c>
      <c r="K29" s="108"/>
      <c r="L29" s="10">
        <f t="shared" si="2"/>
        <v>0</v>
      </c>
      <c r="M29" s="10">
        <f t="shared" si="41"/>
        <v>0</v>
      </c>
      <c r="N29" s="10">
        <f t="shared" si="3"/>
        <v>0</v>
      </c>
      <c r="O29" s="108"/>
      <c r="P29" s="10">
        <f t="shared" si="4"/>
        <v>0</v>
      </c>
      <c r="Q29" s="10">
        <f t="shared" si="42"/>
        <v>0</v>
      </c>
      <c r="R29" s="10">
        <f t="shared" si="5"/>
        <v>0</v>
      </c>
      <c r="S29" s="108">
        <f>112*S7</f>
        <v>28000</v>
      </c>
      <c r="T29" s="10">
        <f t="shared" si="6"/>
        <v>37.199152518278993</v>
      </c>
      <c r="U29" s="10">
        <f t="shared" si="43"/>
        <v>121625</v>
      </c>
      <c r="V29" s="10">
        <f t="shared" si="7"/>
        <v>9.9919152938484288</v>
      </c>
      <c r="W29" s="108"/>
      <c r="X29" s="10">
        <f t="shared" si="8"/>
        <v>0</v>
      </c>
      <c r="Y29" s="10">
        <f t="shared" si="44"/>
        <v>181442.39999999997</v>
      </c>
      <c r="Z29" s="10">
        <f t="shared" si="9"/>
        <v>14.90612202682478</v>
      </c>
      <c r="AA29" s="108"/>
      <c r="AB29" s="10">
        <f t="shared" si="10"/>
        <v>0</v>
      </c>
      <c r="AC29" s="10">
        <f t="shared" si="45"/>
        <v>98030.24</v>
      </c>
      <c r="AD29" s="10">
        <f t="shared" si="11"/>
        <v>8.0535239820401401</v>
      </c>
      <c r="AE29" s="10">
        <f t="shared" si="46"/>
        <v>28000</v>
      </c>
      <c r="AF29" s="10">
        <f t="shared" si="12"/>
        <v>37.199152518278993</v>
      </c>
      <c r="AG29" s="10">
        <f t="shared" si="47"/>
        <v>401097.63999999996</v>
      </c>
      <c r="AH29" s="10">
        <f t="shared" si="13"/>
        <v>32.951561302713351</v>
      </c>
      <c r="AI29" s="108">
        <f>188*AI7</f>
        <v>47270.531999999999</v>
      </c>
      <c r="AJ29" s="10">
        <f t="shared" si="14"/>
        <v>62.800847481720993</v>
      </c>
      <c r="AK29" s="10">
        <f t="shared" si="48"/>
        <v>810136.45799999998</v>
      </c>
      <c r="AL29" s="10">
        <f t="shared" si="15"/>
        <v>66.555517901701094</v>
      </c>
      <c r="AM29" s="108"/>
      <c r="AN29" s="10">
        <f t="shared" si="16"/>
        <v>0</v>
      </c>
      <c r="AO29" s="10">
        <f t="shared" si="49"/>
        <v>0</v>
      </c>
      <c r="AP29" s="10">
        <f t="shared" si="17"/>
        <v>0</v>
      </c>
      <c r="AQ29" s="108"/>
      <c r="AR29" s="10">
        <f t="shared" si="18"/>
        <v>0</v>
      </c>
      <c r="AS29" s="10">
        <f t="shared" si="50"/>
        <v>6000</v>
      </c>
      <c r="AT29" s="10">
        <f t="shared" si="19"/>
        <v>0.49292079558553398</v>
      </c>
      <c r="AU29" s="108"/>
      <c r="AV29" s="10">
        <f t="shared" si="20"/>
        <v>0</v>
      </c>
      <c r="AW29" s="10">
        <f t="shared" si="51"/>
        <v>0</v>
      </c>
      <c r="AX29" s="10">
        <f t="shared" si="21"/>
        <v>0</v>
      </c>
      <c r="AY29" s="108"/>
      <c r="AZ29" s="10">
        <f t="shared" si="22"/>
        <v>0</v>
      </c>
      <c r="BA29" s="10">
        <f t="shared" si="52"/>
        <v>0</v>
      </c>
      <c r="BB29" s="10">
        <f t="shared" si="23"/>
        <v>0</v>
      </c>
      <c r="BC29" s="10">
        <f t="shared" si="53"/>
        <v>47270.531999999999</v>
      </c>
      <c r="BD29" s="10">
        <f t="shared" si="24"/>
        <v>62.800847481720993</v>
      </c>
      <c r="BE29" s="10">
        <f t="shared" si="54"/>
        <v>816136.45799999998</v>
      </c>
      <c r="BF29" s="10">
        <f t="shared" si="25"/>
        <v>67.048438697286628</v>
      </c>
      <c r="BG29" s="108"/>
      <c r="BH29" s="10">
        <f t="shared" si="26"/>
        <v>0</v>
      </c>
      <c r="BI29" s="10">
        <f t="shared" si="55"/>
        <v>0</v>
      </c>
      <c r="BJ29" s="10">
        <f t="shared" si="27"/>
        <v>0</v>
      </c>
      <c r="BK29" s="108"/>
      <c r="BL29" s="10">
        <f t="shared" si="28"/>
        <v>0</v>
      </c>
      <c r="BM29" s="10">
        <f t="shared" si="56"/>
        <v>0</v>
      </c>
      <c r="BN29" s="10">
        <f t="shared" si="29"/>
        <v>0</v>
      </c>
      <c r="BO29" s="108"/>
      <c r="BP29" s="15">
        <f t="shared" si="30"/>
        <v>0</v>
      </c>
      <c r="BQ29" s="10">
        <f t="shared" si="57"/>
        <v>0</v>
      </c>
      <c r="BR29" s="10">
        <f t="shared" si="31"/>
        <v>0</v>
      </c>
      <c r="BS29" s="10">
        <f t="shared" si="58"/>
        <v>0</v>
      </c>
      <c r="BT29" s="10">
        <f t="shared" si="32"/>
        <v>0</v>
      </c>
      <c r="BU29" s="10">
        <f t="shared" si="59"/>
        <v>0</v>
      </c>
      <c r="BV29" s="10">
        <f t="shared" si="33"/>
        <v>0</v>
      </c>
      <c r="BW29" s="108"/>
      <c r="BX29" s="10">
        <f t="shared" si="34"/>
        <v>0</v>
      </c>
      <c r="BY29" s="10">
        <f t="shared" si="60"/>
        <v>0</v>
      </c>
      <c r="BZ29" s="10">
        <f t="shared" si="35"/>
        <v>0</v>
      </c>
      <c r="CA29" s="10">
        <f t="shared" si="36"/>
        <v>75270.532000000007</v>
      </c>
      <c r="CB29" s="10">
        <f t="shared" si="61"/>
        <v>1217234.0980000002</v>
      </c>
      <c r="CC29" s="10">
        <f t="shared" si="37"/>
        <v>1.1062525830014258</v>
      </c>
      <c r="CD29" s="10">
        <f t="shared" si="38"/>
        <v>1.0363275748894274</v>
      </c>
      <c r="CL29" s="13"/>
    </row>
    <row r="30" spans="1:91" ht="13.5" customHeight="1">
      <c r="A30" s="16">
        <f>+Chem!A29</f>
        <v>46012</v>
      </c>
      <c r="B30" s="6" t="str">
        <f>+Chem!B29</f>
        <v>MG</v>
      </c>
      <c r="C30" s="16" t="str">
        <f>+Chem!C29</f>
        <v>17/16,5</v>
      </c>
      <c r="D30" s="8">
        <f>+Chem!D29</f>
        <v>71.75800000000001</v>
      </c>
      <c r="E30" s="7">
        <f>+Chem!E29</f>
        <v>66.168999999999997</v>
      </c>
      <c r="F30" s="7">
        <f t="shared" si="39"/>
        <v>1240.7339999999999</v>
      </c>
      <c r="G30" s="108"/>
      <c r="H30" s="10">
        <f t="shared" si="0"/>
        <v>0</v>
      </c>
      <c r="I30" s="8">
        <f t="shared" si="40"/>
        <v>0</v>
      </c>
      <c r="J30" s="10">
        <f t="shared" si="1"/>
        <v>0</v>
      </c>
      <c r="K30" s="108"/>
      <c r="L30" s="10">
        <f t="shared" si="2"/>
        <v>0</v>
      </c>
      <c r="M30" s="10">
        <f t="shared" si="41"/>
        <v>0</v>
      </c>
      <c r="N30" s="10">
        <f t="shared" si="3"/>
        <v>0</v>
      </c>
      <c r="O30" s="108"/>
      <c r="P30" s="10">
        <f t="shared" si="4"/>
        <v>0</v>
      </c>
      <c r="Q30" s="10">
        <f t="shared" si="42"/>
        <v>0</v>
      </c>
      <c r="R30" s="10">
        <f t="shared" si="5"/>
        <v>0</v>
      </c>
      <c r="S30" s="108">
        <f>108*S7</f>
        <v>27000</v>
      </c>
      <c r="T30" s="10">
        <f t="shared" si="6"/>
        <v>37.893000943788344</v>
      </c>
      <c r="U30" s="10">
        <f t="shared" si="43"/>
        <v>148625</v>
      </c>
      <c r="V30" s="10">
        <f t="shared" si="7"/>
        <v>11.53484344381175</v>
      </c>
      <c r="W30" s="108"/>
      <c r="X30" s="10">
        <f t="shared" si="8"/>
        <v>0</v>
      </c>
      <c r="Y30" s="10">
        <f t="shared" si="44"/>
        <v>181442.39999999997</v>
      </c>
      <c r="Z30" s="10">
        <f t="shared" si="9"/>
        <v>14.081814486590202</v>
      </c>
      <c r="AA30" s="108"/>
      <c r="AB30" s="10">
        <f t="shared" si="10"/>
        <v>0</v>
      </c>
      <c r="AC30" s="10">
        <f t="shared" si="45"/>
        <v>98030.24</v>
      </c>
      <c r="AD30" s="10">
        <f t="shared" si="11"/>
        <v>7.6081646503568887</v>
      </c>
      <c r="AE30" s="10">
        <f t="shared" si="46"/>
        <v>27000</v>
      </c>
      <c r="AF30" s="10">
        <f t="shared" si="12"/>
        <v>37.893000943788344</v>
      </c>
      <c r="AG30" s="10">
        <f t="shared" si="47"/>
        <v>428097.63999999996</v>
      </c>
      <c r="AH30" s="10">
        <f t="shared" si="13"/>
        <v>33.22482258075884</v>
      </c>
      <c r="AI30" s="108">
        <f>176*AI7</f>
        <v>44253.263999999996</v>
      </c>
      <c r="AJ30" s="10">
        <f t="shared" si="14"/>
        <v>62.106999056211656</v>
      </c>
      <c r="AK30" s="10">
        <f t="shared" si="48"/>
        <v>854389.72199999995</v>
      </c>
      <c r="AL30" s="10">
        <f t="shared" si="15"/>
        <v>66.309515110323588</v>
      </c>
      <c r="AM30" s="108"/>
      <c r="AN30" s="10">
        <f t="shared" si="16"/>
        <v>0</v>
      </c>
      <c r="AO30" s="10">
        <f t="shared" si="49"/>
        <v>0</v>
      </c>
      <c r="AP30" s="10">
        <f t="shared" si="17"/>
        <v>0</v>
      </c>
      <c r="AQ30" s="108"/>
      <c r="AR30" s="10">
        <f t="shared" si="18"/>
        <v>0</v>
      </c>
      <c r="AS30" s="10">
        <f t="shared" si="50"/>
        <v>6000</v>
      </c>
      <c r="AT30" s="10">
        <f t="shared" si="19"/>
        <v>0.46566230891754756</v>
      </c>
      <c r="AU30" s="108"/>
      <c r="AV30" s="10">
        <f t="shared" si="20"/>
        <v>0</v>
      </c>
      <c r="AW30" s="10">
        <f t="shared" si="51"/>
        <v>0</v>
      </c>
      <c r="AX30" s="10">
        <f t="shared" si="21"/>
        <v>0</v>
      </c>
      <c r="AY30" s="108"/>
      <c r="AZ30" s="10">
        <f t="shared" si="22"/>
        <v>0</v>
      </c>
      <c r="BA30" s="10">
        <f t="shared" si="52"/>
        <v>0</v>
      </c>
      <c r="BB30" s="10">
        <f t="shared" si="23"/>
        <v>0</v>
      </c>
      <c r="BC30" s="10">
        <f t="shared" si="53"/>
        <v>44253.263999999996</v>
      </c>
      <c r="BD30" s="10">
        <f t="shared" si="24"/>
        <v>62.106999056211656</v>
      </c>
      <c r="BE30" s="10">
        <f t="shared" si="54"/>
        <v>860389.72199999995</v>
      </c>
      <c r="BF30" s="10">
        <f t="shared" si="25"/>
        <v>66.775177419241132</v>
      </c>
      <c r="BG30" s="108"/>
      <c r="BH30" s="10">
        <f t="shared" si="26"/>
        <v>0</v>
      </c>
      <c r="BI30" s="10">
        <f t="shared" si="55"/>
        <v>0</v>
      </c>
      <c r="BJ30" s="10">
        <f t="shared" si="27"/>
        <v>0</v>
      </c>
      <c r="BK30" s="108"/>
      <c r="BL30" s="10">
        <f t="shared" si="28"/>
        <v>0</v>
      </c>
      <c r="BM30" s="10">
        <f t="shared" si="56"/>
        <v>0</v>
      </c>
      <c r="BN30" s="10">
        <f t="shared" si="29"/>
        <v>0</v>
      </c>
      <c r="BO30" s="108"/>
      <c r="BP30" s="15">
        <f t="shared" si="30"/>
        <v>0</v>
      </c>
      <c r="BQ30" s="10">
        <f t="shared" si="57"/>
        <v>0</v>
      </c>
      <c r="BR30" s="10">
        <f t="shared" si="31"/>
        <v>0</v>
      </c>
      <c r="BS30" s="10">
        <f t="shared" si="58"/>
        <v>0</v>
      </c>
      <c r="BT30" s="10">
        <f t="shared" si="32"/>
        <v>0</v>
      </c>
      <c r="BU30" s="10">
        <f t="shared" si="59"/>
        <v>0</v>
      </c>
      <c r="BV30" s="10">
        <f t="shared" si="33"/>
        <v>0</v>
      </c>
      <c r="BW30" s="108"/>
      <c r="BX30" s="10">
        <f t="shared" si="34"/>
        <v>0</v>
      </c>
      <c r="BY30" s="10">
        <f t="shared" si="60"/>
        <v>0</v>
      </c>
      <c r="BZ30" s="10">
        <f t="shared" si="35"/>
        <v>0</v>
      </c>
      <c r="CA30" s="10">
        <f t="shared" si="36"/>
        <v>71253.263999999996</v>
      </c>
      <c r="CB30" s="10">
        <f t="shared" si="61"/>
        <v>1288487.3620000002</v>
      </c>
      <c r="CC30" s="10">
        <f t="shared" si="37"/>
        <v>1.0768375523281295</v>
      </c>
      <c r="CD30" s="10">
        <f t="shared" si="38"/>
        <v>1.0384879933974569</v>
      </c>
    </row>
    <row r="31" spans="1:91">
      <c r="A31" s="16">
        <f>+Chem!A30</f>
        <v>46013</v>
      </c>
      <c r="B31" s="6" t="str">
        <f>+Chem!B30</f>
        <v>MG</v>
      </c>
      <c r="C31" s="16" t="str">
        <f>+Chem!C30</f>
        <v>16,5</v>
      </c>
      <c r="D31" s="8">
        <f>+Chem!D30</f>
        <v>76.346000000000004</v>
      </c>
      <c r="E31" s="7">
        <f>+Chem!E30</f>
        <v>74.593000000000004</v>
      </c>
      <c r="F31" s="7">
        <f t="shared" si="39"/>
        <v>1315.327</v>
      </c>
      <c r="G31" s="108"/>
      <c r="H31" s="10">
        <f t="shared" si="0"/>
        <v>0</v>
      </c>
      <c r="I31" s="8">
        <f t="shared" si="40"/>
        <v>0</v>
      </c>
      <c r="J31" s="10">
        <f t="shared" si="1"/>
        <v>0</v>
      </c>
      <c r="K31" s="108"/>
      <c r="L31" s="10">
        <f t="shared" si="2"/>
        <v>0</v>
      </c>
      <c r="M31" s="10">
        <f t="shared" si="41"/>
        <v>0</v>
      </c>
      <c r="N31" s="10">
        <f t="shared" si="3"/>
        <v>0</v>
      </c>
      <c r="O31" s="108"/>
      <c r="P31" s="10">
        <f t="shared" si="4"/>
        <v>0</v>
      </c>
      <c r="Q31" s="10">
        <f t="shared" si="42"/>
        <v>0</v>
      </c>
      <c r="R31" s="10">
        <f t="shared" si="5"/>
        <v>0</v>
      </c>
      <c r="S31" s="108">
        <f>112*S7</f>
        <v>28000</v>
      </c>
      <c r="T31" s="10">
        <f t="shared" si="6"/>
        <v>39.299620135486002</v>
      </c>
      <c r="U31" s="10">
        <f t="shared" si="43"/>
        <v>176625</v>
      </c>
      <c r="V31" s="10">
        <f t="shared" si="7"/>
        <v>12.989664668965942</v>
      </c>
      <c r="W31" s="108"/>
      <c r="X31" s="10">
        <f t="shared" si="8"/>
        <v>0</v>
      </c>
      <c r="Y31" s="10">
        <f t="shared" si="44"/>
        <v>181442.39999999997</v>
      </c>
      <c r="Z31" s="10">
        <f t="shared" si="9"/>
        <v>13.343954325448751</v>
      </c>
      <c r="AA31" s="108"/>
      <c r="AB31" s="10">
        <f t="shared" si="10"/>
        <v>0</v>
      </c>
      <c r="AC31" s="10">
        <f t="shared" si="45"/>
        <v>98030.24</v>
      </c>
      <c r="AD31" s="10">
        <f t="shared" si="11"/>
        <v>7.209511365991518</v>
      </c>
      <c r="AE31" s="10">
        <f t="shared" si="46"/>
        <v>28000</v>
      </c>
      <c r="AF31" s="10">
        <f t="shared" si="12"/>
        <v>39.299620135486002</v>
      </c>
      <c r="AG31" s="10">
        <f t="shared" si="47"/>
        <v>456097.63999999996</v>
      </c>
      <c r="AH31" s="10">
        <f t="shared" si="13"/>
        <v>33.543130360406209</v>
      </c>
      <c r="AI31" s="108">
        <f>172*AI7</f>
        <v>43247.508000000002</v>
      </c>
      <c r="AJ31" s="10">
        <f t="shared" si="14"/>
        <v>60.700379864513998</v>
      </c>
      <c r="AK31" s="10">
        <f t="shared" si="48"/>
        <v>897637.23</v>
      </c>
      <c r="AL31" s="10">
        <f t="shared" si="15"/>
        <v>66.015607145531234</v>
      </c>
      <c r="AM31" s="108"/>
      <c r="AN31" s="10">
        <f t="shared" si="16"/>
        <v>0</v>
      </c>
      <c r="AO31" s="10">
        <f t="shared" si="49"/>
        <v>0</v>
      </c>
      <c r="AP31" s="10">
        <f t="shared" si="17"/>
        <v>0</v>
      </c>
      <c r="AQ31" s="108"/>
      <c r="AR31" s="10">
        <f t="shared" si="18"/>
        <v>0</v>
      </c>
      <c r="AS31" s="10">
        <f t="shared" si="50"/>
        <v>6000</v>
      </c>
      <c r="AT31" s="10">
        <f t="shared" si="19"/>
        <v>0.44126249406253731</v>
      </c>
      <c r="AU31" s="108"/>
      <c r="AV31" s="10">
        <f t="shared" si="20"/>
        <v>0</v>
      </c>
      <c r="AW31" s="10">
        <f t="shared" si="51"/>
        <v>0</v>
      </c>
      <c r="AX31" s="10">
        <f t="shared" si="21"/>
        <v>0</v>
      </c>
      <c r="AY31" s="108"/>
      <c r="AZ31" s="10">
        <f t="shared" si="22"/>
        <v>0</v>
      </c>
      <c r="BA31" s="10">
        <f t="shared" si="52"/>
        <v>0</v>
      </c>
      <c r="BB31" s="10">
        <f t="shared" si="23"/>
        <v>0</v>
      </c>
      <c r="BC31" s="10">
        <f t="shared" si="53"/>
        <v>43247.508000000002</v>
      </c>
      <c r="BD31" s="10">
        <f t="shared" si="24"/>
        <v>60.700379864513998</v>
      </c>
      <c r="BE31" s="10">
        <f t="shared" si="54"/>
        <v>903637.23</v>
      </c>
      <c r="BF31" s="10">
        <f t="shared" si="25"/>
        <v>66.456869639593776</v>
      </c>
      <c r="BG31" s="108"/>
      <c r="BH31" s="10">
        <f t="shared" si="26"/>
        <v>0</v>
      </c>
      <c r="BI31" s="10">
        <f t="shared" si="55"/>
        <v>0</v>
      </c>
      <c r="BJ31" s="10">
        <f t="shared" si="27"/>
        <v>0</v>
      </c>
      <c r="BK31" s="108"/>
      <c r="BL31" s="10">
        <f t="shared" si="28"/>
        <v>0</v>
      </c>
      <c r="BM31" s="10">
        <f t="shared" si="56"/>
        <v>0</v>
      </c>
      <c r="BN31" s="10">
        <f t="shared" si="29"/>
        <v>0</v>
      </c>
      <c r="BO31" s="108"/>
      <c r="BP31" s="15">
        <f t="shared" si="30"/>
        <v>0</v>
      </c>
      <c r="BQ31" s="10">
        <f t="shared" si="57"/>
        <v>0</v>
      </c>
      <c r="BR31" s="10">
        <f t="shared" si="31"/>
        <v>0</v>
      </c>
      <c r="BS31" s="10">
        <f t="shared" si="58"/>
        <v>0</v>
      </c>
      <c r="BT31" s="10">
        <f t="shared" si="32"/>
        <v>0</v>
      </c>
      <c r="BU31" s="10">
        <f t="shared" si="59"/>
        <v>0</v>
      </c>
      <c r="BV31" s="10">
        <f t="shared" si="33"/>
        <v>0</v>
      </c>
      <c r="BW31" s="108"/>
      <c r="BX31" s="10">
        <f t="shared" si="34"/>
        <v>0</v>
      </c>
      <c r="BY31" s="10">
        <f t="shared" si="60"/>
        <v>0</v>
      </c>
      <c r="BZ31" s="10">
        <f t="shared" si="35"/>
        <v>0</v>
      </c>
      <c r="CA31" s="10">
        <f t="shared" si="36"/>
        <v>71247.508000000002</v>
      </c>
      <c r="CB31" s="10">
        <f t="shared" si="61"/>
        <v>1359734.87</v>
      </c>
      <c r="CC31" s="10">
        <f t="shared" si="37"/>
        <v>0.95515005429463884</v>
      </c>
      <c r="CD31" s="10">
        <f t="shared" si="38"/>
        <v>1.0337618478142698</v>
      </c>
    </row>
    <row r="32" spans="1:91">
      <c r="A32" s="16">
        <f>+Chem!A31</f>
        <v>46014</v>
      </c>
      <c r="B32" s="6" t="str">
        <f>+Chem!B31</f>
        <v>MG</v>
      </c>
      <c r="C32" s="16" t="str">
        <f>+Chem!C31</f>
        <v>16,5/17</v>
      </c>
      <c r="D32" s="8">
        <f>+Chem!D31</f>
        <v>77.738</v>
      </c>
      <c r="E32" s="7">
        <f>+Chem!E31</f>
        <v>80.234999999999999</v>
      </c>
      <c r="F32" s="7">
        <f t="shared" si="39"/>
        <v>1395.5619999999999</v>
      </c>
      <c r="G32" s="108"/>
      <c r="H32" s="10">
        <f t="shared" si="0"/>
        <v>0</v>
      </c>
      <c r="I32" s="8">
        <f t="shared" si="40"/>
        <v>0</v>
      </c>
      <c r="J32" s="10">
        <f t="shared" si="1"/>
        <v>0</v>
      </c>
      <c r="K32" s="108"/>
      <c r="L32" s="10">
        <f t="shared" si="2"/>
        <v>0</v>
      </c>
      <c r="M32" s="10">
        <f t="shared" si="41"/>
        <v>0</v>
      </c>
      <c r="N32" s="10">
        <f t="shared" si="3"/>
        <v>0</v>
      </c>
      <c r="O32" s="108"/>
      <c r="P32" s="10">
        <f t="shared" si="4"/>
        <v>0</v>
      </c>
      <c r="Q32" s="10">
        <f t="shared" si="42"/>
        <v>0</v>
      </c>
      <c r="R32" s="10">
        <f t="shared" si="5"/>
        <v>0</v>
      </c>
      <c r="S32" s="108">
        <f>108*S7</f>
        <v>27000</v>
      </c>
      <c r="T32" s="10">
        <f t="shared" si="6"/>
        <v>37.365577335535413</v>
      </c>
      <c r="U32" s="10">
        <f t="shared" si="43"/>
        <v>203625</v>
      </c>
      <c r="V32" s="10">
        <f t="shared" si="7"/>
        <v>14.219683577001854</v>
      </c>
      <c r="W32" s="108"/>
      <c r="X32" s="10">
        <f t="shared" si="8"/>
        <v>0</v>
      </c>
      <c r="Y32" s="10">
        <f t="shared" si="44"/>
        <v>181442.39999999997</v>
      </c>
      <c r="Z32" s="10">
        <f t="shared" si="9"/>
        <v>12.670612721678578</v>
      </c>
      <c r="AA32" s="108"/>
      <c r="AB32" s="10">
        <f t="shared" si="10"/>
        <v>0</v>
      </c>
      <c r="AC32" s="10">
        <f t="shared" si="45"/>
        <v>98030.24</v>
      </c>
      <c r="AD32" s="10">
        <f t="shared" si="11"/>
        <v>6.8457163598651949</v>
      </c>
      <c r="AE32" s="10">
        <f t="shared" si="46"/>
        <v>27000</v>
      </c>
      <c r="AF32" s="10">
        <f t="shared" si="12"/>
        <v>37.365577335535413</v>
      </c>
      <c r="AG32" s="10">
        <f t="shared" si="47"/>
        <v>483097.63999999996</v>
      </c>
      <c r="AH32" s="10">
        <f t="shared" si="13"/>
        <v>33.736012658545626</v>
      </c>
      <c r="AI32" s="108">
        <f>180*AI7</f>
        <v>45259.02</v>
      </c>
      <c r="AJ32" s="10">
        <f t="shared" si="14"/>
        <v>62.634422664464594</v>
      </c>
      <c r="AK32" s="10">
        <f t="shared" si="48"/>
        <v>942896.25</v>
      </c>
      <c r="AL32" s="10">
        <f t="shared" si="15"/>
        <v>65.844991140290404</v>
      </c>
      <c r="AM32" s="108"/>
      <c r="AN32" s="10">
        <f t="shared" si="16"/>
        <v>0</v>
      </c>
      <c r="AO32" s="10">
        <f t="shared" si="49"/>
        <v>0</v>
      </c>
      <c r="AP32" s="10">
        <f t="shared" si="17"/>
        <v>0</v>
      </c>
      <c r="AQ32" s="108"/>
      <c r="AR32" s="10">
        <f t="shared" si="18"/>
        <v>0</v>
      </c>
      <c r="AS32" s="10">
        <f t="shared" si="50"/>
        <v>6000</v>
      </c>
      <c r="AT32" s="10">
        <f t="shared" si="19"/>
        <v>0.41899620116395886</v>
      </c>
      <c r="AU32" s="108"/>
      <c r="AV32" s="10">
        <f t="shared" si="20"/>
        <v>0</v>
      </c>
      <c r="AW32" s="10">
        <f t="shared" si="51"/>
        <v>0</v>
      </c>
      <c r="AX32" s="10">
        <f t="shared" si="21"/>
        <v>0</v>
      </c>
      <c r="AY32" s="108"/>
      <c r="AZ32" s="10">
        <f t="shared" si="22"/>
        <v>0</v>
      </c>
      <c r="BA32" s="10">
        <f t="shared" si="52"/>
        <v>0</v>
      </c>
      <c r="BB32" s="10">
        <f t="shared" si="23"/>
        <v>0</v>
      </c>
      <c r="BC32" s="10">
        <f t="shared" si="53"/>
        <v>45259.02</v>
      </c>
      <c r="BD32" s="10">
        <f t="shared" si="24"/>
        <v>62.634422664464594</v>
      </c>
      <c r="BE32" s="10">
        <f t="shared" si="54"/>
        <v>948896.25</v>
      </c>
      <c r="BF32" s="10">
        <f t="shared" si="25"/>
        <v>66.263987341454367</v>
      </c>
      <c r="BG32" s="108"/>
      <c r="BH32" s="10">
        <f t="shared" si="26"/>
        <v>0</v>
      </c>
      <c r="BI32" s="10">
        <f t="shared" si="55"/>
        <v>0</v>
      </c>
      <c r="BJ32" s="10">
        <f t="shared" si="27"/>
        <v>0</v>
      </c>
      <c r="BK32" s="108"/>
      <c r="BL32" s="10">
        <f t="shared" si="28"/>
        <v>0</v>
      </c>
      <c r="BM32" s="10">
        <f t="shared" si="56"/>
        <v>0</v>
      </c>
      <c r="BN32" s="10">
        <f t="shared" si="29"/>
        <v>0</v>
      </c>
      <c r="BO32" s="108"/>
      <c r="BP32" s="15">
        <f t="shared" si="30"/>
        <v>0</v>
      </c>
      <c r="BQ32" s="10">
        <f t="shared" si="57"/>
        <v>0</v>
      </c>
      <c r="BR32" s="10">
        <f t="shared" si="31"/>
        <v>0</v>
      </c>
      <c r="BS32" s="10">
        <f t="shared" si="58"/>
        <v>0</v>
      </c>
      <c r="BT32" s="10">
        <f t="shared" si="32"/>
        <v>0</v>
      </c>
      <c r="BU32" s="10">
        <f t="shared" si="59"/>
        <v>0</v>
      </c>
      <c r="BV32" s="10">
        <f t="shared" si="33"/>
        <v>0</v>
      </c>
      <c r="BW32" s="108"/>
      <c r="BX32" s="10">
        <f t="shared" si="34"/>
        <v>0</v>
      </c>
      <c r="BY32" s="10">
        <f t="shared" si="60"/>
        <v>0</v>
      </c>
      <c r="BZ32" s="10">
        <f t="shared" si="35"/>
        <v>0</v>
      </c>
      <c r="CA32" s="10">
        <f t="shared" si="36"/>
        <v>72259.01999999999</v>
      </c>
      <c r="CB32" s="10">
        <f t="shared" si="61"/>
        <v>1431993.8900000001</v>
      </c>
      <c r="CC32" s="10">
        <f t="shared" si="37"/>
        <v>0.90059226023555794</v>
      </c>
      <c r="CD32" s="10">
        <f t="shared" si="38"/>
        <v>1.026105533111392</v>
      </c>
    </row>
    <row r="33" spans="1:82">
      <c r="A33" s="16">
        <f>+Chem!A32</f>
        <v>46015</v>
      </c>
      <c r="B33" s="6" t="str">
        <f>+Chem!B32</f>
        <v>MG</v>
      </c>
      <c r="C33" s="16" t="str">
        <f>+Chem!C32</f>
        <v>17</v>
      </c>
      <c r="D33" s="8">
        <f>+Chem!D32</f>
        <v>75.167000000000002</v>
      </c>
      <c r="E33" s="7">
        <f>+Chem!E32</f>
        <v>76.366</v>
      </c>
      <c r="F33" s="7">
        <f t="shared" si="39"/>
        <v>1471.9279999999999</v>
      </c>
      <c r="G33" s="108"/>
      <c r="H33" s="10">
        <f t="shared" si="0"/>
        <v>0</v>
      </c>
      <c r="I33" s="8">
        <f t="shared" si="40"/>
        <v>0</v>
      </c>
      <c r="J33" s="10">
        <f t="shared" si="1"/>
        <v>0</v>
      </c>
      <c r="K33" s="108"/>
      <c r="L33" s="10">
        <f t="shared" si="2"/>
        <v>0</v>
      </c>
      <c r="M33" s="10">
        <f t="shared" si="41"/>
        <v>0</v>
      </c>
      <c r="N33" s="10">
        <f t="shared" si="3"/>
        <v>0</v>
      </c>
      <c r="O33" s="108"/>
      <c r="P33" s="10">
        <f t="shared" si="4"/>
        <v>0</v>
      </c>
      <c r="Q33" s="10">
        <f t="shared" si="42"/>
        <v>0</v>
      </c>
      <c r="R33" s="10">
        <f t="shared" si="5"/>
        <v>0</v>
      </c>
      <c r="S33" s="108">
        <f>112*S7</f>
        <v>28000</v>
      </c>
      <c r="T33" s="10">
        <f t="shared" si="6"/>
        <v>38.220549496840121</v>
      </c>
      <c r="U33" s="10">
        <f t="shared" si="43"/>
        <v>231625</v>
      </c>
      <c r="V33" s="10">
        <f t="shared" si="7"/>
        <v>15.387779585823885</v>
      </c>
      <c r="W33" s="108"/>
      <c r="X33" s="10">
        <f t="shared" si="8"/>
        <v>0</v>
      </c>
      <c r="Y33" s="10">
        <f t="shared" si="44"/>
        <v>181442.39999999997</v>
      </c>
      <c r="Z33" s="10">
        <f t="shared" si="9"/>
        <v>12.0539477980481</v>
      </c>
      <c r="AA33" s="108"/>
      <c r="AB33" s="10">
        <f t="shared" si="10"/>
        <v>0</v>
      </c>
      <c r="AC33" s="10">
        <f t="shared" si="45"/>
        <v>98030.24</v>
      </c>
      <c r="AD33" s="10">
        <f t="shared" si="11"/>
        <v>6.5125427992030911</v>
      </c>
      <c r="AE33" s="10">
        <f t="shared" si="46"/>
        <v>28000</v>
      </c>
      <c r="AF33" s="10">
        <f t="shared" si="12"/>
        <v>38.220549496840121</v>
      </c>
      <c r="AG33" s="10">
        <f t="shared" si="47"/>
        <v>511097.63999999996</v>
      </c>
      <c r="AH33" s="10">
        <f t="shared" si="13"/>
        <v>33.954270183075074</v>
      </c>
      <c r="AI33" s="108">
        <f>180*AI7</f>
        <v>45259.02</v>
      </c>
      <c r="AJ33" s="10">
        <f t="shared" si="14"/>
        <v>61.779450503159893</v>
      </c>
      <c r="AK33" s="10">
        <f t="shared" si="48"/>
        <v>988155.27</v>
      </c>
      <c r="AL33" s="10">
        <f t="shared" si="15"/>
        <v>65.647125704609991</v>
      </c>
      <c r="AM33" s="108"/>
      <c r="AN33" s="10">
        <f t="shared" si="16"/>
        <v>0</v>
      </c>
      <c r="AO33" s="10">
        <f t="shared" si="49"/>
        <v>0</v>
      </c>
      <c r="AP33" s="10">
        <f t="shared" si="17"/>
        <v>0</v>
      </c>
      <c r="AQ33" s="108"/>
      <c r="AR33" s="10">
        <f t="shared" si="18"/>
        <v>0</v>
      </c>
      <c r="AS33" s="10">
        <f>AQ33+AS32</f>
        <v>6000</v>
      </c>
      <c r="AT33" s="10">
        <f t="shared" si="19"/>
        <v>0.39860411231491982</v>
      </c>
      <c r="AU33" s="108"/>
      <c r="AV33" s="10">
        <f t="shared" si="20"/>
        <v>0</v>
      </c>
      <c r="AW33" s="10">
        <f t="shared" si="51"/>
        <v>0</v>
      </c>
      <c r="AX33" s="10">
        <f t="shared" si="21"/>
        <v>0</v>
      </c>
      <c r="AY33" s="108"/>
      <c r="AZ33" s="10">
        <f t="shared" si="22"/>
        <v>0</v>
      </c>
      <c r="BA33" s="10">
        <f t="shared" si="52"/>
        <v>0</v>
      </c>
      <c r="BB33" s="10">
        <f t="shared" si="23"/>
        <v>0</v>
      </c>
      <c r="BC33" s="10">
        <f t="shared" si="53"/>
        <v>45259.02</v>
      </c>
      <c r="BD33" s="10">
        <f t="shared" si="24"/>
        <v>61.779450503159893</v>
      </c>
      <c r="BE33" s="10">
        <f t="shared" si="54"/>
        <v>994155.27</v>
      </c>
      <c r="BF33" s="10">
        <f t="shared" si="25"/>
        <v>66.045729816924919</v>
      </c>
      <c r="BG33" s="108"/>
      <c r="BH33" s="10">
        <f t="shared" si="26"/>
        <v>0</v>
      </c>
      <c r="BI33" s="10">
        <f t="shared" si="55"/>
        <v>0</v>
      </c>
      <c r="BJ33" s="10">
        <f t="shared" si="27"/>
        <v>0</v>
      </c>
      <c r="BK33" s="108"/>
      <c r="BL33" s="10">
        <f t="shared" si="28"/>
        <v>0</v>
      </c>
      <c r="BM33" s="10">
        <f t="shared" si="56"/>
        <v>0</v>
      </c>
      <c r="BN33" s="10">
        <f t="shared" si="29"/>
        <v>0</v>
      </c>
      <c r="BO33" s="108"/>
      <c r="BP33" s="15">
        <f t="shared" si="30"/>
        <v>0</v>
      </c>
      <c r="BQ33" s="10">
        <f t="shared" si="57"/>
        <v>0</v>
      </c>
      <c r="BR33" s="10">
        <f t="shared" si="31"/>
        <v>0</v>
      </c>
      <c r="BS33" s="10">
        <f t="shared" si="58"/>
        <v>0</v>
      </c>
      <c r="BT33" s="10">
        <f t="shared" si="32"/>
        <v>0</v>
      </c>
      <c r="BU33" s="10">
        <f t="shared" si="59"/>
        <v>0</v>
      </c>
      <c r="BV33" s="10">
        <f t="shared" si="33"/>
        <v>0</v>
      </c>
      <c r="BW33" s="108"/>
      <c r="BX33" s="10">
        <f t="shared" si="34"/>
        <v>0</v>
      </c>
      <c r="BY33" s="10">
        <f t="shared" si="60"/>
        <v>0</v>
      </c>
      <c r="BZ33" s="10">
        <f t="shared" si="35"/>
        <v>0</v>
      </c>
      <c r="CA33" s="10">
        <f t="shared" si="36"/>
        <v>73259.01999999999</v>
      </c>
      <c r="CB33" s="10">
        <f t="shared" si="61"/>
        <v>1505252.9100000001</v>
      </c>
      <c r="CC33" s="10">
        <f t="shared" si="37"/>
        <v>0.95931461645234783</v>
      </c>
      <c r="CD33" s="10">
        <f t="shared" si="38"/>
        <v>1.0226403125696368</v>
      </c>
    </row>
    <row r="34" spans="1:82">
      <c r="A34" s="16">
        <f>+Chem!A33</f>
        <v>46016</v>
      </c>
      <c r="B34" s="6" t="str">
        <f>+Chem!B33</f>
        <v>MG</v>
      </c>
      <c r="C34" s="16" t="str">
        <f>+Chem!C33</f>
        <v>17</v>
      </c>
      <c r="D34" s="8">
        <f>+Chem!D33</f>
        <v>77.106000000000009</v>
      </c>
      <c r="E34" s="7">
        <f>+Chem!E33</f>
        <v>77.453999999999994</v>
      </c>
      <c r="F34" s="7">
        <f t="shared" si="39"/>
        <v>1549.3819999999998</v>
      </c>
      <c r="G34" s="108"/>
      <c r="H34" s="10">
        <f t="shared" si="0"/>
        <v>0</v>
      </c>
      <c r="I34" s="8">
        <f t="shared" si="40"/>
        <v>0</v>
      </c>
      <c r="J34" s="10">
        <f t="shared" si="1"/>
        <v>0</v>
      </c>
      <c r="K34" s="108"/>
      <c r="L34" s="10">
        <f t="shared" si="2"/>
        <v>0</v>
      </c>
      <c r="M34" s="10">
        <f t="shared" si="41"/>
        <v>0</v>
      </c>
      <c r="N34" s="10">
        <f t="shared" si="3"/>
        <v>0</v>
      </c>
      <c r="O34" s="108"/>
      <c r="P34" s="10">
        <f t="shared" si="4"/>
        <v>0</v>
      </c>
      <c r="Q34" s="10">
        <f t="shared" si="42"/>
        <v>0</v>
      </c>
      <c r="R34" s="10">
        <f t="shared" si="5"/>
        <v>0</v>
      </c>
      <c r="S34" s="108">
        <f>116*S7</f>
        <v>29000</v>
      </c>
      <c r="T34" s="10">
        <f t="shared" si="6"/>
        <v>39.052494902302783</v>
      </c>
      <c r="U34" s="10">
        <f t="shared" si="43"/>
        <v>260625</v>
      </c>
      <c r="V34" s="10">
        <f t="shared" si="7"/>
        <v>16.500350206281759</v>
      </c>
      <c r="W34" s="108"/>
      <c r="X34" s="10">
        <f t="shared" si="8"/>
        <v>0</v>
      </c>
      <c r="Y34" s="10">
        <f t="shared" si="44"/>
        <v>181442.39999999997</v>
      </c>
      <c r="Z34" s="10">
        <f t="shared" si="9"/>
        <v>11.487244670573645</v>
      </c>
      <c r="AA34" s="108"/>
      <c r="AB34" s="10">
        <f t="shared" si="10"/>
        <v>0</v>
      </c>
      <c r="AC34" s="10">
        <f t="shared" si="45"/>
        <v>98030.24</v>
      </c>
      <c r="AD34" s="10">
        <f t="shared" si="11"/>
        <v>6.206362746497267</v>
      </c>
      <c r="AE34" s="10">
        <f t="shared" si="46"/>
        <v>29000</v>
      </c>
      <c r="AF34" s="10">
        <f t="shared" si="12"/>
        <v>39.052494902302783</v>
      </c>
      <c r="AG34" s="10">
        <f t="shared" si="47"/>
        <v>540097.6399999999</v>
      </c>
      <c r="AH34" s="10">
        <f t="shared" si="13"/>
        <v>34.193957623352667</v>
      </c>
      <c r="AI34" s="108">
        <f>180*AI7</f>
        <v>45259.02</v>
      </c>
      <c r="AJ34" s="10">
        <f t="shared" si="14"/>
        <v>60.947505097697231</v>
      </c>
      <c r="AK34" s="10">
        <f t="shared" si="48"/>
        <v>1033414.29</v>
      </c>
      <c r="AL34" s="10">
        <f t="shared" si="15"/>
        <v>65.426178199236517</v>
      </c>
      <c r="AM34" s="108"/>
      <c r="AN34" s="10">
        <f t="shared" si="16"/>
        <v>0</v>
      </c>
      <c r="AO34" s="10">
        <f t="shared" si="49"/>
        <v>0</v>
      </c>
      <c r="AP34" s="10">
        <f t="shared" si="17"/>
        <v>0</v>
      </c>
      <c r="AQ34" s="108"/>
      <c r="AR34" s="10">
        <f t="shared" si="18"/>
        <v>0</v>
      </c>
      <c r="AS34" s="10">
        <f>AQ34+AS33</f>
        <v>6000</v>
      </c>
      <c r="AT34" s="10">
        <f t="shared" si="19"/>
        <v>0.37986417741080303</v>
      </c>
      <c r="AU34" s="108"/>
      <c r="AV34" s="10">
        <f t="shared" si="20"/>
        <v>0</v>
      </c>
      <c r="AW34" s="10">
        <f t="shared" si="51"/>
        <v>0</v>
      </c>
      <c r="AX34" s="10">
        <f t="shared" si="21"/>
        <v>0</v>
      </c>
      <c r="AY34" s="108"/>
      <c r="AZ34" s="10">
        <f t="shared" si="22"/>
        <v>0</v>
      </c>
      <c r="BA34" s="10">
        <f t="shared" si="52"/>
        <v>0</v>
      </c>
      <c r="BB34" s="10">
        <f t="shared" si="23"/>
        <v>0</v>
      </c>
      <c r="BC34" s="10">
        <f t="shared" si="53"/>
        <v>45259.02</v>
      </c>
      <c r="BD34" s="10">
        <f t="shared" si="24"/>
        <v>60.947505097697231</v>
      </c>
      <c r="BE34" s="10">
        <f t="shared" si="54"/>
        <v>1039414.29</v>
      </c>
      <c r="BF34" s="10">
        <f t="shared" si="25"/>
        <v>65.806042376647326</v>
      </c>
      <c r="BG34" s="108"/>
      <c r="BH34" s="10">
        <f t="shared" si="26"/>
        <v>0</v>
      </c>
      <c r="BI34" s="10">
        <f t="shared" si="55"/>
        <v>0</v>
      </c>
      <c r="BJ34" s="10">
        <f t="shared" si="27"/>
        <v>0</v>
      </c>
      <c r="BK34" s="108"/>
      <c r="BL34" s="10">
        <f t="shared" si="28"/>
        <v>0</v>
      </c>
      <c r="BM34" s="10">
        <f t="shared" si="56"/>
        <v>0</v>
      </c>
      <c r="BN34" s="10">
        <f t="shared" si="29"/>
        <v>0</v>
      </c>
      <c r="BO34" s="108"/>
      <c r="BP34" s="15">
        <f t="shared" si="30"/>
        <v>0</v>
      </c>
      <c r="BQ34" s="10">
        <f t="shared" si="57"/>
        <v>0</v>
      </c>
      <c r="BR34" s="10">
        <f t="shared" si="31"/>
        <v>0</v>
      </c>
      <c r="BS34" s="10">
        <f t="shared" si="58"/>
        <v>0</v>
      </c>
      <c r="BT34" s="10">
        <f t="shared" si="32"/>
        <v>0</v>
      </c>
      <c r="BU34" s="10">
        <f t="shared" si="59"/>
        <v>0</v>
      </c>
      <c r="BV34" s="10">
        <f t="shared" si="33"/>
        <v>0</v>
      </c>
      <c r="BW34" s="108"/>
      <c r="BX34" s="10">
        <f t="shared" si="34"/>
        <v>0</v>
      </c>
      <c r="BY34" s="10">
        <f t="shared" si="60"/>
        <v>0</v>
      </c>
      <c r="BZ34" s="10">
        <f t="shared" si="35"/>
        <v>0</v>
      </c>
      <c r="CA34" s="10">
        <f t="shared" si="36"/>
        <v>74259.01999999999</v>
      </c>
      <c r="CB34" s="10">
        <f t="shared" si="61"/>
        <v>1579511.9300000002</v>
      </c>
      <c r="CC34" s="10">
        <f t="shared" si="37"/>
        <v>0.95874996772277732</v>
      </c>
      <c r="CD34" s="10">
        <f t="shared" si="38"/>
        <v>1.0194464179911735</v>
      </c>
    </row>
    <row r="35" spans="1:82">
      <c r="A35" s="16">
        <f>+Chem!A34</f>
        <v>46017</v>
      </c>
      <c r="B35" s="6" t="str">
        <f>+Chem!B34</f>
        <v>MG</v>
      </c>
      <c r="C35" s="16" t="str">
        <f>+Chem!C34</f>
        <v>16/14</v>
      </c>
      <c r="D35" s="8">
        <f>+Chem!D34</f>
        <v>67.623000000000005</v>
      </c>
      <c r="E35" s="7">
        <f>+Chem!E34</f>
        <v>67.463999999999999</v>
      </c>
      <c r="F35" s="7">
        <f t="shared" si="39"/>
        <v>1616.8459999999998</v>
      </c>
      <c r="G35" s="108"/>
      <c r="H35" s="10">
        <f t="shared" si="0"/>
        <v>0</v>
      </c>
      <c r="I35" s="8">
        <f t="shared" si="40"/>
        <v>0</v>
      </c>
      <c r="J35" s="10">
        <f t="shared" si="1"/>
        <v>0</v>
      </c>
      <c r="K35" s="108"/>
      <c r="L35" s="10">
        <f t="shared" si="2"/>
        <v>0</v>
      </c>
      <c r="M35" s="10">
        <f t="shared" si="41"/>
        <v>0</v>
      </c>
      <c r="N35" s="10">
        <f t="shared" si="3"/>
        <v>0</v>
      </c>
      <c r="O35" s="108"/>
      <c r="P35" s="10">
        <f t="shared" si="4"/>
        <v>0</v>
      </c>
      <c r="Q35" s="10">
        <f t="shared" si="42"/>
        <v>0</v>
      </c>
      <c r="R35" s="10">
        <f t="shared" si="5"/>
        <v>0</v>
      </c>
      <c r="S35" s="108">
        <f>116*S7</f>
        <v>29000</v>
      </c>
      <c r="T35" s="10">
        <f t="shared" si="6"/>
        <v>40.139792780119144</v>
      </c>
      <c r="U35" s="10">
        <f t="shared" si="43"/>
        <v>289625</v>
      </c>
      <c r="V35" s="10">
        <f t="shared" si="7"/>
        <v>17.534332986811123</v>
      </c>
      <c r="W35" s="108"/>
      <c r="X35" s="10">
        <f t="shared" si="8"/>
        <v>0</v>
      </c>
      <c r="Y35" s="10">
        <f t="shared" si="44"/>
        <v>181442.39999999997</v>
      </c>
      <c r="Z35" s="10">
        <f t="shared" si="9"/>
        <v>10.984795716965653</v>
      </c>
      <c r="AA35" s="108"/>
      <c r="AB35" s="10">
        <f t="shared" si="10"/>
        <v>0</v>
      </c>
      <c r="AC35" s="10">
        <f t="shared" si="45"/>
        <v>98030.24</v>
      </c>
      <c r="AD35" s="10">
        <f t="shared" si="11"/>
        <v>5.9348981301234742</v>
      </c>
      <c r="AE35" s="10">
        <f t="shared" si="46"/>
        <v>29000</v>
      </c>
      <c r="AF35" s="10">
        <f t="shared" si="12"/>
        <v>40.139792780119144</v>
      </c>
      <c r="AG35" s="10">
        <f t="shared" si="47"/>
        <v>569097.6399999999</v>
      </c>
      <c r="AH35" s="10">
        <f t="shared" si="13"/>
        <v>34.454026833900244</v>
      </c>
      <c r="AI35" s="108">
        <f>172*AI7</f>
        <v>43247.508000000002</v>
      </c>
      <c r="AJ35" s="10">
        <f t="shared" si="14"/>
        <v>59.860207219880856</v>
      </c>
      <c r="AK35" s="10">
        <f t="shared" si="48"/>
        <v>1076661.798</v>
      </c>
      <c r="AL35" s="10">
        <f t="shared" si="15"/>
        <v>65.182724144361742</v>
      </c>
      <c r="AM35" s="108"/>
      <c r="AN35" s="10">
        <f t="shared" si="16"/>
        <v>0</v>
      </c>
      <c r="AO35" s="10">
        <f t="shared" si="49"/>
        <v>0</v>
      </c>
      <c r="AP35" s="10">
        <f t="shared" si="17"/>
        <v>0</v>
      </c>
      <c r="AQ35" s="108"/>
      <c r="AR35" s="10">
        <f t="shared" si="18"/>
        <v>0</v>
      </c>
      <c r="AS35" s="10">
        <f>AQ35+AS34</f>
        <v>6000</v>
      </c>
      <c r="AT35" s="10">
        <f t="shared" si="19"/>
        <v>0.36324902173799473</v>
      </c>
      <c r="AU35" s="108"/>
      <c r="AV35" s="10">
        <f t="shared" si="20"/>
        <v>0</v>
      </c>
      <c r="AW35" s="10">
        <f t="shared" si="51"/>
        <v>0</v>
      </c>
      <c r="AX35" s="10">
        <f t="shared" si="21"/>
        <v>0</v>
      </c>
      <c r="AY35" s="108"/>
      <c r="AZ35" s="10">
        <f t="shared" si="22"/>
        <v>0</v>
      </c>
      <c r="BA35" s="10">
        <f t="shared" si="52"/>
        <v>0</v>
      </c>
      <c r="BB35" s="10">
        <f t="shared" si="23"/>
        <v>0</v>
      </c>
      <c r="BC35" s="10">
        <f t="shared" si="53"/>
        <v>43247.508000000002</v>
      </c>
      <c r="BD35" s="10">
        <f t="shared" si="24"/>
        <v>59.860207219880856</v>
      </c>
      <c r="BE35" s="10">
        <f t="shared" si="54"/>
        <v>1082661.798</v>
      </c>
      <c r="BF35" s="10">
        <f t="shared" si="25"/>
        <v>65.545973166099742</v>
      </c>
      <c r="BG35" s="108"/>
      <c r="BH35" s="10">
        <f t="shared" si="26"/>
        <v>0</v>
      </c>
      <c r="BI35" s="10">
        <f t="shared" si="55"/>
        <v>0</v>
      </c>
      <c r="BJ35" s="10">
        <f t="shared" si="27"/>
        <v>0</v>
      </c>
      <c r="BK35" s="108"/>
      <c r="BL35" s="10">
        <f t="shared" si="28"/>
        <v>0</v>
      </c>
      <c r="BM35" s="10">
        <f t="shared" si="56"/>
        <v>0</v>
      </c>
      <c r="BN35" s="10">
        <f t="shared" si="29"/>
        <v>0</v>
      </c>
      <c r="BO35" s="108"/>
      <c r="BP35" s="15">
        <f t="shared" si="30"/>
        <v>0</v>
      </c>
      <c r="BQ35" s="10">
        <f t="shared" si="57"/>
        <v>0</v>
      </c>
      <c r="BR35" s="10">
        <f t="shared" si="31"/>
        <v>0</v>
      </c>
      <c r="BS35" s="10">
        <f t="shared" si="58"/>
        <v>0</v>
      </c>
      <c r="BT35" s="10">
        <f t="shared" si="32"/>
        <v>0</v>
      </c>
      <c r="BU35" s="10">
        <f t="shared" si="59"/>
        <v>0</v>
      </c>
      <c r="BV35" s="10">
        <f t="shared" si="33"/>
        <v>0</v>
      </c>
      <c r="BW35" s="108"/>
      <c r="BX35" s="10">
        <f t="shared" si="34"/>
        <v>0</v>
      </c>
      <c r="BY35" s="10">
        <f t="shared" si="60"/>
        <v>0</v>
      </c>
      <c r="BZ35" s="10">
        <f t="shared" si="35"/>
        <v>0</v>
      </c>
      <c r="CA35" s="10">
        <f t="shared" si="36"/>
        <v>72247.508000000002</v>
      </c>
      <c r="CB35" s="10">
        <f t="shared" si="61"/>
        <v>1651759.4380000001</v>
      </c>
      <c r="CC35" s="10">
        <f t="shared" si="37"/>
        <v>1.0709046009723704</v>
      </c>
      <c r="CD35" s="10">
        <f t="shared" si="38"/>
        <v>1.0215935457056518</v>
      </c>
    </row>
    <row r="36" spans="1:82">
      <c r="A36" s="16">
        <f>+Chem!A35</f>
        <v>46018</v>
      </c>
      <c r="B36" s="6" t="str">
        <f>+Chem!B35</f>
        <v>MG</v>
      </c>
      <c r="C36" s="16" t="str">
        <f>+Chem!C35</f>
        <v>14</v>
      </c>
      <c r="D36" s="8">
        <f>+Chem!D35</f>
        <v>59.222999999999999</v>
      </c>
      <c r="E36" s="7">
        <f>+Chem!E35</f>
        <v>57.66</v>
      </c>
      <c r="F36" s="7">
        <f t="shared" si="39"/>
        <v>1674.5059999999999</v>
      </c>
      <c r="G36" s="108"/>
      <c r="H36" s="10">
        <f t="shared" si="0"/>
        <v>0</v>
      </c>
      <c r="I36" s="8">
        <f t="shared" si="40"/>
        <v>0</v>
      </c>
      <c r="J36" s="10">
        <f t="shared" si="1"/>
        <v>0</v>
      </c>
      <c r="K36" s="108"/>
      <c r="L36" s="10">
        <f t="shared" si="2"/>
        <v>0</v>
      </c>
      <c r="M36" s="10">
        <f t="shared" si="41"/>
        <v>0</v>
      </c>
      <c r="N36" s="10">
        <f t="shared" si="3"/>
        <v>0</v>
      </c>
      <c r="O36" s="108"/>
      <c r="P36" s="10">
        <f t="shared" si="4"/>
        <v>0</v>
      </c>
      <c r="Q36" s="10">
        <f t="shared" si="42"/>
        <v>0</v>
      </c>
      <c r="R36" s="10">
        <f t="shared" si="5"/>
        <v>0</v>
      </c>
      <c r="S36" s="108">
        <f>116*S7</f>
        <v>29000</v>
      </c>
      <c r="T36" s="10">
        <f t="shared" si="6"/>
        <v>46.631330195034096</v>
      </c>
      <c r="U36" s="10">
        <f t="shared" si="43"/>
        <v>318625</v>
      </c>
      <c r="V36" s="10">
        <f t="shared" si="7"/>
        <v>18.590105554027133</v>
      </c>
      <c r="W36" s="108"/>
      <c r="X36" s="10">
        <f t="shared" si="8"/>
        <v>0</v>
      </c>
      <c r="Y36" s="10">
        <f t="shared" si="44"/>
        <v>181442.39999999997</v>
      </c>
      <c r="Z36" s="10">
        <f t="shared" si="9"/>
        <v>10.58621692577799</v>
      </c>
      <c r="AA36" s="108"/>
      <c r="AB36" s="10">
        <f t="shared" si="10"/>
        <v>0</v>
      </c>
      <c r="AC36" s="10">
        <f t="shared" si="45"/>
        <v>98030.24</v>
      </c>
      <c r="AD36" s="10">
        <f t="shared" si="11"/>
        <v>5.7195527943087114</v>
      </c>
      <c r="AE36" s="10">
        <f t="shared" si="46"/>
        <v>29000</v>
      </c>
      <c r="AF36" s="10">
        <f t="shared" si="12"/>
        <v>46.631330195034096</v>
      </c>
      <c r="AG36" s="10">
        <f t="shared" si="47"/>
        <v>598097.6399999999</v>
      </c>
      <c r="AH36" s="10">
        <f t="shared" si="13"/>
        <v>34.895875274113827</v>
      </c>
      <c r="AI36" s="108">
        <f>132*AI7</f>
        <v>33189.947999999997</v>
      </c>
      <c r="AJ36" s="10">
        <f t="shared" si="14"/>
        <v>53.368669804965904</v>
      </c>
      <c r="AK36" s="10">
        <f t="shared" si="48"/>
        <v>1109851.746</v>
      </c>
      <c r="AL36" s="10">
        <f t="shared" si="15"/>
        <v>64.754056045386619</v>
      </c>
      <c r="AM36" s="108"/>
      <c r="AN36" s="10">
        <f t="shared" si="16"/>
        <v>0</v>
      </c>
      <c r="AO36" s="10">
        <f t="shared" si="49"/>
        <v>0</v>
      </c>
      <c r="AP36" s="10">
        <f t="shared" si="17"/>
        <v>0</v>
      </c>
      <c r="AQ36" s="108"/>
      <c r="AR36" s="10">
        <f t="shared" si="18"/>
        <v>0</v>
      </c>
      <c r="AS36" s="10">
        <f t="shared" si="50"/>
        <v>6000</v>
      </c>
      <c r="AT36" s="10">
        <f t="shared" si="19"/>
        <v>0.35006868049953022</v>
      </c>
      <c r="AU36" s="108"/>
      <c r="AV36" s="10">
        <f t="shared" si="20"/>
        <v>0</v>
      </c>
      <c r="AW36" s="10">
        <f t="shared" si="51"/>
        <v>0</v>
      </c>
      <c r="AX36" s="10">
        <f t="shared" si="21"/>
        <v>0</v>
      </c>
      <c r="AY36" s="108"/>
      <c r="AZ36" s="10">
        <f t="shared" si="22"/>
        <v>0</v>
      </c>
      <c r="BA36" s="10">
        <f t="shared" si="52"/>
        <v>0</v>
      </c>
      <c r="BB36" s="10">
        <f t="shared" si="23"/>
        <v>0</v>
      </c>
      <c r="BC36" s="10">
        <f t="shared" si="53"/>
        <v>33189.947999999997</v>
      </c>
      <c r="BD36" s="10">
        <f t="shared" si="24"/>
        <v>53.368669804965904</v>
      </c>
      <c r="BE36" s="10">
        <f t="shared" si="54"/>
        <v>1115851.746</v>
      </c>
      <c r="BF36" s="10">
        <f t="shared" si="25"/>
        <v>65.104124725886152</v>
      </c>
      <c r="BG36" s="108"/>
      <c r="BH36" s="10">
        <f t="shared" si="26"/>
        <v>0</v>
      </c>
      <c r="BI36" s="10">
        <f t="shared" si="55"/>
        <v>0</v>
      </c>
      <c r="BJ36" s="10">
        <f t="shared" si="27"/>
        <v>0</v>
      </c>
      <c r="BK36" s="108"/>
      <c r="BL36" s="10">
        <f t="shared" si="28"/>
        <v>0</v>
      </c>
      <c r="BM36" s="10">
        <f t="shared" si="56"/>
        <v>0</v>
      </c>
      <c r="BN36" s="10">
        <f t="shared" si="29"/>
        <v>0</v>
      </c>
      <c r="BO36" s="108"/>
      <c r="BP36" s="15">
        <f t="shared" si="30"/>
        <v>0</v>
      </c>
      <c r="BQ36" s="10">
        <f t="shared" si="57"/>
        <v>0</v>
      </c>
      <c r="BR36" s="10">
        <f t="shared" si="31"/>
        <v>0</v>
      </c>
      <c r="BS36" s="10">
        <f t="shared" si="58"/>
        <v>0</v>
      </c>
      <c r="BT36" s="10">
        <f t="shared" si="32"/>
        <v>0</v>
      </c>
      <c r="BU36" s="10">
        <f t="shared" si="59"/>
        <v>0</v>
      </c>
      <c r="BV36" s="10">
        <f t="shared" si="33"/>
        <v>0</v>
      </c>
      <c r="BW36" s="108"/>
      <c r="BX36" s="10">
        <f t="shared" si="34"/>
        <v>0</v>
      </c>
      <c r="BY36" s="10">
        <f t="shared" si="60"/>
        <v>0</v>
      </c>
      <c r="BZ36" s="10">
        <f t="shared" si="35"/>
        <v>0</v>
      </c>
      <c r="CA36" s="10">
        <f t="shared" si="36"/>
        <v>62189.947999999997</v>
      </c>
      <c r="CB36" s="10">
        <f t="shared" si="61"/>
        <v>1713949.3860000002</v>
      </c>
      <c r="CC36" s="10">
        <f t="shared" si="37"/>
        <v>1.0785630939993063</v>
      </c>
      <c r="CD36" s="10">
        <f t="shared" si="38"/>
        <v>1.0235552371863703</v>
      </c>
    </row>
    <row r="37" spans="1:82">
      <c r="A37" s="16">
        <f>+Chem!A36</f>
        <v>46019</v>
      </c>
      <c r="B37" s="6" t="str">
        <f>+Chem!B36</f>
        <v>MG</v>
      </c>
      <c r="C37" s="16" t="str">
        <f>+Chem!C36</f>
        <v>14</v>
      </c>
      <c r="D37" s="8">
        <f>+Chem!D36</f>
        <v>62.563000000000002</v>
      </c>
      <c r="E37" s="7">
        <f>+Chem!E36</f>
        <v>67.025000000000006</v>
      </c>
      <c r="F37" s="7">
        <f t="shared" si="39"/>
        <v>1741.5309999999999</v>
      </c>
      <c r="G37" s="108"/>
      <c r="H37" s="10">
        <f t="shared" si="0"/>
        <v>0</v>
      </c>
      <c r="I37" s="8">
        <f t="shared" si="40"/>
        <v>0</v>
      </c>
      <c r="J37" s="10">
        <f t="shared" si="1"/>
        <v>0</v>
      </c>
      <c r="K37" s="108"/>
      <c r="L37" s="10">
        <f t="shared" si="2"/>
        <v>0</v>
      </c>
      <c r="M37" s="10">
        <f t="shared" si="41"/>
        <v>0</v>
      </c>
      <c r="N37" s="10">
        <f t="shared" si="3"/>
        <v>0</v>
      </c>
      <c r="O37" s="108"/>
      <c r="P37" s="10">
        <f t="shared" si="4"/>
        <v>0</v>
      </c>
      <c r="Q37" s="10">
        <f t="shared" si="42"/>
        <v>0</v>
      </c>
      <c r="R37" s="10">
        <f t="shared" si="5"/>
        <v>0</v>
      </c>
      <c r="S37" s="108">
        <f>116*S7</f>
        <v>29000</v>
      </c>
      <c r="T37" s="10">
        <f t="shared" si="6"/>
        <v>46.631330195034096</v>
      </c>
      <c r="U37" s="10">
        <f t="shared" si="43"/>
        <v>347625</v>
      </c>
      <c r="V37" s="10">
        <f t="shared" si="7"/>
        <v>19.571944235766807</v>
      </c>
      <c r="W37" s="108"/>
      <c r="X37" s="10">
        <f t="shared" si="8"/>
        <v>0</v>
      </c>
      <c r="Y37" s="10">
        <f t="shared" si="44"/>
        <v>181442.39999999997</v>
      </c>
      <c r="Z37" s="10">
        <f t="shared" si="9"/>
        <v>10.215549902347917</v>
      </c>
      <c r="AA37" s="108"/>
      <c r="AB37" s="10">
        <f t="shared" si="10"/>
        <v>0</v>
      </c>
      <c r="AC37" s="10">
        <f t="shared" si="45"/>
        <v>98030.24</v>
      </c>
      <c r="AD37" s="10">
        <f t="shared" si="11"/>
        <v>5.5192877114673475</v>
      </c>
      <c r="AE37" s="10">
        <f t="shared" si="46"/>
        <v>29000</v>
      </c>
      <c r="AF37" s="10">
        <f t="shared" si="12"/>
        <v>46.631330195034096</v>
      </c>
      <c r="AG37" s="10">
        <f t="shared" si="47"/>
        <v>627097.6399999999</v>
      </c>
      <c r="AH37" s="10">
        <f t="shared" si="13"/>
        <v>35.306781849582066</v>
      </c>
      <c r="AI37" s="108">
        <f>132*AI7</f>
        <v>33189.947999999997</v>
      </c>
      <c r="AJ37" s="10">
        <f t="shared" si="14"/>
        <v>53.368669804965904</v>
      </c>
      <c r="AK37" s="10">
        <f t="shared" si="48"/>
        <v>1143041.6940000001</v>
      </c>
      <c r="AL37" s="10">
        <f t="shared" si="15"/>
        <v>64.355406815172756</v>
      </c>
      <c r="AM37" s="108"/>
      <c r="AN37" s="10">
        <f t="shared" si="16"/>
        <v>0</v>
      </c>
      <c r="AO37" s="10">
        <f t="shared" si="49"/>
        <v>0</v>
      </c>
      <c r="AP37" s="10">
        <f t="shared" si="17"/>
        <v>0</v>
      </c>
      <c r="AQ37" s="108"/>
      <c r="AR37" s="10">
        <f t="shared" si="18"/>
        <v>0</v>
      </c>
      <c r="AS37" s="10">
        <f t="shared" si="50"/>
        <v>6000</v>
      </c>
      <c r="AT37" s="10">
        <f t="shared" si="19"/>
        <v>0.33781133524516604</v>
      </c>
      <c r="AU37" s="108"/>
      <c r="AV37" s="10">
        <f t="shared" si="20"/>
        <v>0</v>
      </c>
      <c r="AW37" s="10">
        <f t="shared" si="51"/>
        <v>0</v>
      </c>
      <c r="AX37" s="10">
        <f t="shared" si="21"/>
        <v>0</v>
      </c>
      <c r="AY37" s="108"/>
      <c r="AZ37" s="10">
        <f t="shared" si="22"/>
        <v>0</v>
      </c>
      <c r="BA37" s="10">
        <f t="shared" si="52"/>
        <v>0</v>
      </c>
      <c r="BB37" s="10">
        <f t="shared" si="23"/>
        <v>0</v>
      </c>
      <c r="BC37" s="10">
        <f t="shared" si="53"/>
        <v>33189.947999999997</v>
      </c>
      <c r="BD37" s="10">
        <f t="shared" si="24"/>
        <v>53.368669804965904</v>
      </c>
      <c r="BE37" s="10">
        <f t="shared" si="54"/>
        <v>1149041.6940000001</v>
      </c>
      <c r="BF37" s="10">
        <f t="shared" si="25"/>
        <v>64.69321815041792</v>
      </c>
      <c r="BG37" s="108"/>
      <c r="BH37" s="10">
        <f t="shared" si="26"/>
        <v>0</v>
      </c>
      <c r="BI37" s="10">
        <f t="shared" si="55"/>
        <v>0</v>
      </c>
      <c r="BJ37" s="10">
        <f t="shared" si="27"/>
        <v>0</v>
      </c>
      <c r="BK37" s="108"/>
      <c r="BL37" s="10">
        <f t="shared" si="28"/>
        <v>0</v>
      </c>
      <c r="BM37" s="10">
        <f t="shared" si="56"/>
        <v>0</v>
      </c>
      <c r="BN37" s="10">
        <f t="shared" si="29"/>
        <v>0</v>
      </c>
      <c r="BO37" s="108"/>
      <c r="BP37" s="15">
        <f t="shared" si="30"/>
        <v>0</v>
      </c>
      <c r="BQ37" s="10">
        <f t="shared" si="57"/>
        <v>0</v>
      </c>
      <c r="BR37" s="10">
        <f t="shared" si="31"/>
        <v>0</v>
      </c>
      <c r="BS37" s="10">
        <f t="shared" si="58"/>
        <v>0</v>
      </c>
      <c r="BT37" s="10">
        <f t="shared" si="32"/>
        <v>0</v>
      </c>
      <c r="BU37" s="10">
        <f t="shared" si="59"/>
        <v>0</v>
      </c>
      <c r="BV37" s="10">
        <f t="shared" si="33"/>
        <v>0</v>
      </c>
      <c r="BW37" s="108"/>
      <c r="BX37" s="10">
        <f t="shared" si="34"/>
        <v>0</v>
      </c>
      <c r="BY37" s="10">
        <f t="shared" si="60"/>
        <v>0</v>
      </c>
      <c r="BZ37" s="10">
        <f t="shared" si="35"/>
        <v>0</v>
      </c>
      <c r="CA37" s="10">
        <f t="shared" si="36"/>
        <v>62189.947999999997</v>
      </c>
      <c r="CB37" s="10">
        <f t="shared" si="61"/>
        <v>1776139.3340000003</v>
      </c>
      <c r="CC37" s="10">
        <f t="shared" si="37"/>
        <v>0.92786196195449444</v>
      </c>
      <c r="CD37" s="10">
        <f t="shared" si="38"/>
        <v>1.019872361732292</v>
      </c>
    </row>
    <row r="38" spans="1:82">
      <c r="A38" s="16">
        <f>+Chem!A37</f>
        <v>46020</v>
      </c>
      <c r="B38" s="6" t="str">
        <f>+Chem!B37</f>
        <v>MG</v>
      </c>
      <c r="C38" s="16" t="str">
        <f>+Chem!C37</f>
        <v>14/17</v>
      </c>
      <c r="D38" s="8">
        <f>+Chem!D37</f>
        <v>73.109999999999985</v>
      </c>
      <c r="E38" s="7">
        <f>+Chem!E37</f>
        <v>65.84</v>
      </c>
      <c r="F38" s="7">
        <f t="shared" si="39"/>
        <v>1807.3709999999999</v>
      </c>
      <c r="G38" s="108"/>
      <c r="H38" s="10">
        <f t="shared" si="0"/>
        <v>0</v>
      </c>
      <c r="I38" s="8">
        <f t="shared" si="40"/>
        <v>0</v>
      </c>
      <c r="J38" s="10">
        <f t="shared" si="1"/>
        <v>0</v>
      </c>
      <c r="K38" s="108"/>
      <c r="L38" s="10">
        <f t="shared" si="2"/>
        <v>0</v>
      </c>
      <c r="M38" s="10">
        <f t="shared" si="41"/>
        <v>0</v>
      </c>
      <c r="N38" s="10">
        <f t="shared" si="3"/>
        <v>0</v>
      </c>
      <c r="O38" s="108"/>
      <c r="P38" s="10">
        <f t="shared" si="4"/>
        <v>0</v>
      </c>
      <c r="Q38" s="10">
        <f t="shared" si="42"/>
        <v>0</v>
      </c>
      <c r="R38" s="10">
        <f t="shared" si="5"/>
        <v>0</v>
      </c>
      <c r="S38" s="108">
        <f>132*S7</f>
        <v>33000</v>
      </c>
      <c r="T38" s="10">
        <f t="shared" si="6"/>
        <v>42.716641720147905</v>
      </c>
      <c r="U38" s="10">
        <f t="shared" si="43"/>
        <v>380625</v>
      </c>
      <c r="V38" s="10">
        <f t="shared" si="7"/>
        <v>20.536663436054141</v>
      </c>
      <c r="W38" s="108"/>
      <c r="X38" s="10">
        <f t="shared" si="8"/>
        <v>0</v>
      </c>
      <c r="Y38" s="10">
        <f t="shared" si="44"/>
        <v>181442.39999999997</v>
      </c>
      <c r="Z38" s="10">
        <f t="shared" si="9"/>
        <v>9.7897445039866255</v>
      </c>
      <c r="AA38" s="108"/>
      <c r="AB38" s="10">
        <f t="shared" si="10"/>
        <v>0</v>
      </c>
      <c r="AC38" s="10">
        <f t="shared" si="45"/>
        <v>98030.24</v>
      </c>
      <c r="AD38" s="10">
        <f t="shared" si="11"/>
        <v>5.2892323032791131</v>
      </c>
      <c r="AE38" s="10">
        <f t="shared" si="46"/>
        <v>33000</v>
      </c>
      <c r="AF38" s="10">
        <f t="shared" si="12"/>
        <v>42.716641720147905</v>
      </c>
      <c r="AG38" s="10">
        <f t="shared" si="47"/>
        <v>660097.6399999999</v>
      </c>
      <c r="AH38" s="10">
        <f t="shared" si="13"/>
        <v>35.615640243319881</v>
      </c>
      <c r="AI38" s="108">
        <f>176*AI7</f>
        <v>44253.263999999996</v>
      </c>
      <c r="AJ38" s="10">
        <f t="shared" si="14"/>
        <v>57.283358279852095</v>
      </c>
      <c r="AK38" s="10">
        <f t="shared" si="48"/>
        <v>1187294.9580000001</v>
      </c>
      <c r="AL38" s="10">
        <f t="shared" si="15"/>
        <v>64.060629101530481</v>
      </c>
      <c r="AM38" s="108"/>
      <c r="AN38" s="10">
        <f t="shared" si="16"/>
        <v>0</v>
      </c>
      <c r="AO38" s="10">
        <f t="shared" si="49"/>
        <v>0</v>
      </c>
      <c r="AP38" s="10">
        <f t="shared" si="17"/>
        <v>0</v>
      </c>
      <c r="AQ38" s="108"/>
      <c r="AR38" s="10">
        <f t="shared" si="18"/>
        <v>0</v>
      </c>
      <c r="AS38" s="10">
        <f t="shared" si="50"/>
        <v>6000</v>
      </c>
      <c r="AT38" s="10">
        <f t="shared" si="19"/>
        <v>0.32373065514962196</v>
      </c>
      <c r="AU38" s="108"/>
      <c r="AV38" s="10">
        <f t="shared" si="20"/>
        <v>0</v>
      </c>
      <c r="AW38" s="10">
        <f t="shared" si="51"/>
        <v>0</v>
      </c>
      <c r="AX38" s="10">
        <f t="shared" si="21"/>
        <v>0</v>
      </c>
      <c r="AY38" s="108"/>
      <c r="AZ38" s="10">
        <f t="shared" si="22"/>
        <v>0</v>
      </c>
      <c r="BA38" s="10">
        <f t="shared" si="52"/>
        <v>0</v>
      </c>
      <c r="BB38" s="10">
        <f t="shared" si="23"/>
        <v>0</v>
      </c>
      <c r="BC38" s="10">
        <f t="shared" si="53"/>
        <v>44253.263999999996</v>
      </c>
      <c r="BD38" s="10">
        <f t="shared" si="24"/>
        <v>57.283358279852095</v>
      </c>
      <c r="BE38" s="10">
        <f t="shared" si="54"/>
        <v>1193294.9580000001</v>
      </c>
      <c r="BF38" s="10">
        <f t="shared" si="25"/>
        <v>64.384359756680112</v>
      </c>
      <c r="BG38" s="108"/>
      <c r="BH38" s="10">
        <f t="shared" si="26"/>
        <v>0</v>
      </c>
      <c r="BI38" s="10">
        <f t="shared" si="55"/>
        <v>0</v>
      </c>
      <c r="BJ38" s="10">
        <f t="shared" si="27"/>
        <v>0</v>
      </c>
      <c r="BK38" s="108"/>
      <c r="BL38" s="10">
        <f t="shared" si="28"/>
        <v>0</v>
      </c>
      <c r="BM38" s="10">
        <f t="shared" si="56"/>
        <v>0</v>
      </c>
      <c r="BN38" s="10">
        <f t="shared" si="29"/>
        <v>0</v>
      </c>
      <c r="BO38" s="108"/>
      <c r="BP38" s="15">
        <f t="shared" si="30"/>
        <v>0</v>
      </c>
      <c r="BQ38" s="10">
        <f t="shared" si="57"/>
        <v>0</v>
      </c>
      <c r="BR38" s="10">
        <f t="shared" si="31"/>
        <v>0</v>
      </c>
      <c r="BS38" s="10">
        <f t="shared" si="58"/>
        <v>0</v>
      </c>
      <c r="BT38" s="10">
        <f t="shared" si="32"/>
        <v>0</v>
      </c>
      <c r="BU38" s="10">
        <f t="shared" si="59"/>
        <v>0</v>
      </c>
      <c r="BV38" s="10">
        <f t="shared" si="33"/>
        <v>0</v>
      </c>
      <c r="BW38" s="108"/>
      <c r="BX38" s="10">
        <f t="shared" si="34"/>
        <v>0</v>
      </c>
      <c r="BY38" s="10">
        <f t="shared" si="60"/>
        <v>0</v>
      </c>
      <c r="BZ38" s="10">
        <f t="shared" si="35"/>
        <v>0</v>
      </c>
      <c r="CA38" s="10">
        <f t="shared" si="36"/>
        <v>77253.263999999996</v>
      </c>
      <c r="CB38" s="10">
        <f t="shared" si="61"/>
        <v>1853392.5980000002</v>
      </c>
      <c r="CC38" s="10">
        <f t="shared" si="37"/>
        <v>1.1733484811664641</v>
      </c>
      <c r="CD38" s="10">
        <f t="shared" si="38"/>
        <v>1.0254632823034122</v>
      </c>
    </row>
    <row r="39" spans="1:82">
      <c r="A39" s="16">
        <f>+Chem!A38</f>
        <v>46021</v>
      </c>
      <c r="B39" s="6" t="str">
        <f>+Chem!B38</f>
        <v>MG</v>
      </c>
      <c r="C39" s="16" t="str">
        <f>+Chem!C38</f>
        <v>17</v>
      </c>
      <c r="D39" s="8">
        <f>+Chem!D38</f>
        <v>77.390999999999991</v>
      </c>
      <c r="E39" s="7">
        <f>+Chem!E38</f>
        <v>81.028000000000006</v>
      </c>
      <c r="F39" s="7">
        <f t="shared" si="39"/>
        <v>1888.3989999999999</v>
      </c>
      <c r="G39" s="108"/>
      <c r="H39" s="10">
        <f t="shared" si="0"/>
        <v>0</v>
      </c>
      <c r="I39" s="8">
        <f t="shared" si="40"/>
        <v>0</v>
      </c>
      <c r="J39" s="10">
        <f t="shared" si="1"/>
        <v>0</v>
      </c>
      <c r="K39" s="108"/>
      <c r="L39" s="10">
        <f t="shared" si="2"/>
        <v>0</v>
      </c>
      <c r="M39" s="10">
        <f t="shared" si="41"/>
        <v>0</v>
      </c>
      <c r="N39" s="10">
        <f t="shared" si="3"/>
        <v>0</v>
      </c>
      <c r="O39" s="108"/>
      <c r="P39" s="10">
        <f t="shared" si="4"/>
        <v>0</v>
      </c>
      <c r="Q39" s="10">
        <f t="shared" si="42"/>
        <v>0</v>
      </c>
      <c r="R39" s="10">
        <f t="shared" si="5"/>
        <v>0</v>
      </c>
      <c r="S39" s="108">
        <f>120*S7</f>
        <v>30000</v>
      </c>
      <c r="T39" s="10">
        <f t="shared" si="6"/>
        <v>39.862331452097045</v>
      </c>
      <c r="U39" s="10">
        <f t="shared" si="43"/>
        <v>410625</v>
      </c>
      <c r="V39" s="10">
        <f t="shared" si="7"/>
        <v>21.290781402284338</v>
      </c>
      <c r="W39" s="108"/>
      <c r="X39" s="10">
        <f t="shared" si="8"/>
        <v>0</v>
      </c>
      <c r="Y39" s="10">
        <f t="shared" si="44"/>
        <v>181442.39999999997</v>
      </c>
      <c r="Z39" s="10">
        <f t="shared" si="9"/>
        <v>9.407733273682398</v>
      </c>
      <c r="AA39" s="108"/>
      <c r="AB39" s="10">
        <f t="shared" si="10"/>
        <v>0</v>
      </c>
      <c r="AC39" s="10">
        <f t="shared" si="45"/>
        <v>98030.24</v>
      </c>
      <c r="AD39" s="10">
        <f t="shared" si="11"/>
        <v>5.0828381385777046</v>
      </c>
      <c r="AE39" s="10">
        <f t="shared" si="46"/>
        <v>30000</v>
      </c>
      <c r="AF39" s="10">
        <f t="shared" si="12"/>
        <v>39.862331452097045</v>
      </c>
      <c r="AG39" s="10">
        <f t="shared" si="47"/>
        <v>690097.6399999999</v>
      </c>
      <c r="AH39" s="10">
        <f t="shared" si="13"/>
        <v>35.781352814544434</v>
      </c>
      <c r="AI39" s="108">
        <f>180*AI7</f>
        <v>45259.02</v>
      </c>
      <c r="AJ39" s="10">
        <f t="shared" si="14"/>
        <v>60.137668547902969</v>
      </c>
      <c r="AK39" s="10">
        <f t="shared" si="48"/>
        <v>1232553.9780000001</v>
      </c>
      <c r="AL39" s="10">
        <f t="shared" si="15"/>
        <v>63.907549009714415</v>
      </c>
      <c r="AM39" s="108"/>
      <c r="AN39" s="10">
        <f t="shared" si="16"/>
        <v>0</v>
      </c>
      <c r="AO39" s="10">
        <f t="shared" si="49"/>
        <v>0</v>
      </c>
      <c r="AP39" s="10">
        <f t="shared" si="17"/>
        <v>0</v>
      </c>
      <c r="AQ39" s="108"/>
      <c r="AR39" s="10">
        <f t="shared" si="18"/>
        <v>0</v>
      </c>
      <c r="AS39" s="10">
        <f t="shared" si="50"/>
        <v>6000</v>
      </c>
      <c r="AT39" s="10">
        <f t="shared" si="19"/>
        <v>0.31109817574114096</v>
      </c>
      <c r="AU39" s="108"/>
      <c r="AV39" s="10">
        <f t="shared" si="20"/>
        <v>0</v>
      </c>
      <c r="AW39" s="10">
        <f t="shared" si="51"/>
        <v>0</v>
      </c>
      <c r="AX39" s="10">
        <f t="shared" si="21"/>
        <v>0</v>
      </c>
      <c r="AY39" s="108"/>
      <c r="AZ39" s="10">
        <f t="shared" si="22"/>
        <v>0</v>
      </c>
      <c r="BA39" s="10">
        <f t="shared" si="52"/>
        <v>0</v>
      </c>
      <c r="BB39" s="10">
        <f t="shared" si="23"/>
        <v>0</v>
      </c>
      <c r="BC39" s="10">
        <f t="shared" si="53"/>
        <v>45259.02</v>
      </c>
      <c r="BD39" s="10">
        <f t="shared" si="24"/>
        <v>60.137668547902969</v>
      </c>
      <c r="BE39" s="10">
        <f t="shared" si="54"/>
        <v>1238553.9780000001</v>
      </c>
      <c r="BF39" s="10">
        <f t="shared" si="25"/>
        <v>64.218647185455552</v>
      </c>
      <c r="BG39" s="108"/>
      <c r="BH39" s="10">
        <f t="shared" si="26"/>
        <v>0</v>
      </c>
      <c r="BI39" s="10">
        <f t="shared" si="55"/>
        <v>0</v>
      </c>
      <c r="BJ39" s="10">
        <f t="shared" si="27"/>
        <v>0</v>
      </c>
      <c r="BK39" s="108"/>
      <c r="BL39" s="10">
        <f t="shared" si="28"/>
        <v>0</v>
      </c>
      <c r="BM39" s="10">
        <f t="shared" si="56"/>
        <v>0</v>
      </c>
      <c r="BN39" s="10">
        <f t="shared" si="29"/>
        <v>0</v>
      </c>
      <c r="BO39" s="108"/>
      <c r="BP39" s="15">
        <f t="shared" si="30"/>
        <v>0</v>
      </c>
      <c r="BQ39" s="10">
        <f t="shared" si="57"/>
        <v>0</v>
      </c>
      <c r="BR39" s="10">
        <f t="shared" si="31"/>
        <v>0</v>
      </c>
      <c r="BS39" s="10">
        <f t="shared" si="58"/>
        <v>0</v>
      </c>
      <c r="BT39" s="10">
        <f t="shared" si="32"/>
        <v>0</v>
      </c>
      <c r="BU39" s="10">
        <f t="shared" si="59"/>
        <v>0</v>
      </c>
      <c r="BV39" s="10">
        <f t="shared" si="33"/>
        <v>0</v>
      </c>
      <c r="BW39" s="108"/>
      <c r="BX39" s="10">
        <f t="shared" si="34"/>
        <v>0</v>
      </c>
      <c r="BY39" s="10">
        <f t="shared" si="60"/>
        <v>0</v>
      </c>
      <c r="BZ39" s="10">
        <f t="shared" si="35"/>
        <v>0</v>
      </c>
      <c r="CA39" s="10">
        <f t="shared" si="36"/>
        <v>75259.01999999999</v>
      </c>
      <c r="CB39" s="10">
        <f t="shared" si="61"/>
        <v>1928651.6180000002</v>
      </c>
      <c r="CC39" s="10">
        <f t="shared" si="37"/>
        <v>0.92880263612578351</v>
      </c>
      <c r="CD39" s="10">
        <f t="shared" si="38"/>
        <v>1.0213157378287112</v>
      </c>
    </row>
    <row r="40" spans="1:82">
      <c r="A40" s="16">
        <f>+Chem!A39</f>
        <v>46022</v>
      </c>
      <c r="B40" s="6" t="str">
        <f>+Chem!B39</f>
        <v>MG/Facial</v>
      </c>
      <c r="C40" s="16" t="str">
        <f>+Chem!C39</f>
        <v>17/13</v>
      </c>
      <c r="D40" s="8">
        <f>+Chem!D39</f>
        <v>65.738</v>
      </c>
      <c r="E40" s="7">
        <f>+Chem!E39</f>
        <v>70.677000000000007</v>
      </c>
      <c r="F40" s="7">
        <f>+E40+F39</f>
        <v>1959.0759999999998</v>
      </c>
      <c r="G40" s="108"/>
      <c r="H40" s="10">
        <f t="shared" si="0"/>
        <v>0</v>
      </c>
      <c r="I40" s="8">
        <f>G40+I39</f>
        <v>0</v>
      </c>
      <c r="J40" s="10">
        <f t="shared" si="1"/>
        <v>0</v>
      </c>
      <c r="K40" s="108"/>
      <c r="L40" s="10">
        <f t="shared" si="2"/>
        <v>0</v>
      </c>
      <c r="M40" s="10">
        <f>+K40+M39</f>
        <v>0</v>
      </c>
      <c r="N40" s="10">
        <f t="shared" si="3"/>
        <v>0</v>
      </c>
      <c r="O40" s="108"/>
      <c r="P40" s="10">
        <f t="shared" si="4"/>
        <v>0</v>
      </c>
      <c r="Q40" s="10">
        <f>+O40+Q39</f>
        <v>0</v>
      </c>
      <c r="R40" s="10">
        <f t="shared" si="5"/>
        <v>0</v>
      </c>
      <c r="S40" s="108">
        <f>70.5*S7</f>
        <v>17625</v>
      </c>
      <c r="T40" s="10">
        <f t="shared" si="6"/>
        <v>26.342517837135354</v>
      </c>
      <c r="U40" s="10">
        <f>+S40+U39</f>
        <v>428250</v>
      </c>
      <c r="V40" s="10">
        <f t="shared" si="7"/>
        <v>21.460155902948845</v>
      </c>
      <c r="W40" s="108"/>
      <c r="X40" s="10">
        <f t="shared" si="8"/>
        <v>0</v>
      </c>
      <c r="Y40" s="10">
        <f>+W40+Y39</f>
        <v>181442.39999999997</v>
      </c>
      <c r="Z40" s="10">
        <f t="shared" si="9"/>
        <v>9.0923110132053822</v>
      </c>
      <c r="AA40" s="108"/>
      <c r="AB40" s="10">
        <f t="shared" si="10"/>
        <v>0</v>
      </c>
      <c r="AC40" s="10">
        <f>AA40+AC39</f>
        <v>98030.24</v>
      </c>
      <c r="AD40" s="10">
        <f t="shared" si="11"/>
        <v>4.9124208607203546</v>
      </c>
      <c r="AE40" s="10">
        <f t="shared" si="46"/>
        <v>17625</v>
      </c>
      <c r="AF40" s="10">
        <f t="shared" si="12"/>
        <v>26.342517837135354</v>
      </c>
      <c r="AG40" s="10">
        <f>AE40+AG39</f>
        <v>707722.6399999999</v>
      </c>
      <c r="AH40" s="10">
        <f t="shared" si="13"/>
        <v>35.464887776874576</v>
      </c>
      <c r="AI40" s="108">
        <f>196*AI7</f>
        <v>49282.044000000002</v>
      </c>
      <c r="AJ40" s="10">
        <f t="shared" si="14"/>
        <v>73.657482162864653</v>
      </c>
      <c r="AK40" s="10">
        <f>AI40+AK39</f>
        <v>1281836.0220000001</v>
      </c>
      <c r="AL40" s="10">
        <f t="shared" si="15"/>
        <v>64.234444539721579</v>
      </c>
      <c r="AM40" s="108"/>
      <c r="AN40" s="10">
        <f t="shared" si="16"/>
        <v>0</v>
      </c>
      <c r="AO40" s="10">
        <f>AM40+AO39</f>
        <v>0</v>
      </c>
      <c r="AP40" s="10">
        <f t="shared" si="17"/>
        <v>0</v>
      </c>
      <c r="AQ40" s="108"/>
      <c r="AR40" s="10">
        <f t="shared" si="18"/>
        <v>0</v>
      </c>
      <c r="AS40" s="10">
        <f>AQ40+AS39</f>
        <v>6000</v>
      </c>
      <c r="AT40" s="10">
        <f t="shared" si="19"/>
        <v>0.30066768340383671</v>
      </c>
      <c r="AU40" s="108"/>
      <c r="AV40" s="10">
        <f t="shared" si="20"/>
        <v>0</v>
      </c>
      <c r="AW40" s="10">
        <f>AU40+AW39</f>
        <v>0</v>
      </c>
      <c r="AX40" s="10">
        <f t="shared" si="21"/>
        <v>0</v>
      </c>
      <c r="AY40" s="108"/>
      <c r="AZ40" s="10">
        <f t="shared" si="22"/>
        <v>0</v>
      </c>
      <c r="BA40" s="10">
        <f>AY40+BA39</f>
        <v>0</v>
      </c>
      <c r="BB40" s="10">
        <f t="shared" si="23"/>
        <v>0</v>
      </c>
      <c r="BC40" s="10">
        <f t="shared" si="53"/>
        <v>49282.044000000002</v>
      </c>
      <c r="BD40" s="10">
        <f>BC40/CA40*100</f>
        <v>73.657482162864653</v>
      </c>
      <c r="BE40" s="10">
        <f>BC40+BE39</f>
        <v>1287836.0220000001</v>
      </c>
      <c r="BF40" s="10">
        <f>BE40/CB40*100</f>
        <v>64.53511222312541</v>
      </c>
      <c r="BG40" s="108"/>
      <c r="BH40" s="10">
        <f>+BG40/CA40*100</f>
        <v>0</v>
      </c>
      <c r="BI40" s="10">
        <f>+BG40+BI39</f>
        <v>0</v>
      </c>
      <c r="BJ40" s="10">
        <f>+BI40/CB40*100</f>
        <v>0</v>
      </c>
      <c r="BK40" s="108"/>
      <c r="BL40" s="10">
        <f>BK40/CA40*100</f>
        <v>0</v>
      </c>
      <c r="BM40" s="10">
        <f>BK40+BM39</f>
        <v>0</v>
      </c>
      <c r="BN40" s="10">
        <f>BM40/CB40*100</f>
        <v>0</v>
      </c>
      <c r="BO40" s="108"/>
      <c r="BP40" s="15">
        <f>BO40/CA40*100</f>
        <v>0</v>
      </c>
      <c r="BQ40" s="10">
        <f>BO40+BQ39</f>
        <v>0</v>
      </c>
      <c r="BR40" s="10">
        <f>BQ40/CB40*100</f>
        <v>0</v>
      </c>
      <c r="BS40" s="10">
        <f>BG40+BK40+BO40</f>
        <v>0</v>
      </c>
      <c r="BT40" s="10">
        <f>BS40/CA40*100</f>
        <v>0</v>
      </c>
      <c r="BU40" s="10">
        <f>BS40+BU39</f>
        <v>0</v>
      </c>
      <c r="BV40" s="10">
        <f>BU40/CB40*100</f>
        <v>0</v>
      </c>
      <c r="BW40" s="108"/>
      <c r="BX40" s="10">
        <f>BW40/CA40*100</f>
        <v>0</v>
      </c>
      <c r="BY40" s="10">
        <f>BW40+BY39</f>
        <v>0</v>
      </c>
      <c r="BZ40" s="10">
        <f>BY40/CB40*100</f>
        <v>0</v>
      </c>
      <c r="CA40" s="10">
        <f t="shared" si="36"/>
        <v>66907.043999999994</v>
      </c>
      <c r="CB40" s="10">
        <f>CA40+CB39</f>
        <v>1995558.6620000002</v>
      </c>
      <c r="CC40" s="10">
        <f t="shared" si="37"/>
        <v>0.9466593658474467</v>
      </c>
      <c r="CD40" s="10">
        <f t="shared" si="38"/>
        <v>1.0186223821842544</v>
      </c>
    </row>
    <row r="41" spans="1:82">
      <c r="A41" s="16"/>
      <c r="B41" s="16"/>
      <c r="C41" s="16"/>
      <c r="D41" s="8"/>
      <c r="E41" s="7"/>
      <c r="F41" s="7"/>
      <c r="G41" s="108"/>
      <c r="H41" s="10"/>
      <c r="I41" s="8"/>
      <c r="J41" s="10"/>
      <c r="K41" s="108"/>
      <c r="L41" s="10"/>
      <c r="M41" s="10"/>
      <c r="N41" s="10"/>
      <c r="O41" s="108"/>
      <c r="P41" s="10"/>
      <c r="Q41" s="10"/>
      <c r="R41" s="10"/>
      <c r="S41" s="108"/>
      <c r="T41" s="10"/>
      <c r="U41" s="10"/>
      <c r="V41" s="10"/>
      <c r="W41" s="108"/>
      <c r="X41" s="10"/>
      <c r="Y41" s="10"/>
      <c r="Z41" s="10"/>
      <c r="AA41" s="108"/>
      <c r="AB41" s="10"/>
      <c r="AC41" s="10"/>
      <c r="AD41" s="10"/>
      <c r="AE41" s="10"/>
      <c r="AF41" s="10"/>
      <c r="AG41" s="10"/>
      <c r="AH41" s="10"/>
      <c r="AI41" s="108"/>
      <c r="AJ41" s="10"/>
      <c r="AK41" s="10"/>
      <c r="AL41" s="10"/>
      <c r="AM41" s="108"/>
      <c r="AN41" s="10"/>
      <c r="AO41" s="10"/>
      <c r="AP41" s="10"/>
      <c r="AQ41" s="108"/>
      <c r="AR41" s="10"/>
      <c r="AS41" s="10"/>
      <c r="AT41" s="10"/>
      <c r="AU41" s="108"/>
      <c r="AV41" s="10"/>
      <c r="AW41" s="10"/>
      <c r="AX41" s="10"/>
      <c r="AY41" s="108"/>
      <c r="AZ41" s="10"/>
      <c r="BA41" s="10"/>
      <c r="BB41" s="10"/>
      <c r="BC41" s="10"/>
      <c r="BD41" s="10"/>
      <c r="BE41" s="10"/>
      <c r="BF41" s="10"/>
      <c r="BG41" s="108"/>
      <c r="BH41" s="10"/>
      <c r="BI41" s="10"/>
      <c r="BJ41" s="10"/>
      <c r="BK41" s="108"/>
      <c r="BL41" s="10"/>
      <c r="BM41" s="10"/>
      <c r="BN41" s="10"/>
      <c r="BO41" s="108"/>
      <c r="BP41" s="15"/>
      <c r="BQ41" s="10"/>
      <c r="BR41" s="10"/>
      <c r="BS41" s="10"/>
      <c r="BT41" s="10"/>
      <c r="BU41" s="10"/>
      <c r="BV41" s="10"/>
      <c r="BW41" s="108"/>
      <c r="BX41" s="10"/>
      <c r="BY41" s="10"/>
      <c r="BZ41" s="10"/>
      <c r="CA41" s="10"/>
      <c r="CB41" s="10"/>
      <c r="CC41" s="10"/>
      <c r="CD41" s="10"/>
    </row>
    <row r="42" spans="1:82" ht="13.5" thickBot="1">
      <c r="A42" s="11" t="s">
        <v>28</v>
      </c>
      <c r="B42" s="11"/>
      <c r="C42" s="12"/>
      <c r="D42" s="12">
        <f>SUM(D10:D41)</f>
        <v>2009.4762220100004</v>
      </c>
      <c r="E42" s="12">
        <f>SUM(E10:E41)</f>
        <v>1959.0759999999998</v>
      </c>
      <c r="F42" s="12"/>
      <c r="G42" s="12">
        <f>SUM(G10:G41)</f>
        <v>0</v>
      </c>
      <c r="H42" s="12">
        <f>G42/CA42*100</f>
        <v>0</v>
      </c>
      <c r="I42" s="12"/>
      <c r="J42" s="12"/>
      <c r="K42" s="12">
        <f>SUM(K10:K41)</f>
        <v>0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>
        <f>SUM(AA10:AA41)</f>
        <v>98030.24</v>
      </c>
      <c r="AB42" s="12">
        <f>+AA42/$CA$42*100</f>
        <v>4.9124208607203546</v>
      </c>
      <c r="AC42" s="12"/>
      <c r="AD42" s="12"/>
      <c r="AE42" s="12">
        <f>SUM(AE10:AE41)</f>
        <v>707722.6399999999</v>
      </c>
      <c r="AF42" s="19">
        <f>AE42/$CA$42*100</f>
        <v>35.464887776874576</v>
      </c>
      <c r="AG42" s="12"/>
      <c r="AH42" s="12"/>
      <c r="AI42" s="12">
        <f>SUM(AI10:AI41)</f>
        <v>1281836.0220000001</v>
      </c>
      <c r="AJ42" s="12">
        <f>AI42/$CA$42*100</f>
        <v>64.234444539721579</v>
      </c>
      <c r="AK42" s="12"/>
      <c r="AL42" s="12"/>
      <c r="AM42" s="12">
        <f>SUM(AM10:AM41)</f>
        <v>0</v>
      </c>
      <c r="AN42" s="12">
        <f>AM42/$CA$42*100</f>
        <v>0</v>
      </c>
      <c r="AO42" s="12"/>
      <c r="AP42" s="12"/>
      <c r="AQ42" s="12">
        <f>SUM(AQ10:AQ41)</f>
        <v>6000</v>
      </c>
      <c r="AR42" s="12">
        <f>AQ42/$CA$42*100</f>
        <v>0.30066768340383671</v>
      </c>
      <c r="AS42" s="12"/>
      <c r="AT42" s="12"/>
      <c r="AU42" s="12">
        <f>SUM(AU10:AU41)</f>
        <v>0</v>
      </c>
      <c r="AV42" s="12">
        <f>AU42/$CA$42*100</f>
        <v>0</v>
      </c>
      <c r="AW42" s="12"/>
      <c r="AX42" s="12"/>
      <c r="AY42" s="12">
        <f>SUM(AY10:AY41)</f>
        <v>0</v>
      </c>
      <c r="AZ42" s="12">
        <f>AY42/$CA$42*100</f>
        <v>0</v>
      </c>
      <c r="BA42" s="12"/>
      <c r="BB42" s="12"/>
      <c r="BC42" s="12">
        <f>SUM(BC10:BC41)</f>
        <v>1287836.0220000001</v>
      </c>
      <c r="BD42" s="12">
        <f>BC42/$CA$42*100</f>
        <v>64.53511222312541</v>
      </c>
      <c r="BE42" s="12"/>
      <c r="BF42" s="12"/>
      <c r="BG42" s="12">
        <f>SUM(BG10:BG41)</f>
        <v>0</v>
      </c>
      <c r="BH42" s="12">
        <f>BG42/$CA$42*100</f>
        <v>0</v>
      </c>
      <c r="BI42" s="12"/>
      <c r="BJ42" s="12"/>
      <c r="BK42" s="12">
        <f>SUM(BK10:BK41)</f>
        <v>0</v>
      </c>
      <c r="BL42" s="12">
        <f>BK42/$CA$42*100</f>
        <v>0</v>
      </c>
      <c r="BM42" s="12"/>
      <c r="BN42" s="12"/>
      <c r="BO42" s="12">
        <f>SUM(BO10:BO41)</f>
        <v>0</v>
      </c>
      <c r="BP42" s="12">
        <f>BO42/$CA$42*100</f>
        <v>0</v>
      </c>
      <c r="BQ42" s="12"/>
      <c r="BR42" s="12"/>
      <c r="BS42" s="12">
        <f>SUM(BS10:BS41)</f>
        <v>0</v>
      </c>
      <c r="BT42" s="21">
        <f>BS42/$CA$42*100</f>
        <v>0</v>
      </c>
      <c r="BU42" s="12"/>
      <c r="BV42" s="12"/>
      <c r="BW42" s="12">
        <f>SUM(BW10:BW41)</f>
        <v>0</v>
      </c>
      <c r="BX42" s="12">
        <f>BW42/$CA$42*100</f>
        <v>0</v>
      </c>
      <c r="BY42" s="12"/>
      <c r="BZ42" s="12"/>
      <c r="CA42" s="12">
        <f>SUM(CA10:CA41)</f>
        <v>1995558.6620000002</v>
      </c>
      <c r="CB42" s="12">
        <f>CA42/$CA$42*100</f>
        <v>100</v>
      </c>
      <c r="CC42" s="12">
        <f>CA42/1000/E42</f>
        <v>1.0186223821842544</v>
      </c>
      <c r="CD42" s="12"/>
    </row>
    <row r="43" spans="1:82" ht="13.5" thickTop="1"/>
    <row r="44" spans="1:82">
      <c r="AQ44" s="13"/>
      <c r="AU44" s="13"/>
      <c r="BT44" s="13"/>
      <c r="BW44" s="13"/>
      <c r="BX44" s="13"/>
    </row>
    <row r="45" spans="1:82">
      <c r="E45" s="13"/>
      <c r="F45" s="13"/>
      <c r="G45" s="13"/>
      <c r="I45" s="13"/>
      <c r="AQ45" s="13"/>
      <c r="AU45" s="13"/>
      <c r="BW45" s="13"/>
    </row>
  </sheetData>
  <mergeCells count="25">
    <mergeCell ref="AE8:AH8"/>
    <mergeCell ref="S8:V8"/>
    <mergeCell ref="AA8:AD8"/>
    <mergeCell ref="A8:A9"/>
    <mergeCell ref="B8:B9"/>
    <mergeCell ref="C8:C9"/>
    <mergeCell ref="K8:N8"/>
    <mergeCell ref="G8:J8"/>
    <mergeCell ref="D8:D9"/>
    <mergeCell ref="E8:F8"/>
    <mergeCell ref="O8:R8"/>
    <mergeCell ref="W8:Z8"/>
    <mergeCell ref="AI8:AL8"/>
    <mergeCell ref="AM8:AP8"/>
    <mergeCell ref="CC8:CD8"/>
    <mergeCell ref="BK8:BN8"/>
    <mergeCell ref="BS8:BV8"/>
    <mergeCell ref="BW8:BZ8"/>
    <mergeCell ref="CA8:CB8"/>
    <mergeCell ref="BO8:BR8"/>
    <mergeCell ref="BG8:BJ8"/>
    <mergeCell ref="BC8:BF8"/>
    <mergeCell ref="AQ8:AT8"/>
    <mergeCell ref="AY8:BB8"/>
    <mergeCell ref="AU8:AX8"/>
  </mergeCells>
  <phoneticPr fontId="33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45"/>
  <sheetViews>
    <sheetView zoomScale="85" workbookViewId="0">
      <pane xSplit="5" ySplit="8" topLeftCell="CF9" activePane="bottomRight" state="frozen"/>
      <selection pane="topRight" activeCell="E1" sqref="E1"/>
      <selection pane="bottomLeft" activeCell="A9" sqref="A9"/>
      <selection pane="bottomRight" activeCell="D17" sqref="D17"/>
    </sheetView>
  </sheetViews>
  <sheetFormatPr defaultColWidth="10.42578125" defaultRowHeight="15" customHeight="1"/>
  <cols>
    <col min="1" max="1" width="8.140625" style="272" customWidth="1"/>
    <col min="2" max="2" width="13.5703125" style="272" customWidth="1"/>
    <col min="3" max="3" width="13.28515625" style="273" customWidth="1"/>
    <col min="4" max="4" width="11.140625" style="273" customWidth="1"/>
    <col min="5" max="5" width="11" style="274" customWidth="1"/>
    <col min="6" max="17" width="12.42578125" style="531" customWidth="1"/>
    <col min="18" max="20" width="12.42578125" style="531" hidden="1" customWidth="1"/>
    <col min="21" max="23" width="12.42578125" style="531" customWidth="1"/>
    <col min="24" max="32" width="12.42578125" style="531" hidden="1" customWidth="1"/>
    <col min="33" max="44" width="12.42578125" style="531" customWidth="1"/>
    <col min="45" max="47" width="12.42578125" style="531" hidden="1" customWidth="1"/>
    <col min="48" max="56" width="12.42578125" style="531" customWidth="1"/>
    <col min="57" max="65" width="12.42578125" style="531" hidden="1" customWidth="1"/>
    <col min="66" max="86" width="12.42578125" style="531" customWidth="1"/>
    <col min="87" max="110" width="12.42578125" style="531" hidden="1" customWidth="1"/>
    <col min="111" max="113" width="12.42578125" style="531" customWidth="1"/>
    <col min="114" max="131" width="12.42578125" style="531" hidden="1" customWidth="1"/>
    <col min="132" max="137" width="12.42578125" style="531" customWidth="1"/>
    <col min="138" max="269" width="12.42578125" style="531" hidden="1" customWidth="1"/>
    <col min="270" max="303" width="5.5703125" style="531" hidden="1" customWidth="1"/>
    <col min="304" max="304" width="8.7109375" style="531" hidden="1" customWidth="1"/>
    <col min="305" max="305" width="7.7109375" style="531" hidden="1" customWidth="1"/>
    <col min="306" max="306" width="21" style="531" bestFit="1" customWidth="1"/>
    <col min="307" max="307" width="19.85546875" style="531" bestFit="1" customWidth="1"/>
    <col min="308" max="16384" width="10.42578125" style="272"/>
  </cols>
  <sheetData>
    <row r="1" spans="1:308" ht="15" customHeight="1">
      <c r="A1" s="268"/>
      <c r="B1" s="269"/>
      <c r="C1" s="270"/>
      <c r="D1" s="270"/>
      <c r="E1" s="271"/>
    </row>
    <row r="2" spans="1:308" ht="15" customHeight="1">
      <c r="A2" s="268"/>
    </row>
    <row r="3" spans="1:308" ht="15" customHeight="1">
      <c r="A3" s="276"/>
    </row>
    <row r="4" spans="1:308" ht="15" customHeight="1">
      <c r="A4" s="516" t="s">
        <v>327</v>
      </c>
    </row>
    <row r="5" spans="1:308" ht="15" customHeight="1" thickBot="1">
      <c r="F5" s="972" t="s">
        <v>340</v>
      </c>
      <c r="G5" s="973"/>
      <c r="H5" s="973"/>
      <c r="I5" s="973"/>
      <c r="J5" s="973"/>
      <c r="K5" s="973"/>
      <c r="L5" s="973"/>
      <c r="M5" s="973"/>
      <c r="N5" s="973"/>
      <c r="O5" s="973"/>
      <c r="P5" s="973"/>
      <c r="Q5" s="973"/>
      <c r="R5" s="973"/>
      <c r="S5" s="973"/>
      <c r="T5" s="973"/>
      <c r="U5" s="973"/>
      <c r="V5" s="973"/>
      <c r="W5" s="973"/>
      <c r="X5" s="973"/>
      <c r="Y5" s="973"/>
      <c r="Z5" s="973"/>
      <c r="AA5" s="973"/>
      <c r="AB5" s="973"/>
      <c r="AC5" s="973"/>
      <c r="AD5" s="973"/>
      <c r="AE5" s="973"/>
      <c r="AF5" s="973"/>
      <c r="AG5" s="973"/>
      <c r="AH5" s="973"/>
      <c r="AI5" s="973"/>
      <c r="AJ5" s="973"/>
      <c r="AK5" s="973"/>
      <c r="AL5" s="973"/>
      <c r="AM5" s="973"/>
      <c r="AN5" s="973"/>
      <c r="AO5" s="973"/>
      <c r="AP5" s="973"/>
      <c r="AQ5" s="973"/>
      <c r="AR5" s="973"/>
      <c r="AS5" s="973"/>
      <c r="AT5" s="973"/>
      <c r="AU5" s="973"/>
      <c r="AV5" s="973"/>
      <c r="AW5" s="973"/>
      <c r="AX5" s="973"/>
      <c r="AY5" s="973"/>
      <c r="AZ5" s="973"/>
      <c r="BA5" s="973"/>
      <c r="BB5" s="973"/>
      <c r="BC5" s="973"/>
      <c r="BD5" s="973"/>
      <c r="BE5" s="973"/>
      <c r="BF5" s="973"/>
      <c r="BG5" s="973"/>
      <c r="BH5" s="973"/>
      <c r="BI5" s="973"/>
      <c r="BJ5" s="973"/>
      <c r="BK5" s="973"/>
      <c r="BL5" s="973"/>
      <c r="BM5" s="973"/>
      <c r="BN5" s="973"/>
      <c r="BO5" s="973"/>
      <c r="BP5" s="973"/>
      <c r="BQ5" s="973"/>
      <c r="BR5" s="973"/>
      <c r="BS5" s="973"/>
      <c r="BT5" s="973"/>
      <c r="BU5" s="973"/>
      <c r="BV5" s="973"/>
      <c r="BW5" s="973"/>
      <c r="BX5" s="973"/>
      <c r="BY5" s="973"/>
      <c r="BZ5" s="973"/>
      <c r="CA5" s="973"/>
      <c r="CB5" s="973"/>
      <c r="CC5" s="973"/>
      <c r="CD5" s="973"/>
      <c r="CE5" s="973"/>
      <c r="CF5" s="973"/>
      <c r="CG5" s="973"/>
      <c r="CH5" s="973"/>
      <c r="CI5" s="973"/>
      <c r="CJ5" s="973"/>
      <c r="CK5" s="973"/>
      <c r="CL5" s="973"/>
      <c r="CM5" s="973"/>
      <c r="CN5" s="973"/>
      <c r="CO5" s="973"/>
      <c r="CP5" s="973"/>
      <c r="CQ5" s="973"/>
      <c r="CR5" s="973"/>
      <c r="CS5" s="973"/>
      <c r="CT5" s="973"/>
      <c r="CU5" s="973"/>
      <c r="CV5" s="973"/>
      <c r="CW5" s="973"/>
      <c r="CX5" s="973"/>
      <c r="CY5" s="973"/>
      <c r="CZ5" s="973"/>
      <c r="DA5" s="973"/>
      <c r="DB5" s="973"/>
      <c r="DC5" s="973"/>
      <c r="DD5" s="973"/>
      <c r="DE5" s="973"/>
      <c r="DF5" s="973"/>
      <c r="DG5" s="973"/>
      <c r="DH5" s="973"/>
      <c r="DI5" s="973"/>
      <c r="DJ5" s="973"/>
      <c r="DK5" s="973"/>
      <c r="DL5" s="973"/>
      <c r="DM5" s="973"/>
      <c r="DN5" s="973"/>
      <c r="DO5" s="973"/>
      <c r="DP5" s="973"/>
      <c r="DQ5" s="973"/>
      <c r="DR5" s="973"/>
      <c r="DS5" s="973"/>
      <c r="DT5" s="973"/>
      <c r="DU5" s="973"/>
      <c r="DV5" s="973"/>
      <c r="DW5" s="973"/>
      <c r="DX5" s="973"/>
      <c r="DY5" s="973"/>
      <c r="DZ5" s="973"/>
      <c r="EA5" s="973"/>
      <c r="EB5" s="973"/>
      <c r="EC5" s="973"/>
      <c r="ED5" s="973"/>
      <c r="EE5" s="973"/>
      <c r="EF5" s="973"/>
      <c r="EG5" s="973"/>
      <c r="EH5" s="973"/>
      <c r="EI5" s="973"/>
      <c r="EJ5" s="973"/>
      <c r="EK5" s="973"/>
      <c r="EL5" s="973"/>
      <c r="EM5" s="973"/>
      <c r="EN5" s="973"/>
      <c r="EO5" s="973"/>
      <c r="EP5" s="973"/>
      <c r="EQ5" s="973"/>
      <c r="ER5" s="973"/>
      <c r="ES5" s="973"/>
      <c r="ET5" s="973"/>
      <c r="EU5" s="973"/>
      <c r="EV5" s="973"/>
      <c r="EW5" s="973"/>
      <c r="EX5" s="973"/>
      <c r="EY5" s="973"/>
      <c r="EZ5" s="973"/>
      <c r="FA5" s="973"/>
      <c r="FB5" s="973"/>
      <c r="FC5" s="973"/>
      <c r="FD5" s="973"/>
      <c r="FE5" s="973"/>
      <c r="FF5" s="973"/>
      <c r="FG5" s="973"/>
      <c r="FH5" s="973"/>
      <c r="FI5" s="973"/>
      <c r="FJ5" s="973"/>
      <c r="FK5" s="973"/>
      <c r="FL5" s="973"/>
      <c r="FM5" s="973"/>
      <c r="FN5" s="973"/>
      <c r="FO5" s="973"/>
      <c r="FP5" s="973"/>
      <c r="FQ5" s="973"/>
      <c r="FR5" s="973"/>
      <c r="FS5" s="973"/>
      <c r="FT5" s="973"/>
      <c r="FU5" s="973"/>
      <c r="FV5" s="973"/>
      <c r="FW5" s="973"/>
      <c r="FX5" s="973"/>
      <c r="FY5" s="973"/>
      <c r="FZ5" s="973"/>
      <c r="GA5" s="973"/>
      <c r="GB5" s="973"/>
      <c r="GC5" s="974"/>
      <c r="GD5" s="972" t="s">
        <v>341</v>
      </c>
      <c r="GE5" s="973"/>
      <c r="GF5" s="973"/>
      <c r="GG5" s="973"/>
      <c r="GH5" s="973"/>
      <c r="GI5" s="973"/>
      <c r="GJ5" s="973"/>
      <c r="GK5" s="973"/>
      <c r="GL5" s="973"/>
      <c r="GM5" s="973"/>
      <c r="GN5" s="973"/>
      <c r="GO5" s="973"/>
      <c r="GP5" s="973"/>
      <c r="GQ5" s="973"/>
      <c r="GR5" s="973"/>
      <c r="GS5" s="973"/>
      <c r="GT5" s="973"/>
      <c r="GU5" s="973"/>
      <c r="GV5" s="973"/>
      <c r="GW5" s="973"/>
      <c r="GX5" s="973"/>
      <c r="GY5" s="973"/>
      <c r="GZ5" s="973"/>
      <c r="HA5" s="973"/>
      <c r="HB5" s="973"/>
      <c r="HC5" s="973"/>
      <c r="HD5" s="973"/>
      <c r="HE5" s="973"/>
      <c r="HF5" s="973"/>
      <c r="HG5" s="973"/>
      <c r="HH5" s="973"/>
      <c r="HI5" s="973"/>
      <c r="HJ5" s="973"/>
      <c r="HK5" s="973"/>
      <c r="HL5" s="973"/>
      <c r="HM5" s="973"/>
      <c r="HN5" s="973"/>
      <c r="HO5" s="973"/>
      <c r="HP5" s="973"/>
      <c r="HQ5" s="973"/>
      <c r="HR5" s="973"/>
      <c r="HS5" s="973"/>
      <c r="HT5" s="973"/>
      <c r="HU5" s="973"/>
      <c r="HV5" s="973"/>
      <c r="HW5" s="973"/>
      <c r="HX5" s="973"/>
      <c r="HY5" s="973"/>
      <c r="HZ5" s="973"/>
      <c r="IA5" s="973"/>
      <c r="IB5" s="973"/>
      <c r="IC5" s="973"/>
      <c r="ID5" s="973"/>
      <c r="IE5" s="973"/>
      <c r="IF5" s="973"/>
      <c r="IG5" s="973"/>
      <c r="IH5" s="973"/>
      <c r="II5" s="973"/>
      <c r="IJ5" s="973"/>
      <c r="IK5" s="973"/>
      <c r="IL5" s="973"/>
      <c r="IM5" s="973"/>
      <c r="IN5" s="973"/>
      <c r="IO5" s="973"/>
      <c r="IP5" s="973"/>
      <c r="IQ5" s="973"/>
      <c r="IR5" s="973"/>
      <c r="IS5" s="973"/>
      <c r="IT5" s="973"/>
      <c r="IU5" s="973"/>
      <c r="IV5" s="973"/>
      <c r="IW5" s="973"/>
      <c r="IX5" s="973"/>
      <c r="IY5" s="973"/>
      <c r="IZ5" s="973"/>
      <c r="JA5" s="973"/>
      <c r="JB5" s="973"/>
      <c r="JC5" s="973"/>
      <c r="JD5" s="973"/>
      <c r="JE5" s="973"/>
      <c r="JF5" s="973"/>
      <c r="JG5" s="973"/>
      <c r="JH5" s="973"/>
      <c r="JI5" s="973"/>
      <c r="JJ5" s="973"/>
      <c r="JK5" s="973"/>
      <c r="JL5" s="973"/>
      <c r="JM5" s="973"/>
      <c r="JN5" s="973"/>
      <c r="JO5" s="973"/>
      <c r="JP5" s="973"/>
      <c r="JQ5" s="973"/>
      <c r="JR5" s="973"/>
      <c r="JS5" s="973"/>
      <c r="JT5" s="973"/>
      <c r="JU5" s="973"/>
      <c r="JV5" s="973"/>
      <c r="JW5" s="973"/>
      <c r="JX5" s="973"/>
      <c r="JY5" s="973"/>
      <c r="JZ5" s="973"/>
      <c r="KA5" s="973"/>
      <c r="KB5" s="973"/>
      <c r="KC5" s="973"/>
      <c r="KD5" s="973"/>
      <c r="KE5" s="973"/>
      <c r="KF5" s="973"/>
      <c r="KG5" s="973"/>
      <c r="KH5" s="973"/>
      <c r="KI5" s="973"/>
      <c r="KJ5" s="973"/>
      <c r="KK5" s="973"/>
      <c r="KL5" s="973"/>
      <c r="KM5" s="973"/>
      <c r="KN5" s="973"/>
      <c r="KO5" s="973"/>
      <c r="KP5" s="973"/>
      <c r="KQ5" s="973"/>
      <c r="KR5" s="973"/>
      <c r="KS5" s="974"/>
      <c r="KT5" s="955" t="s">
        <v>342</v>
      </c>
      <c r="KU5" s="955" t="s">
        <v>341</v>
      </c>
    </row>
    <row r="6" spans="1:308" ht="15" customHeight="1">
      <c r="A6" s="969" t="s">
        <v>30</v>
      </c>
      <c r="B6" s="960" t="s">
        <v>4</v>
      </c>
      <c r="C6" s="960" t="s">
        <v>5</v>
      </c>
      <c r="D6" s="966" t="s">
        <v>41</v>
      </c>
      <c r="E6" s="963" t="s">
        <v>39</v>
      </c>
      <c r="F6" s="948" t="s">
        <v>343</v>
      </c>
      <c r="G6" s="956"/>
      <c r="H6" s="949"/>
      <c r="I6" s="948" t="s">
        <v>344</v>
      </c>
      <c r="J6" s="956"/>
      <c r="K6" s="949"/>
      <c r="L6" s="948" t="s">
        <v>345</v>
      </c>
      <c r="M6" s="956"/>
      <c r="N6" s="949"/>
      <c r="O6" s="948" t="s">
        <v>346</v>
      </c>
      <c r="P6" s="956"/>
      <c r="Q6" s="949"/>
      <c r="R6" s="948" t="s">
        <v>347</v>
      </c>
      <c r="S6" s="956"/>
      <c r="T6" s="949"/>
      <c r="U6" s="948" t="s">
        <v>348</v>
      </c>
      <c r="V6" s="956"/>
      <c r="W6" s="949"/>
      <c r="X6" s="948" t="s">
        <v>349</v>
      </c>
      <c r="Y6" s="956"/>
      <c r="Z6" s="949"/>
      <c r="AA6" s="948" t="s">
        <v>350</v>
      </c>
      <c r="AB6" s="956"/>
      <c r="AC6" s="949"/>
      <c r="AD6" s="948" t="s">
        <v>351</v>
      </c>
      <c r="AE6" s="956"/>
      <c r="AF6" s="949"/>
      <c r="AG6" s="948" t="s">
        <v>352</v>
      </c>
      <c r="AH6" s="956"/>
      <c r="AI6" s="949"/>
      <c r="AJ6" s="948" t="s">
        <v>353</v>
      </c>
      <c r="AK6" s="956"/>
      <c r="AL6" s="949"/>
      <c r="AM6" s="948" t="s">
        <v>354</v>
      </c>
      <c r="AN6" s="956"/>
      <c r="AO6" s="949"/>
      <c r="AP6" s="948" t="s">
        <v>355</v>
      </c>
      <c r="AQ6" s="956"/>
      <c r="AR6" s="949"/>
      <c r="AS6" s="948" t="s">
        <v>356</v>
      </c>
      <c r="AT6" s="956"/>
      <c r="AU6" s="949"/>
      <c r="AV6" s="948" t="s">
        <v>357</v>
      </c>
      <c r="AW6" s="956"/>
      <c r="AX6" s="949"/>
      <c r="AY6" s="951" t="s">
        <v>358</v>
      </c>
      <c r="AZ6" s="952"/>
      <c r="BA6" s="952"/>
      <c r="BB6" s="951" t="s">
        <v>359</v>
      </c>
      <c r="BC6" s="952"/>
      <c r="BD6" s="953"/>
      <c r="BE6" s="951" t="s">
        <v>360</v>
      </c>
      <c r="BF6" s="952"/>
      <c r="BG6" s="952"/>
      <c r="BH6" s="951" t="s">
        <v>361</v>
      </c>
      <c r="BI6" s="952"/>
      <c r="BJ6" s="953"/>
      <c r="BK6" s="951" t="s">
        <v>362</v>
      </c>
      <c r="BL6" s="952"/>
      <c r="BM6" s="952"/>
      <c r="BN6" s="951" t="s">
        <v>363</v>
      </c>
      <c r="BO6" s="952"/>
      <c r="BP6" s="953"/>
      <c r="BQ6" s="951" t="s">
        <v>364</v>
      </c>
      <c r="BR6" s="952"/>
      <c r="BS6" s="952"/>
      <c r="BT6" s="951" t="s">
        <v>365</v>
      </c>
      <c r="BU6" s="952"/>
      <c r="BV6" s="953"/>
      <c r="BW6" s="951" t="s">
        <v>366</v>
      </c>
      <c r="BX6" s="952"/>
      <c r="BY6" s="952"/>
      <c r="BZ6" s="951" t="s">
        <v>367</v>
      </c>
      <c r="CA6" s="952"/>
      <c r="CB6" s="953"/>
      <c r="CC6" s="951" t="s">
        <v>368</v>
      </c>
      <c r="CD6" s="952"/>
      <c r="CE6" s="952"/>
      <c r="CF6" s="951" t="s">
        <v>369</v>
      </c>
      <c r="CG6" s="952"/>
      <c r="CH6" s="953"/>
      <c r="CI6" s="951" t="s">
        <v>370</v>
      </c>
      <c r="CJ6" s="952"/>
      <c r="CK6" s="952"/>
      <c r="CL6" s="951" t="s">
        <v>371</v>
      </c>
      <c r="CM6" s="952"/>
      <c r="CN6" s="953"/>
      <c r="CO6" s="951" t="s">
        <v>372</v>
      </c>
      <c r="CP6" s="952"/>
      <c r="CQ6" s="952"/>
      <c r="CR6" s="951" t="s">
        <v>373</v>
      </c>
      <c r="CS6" s="952"/>
      <c r="CT6" s="953"/>
      <c r="CU6" s="951" t="s">
        <v>374</v>
      </c>
      <c r="CV6" s="952"/>
      <c r="CW6" s="952"/>
      <c r="CX6" s="951" t="s">
        <v>375</v>
      </c>
      <c r="CY6" s="952"/>
      <c r="CZ6" s="953"/>
      <c r="DA6" s="951" t="s">
        <v>376</v>
      </c>
      <c r="DB6" s="952"/>
      <c r="DC6" s="952"/>
      <c r="DD6" s="951" t="s">
        <v>377</v>
      </c>
      <c r="DE6" s="952"/>
      <c r="DF6" s="953"/>
      <c r="DG6" s="951" t="s">
        <v>378</v>
      </c>
      <c r="DH6" s="952"/>
      <c r="DI6" s="952"/>
      <c r="DJ6" s="951" t="s">
        <v>379</v>
      </c>
      <c r="DK6" s="952"/>
      <c r="DL6" s="953"/>
      <c r="DM6" s="951" t="s">
        <v>380</v>
      </c>
      <c r="DN6" s="952"/>
      <c r="DO6" s="952"/>
      <c r="DP6" s="951" t="s">
        <v>381</v>
      </c>
      <c r="DQ6" s="952"/>
      <c r="DR6" s="953"/>
      <c r="DS6" s="951" t="s">
        <v>382</v>
      </c>
      <c r="DT6" s="952"/>
      <c r="DU6" s="952"/>
      <c r="DV6" s="951" t="s">
        <v>383</v>
      </c>
      <c r="DW6" s="952"/>
      <c r="DX6" s="953"/>
      <c r="DY6" s="951" t="s">
        <v>384</v>
      </c>
      <c r="DZ6" s="952"/>
      <c r="EA6" s="952"/>
      <c r="EB6" s="954" t="s">
        <v>535</v>
      </c>
      <c r="EC6" s="952"/>
      <c r="ED6" s="953"/>
      <c r="EE6" s="951" t="s">
        <v>560</v>
      </c>
      <c r="EF6" s="952"/>
      <c r="EG6" s="952"/>
      <c r="EH6" s="951"/>
      <c r="EI6" s="952"/>
      <c r="EJ6" s="953"/>
      <c r="EK6" s="951"/>
      <c r="EL6" s="952"/>
      <c r="EM6" s="952"/>
      <c r="EN6" s="951"/>
      <c r="EO6" s="952"/>
      <c r="EP6" s="953"/>
      <c r="EQ6" s="951"/>
      <c r="ER6" s="952"/>
      <c r="ES6" s="952"/>
      <c r="ET6" s="951"/>
      <c r="EU6" s="952"/>
      <c r="EV6" s="953"/>
      <c r="EW6" s="951"/>
      <c r="EX6" s="952"/>
      <c r="EY6" s="952"/>
      <c r="EZ6" s="951"/>
      <c r="FA6" s="952"/>
      <c r="FB6" s="953"/>
      <c r="FC6" s="951"/>
      <c r="FD6" s="952"/>
      <c r="FE6" s="952"/>
      <c r="FF6" s="951"/>
      <c r="FG6" s="952"/>
      <c r="FH6" s="953"/>
      <c r="FI6" s="951"/>
      <c r="FJ6" s="952"/>
      <c r="FK6" s="952"/>
      <c r="FL6" s="951"/>
      <c r="FM6" s="952"/>
      <c r="FN6" s="953"/>
      <c r="FO6" s="951"/>
      <c r="FP6" s="952"/>
      <c r="FQ6" s="952"/>
      <c r="FR6" s="951"/>
      <c r="FS6" s="952"/>
      <c r="FT6" s="953"/>
      <c r="FU6" s="951"/>
      <c r="FV6" s="952"/>
      <c r="FW6" s="952"/>
      <c r="FX6" s="951"/>
      <c r="FY6" s="952"/>
      <c r="FZ6" s="953"/>
      <c r="GA6" s="951"/>
      <c r="GB6" s="952"/>
      <c r="GC6" s="952"/>
      <c r="GD6" s="951" t="s">
        <v>385</v>
      </c>
      <c r="GE6" s="952"/>
      <c r="GF6" s="953"/>
      <c r="GG6" s="951" t="s">
        <v>386</v>
      </c>
      <c r="GH6" s="952"/>
      <c r="GI6" s="952"/>
      <c r="GJ6" s="951" t="s">
        <v>387</v>
      </c>
      <c r="GK6" s="952"/>
      <c r="GL6" s="953"/>
      <c r="GM6" s="951" t="s">
        <v>388</v>
      </c>
      <c r="GN6" s="952"/>
      <c r="GO6" s="952"/>
      <c r="GP6" s="951" t="s">
        <v>389</v>
      </c>
      <c r="GQ6" s="952"/>
      <c r="GR6" s="953"/>
      <c r="GS6" s="951" t="s">
        <v>390</v>
      </c>
      <c r="GT6" s="952"/>
      <c r="GU6" s="952"/>
      <c r="GV6" s="951" t="s">
        <v>391</v>
      </c>
      <c r="GW6" s="952"/>
      <c r="GX6" s="953"/>
      <c r="GY6" s="951" t="s">
        <v>392</v>
      </c>
      <c r="GZ6" s="952"/>
      <c r="HA6" s="952"/>
      <c r="HB6" s="951" t="s">
        <v>367</v>
      </c>
      <c r="HC6" s="952"/>
      <c r="HD6" s="953"/>
      <c r="HE6" s="951" t="s">
        <v>383</v>
      </c>
      <c r="HF6" s="952"/>
      <c r="HG6" s="952"/>
      <c r="HH6" s="951" t="s">
        <v>382</v>
      </c>
      <c r="HI6" s="952"/>
      <c r="HJ6" s="953"/>
      <c r="HK6" s="951" t="s">
        <v>363</v>
      </c>
      <c r="HL6" s="952"/>
      <c r="HM6" s="952"/>
      <c r="HN6" s="951" t="s">
        <v>393</v>
      </c>
      <c r="HO6" s="952"/>
      <c r="HP6" s="953"/>
      <c r="HQ6" s="951" t="s">
        <v>374</v>
      </c>
      <c r="HR6" s="952"/>
      <c r="HS6" s="952"/>
      <c r="HT6" s="951" t="s">
        <v>394</v>
      </c>
      <c r="HU6" s="952"/>
      <c r="HV6" s="953"/>
      <c r="HW6" s="951" t="s">
        <v>395</v>
      </c>
      <c r="HX6" s="952"/>
      <c r="HY6" s="952"/>
      <c r="HZ6" s="951" t="s">
        <v>396</v>
      </c>
      <c r="IA6" s="952"/>
      <c r="IB6" s="953"/>
      <c r="IC6" s="951" t="s">
        <v>397</v>
      </c>
      <c r="ID6" s="952"/>
      <c r="IE6" s="952"/>
      <c r="IF6" s="951" t="s">
        <v>398</v>
      </c>
      <c r="IG6" s="952"/>
      <c r="IH6" s="953"/>
      <c r="II6" s="950" t="s">
        <v>369</v>
      </c>
      <c r="IJ6" s="950"/>
      <c r="IK6" s="950"/>
      <c r="IL6" s="951" t="s">
        <v>372</v>
      </c>
      <c r="IM6" s="952"/>
      <c r="IN6" s="953"/>
      <c r="IO6" s="951" t="s">
        <v>373</v>
      </c>
      <c r="IP6" s="952"/>
      <c r="IQ6" s="952"/>
      <c r="IR6" s="951" t="s">
        <v>368</v>
      </c>
      <c r="IS6" s="952"/>
      <c r="IT6" s="953"/>
      <c r="IU6" s="951" t="s">
        <v>399</v>
      </c>
      <c r="IV6" s="952"/>
      <c r="IW6" s="952"/>
      <c r="IX6" s="951" t="s">
        <v>376</v>
      </c>
      <c r="IY6" s="952"/>
      <c r="IZ6" s="953"/>
      <c r="JA6" s="951" t="s">
        <v>400</v>
      </c>
      <c r="JB6" s="952"/>
      <c r="JC6" s="952"/>
      <c r="JD6" s="951" t="s">
        <v>401</v>
      </c>
      <c r="JE6" s="952"/>
      <c r="JF6" s="953"/>
      <c r="JG6" s="951" t="s">
        <v>402</v>
      </c>
      <c r="JH6" s="952"/>
      <c r="JI6" s="952"/>
      <c r="JJ6" s="951"/>
      <c r="JK6" s="952"/>
      <c r="JL6" s="953"/>
      <c r="JM6" s="951"/>
      <c r="JN6" s="952"/>
      <c r="JO6" s="952"/>
      <c r="JP6" s="951"/>
      <c r="JQ6" s="952"/>
      <c r="JR6" s="953"/>
      <c r="JS6" s="951"/>
      <c r="JT6" s="952"/>
      <c r="JU6" s="952"/>
      <c r="JV6" s="951"/>
      <c r="JW6" s="952"/>
      <c r="JX6" s="953"/>
      <c r="JY6" s="951"/>
      <c r="JZ6" s="952"/>
      <c r="KA6" s="952"/>
      <c r="KB6" s="951"/>
      <c r="KC6" s="952"/>
      <c r="KD6" s="953"/>
      <c r="KE6" s="951"/>
      <c r="KF6" s="952"/>
      <c r="KG6" s="952"/>
      <c r="KH6" s="951"/>
      <c r="KI6" s="952"/>
      <c r="KJ6" s="953"/>
      <c r="KK6" s="951"/>
      <c r="KL6" s="952"/>
      <c r="KM6" s="952"/>
      <c r="KN6" s="951"/>
      <c r="KO6" s="952"/>
      <c r="KP6" s="953"/>
      <c r="KQ6" s="950"/>
      <c r="KR6" s="950"/>
      <c r="KS6" s="950"/>
      <c r="KT6" s="955"/>
      <c r="KU6" s="955"/>
    </row>
    <row r="7" spans="1:308" ht="15" customHeight="1">
      <c r="A7" s="970"/>
      <c r="B7" s="961"/>
      <c r="C7" s="961"/>
      <c r="D7" s="967"/>
      <c r="E7" s="964"/>
      <c r="F7" s="948" t="s">
        <v>136</v>
      </c>
      <c r="G7" s="949"/>
      <c r="H7" s="532" t="s">
        <v>403</v>
      </c>
      <c r="I7" s="948" t="s">
        <v>136</v>
      </c>
      <c r="J7" s="949"/>
      <c r="K7" s="532" t="s">
        <v>403</v>
      </c>
      <c r="L7" s="948" t="s">
        <v>136</v>
      </c>
      <c r="M7" s="949"/>
      <c r="N7" s="532" t="s">
        <v>403</v>
      </c>
      <c r="O7" s="948" t="s">
        <v>136</v>
      </c>
      <c r="P7" s="949"/>
      <c r="Q7" s="532" t="s">
        <v>403</v>
      </c>
      <c r="R7" s="948" t="s">
        <v>136</v>
      </c>
      <c r="S7" s="949"/>
      <c r="T7" s="532" t="s">
        <v>403</v>
      </c>
      <c r="U7" s="948" t="s">
        <v>136</v>
      </c>
      <c r="V7" s="949"/>
      <c r="W7" s="532" t="s">
        <v>403</v>
      </c>
      <c r="X7" s="948" t="s">
        <v>136</v>
      </c>
      <c r="Y7" s="949"/>
      <c r="Z7" s="532" t="s">
        <v>403</v>
      </c>
      <c r="AA7" s="948" t="s">
        <v>136</v>
      </c>
      <c r="AB7" s="949"/>
      <c r="AC7" s="532" t="s">
        <v>403</v>
      </c>
      <c r="AD7" s="948" t="s">
        <v>136</v>
      </c>
      <c r="AE7" s="949"/>
      <c r="AF7" s="532" t="s">
        <v>403</v>
      </c>
      <c r="AG7" s="948" t="s">
        <v>136</v>
      </c>
      <c r="AH7" s="949"/>
      <c r="AI7" s="532" t="s">
        <v>403</v>
      </c>
      <c r="AJ7" s="948" t="s">
        <v>136</v>
      </c>
      <c r="AK7" s="949"/>
      <c r="AL7" s="532" t="s">
        <v>403</v>
      </c>
      <c r="AM7" s="948" t="s">
        <v>136</v>
      </c>
      <c r="AN7" s="949"/>
      <c r="AO7" s="532" t="s">
        <v>403</v>
      </c>
      <c r="AP7" s="948" t="s">
        <v>136</v>
      </c>
      <c r="AQ7" s="949"/>
      <c r="AR7" s="532" t="s">
        <v>403</v>
      </c>
      <c r="AS7" s="948" t="s">
        <v>136</v>
      </c>
      <c r="AT7" s="949"/>
      <c r="AU7" s="532" t="s">
        <v>403</v>
      </c>
      <c r="AV7" s="948" t="s">
        <v>136</v>
      </c>
      <c r="AW7" s="949"/>
      <c r="AX7" s="532" t="s">
        <v>403</v>
      </c>
      <c r="AY7" s="948" t="s">
        <v>136</v>
      </c>
      <c r="AZ7" s="949"/>
      <c r="BA7" s="532" t="s">
        <v>403</v>
      </c>
      <c r="BB7" s="948" t="s">
        <v>136</v>
      </c>
      <c r="BC7" s="949"/>
      <c r="BD7" s="532" t="s">
        <v>403</v>
      </c>
      <c r="BE7" s="948" t="s">
        <v>136</v>
      </c>
      <c r="BF7" s="949"/>
      <c r="BG7" s="532" t="s">
        <v>403</v>
      </c>
      <c r="BH7" s="948" t="s">
        <v>136</v>
      </c>
      <c r="BI7" s="949"/>
      <c r="BJ7" s="532" t="s">
        <v>403</v>
      </c>
      <c r="BK7" s="948" t="s">
        <v>136</v>
      </c>
      <c r="BL7" s="949"/>
      <c r="BM7" s="532" t="s">
        <v>403</v>
      </c>
      <c r="BN7" s="948" t="s">
        <v>136</v>
      </c>
      <c r="BO7" s="949"/>
      <c r="BP7" s="532" t="s">
        <v>403</v>
      </c>
      <c r="BQ7" s="948" t="s">
        <v>136</v>
      </c>
      <c r="BR7" s="949"/>
      <c r="BS7" s="532" t="s">
        <v>403</v>
      </c>
      <c r="BT7" s="948" t="s">
        <v>136</v>
      </c>
      <c r="BU7" s="949"/>
      <c r="BV7" s="532" t="s">
        <v>403</v>
      </c>
      <c r="BW7" s="948" t="s">
        <v>136</v>
      </c>
      <c r="BX7" s="949"/>
      <c r="BY7" s="532" t="s">
        <v>403</v>
      </c>
      <c r="BZ7" s="948" t="s">
        <v>136</v>
      </c>
      <c r="CA7" s="949"/>
      <c r="CB7" s="532" t="s">
        <v>403</v>
      </c>
      <c r="CC7" s="948" t="s">
        <v>136</v>
      </c>
      <c r="CD7" s="949"/>
      <c r="CE7" s="532" t="s">
        <v>403</v>
      </c>
      <c r="CF7" s="948" t="s">
        <v>136</v>
      </c>
      <c r="CG7" s="949"/>
      <c r="CH7" s="532" t="s">
        <v>403</v>
      </c>
      <c r="CI7" s="948" t="s">
        <v>136</v>
      </c>
      <c r="CJ7" s="949"/>
      <c r="CK7" s="532" t="s">
        <v>403</v>
      </c>
      <c r="CL7" s="948" t="s">
        <v>136</v>
      </c>
      <c r="CM7" s="949"/>
      <c r="CN7" s="532" t="s">
        <v>403</v>
      </c>
      <c r="CO7" s="948" t="s">
        <v>136</v>
      </c>
      <c r="CP7" s="949"/>
      <c r="CQ7" s="532" t="s">
        <v>403</v>
      </c>
      <c r="CR7" s="948" t="s">
        <v>136</v>
      </c>
      <c r="CS7" s="949"/>
      <c r="CT7" s="532" t="s">
        <v>403</v>
      </c>
      <c r="CU7" s="948" t="s">
        <v>136</v>
      </c>
      <c r="CV7" s="949"/>
      <c r="CW7" s="532" t="s">
        <v>403</v>
      </c>
      <c r="CX7" s="948" t="s">
        <v>136</v>
      </c>
      <c r="CY7" s="949"/>
      <c r="CZ7" s="532" t="s">
        <v>403</v>
      </c>
      <c r="DA7" s="948" t="s">
        <v>136</v>
      </c>
      <c r="DB7" s="949"/>
      <c r="DC7" s="532" t="s">
        <v>403</v>
      </c>
      <c r="DD7" s="948" t="s">
        <v>136</v>
      </c>
      <c r="DE7" s="949"/>
      <c r="DF7" s="532" t="s">
        <v>403</v>
      </c>
      <c r="DG7" s="948" t="s">
        <v>136</v>
      </c>
      <c r="DH7" s="949"/>
      <c r="DI7" s="532" t="s">
        <v>403</v>
      </c>
      <c r="DJ7" s="948" t="s">
        <v>136</v>
      </c>
      <c r="DK7" s="949"/>
      <c r="DL7" s="532" t="s">
        <v>403</v>
      </c>
      <c r="DM7" s="948" t="s">
        <v>136</v>
      </c>
      <c r="DN7" s="949"/>
      <c r="DO7" s="532" t="s">
        <v>403</v>
      </c>
      <c r="DP7" s="948" t="s">
        <v>136</v>
      </c>
      <c r="DQ7" s="949"/>
      <c r="DR7" s="532" t="s">
        <v>403</v>
      </c>
      <c r="DS7" s="948" t="s">
        <v>136</v>
      </c>
      <c r="DT7" s="949"/>
      <c r="DU7" s="532" t="s">
        <v>403</v>
      </c>
      <c r="DV7" s="948" t="s">
        <v>136</v>
      </c>
      <c r="DW7" s="949"/>
      <c r="DX7" s="532" t="s">
        <v>403</v>
      </c>
      <c r="DY7" s="948" t="s">
        <v>136</v>
      </c>
      <c r="DZ7" s="949"/>
      <c r="EA7" s="532" t="s">
        <v>403</v>
      </c>
      <c r="EB7" s="948" t="s">
        <v>136</v>
      </c>
      <c r="EC7" s="949"/>
      <c r="ED7" s="532" t="s">
        <v>403</v>
      </c>
      <c r="EE7" s="948" t="s">
        <v>136</v>
      </c>
      <c r="EF7" s="949"/>
      <c r="EG7" s="532" t="s">
        <v>403</v>
      </c>
      <c r="EH7" s="948" t="s">
        <v>136</v>
      </c>
      <c r="EI7" s="949"/>
      <c r="EJ7" s="532" t="s">
        <v>403</v>
      </c>
      <c r="EK7" s="948" t="s">
        <v>136</v>
      </c>
      <c r="EL7" s="949"/>
      <c r="EM7" s="532" t="s">
        <v>403</v>
      </c>
      <c r="EN7" s="948" t="s">
        <v>136</v>
      </c>
      <c r="EO7" s="949"/>
      <c r="EP7" s="532" t="s">
        <v>403</v>
      </c>
      <c r="EQ7" s="948" t="s">
        <v>136</v>
      </c>
      <c r="ER7" s="949"/>
      <c r="ES7" s="532" t="s">
        <v>403</v>
      </c>
      <c r="ET7" s="948" t="s">
        <v>136</v>
      </c>
      <c r="EU7" s="949"/>
      <c r="EV7" s="532" t="s">
        <v>403</v>
      </c>
      <c r="EW7" s="948" t="s">
        <v>136</v>
      </c>
      <c r="EX7" s="949"/>
      <c r="EY7" s="532" t="s">
        <v>403</v>
      </c>
      <c r="EZ7" s="948" t="s">
        <v>136</v>
      </c>
      <c r="FA7" s="949"/>
      <c r="FB7" s="532" t="s">
        <v>403</v>
      </c>
      <c r="FC7" s="948" t="s">
        <v>136</v>
      </c>
      <c r="FD7" s="949"/>
      <c r="FE7" s="532" t="s">
        <v>403</v>
      </c>
      <c r="FF7" s="948" t="s">
        <v>136</v>
      </c>
      <c r="FG7" s="949"/>
      <c r="FH7" s="532" t="s">
        <v>403</v>
      </c>
      <c r="FI7" s="948" t="s">
        <v>136</v>
      </c>
      <c r="FJ7" s="949"/>
      <c r="FK7" s="532" t="s">
        <v>403</v>
      </c>
      <c r="FL7" s="948" t="s">
        <v>136</v>
      </c>
      <c r="FM7" s="949"/>
      <c r="FN7" s="532" t="s">
        <v>403</v>
      </c>
      <c r="FO7" s="948" t="s">
        <v>136</v>
      </c>
      <c r="FP7" s="949"/>
      <c r="FQ7" s="532" t="s">
        <v>403</v>
      </c>
      <c r="FR7" s="948" t="s">
        <v>136</v>
      </c>
      <c r="FS7" s="949"/>
      <c r="FT7" s="532" t="s">
        <v>403</v>
      </c>
      <c r="FU7" s="948" t="s">
        <v>136</v>
      </c>
      <c r="FV7" s="949"/>
      <c r="FW7" s="532" t="s">
        <v>403</v>
      </c>
      <c r="FX7" s="948" t="s">
        <v>136</v>
      </c>
      <c r="FY7" s="949"/>
      <c r="FZ7" s="532" t="s">
        <v>403</v>
      </c>
      <c r="GA7" s="948" t="s">
        <v>136</v>
      </c>
      <c r="GB7" s="949"/>
      <c r="GC7" s="532" t="s">
        <v>403</v>
      </c>
      <c r="GD7" s="948" t="s">
        <v>136</v>
      </c>
      <c r="GE7" s="949"/>
      <c r="GF7" s="532" t="s">
        <v>403</v>
      </c>
      <c r="GG7" s="948" t="s">
        <v>136</v>
      </c>
      <c r="GH7" s="949"/>
      <c r="GI7" s="532" t="s">
        <v>403</v>
      </c>
      <c r="GJ7" s="948" t="s">
        <v>136</v>
      </c>
      <c r="GK7" s="949"/>
      <c r="GL7" s="532" t="s">
        <v>403</v>
      </c>
      <c r="GM7" s="948" t="s">
        <v>136</v>
      </c>
      <c r="GN7" s="949"/>
      <c r="GO7" s="532" t="s">
        <v>403</v>
      </c>
      <c r="GP7" s="948" t="s">
        <v>136</v>
      </c>
      <c r="GQ7" s="949"/>
      <c r="GR7" s="532" t="s">
        <v>403</v>
      </c>
      <c r="GS7" s="948" t="s">
        <v>136</v>
      </c>
      <c r="GT7" s="949"/>
      <c r="GU7" s="532" t="s">
        <v>403</v>
      </c>
      <c r="GV7" s="948" t="s">
        <v>136</v>
      </c>
      <c r="GW7" s="949"/>
      <c r="GX7" s="532" t="s">
        <v>403</v>
      </c>
      <c r="GY7" s="948" t="s">
        <v>136</v>
      </c>
      <c r="GZ7" s="949"/>
      <c r="HA7" s="532" t="s">
        <v>403</v>
      </c>
      <c r="HB7" s="948" t="s">
        <v>136</v>
      </c>
      <c r="HC7" s="949"/>
      <c r="HD7" s="532" t="s">
        <v>403</v>
      </c>
      <c r="HE7" s="948" t="s">
        <v>136</v>
      </c>
      <c r="HF7" s="949"/>
      <c r="HG7" s="532" t="s">
        <v>403</v>
      </c>
      <c r="HH7" s="948" t="s">
        <v>136</v>
      </c>
      <c r="HI7" s="949"/>
      <c r="HJ7" s="532" t="s">
        <v>403</v>
      </c>
      <c r="HK7" s="948" t="s">
        <v>136</v>
      </c>
      <c r="HL7" s="949"/>
      <c r="HM7" s="532" t="s">
        <v>403</v>
      </c>
      <c r="HN7" s="948" t="s">
        <v>136</v>
      </c>
      <c r="HO7" s="949"/>
      <c r="HP7" s="532" t="s">
        <v>403</v>
      </c>
      <c r="HQ7" s="948" t="s">
        <v>136</v>
      </c>
      <c r="HR7" s="949"/>
      <c r="HS7" s="532" t="s">
        <v>403</v>
      </c>
      <c r="HT7" s="948" t="s">
        <v>136</v>
      </c>
      <c r="HU7" s="949"/>
      <c r="HV7" s="532" t="s">
        <v>403</v>
      </c>
      <c r="HW7" s="948" t="s">
        <v>136</v>
      </c>
      <c r="HX7" s="949"/>
      <c r="HY7" s="532" t="s">
        <v>403</v>
      </c>
      <c r="HZ7" s="948" t="s">
        <v>136</v>
      </c>
      <c r="IA7" s="949"/>
      <c r="IB7" s="532" t="s">
        <v>403</v>
      </c>
      <c r="IC7" s="948" t="s">
        <v>136</v>
      </c>
      <c r="ID7" s="949"/>
      <c r="IE7" s="532" t="s">
        <v>403</v>
      </c>
      <c r="IF7" s="948" t="s">
        <v>136</v>
      </c>
      <c r="IG7" s="949"/>
      <c r="IH7" s="532" t="s">
        <v>403</v>
      </c>
      <c r="II7" s="950" t="s">
        <v>136</v>
      </c>
      <c r="IJ7" s="950"/>
      <c r="IK7" s="537" t="s">
        <v>403</v>
      </c>
      <c r="IL7" s="948" t="s">
        <v>136</v>
      </c>
      <c r="IM7" s="949"/>
      <c r="IN7" s="532" t="s">
        <v>403</v>
      </c>
      <c r="IO7" s="948" t="s">
        <v>136</v>
      </c>
      <c r="IP7" s="949"/>
      <c r="IQ7" s="532" t="s">
        <v>403</v>
      </c>
      <c r="IR7" s="948" t="s">
        <v>136</v>
      </c>
      <c r="IS7" s="949"/>
      <c r="IT7" s="532" t="s">
        <v>403</v>
      </c>
      <c r="IU7" s="948" t="s">
        <v>136</v>
      </c>
      <c r="IV7" s="949"/>
      <c r="IW7" s="532" t="s">
        <v>403</v>
      </c>
      <c r="IX7" s="948" t="s">
        <v>136</v>
      </c>
      <c r="IY7" s="949"/>
      <c r="IZ7" s="532" t="s">
        <v>403</v>
      </c>
      <c r="JA7" s="948" t="s">
        <v>136</v>
      </c>
      <c r="JB7" s="949"/>
      <c r="JC7" s="532" t="s">
        <v>403</v>
      </c>
      <c r="JD7" s="948" t="s">
        <v>136</v>
      </c>
      <c r="JE7" s="949"/>
      <c r="JF7" s="532" t="s">
        <v>403</v>
      </c>
      <c r="JG7" s="948" t="s">
        <v>136</v>
      </c>
      <c r="JH7" s="949"/>
      <c r="JI7" s="532" t="s">
        <v>403</v>
      </c>
      <c r="JJ7" s="948" t="s">
        <v>136</v>
      </c>
      <c r="JK7" s="949"/>
      <c r="JL7" s="532" t="s">
        <v>403</v>
      </c>
      <c r="JM7" s="948" t="s">
        <v>136</v>
      </c>
      <c r="JN7" s="949"/>
      <c r="JO7" s="532" t="s">
        <v>403</v>
      </c>
      <c r="JP7" s="948" t="s">
        <v>136</v>
      </c>
      <c r="JQ7" s="949"/>
      <c r="JR7" s="532" t="s">
        <v>403</v>
      </c>
      <c r="JS7" s="948" t="s">
        <v>136</v>
      </c>
      <c r="JT7" s="949"/>
      <c r="JU7" s="532" t="s">
        <v>403</v>
      </c>
      <c r="JV7" s="948" t="s">
        <v>136</v>
      </c>
      <c r="JW7" s="949"/>
      <c r="JX7" s="532" t="s">
        <v>403</v>
      </c>
      <c r="JY7" s="948" t="s">
        <v>136</v>
      </c>
      <c r="JZ7" s="949"/>
      <c r="KA7" s="532" t="s">
        <v>403</v>
      </c>
      <c r="KB7" s="948" t="s">
        <v>136</v>
      </c>
      <c r="KC7" s="949"/>
      <c r="KD7" s="532" t="s">
        <v>403</v>
      </c>
      <c r="KE7" s="948" t="s">
        <v>136</v>
      </c>
      <c r="KF7" s="949"/>
      <c r="KG7" s="532" t="s">
        <v>403</v>
      </c>
      <c r="KH7" s="948" t="s">
        <v>136</v>
      </c>
      <c r="KI7" s="949"/>
      <c r="KJ7" s="532" t="s">
        <v>403</v>
      </c>
      <c r="KK7" s="948" t="s">
        <v>136</v>
      </c>
      <c r="KL7" s="949"/>
      <c r="KM7" s="532" t="s">
        <v>403</v>
      </c>
      <c r="KN7" s="948" t="s">
        <v>136</v>
      </c>
      <c r="KO7" s="949"/>
      <c r="KP7" s="532" t="s">
        <v>403</v>
      </c>
      <c r="KQ7" s="950" t="s">
        <v>136</v>
      </c>
      <c r="KR7" s="950"/>
      <c r="KS7" s="537" t="s">
        <v>403</v>
      </c>
      <c r="KT7" s="955"/>
      <c r="KU7" s="955"/>
    </row>
    <row r="8" spans="1:308" ht="15" customHeight="1" thickBot="1">
      <c r="A8" s="971"/>
      <c r="B8" s="962"/>
      <c r="C8" s="962"/>
      <c r="D8" s="968"/>
      <c r="E8" s="965"/>
      <c r="F8" s="533" t="s">
        <v>137</v>
      </c>
      <c r="G8" s="533" t="s">
        <v>40</v>
      </c>
      <c r="H8" s="534"/>
      <c r="I8" s="533" t="s">
        <v>137</v>
      </c>
      <c r="J8" s="533" t="s">
        <v>40</v>
      </c>
      <c r="K8" s="534"/>
      <c r="L8" s="533" t="s">
        <v>137</v>
      </c>
      <c r="M8" s="533" t="s">
        <v>40</v>
      </c>
      <c r="N8" s="534"/>
      <c r="O8" s="533" t="s">
        <v>137</v>
      </c>
      <c r="P8" s="533" t="s">
        <v>40</v>
      </c>
      <c r="Q8" s="534"/>
      <c r="R8" s="533" t="s">
        <v>137</v>
      </c>
      <c r="S8" s="533" t="s">
        <v>40</v>
      </c>
      <c r="T8" s="534"/>
      <c r="U8" s="533" t="s">
        <v>137</v>
      </c>
      <c r="V8" s="533" t="s">
        <v>40</v>
      </c>
      <c r="W8" s="534"/>
      <c r="X8" s="533" t="s">
        <v>137</v>
      </c>
      <c r="Y8" s="533" t="s">
        <v>40</v>
      </c>
      <c r="Z8" s="534"/>
      <c r="AA8" s="533" t="s">
        <v>137</v>
      </c>
      <c r="AB8" s="533" t="s">
        <v>40</v>
      </c>
      <c r="AC8" s="534"/>
      <c r="AD8" s="533" t="s">
        <v>137</v>
      </c>
      <c r="AE8" s="533" t="s">
        <v>40</v>
      </c>
      <c r="AF8" s="534"/>
      <c r="AG8" s="533" t="s">
        <v>137</v>
      </c>
      <c r="AH8" s="533" t="s">
        <v>40</v>
      </c>
      <c r="AI8" s="534"/>
      <c r="AJ8" s="533" t="s">
        <v>137</v>
      </c>
      <c r="AK8" s="533" t="s">
        <v>40</v>
      </c>
      <c r="AL8" s="534"/>
      <c r="AM8" s="533" t="s">
        <v>137</v>
      </c>
      <c r="AN8" s="533" t="s">
        <v>40</v>
      </c>
      <c r="AO8" s="534"/>
      <c r="AP8" s="533" t="s">
        <v>137</v>
      </c>
      <c r="AQ8" s="533" t="s">
        <v>40</v>
      </c>
      <c r="AR8" s="534"/>
      <c r="AS8" s="533" t="s">
        <v>137</v>
      </c>
      <c r="AT8" s="533" t="s">
        <v>40</v>
      </c>
      <c r="AU8" s="534"/>
      <c r="AV8" s="533" t="s">
        <v>137</v>
      </c>
      <c r="AW8" s="533" t="s">
        <v>40</v>
      </c>
      <c r="AX8" s="534"/>
      <c r="AY8" s="533" t="s">
        <v>137</v>
      </c>
      <c r="AZ8" s="533" t="s">
        <v>40</v>
      </c>
      <c r="BA8" s="534"/>
      <c r="BB8" s="533" t="s">
        <v>137</v>
      </c>
      <c r="BC8" s="533" t="s">
        <v>40</v>
      </c>
      <c r="BD8" s="534"/>
      <c r="BE8" s="533" t="s">
        <v>137</v>
      </c>
      <c r="BF8" s="533" t="s">
        <v>40</v>
      </c>
      <c r="BG8" s="534"/>
      <c r="BH8" s="533" t="s">
        <v>137</v>
      </c>
      <c r="BI8" s="533" t="s">
        <v>40</v>
      </c>
      <c r="BJ8" s="534"/>
      <c r="BK8" s="533" t="s">
        <v>137</v>
      </c>
      <c r="BL8" s="533" t="s">
        <v>40</v>
      </c>
      <c r="BM8" s="534"/>
      <c r="BN8" s="533" t="s">
        <v>137</v>
      </c>
      <c r="BO8" s="533" t="s">
        <v>40</v>
      </c>
      <c r="BP8" s="534"/>
      <c r="BQ8" s="533" t="s">
        <v>137</v>
      </c>
      <c r="BR8" s="533" t="s">
        <v>40</v>
      </c>
      <c r="BS8" s="534"/>
      <c r="BT8" s="533" t="s">
        <v>137</v>
      </c>
      <c r="BU8" s="533" t="s">
        <v>40</v>
      </c>
      <c r="BV8" s="534"/>
      <c r="BW8" s="533" t="s">
        <v>137</v>
      </c>
      <c r="BX8" s="533" t="s">
        <v>40</v>
      </c>
      <c r="BY8" s="534"/>
      <c r="BZ8" s="533" t="s">
        <v>137</v>
      </c>
      <c r="CA8" s="533" t="s">
        <v>40</v>
      </c>
      <c r="CB8" s="534"/>
      <c r="CC8" s="533" t="s">
        <v>137</v>
      </c>
      <c r="CD8" s="533" t="s">
        <v>40</v>
      </c>
      <c r="CE8" s="534"/>
      <c r="CF8" s="533" t="s">
        <v>137</v>
      </c>
      <c r="CG8" s="533" t="s">
        <v>40</v>
      </c>
      <c r="CH8" s="534"/>
      <c r="CI8" s="533" t="s">
        <v>137</v>
      </c>
      <c r="CJ8" s="533" t="s">
        <v>40</v>
      </c>
      <c r="CK8" s="534"/>
      <c r="CL8" s="533" t="s">
        <v>137</v>
      </c>
      <c r="CM8" s="533" t="s">
        <v>40</v>
      </c>
      <c r="CN8" s="534"/>
      <c r="CO8" s="533" t="s">
        <v>137</v>
      </c>
      <c r="CP8" s="533" t="s">
        <v>40</v>
      </c>
      <c r="CQ8" s="534"/>
      <c r="CR8" s="533" t="s">
        <v>137</v>
      </c>
      <c r="CS8" s="533" t="s">
        <v>40</v>
      </c>
      <c r="CT8" s="534"/>
      <c r="CU8" s="533" t="s">
        <v>137</v>
      </c>
      <c r="CV8" s="533" t="s">
        <v>40</v>
      </c>
      <c r="CW8" s="534"/>
      <c r="CX8" s="533" t="s">
        <v>137</v>
      </c>
      <c r="CY8" s="533" t="s">
        <v>40</v>
      </c>
      <c r="CZ8" s="534"/>
      <c r="DA8" s="533" t="s">
        <v>137</v>
      </c>
      <c r="DB8" s="533" t="s">
        <v>40</v>
      </c>
      <c r="DC8" s="534"/>
      <c r="DD8" s="533" t="s">
        <v>137</v>
      </c>
      <c r="DE8" s="533" t="s">
        <v>40</v>
      </c>
      <c r="DF8" s="534"/>
      <c r="DG8" s="533" t="s">
        <v>137</v>
      </c>
      <c r="DH8" s="533" t="s">
        <v>40</v>
      </c>
      <c r="DI8" s="534"/>
      <c r="DJ8" s="533" t="s">
        <v>137</v>
      </c>
      <c r="DK8" s="533" t="s">
        <v>40</v>
      </c>
      <c r="DL8" s="534"/>
      <c r="DM8" s="533" t="s">
        <v>137</v>
      </c>
      <c r="DN8" s="533" t="s">
        <v>40</v>
      </c>
      <c r="DO8" s="534"/>
      <c r="DP8" s="533" t="s">
        <v>137</v>
      </c>
      <c r="DQ8" s="533" t="s">
        <v>40</v>
      </c>
      <c r="DR8" s="534"/>
      <c r="DS8" s="533" t="s">
        <v>137</v>
      </c>
      <c r="DT8" s="533" t="s">
        <v>40</v>
      </c>
      <c r="DU8" s="534"/>
      <c r="DV8" s="533" t="s">
        <v>137</v>
      </c>
      <c r="DW8" s="533" t="s">
        <v>40</v>
      </c>
      <c r="DX8" s="534"/>
      <c r="DY8" s="533" t="s">
        <v>137</v>
      </c>
      <c r="DZ8" s="533" t="s">
        <v>40</v>
      </c>
      <c r="EA8" s="534"/>
      <c r="EB8" s="533" t="s">
        <v>137</v>
      </c>
      <c r="EC8" s="533" t="s">
        <v>40</v>
      </c>
      <c r="ED8" s="532"/>
      <c r="EE8" s="533" t="s">
        <v>137</v>
      </c>
      <c r="EF8" s="533" t="s">
        <v>40</v>
      </c>
      <c r="EG8" s="534"/>
      <c r="EH8" s="533" t="s">
        <v>137</v>
      </c>
      <c r="EI8" s="533" t="s">
        <v>40</v>
      </c>
      <c r="EJ8" s="534"/>
      <c r="EK8" s="533" t="s">
        <v>137</v>
      </c>
      <c r="EL8" s="533" t="s">
        <v>40</v>
      </c>
      <c r="EM8" s="534"/>
      <c r="EN8" s="533" t="s">
        <v>137</v>
      </c>
      <c r="EO8" s="533" t="s">
        <v>40</v>
      </c>
      <c r="EP8" s="534"/>
      <c r="EQ8" s="533" t="s">
        <v>137</v>
      </c>
      <c r="ER8" s="533" t="s">
        <v>40</v>
      </c>
      <c r="ES8" s="534"/>
      <c r="ET8" s="533" t="s">
        <v>137</v>
      </c>
      <c r="EU8" s="533" t="s">
        <v>40</v>
      </c>
      <c r="EV8" s="534"/>
      <c r="EW8" s="533" t="s">
        <v>137</v>
      </c>
      <c r="EX8" s="533" t="s">
        <v>40</v>
      </c>
      <c r="EY8" s="534"/>
      <c r="EZ8" s="533" t="s">
        <v>137</v>
      </c>
      <c r="FA8" s="533" t="s">
        <v>40</v>
      </c>
      <c r="FB8" s="534"/>
      <c r="FC8" s="533" t="s">
        <v>137</v>
      </c>
      <c r="FD8" s="533" t="s">
        <v>40</v>
      </c>
      <c r="FE8" s="534"/>
      <c r="FF8" s="533" t="s">
        <v>137</v>
      </c>
      <c r="FG8" s="533" t="s">
        <v>40</v>
      </c>
      <c r="FH8" s="534"/>
      <c r="FI8" s="533" t="s">
        <v>137</v>
      </c>
      <c r="FJ8" s="533" t="s">
        <v>40</v>
      </c>
      <c r="FK8" s="534"/>
      <c r="FL8" s="533" t="s">
        <v>137</v>
      </c>
      <c r="FM8" s="533" t="s">
        <v>40</v>
      </c>
      <c r="FN8" s="534"/>
      <c r="FO8" s="533" t="s">
        <v>137</v>
      </c>
      <c r="FP8" s="533" t="s">
        <v>40</v>
      </c>
      <c r="FQ8" s="534"/>
      <c r="FR8" s="533" t="s">
        <v>137</v>
      </c>
      <c r="FS8" s="533" t="s">
        <v>40</v>
      </c>
      <c r="FT8" s="534"/>
      <c r="FU8" s="533" t="s">
        <v>137</v>
      </c>
      <c r="FV8" s="533" t="s">
        <v>40</v>
      </c>
      <c r="FW8" s="534"/>
      <c r="FX8" s="533" t="s">
        <v>137</v>
      </c>
      <c r="FY8" s="533" t="s">
        <v>40</v>
      </c>
      <c r="FZ8" s="534"/>
      <c r="GA8" s="533" t="s">
        <v>137</v>
      </c>
      <c r="GB8" s="533" t="s">
        <v>40</v>
      </c>
      <c r="GC8" s="534"/>
      <c r="GD8" s="533" t="s">
        <v>137</v>
      </c>
      <c r="GE8" s="533" t="s">
        <v>40</v>
      </c>
      <c r="GF8" s="534"/>
      <c r="GG8" s="533" t="s">
        <v>137</v>
      </c>
      <c r="GH8" s="533" t="s">
        <v>40</v>
      </c>
      <c r="GI8" s="534"/>
      <c r="GJ8" s="533" t="s">
        <v>137</v>
      </c>
      <c r="GK8" s="533" t="s">
        <v>40</v>
      </c>
      <c r="GL8" s="534"/>
      <c r="GM8" s="533" t="s">
        <v>137</v>
      </c>
      <c r="GN8" s="533" t="s">
        <v>40</v>
      </c>
      <c r="GO8" s="534"/>
      <c r="GP8" s="533" t="s">
        <v>137</v>
      </c>
      <c r="GQ8" s="533" t="s">
        <v>40</v>
      </c>
      <c r="GR8" s="534"/>
      <c r="GS8" s="533" t="s">
        <v>137</v>
      </c>
      <c r="GT8" s="533" t="s">
        <v>40</v>
      </c>
      <c r="GU8" s="534"/>
      <c r="GV8" s="533" t="s">
        <v>137</v>
      </c>
      <c r="GW8" s="533" t="s">
        <v>40</v>
      </c>
      <c r="GX8" s="534"/>
      <c r="GY8" s="533" t="s">
        <v>137</v>
      </c>
      <c r="GZ8" s="533" t="s">
        <v>40</v>
      </c>
      <c r="HA8" s="534"/>
      <c r="HB8" s="533" t="s">
        <v>137</v>
      </c>
      <c r="HC8" s="533" t="s">
        <v>40</v>
      </c>
      <c r="HD8" s="534"/>
      <c r="HE8" s="533" t="s">
        <v>137</v>
      </c>
      <c r="HF8" s="533" t="s">
        <v>40</v>
      </c>
      <c r="HG8" s="534"/>
      <c r="HH8" s="533" t="s">
        <v>137</v>
      </c>
      <c r="HI8" s="533" t="s">
        <v>40</v>
      </c>
      <c r="HJ8" s="534"/>
      <c r="HK8" s="533" t="s">
        <v>137</v>
      </c>
      <c r="HL8" s="533" t="s">
        <v>40</v>
      </c>
      <c r="HM8" s="534"/>
      <c r="HN8" s="533" t="s">
        <v>137</v>
      </c>
      <c r="HO8" s="533" t="s">
        <v>40</v>
      </c>
      <c r="HP8" s="534"/>
      <c r="HQ8" s="533" t="s">
        <v>137</v>
      </c>
      <c r="HR8" s="533" t="s">
        <v>40</v>
      </c>
      <c r="HS8" s="534"/>
      <c r="HT8" s="533" t="s">
        <v>137</v>
      </c>
      <c r="HU8" s="533" t="s">
        <v>40</v>
      </c>
      <c r="HV8" s="534"/>
      <c r="HW8" s="533" t="s">
        <v>137</v>
      </c>
      <c r="HX8" s="533" t="s">
        <v>40</v>
      </c>
      <c r="HY8" s="534"/>
      <c r="HZ8" s="533" t="s">
        <v>137</v>
      </c>
      <c r="IA8" s="533" t="s">
        <v>40</v>
      </c>
      <c r="IB8" s="534"/>
      <c r="IC8" s="533" t="s">
        <v>137</v>
      </c>
      <c r="ID8" s="533" t="s">
        <v>40</v>
      </c>
      <c r="IE8" s="534"/>
      <c r="IF8" s="533" t="s">
        <v>137</v>
      </c>
      <c r="IG8" s="533" t="s">
        <v>40</v>
      </c>
      <c r="IH8" s="534"/>
      <c r="II8" s="533" t="s">
        <v>137</v>
      </c>
      <c r="IJ8" s="533" t="s">
        <v>40</v>
      </c>
      <c r="IK8" s="534"/>
      <c r="IL8" s="533" t="s">
        <v>137</v>
      </c>
      <c r="IM8" s="533" t="s">
        <v>40</v>
      </c>
      <c r="IN8" s="534"/>
      <c r="IO8" s="533" t="s">
        <v>137</v>
      </c>
      <c r="IP8" s="533" t="s">
        <v>40</v>
      </c>
      <c r="IQ8" s="534"/>
      <c r="IR8" s="533" t="s">
        <v>137</v>
      </c>
      <c r="IS8" s="533" t="s">
        <v>40</v>
      </c>
      <c r="IT8" s="534"/>
      <c r="IU8" s="533" t="s">
        <v>137</v>
      </c>
      <c r="IV8" s="533" t="s">
        <v>40</v>
      </c>
      <c r="IW8" s="534"/>
      <c r="IX8" s="533" t="s">
        <v>137</v>
      </c>
      <c r="IY8" s="533" t="s">
        <v>40</v>
      </c>
      <c r="IZ8" s="534"/>
      <c r="JA8" s="533" t="s">
        <v>137</v>
      </c>
      <c r="JB8" s="533" t="s">
        <v>40</v>
      </c>
      <c r="JC8" s="534"/>
      <c r="JD8" s="533" t="s">
        <v>137</v>
      </c>
      <c r="JE8" s="533" t="s">
        <v>40</v>
      </c>
      <c r="JF8" s="534"/>
      <c r="JG8" s="533" t="s">
        <v>137</v>
      </c>
      <c r="JH8" s="533" t="s">
        <v>40</v>
      </c>
      <c r="JI8" s="534"/>
      <c r="JJ8" s="533" t="s">
        <v>137</v>
      </c>
      <c r="JK8" s="533" t="s">
        <v>40</v>
      </c>
      <c r="JL8" s="534" t="s">
        <v>419</v>
      </c>
      <c r="JM8" s="533" t="s">
        <v>137</v>
      </c>
      <c r="JN8" s="533" t="s">
        <v>40</v>
      </c>
      <c r="JO8" s="534" t="s">
        <v>419</v>
      </c>
      <c r="JP8" s="533" t="s">
        <v>137</v>
      </c>
      <c r="JQ8" s="533" t="s">
        <v>40</v>
      </c>
      <c r="JR8" s="534" t="s">
        <v>419</v>
      </c>
      <c r="JS8" s="533" t="s">
        <v>137</v>
      </c>
      <c r="JT8" s="533" t="s">
        <v>40</v>
      </c>
      <c r="JU8" s="534" t="s">
        <v>419</v>
      </c>
      <c r="JV8" s="533" t="s">
        <v>137</v>
      </c>
      <c r="JW8" s="533" t="s">
        <v>40</v>
      </c>
      <c r="JX8" s="534" t="s">
        <v>419</v>
      </c>
      <c r="JY8" s="533" t="s">
        <v>137</v>
      </c>
      <c r="JZ8" s="533" t="s">
        <v>40</v>
      </c>
      <c r="KA8" s="534" t="s">
        <v>419</v>
      </c>
      <c r="KB8" s="533" t="s">
        <v>137</v>
      </c>
      <c r="KC8" s="533" t="s">
        <v>40</v>
      </c>
      <c r="KD8" s="534" t="s">
        <v>419</v>
      </c>
      <c r="KE8" s="533" t="s">
        <v>137</v>
      </c>
      <c r="KF8" s="533" t="s">
        <v>40</v>
      </c>
      <c r="KG8" s="534" t="s">
        <v>419</v>
      </c>
      <c r="KH8" s="533" t="s">
        <v>137</v>
      </c>
      <c r="KI8" s="533" t="s">
        <v>40</v>
      </c>
      <c r="KJ8" s="534" t="s">
        <v>419</v>
      </c>
      <c r="KK8" s="533" t="s">
        <v>137</v>
      </c>
      <c r="KL8" s="533" t="s">
        <v>40</v>
      </c>
      <c r="KM8" s="534" t="s">
        <v>419</v>
      </c>
      <c r="KN8" s="533" t="s">
        <v>137</v>
      </c>
      <c r="KO8" s="533" t="s">
        <v>40</v>
      </c>
      <c r="KP8" s="534" t="s">
        <v>419</v>
      </c>
      <c r="KQ8" s="533" t="s">
        <v>137</v>
      </c>
      <c r="KR8" s="533" t="s">
        <v>40</v>
      </c>
      <c r="KS8" s="534" t="s">
        <v>419</v>
      </c>
      <c r="KT8" s="955"/>
      <c r="KU8" s="955"/>
    </row>
    <row r="9" spans="1:308" ht="15" customHeight="1">
      <c r="A9" s="277">
        <f>+Report1!A9</f>
        <v>45992</v>
      </c>
      <c r="B9" s="278" t="str">
        <f>+Report1!B9</f>
        <v>Facial/MG</v>
      </c>
      <c r="C9" s="420" t="str">
        <f>+Report1!C9</f>
        <v>13/15,5/16,5</v>
      </c>
      <c r="D9" s="279">
        <f>+Report1!P9</f>
        <v>57.165000000000006</v>
      </c>
      <c r="E9" s="280">
        <f>+Report1!R9</f>
        <v>41.514000000000003</v>
      </c>
      <c r="F9" s="538">
        <v>162.79069767441854</v>
      </c>
      <c r="G9" s="539">
        <f t="shared" ref="G9:G39" si="0">+F9/$E9</f>
        <v>3.9213445506195144</v>
      </c>
      <c r="H9" s="540">
        <f>+F9*$H$8</f>
        <v>0</v>
      </c>
      <c r="I9" s="538">
        <v>558.13835813953483</v>
      </c>
      <c r="J9" s="539">
        <f t="shared" ref="J9:J39" si="1">+I9/$E9</f>
        <v>13.44458154211916</v>
      </c>
      <c r="K9" s="540">
        <f>+I9*$H$8</f>
        <v>0</v>
      </c>
      <c r="L9" s="538"/>
      <c r="M9" s="539">
        <f t="shared" ref="M9:M39" si="2">+L9/$E9</f>
        <v>0</v>
      </c>
      <c r="N9" s="540">
        <f>+L9*$H$8</f>
        <v>0</v>
      </c>
      <c r="O9" s="538">
        <v>11.996399999999994</v>
      </c>
      <c r="P9" s="539">
        <f t="shared" ref="P9:P39" si="3">+O9/$E9</f>
        <v>0.28897239485474763</v>
      </c>
      <c r="Q9" s="540">
        <f>+O9*$H$8</f>
        <v>0</v>
      </c>
      <c r="R9" s="538"/>
      <c r="S9" s="539">
        <f t="shared" ref="S9:S39" si="4">+R9/$E9</f>
        <v>0</v>
      </c>
      <c r="T9" s="540">
        <f>+R9*$H$8</f>
        <v>0</v>
      </c>
      <c r="U9" s="538">
        <v>5.1280999999999892</v>
      </c>
      <c r="V9" s="539">
        <f t="shared" ref="V9:V39" si="5">+U9/$E9</f>
        <v>0.12352700293876738</v>
      </c>
      <c r="W9" s="540">
        <f>+U9*$H$8</f>
        <v>0</v>
      </c>
      <c r="X9" s="538"/>
      <c r="Y9" s="539">
        <f t="shared" ref="Y9:Y39" si="6">+X9/$E9</f>
        <v>0</v>
      </c>
      <c r="Z9" s="540">
        <f>+X9*$H$8</f>
        <v>0</v>
      </c>
      <c r="AA9" s="538"/>
      <c r="AB9" s="539">
        <f t="shared" ref="AB9:AB39" si="7">+AA9/$E9</f>
        <v>0</v>
      </c>
      <c r="AC9" s="540">
        <f>+AA9*$H$8</f>
        <v>0</v>
      </c>
      <c r="AD9" s="538"/>
      <c r="AE9" s="539">
        <f t="shared" ref="AE9:AE39" si="8">+AD9/$E9</f>
        <v>0</v>
      </c>
      <c r="AF9" s="540">
        <f>+AD9*$H$8</f>
        <v>0</v>
      </c>
      <c r="AG9" s="538"/>
      <c r="AH9" s="539">
        <f t="shared" ref="AH9:AH39" si="9">+AG9/$E9</f>
        <v>0</v>
      </c>
      <c r="AI9" s="540">
        <f>+AG9*$H$8</f>
        <v>0</v>
      </c>
      <c r="AJ9" s="538">
        <v>0</v>
      </c>
      <c r="AK9" s="539">
        <f t="shared" ref="AK9:AK39" si="10">+AJ9/$E9</f>
        <v>0</v>
      </c>
      <c r="AL9" s="540">
        <f>+AJ9*$H$8</f>
        <v>0</v>
      </c>
      <c r="AM9" s="538">
        <v>0</v>
      </c>
      <c r="AN9" s="539">
        <f t="shared" ref="AN9:AN39" si="11">+AM9/$E9</f>
        <v>0</v>
      </c>
      <c r="AO9" s="540">
        <f>+AM9*$H$8</f>
        <v>0</v>
      </c>
      <c r="AP9" s="538">
        <v>0</v>
      </c>
      <c r="AQ9" s="539">
        <f t="shared" ref="AQ9:AQ39" si="12">+AP9/$E9</f>
        <v>0</v>
      </c>
      <c r="AR9" s="540">
        <f>+AP9*$H$8</f>
        <v>0</v>
      </c>
      <c r="AS9" s="538"/>
      <c r="AT9" s="539">
        <f t="shared" ref="AT9:AT39" si="13">+AS9/$E9</f>
        <v>0</v>
      </c>
      <c r="AU9" s="540">
        <f>+AS9*$H$8</f>
        <v>0</v>
      </c>
      <c r="AV9" s="538">
        <v>5.54849999999999</v>
      </c>
      <c r="AW9" s="539">
        <f t="shared" ref="AW9:AW39" si="14">+AV9/$E9</f>
        <v>0.1336537071831187</v>
      </c>
      <c r="AX9" s="540">
        <f>+AV9*$H$8</f>
        <v>0</v>
      </c>
      <c r="AY9" s="538">
        <v>63.002133333333319</v>
      </c>
      <c r="AZ9" s="539">
        <f t="shared" ref="AZ9:AZ39" si="15">+AY9/$E9</f>
        <v>1.5176117293764348</v>
      </c>
      <c r="BA9" s="540">
        <f>+AY9*$H$8</f>
        <v>0</v>
      </c>
      <c r="BB9" s="538">
        <v>0</v>
      </c>
      <c r="BC9" s="539">
        <f t="shared" ref="BC9:BC39" si="16">+BB9/$E9</f>
        <v>0</v>
      </c>
      <c r="BD9" s="540">
        <f>+BB9*$H$8</f>
        <v>0</v>
      </c>
      <c r="BE9" s="538"/>
      <c r="BF9" s="539">
        <f t="shared" ref="BF9:BF39" si="17">+BE9/$E9</f>
        <v>0</v>
      </c>
      <c r="BG9" s="540">
        <f>+BE9*$H$8</f>
        <v>0</v>
      </c>
      <c r="BH9" s="538"/>
      <c r="BI9" s="539">
        <f t="shared" ref="BI9:BI39" si="18">+BH9/$E9</f>
        <v>0</v>
      </c>
      <c r="BJ9" s="540">
        <f>+BH9*$H$8</f>
        <v>0</v>
      </c>
      <c r="BK9" s="538"/>
      <c r="BL9" s="539">
        <f t="shared" ref="BL9:BL39" si="19">+BK9/$E9</f>
        <v>0</v>
      </c>
      <c r="BM9" s="540">
        <f>+BK9*$H$8</f>
        <v>0</v>
      </c>
      <c r="BN9" s="538">
        <v>20.244006172839477</v>
      </c>
      <c r="BO9" s="539">
        <f t="shared" ref="BO9:BO39" si="20">+BN9/$E9</f>
        <v>0.48764287162979897</v>
      </c>
      <c r="BP9" s="540">
        <f>+BN9*$H$8</f>
        <v>0</v>
      </c>
      <c r="BQ9" s="538"/>
      <c r="BR9" s="539">
        <f t="shared" ref="BR9:BR39" si="21">+BQ9/$E9</f>
        <v>0</v>
      </c>
      <c r="BS9" s="540">
        <f>+BQ9*$H$8</f>
        <v>0</v>
      </c>
      <c r="BT9" s="538"/>
      <c r="BU9" s="539">
        <f t="shared" ref="BU9:BU39" si="22">+BT9/$E9</f>
        <v>0</v>
      </c>
      <c r="BV9" s="540">
        <f>+BT9*$H$8</f>
        <v>0</v>
      </c>
      <c r="BW9" s="538">
        <v>0</v>
      </c>
      <c r="BX9" s="539">
        <f t="shared" ref="BX9:BX39" si="23">+BW9/$E9</f>
        <v>0</v>
      </c>
      <c r="BY9" s="540">
        <f>+BW9*$H$8</f>
        <v>0</v>
      </c>
      <c r="BZ9" s="538"/>
      <c r="CA9" s="539">
        <f t="shared" ref="CA9:CA39" si="24">+BZ9/$E9</f>
        <v>0</v>
      </c>
      <c r="CB9" s="540">
        <f>+BZ9*$H$8</f>
        <v>0</v>
      </c>
      <c r="CC9" s="538">
        <v>25</v>
      </c>
      <c r="CD9" s="539">
        <f t="shared" ref="CD9:CD39" si="25">+CC9/$E9</f>
        <v>0.60220648455942571</v>
      </c>
      <c r="CE9" s="540">
        <f>+CC9*$H$8</f>
        <v>0</v>
      </c>
      <c r="CF9" s="538">
        <v>0.10000000000000009</v>
      </c>
      <c r="CG9" s="539">
        <f t="shared" ref="CG9:CG39" si="26">+CF9/$E9</f>
        <v>2.4088259382377048E-3</v>
      </c>
      <c r="CH9" s="540">
        <f>+CF9*$H$8</f>
        <v>0</v>
      </c>
      <c r="CI9" s="538"/>
      <c r="CJ9" s="539">
        <f t="shared" ref="CJ9:CJ39" si="27">+CI9/$E9</f>
        <v>0</v>
      </c>
      <c r="CK9" s="540">
        <f>+CI9*$H$8</f>
        <v>0</v>
      </c>
      <c r="CL9" s="538"/>
      <c r="CM9" s="539">
        <f t="shared" ref="CM9:CM39" si="28">+CL9/$E9</f>
        <v>0</v>
      </c>
      <c r="CN9" s="540">
        <f>+CL9*$H$8</f>
        <v>0</v>
      </c>
      <c r="CO9" s="538"/>
      <c r="CP9" s="539">
        <f t="shared" ref="CP9:CP39" si="29">+CO9/$E9</f>
        <v>0</v>
      </c>
      <c r="CQ9" s="540">
        <f>+CO9*$H$8</f>
        <v>0</v>
      </c>
      <c r="CR9" s="538"/>
      <c r="CS9" s="539">
        <f t="shared" ref="CS9:CS39" si="30">+CR9/$E9</f>
        <v>0</v>
      </c>
      <c r="CT9" s="540">
        <f>+CR9*$H$8</f>
        <v>0</v>
      </c>
      <c r="CU9" s="538"/>
      <c r="CV9" s="539">
        <f t="shared" ref="CV9:CV39" si="31">+CU9/$E9</f>
        <v>0</v>
      </c>
      <c r="CW9" s="540">
        <f>+CU9*$H$8</f>
        <v>0</v>
      </c>
      <c r="CX9" s="538"/>
      <c r="CY9" s="539">
        <f t="shared" ref="CY9:CY39" si="32">+CX9/$E9</f>
        <v>0</v>
      </c>
      <c r="CZ9" s="540">
        <f>+CX9*$H$8</f>
        <v>0</v>
      </c>
      <c r="DA9" s="538"/>
      <c r="DB9" s="539">
        <f t="shared" ref="DB9:DB39" si="33">+DA9/$E9</f>
        <v>0</v>
      </c>
      <c r="DC9" s="540">
        <f>+DA9*$H$8</f>
        <v>0</v>
      </c>
      <c r="DD9" s="538"/>
      <c r="DE9" s="539">
        <f t="shared" ref="DE9:DE39" si="34">+DD9/$E9</f>
        <v>0</v>
      </c>
      <c r="DF9" s="540">
        <f>+DD9*$H$8</f>
        <v>0</v>
      </c>
      <c r="DG9" s="538">
        <v>0</v>
      </c>
      <c r="DH9" s="539">
        <f t="shared" ref="DH9:DH39" si="35">+DG9/$E9</f>
        <v>0</v>
      </c>
      <c r="DI9" s="540">
        <v>0</v>
      </c>
      <c r="DJ9" s="538"/>
      <c r="DK9" s="539">
        <f t="shared" ref="DK9:DK39" si="36">+DJ9/$E9</f>
        <v>0</v>
      </c>
      <c r="DL9" s="540">
        <f>+DJ9*$H$8</f>
        <v>0</v>
      </c>
      <c r="DM9" s="538"/>
      <c r="DN9" s="539">
        <f t="shared" ref="DN9:DN39" si="37">+DM9/$E9</f>
        <v>0</v>
      </c>
      <c r="DO9" s="540">
        <f>+DM9*$H$8</f>
        <v>0</v>
      </c>
      <c r="DP9" s="538"/>
      <c r="DQ9" s="539">
        <f t="shared" ref="DQ9:DQ39" si="38">+DP9/$E9</f>
        <v>0</v>
      </c>
      <c r="DR9" s="540">
        <f>+DP9*$H$8</f>
        <v>0</v>
      </c>
      <c r="DS9" s="538"/>
      <c r="DT9" s="539">
        <f t="shared" ref="DT9:DT39" si="39">+DS9/$E9</f>
        <v>0</v>
      </c>
      <c r="DU9" s="540">
        <f>+DS9*$H$8</f>
        <v>0</v>
      </c>
      <c r="DV9" s="538"/>
      <c r="DW9" s="539">
        <f t="shared" ref="DW9:DW39" si="40">+DV9/$E9</f>
        <v>0</v>
      </c>
      <c r="DX9" s="540">
        <f>+DV9*$H$8</f>
        <v>0</v>
      </c>
      <c r="DY9" s="538"/>
      <c r="DZ9" s="539">
        <f t="shared" ref="DZ9:DZ39" si="41">+DY9/$E9</f>
        <v>0</v>
      </c>
      <c r="EA9" s="540">
        <f>+DY9*$H$8</f>
        <v>0</v>
      </c>
      <c r="EB9" s="538">
        <v>14.538027906976708</v>
      </c>
      <c r="EC9" s="539">
        <f t="shared" ref="EC9:EC39" si="42">+EB9/$E9</f>
        <v>0.35019578713149074</v>
      </c>
      <c r="ED9" s="540">
        <f>+EB9*$H$8</f>
        <v>0</v>
      </c>
      <c r="EE9" s="538">
        <v>0</v>
      </c>
      <c r="EF9" s="539">
        <f t="shared" ref="EF9:EF39" si="43">+EE9/$E9</f>
        <v>0</v>
      </c>
      <c r="EG9" s="540">
        <f>+EE9*$H$8</f>
        <v>0</v>
      </c>
      <c r="EH9" s="538"/>
      <c r="EI9" s="539">
        <f t="shared" ref="EI9:EI39" si="44">+EH9/$E9</f>
        <v>0</v>
      </c>
      <c r="EJ9" s="540">
        <f>+EH9*$H$8</f>
        <v>0</v>
      </c>
      <c r="EK9" s="538"/>
      <c r="EL9" s="539">
        <f t="shared" ref="EL9:EL39" si="45">+EK9/$E9</f>
        <v>0</v>
      </c>
      <c r="EM9" s="540">
        <f>+EK9*$H$8</f>
        <v>0</v>
      </c>
      <c r="EN9" s="538"/>
      <c r="EO9" s="539">
        <f t="shared" ref="EO9:EO39" si="46">+EN9/$E9</f>
        <v>0</v>
      </c>
      <c r="EP9" s="540">
        <f>+EN9*$H$8</f>
        <v>0</v>
      </c>
      <c r="EQ9" s="538"/>
      <c r="ER9" s="539">
        <f t="shared" ref="ER9:ER39" si="47">+EQ9/$E9</f>
        <v>0</v>
      </c>
      <c r="ES9" s="540">
        <f>+EQ9*$H$8</f>
        <v>0</v>
      </c>
      <c r="ET9" s="538"/>
      <c r="EU9" s="539">
        <f t="shared" ref="EU9:EU39" si="48">+ET9/$E9</f>
        <v>0</v>
      </c>
      <c r="EV9" s="540">
        <f>+ET9*$H$8</f>
        <v>0</v>
      </c>
      <c r="EW9" s="538"/>
      <c r="EX9" s="539">
        <f t="shared" ref="EX9:EX39" si="49">+EW9/$E9</f>
        <v>0</v>
      </c>
      <c r="EY9" s="540">
        <f>+EW9*$H$8</f>
        <v>0</v>
      </c>
      <c r="EZ9" s="538"/>
      <c r="FA9" s="539">
        <f t="shared" ref="FA9:FA39" si="50">+EZ9/$E9</f>
        <v>0</v>
      </c>
      <c r="FB9" s="540">
        <f>+EZ9*$H$8</f>
        <v>0</v>
      </c>
      <c r="FC9" s="538"/>
      <c r="FD9" s="539">
        <f t="shared" ref="FD9:FD39" si="51">+FC9/$E9</f>
        <v>0</v>
      </c>
      <c r="FE9" s="540">
        <f>+FC9*$H$8</f>
        <v>0</v>
      </c>
      <c r="FF9" s="538"/>
      <c r="FG9" s="539">
        <f t="shared" ref="FG9:FG39" si="52">+FF9/$E9</f>
        <v>0</v>
      </c>
      <c r="FH9" s="540">
        <f>+FF9*$H$8</f>
        <v>0</v>
      </c>
      <c r="FI9" s="538"/>
      <c r="FJ9" s="539">
        <f t="shared" ref="FJ9:FJ39" si="53">+FI9/$E9</f>
        <v>0</v>
      </c>
      <c r="FK9" s="540">
        <f>+FI9*$H$8</f>
        <v>0</v>
      </c>
      <c r="FL9" s="538"/>
      <c r="FM9" s="539">
        <f t="shared" ref="FM9:FM39" si="54">+FL9/$E9</f>
        <v>0</v>
      </c>
      <c r="FN9" s="540">
        <f>+FL9*$H$8</f>
        <v>0</v>
      </c>
      <c r="FO9" s="538"/>
      <c r="FP9" s="539">
        <f t="shared" ref="FP9:FP39" si="55">+FO9/$E9</f>
        <v>0</v>
      </c>
      <c r="FQ9" s="540">
        <f>+FO9*$H$8</f>
        <v>0</v>
      </c>
      <c r="FR9" s="538"/>
      <c r="FS9" s="539">
        <f t="shared" ref="FS9:FS39" si="56">+FR9/$E9</f>
        <v>0</v>
      </c>
      <c r="FT9" s="540">
        <f>+FR9*$H$8</f>
        <v>0</v>
      </c>
      <c r="FU9" s="538"/>
      <c r="FV9" s="539">
        <f t="shared" ref="FV9:FV39" si="57">+FU9/$E9</f>
        <v>0</v>
      </c>
      <c r="FW9" s="540">
        <f>+FU9*$H$8</f>
        <v>0</v>
      </c>
      <c r="FX9" s="538"/>
      <c r="FY9" s="539">
        <f t="shared" ref="FY9:FY39" si="58">+FX9/$E9</f>
        <v>0</v>
      </c>
      <c r="FZ9" s="540">
        <f>+FX9*$H$8</f>
        <v>0</v>
      </c>
      <c r="GA9" s="538"/>
      <c r="GB9" s="539">
        <f t="shared" ref="GB9:GB39" si="59">+GA9/$E9</f>
        <v>0</v>
      </c>
      <c r="GC9" s="540">
        <f>+GA9*$H$8</f>
        <v>0</v>
      </c>
      <c r="GD9" s="538"/>
      <c r="GE9" s="539">
        <f t="shared" ref="GE9:GE39" si="60">+GD9/$E9</f>
        <v>0</v>
      </c>
      <c r="GF9" s="540">
        <f>+GD9*$H$8</f>
        <v>0</v>
      </c>
      <c r="GG9" s="538"/>
      <c r="GH9" s="539">
        <f t="shared" ref="GH9:GH39" si="61">+GG9/$E9</f>
        <v>0</v>
      </c>
      <c r="GI9" s="540">
        <f>+GG9*$H$8</f>
        <v>0</v>
      </c>
      <c r="GJ9" s="538"/>
      <c r="GK9" s="539">
        <f t="shared" ref="GK9:GK39" si="62">+GJ9/$E9</f>
        <v>0</v>
      </c>
      <c r="GL9" s="540">
        <f>+GJ9*$H$8</f>
        <v>0</v>
      </c>
      <c r="GM9" s="538"/>
      <c r="GN9" s="539">
        <f t="shared" ref="GN9:GN39" si="63">+GM9/$E9</f>
        <v>0</v>
      </c>
      <c r="GO9" s="540">
        <f>+GM9*$H$8</f>
        <v>0</v>
      </c>
      <c r="GP9" s="538"/>
      <c r="GQ9" s="539">
        <f t="shared" ref="GQ9:GQ39" si="64">+GP9/$E9</f>
        <v>0</v>
      </c>
      <c r="GR9" s="540">
        <f>+GP9*$H$8</f>
        <v>0</v>
      </c>
      <c r="GS9" s="538"/>
      <c r="GT9" s="539">
        <f t="shared" ref="GT9:GT39" si="65">+GS9/$E9</f>
        <v>0</v>
      </c>
      <c r="GU9" s="540">
        <f>+GS9*$H$8</f>
        <v>0</v>
      </c>
      <c r="GV9" s="538"/>
      <c r="GW9" s="539">
        <f t="shared" ref="GW9:GW39" si="66">+GV9/$E9</f>
        <v>0</v>
      </c>
      <c r="GX9" s="540">
        <f>+GV9*$H$8</f>
        <v>0</v>
      </c>
      <c r="GY9" s="538"/>
      <c r="GZ9" s="539">
        <f t="shared" ref="GZ9:GZ39" si="67">+GY9/$E9</f>
        <v>0</v>
      </c>
      <c r="HA9" s="540">
        <f>+GY9*$H$8</f>
        <v>0</v>
      </c>
      <c r="HB9" s="538"/>
      <c r="HC9" s="539">
        <f t="shared" ref="HC9:HC39" si="68">+HB9/$E9</f>
        <v>0</v>
      </c>
      <c r="HD9" s="540">
        <f>+HB9*$H$8</f>
        <v>0</v>
      </c>
      <c r="HE9" s="538"/>
      <c r="HF9" s="539">
        <f t="shared" ref="HF9:HF39" si="69">+HE9/$E9</f>
        <v>0</v>
      </c>
      <c r="HG9" s="540">
        <f>+HE9*$H$8</f>
        <v>0</v>
      </c>
      <c r="HH9" s="538"/>
      <c r="HI9" s="539">
        <f t="shared" ref="HI9:HI39" si="70">+HH9/$E9</f>
        <v>0</v>
      </c>
      <c r="HJ9" s="540">
        <f>+HH9*$H$8</f>
        <v>0</v>
      </c>
      <c r="HK9" s="538"/>
      <c r="HL9" s="539">
        <f t="shared" ref="HL9:HL39" si="71">+HK9/$E9</f>
        <v>0</v>
      </c>
      <c r="HM9" s="540">
        <f>+HK9*$H$8</f>
        <v>0</v>
      </c>
      <c r="HN9" s="538"/>
      <c r="HO9" s="539">
        <f t="shared" ref="HO9:HO39" si="72">+HN9/$E9</f>
        <v>0</v>
      </c>
      <c r="HP9" s="540">
        <f>+HN9*$H$8</f>
        <v>0</v>
      </c>
      <c r="HQ9" s="538"/>
      <c r="HR9" s="539">
        <f t="shared" ref="HR9:HR39" si="73">+HQ9/$E9</f>
        <v>0</v>
      </c>
      <c r="HS9" s="540">
        <f>+HQ9*$H$8</f>
        <v>0</v>
      </c>
      <c r="HT9" s="538"/>
      <c r="HU9" s="539">
        <f t="shared" ref="HU9:HU39" si="74">+HT9/$E9</f>
        <v>0</v>
      </c>
      <c r="HV9" s="540">
        <f>+HT9*$H$8</f>
        <v>0</v>
      </c>
      <c r="HW9" s="538"/>
      <c r="HX9" s="539">
        <f t="shared" ref="HX9:HX39" si="75">+HW9/$E9</f>
        <v>0</v>
      </c>
      <c r="HY9" s="540">
        <f>+HW9*$H$8</f>
        <v>0</v>
      </c>
      <c r="HZ9" s="538"/>
      <c r="IA9" s="539">
        <f t="shared" ref="IA9:IA39" si="76">+HZ9/$E9</f>
        <v>0</v>
      </c>
      <c r="IB9" s="540">
        <f>+HZ9*$H$8</f>
        <v>0</v>
      </c>
      <c r="IC9" s="538"/>
      <c r="ID9" s="539">
        <f t="shared" ref="ID9:ID39" si="77">+IC9/$E9</f>
        <v>0</v>
      </c>
      <c r="IE9" s="540">
        <f>+IC9*$H$8</f>
        <v>0</v>
      </c>
      <c r="IF9" s="538"/>
      <c r="IG9" s="539">
        <f t="shared" ref="IG9:IG39" si="78">+IF9/$E9</f>
        <v>0</v>
      </c>
      <c r="IH9" s="540">
        <f>+IF9*$H$8</f>
        <v>0</v>
      </c>
      <c r="II9" s="538"/>
      <c r="IJ9" s="539">
        <f t="shared" ref="IJ9:IJ39" si="79">+II9/$E9</f>
        <v>0</v>
      </c>
      <c r="IK9" s="540">
        <f>+II9*$H$8</f>
        <v>0</v>
      </c>
      <c r="IL9" s="538"/>
      <c r="IM9" s="539">
        <f t="shared" ref="IM9:IM39" si="80">+IL9/$E9</f>
        <v>0</v>
      </c>
      <c r="IN9" s="540">
        <f>+IL9*$H$8</f>
        <v>0</v>
      </c>
      <c r="IO9" s="538"/>
      <c r="IP9" s="539">
        <f t="shared" ref="IP9:IP39" si="81">+IO9/$E9</f>
        <v>0</v>
      </c>
      <c r="IQ9" s="540">
        <f>+IO9*$H$8</f>
        <v>0</v>
      </c>
      <c r="IR9" s="538"/>
      <c r="IS9" s="539">
        <f t="shared" ref="IS9:IS39" si="82">+IR9/$E9</f>
        <v>0</v>
      </c>
      <c r="IT9" s="540">
        <f>+IR9*$H$8</f>
        <v>0</v>
      </c>
      <c r="IU9" s="538"/>
      <c r="IV9" s="539">
        <f t="shared" ref="IV9:IV39" si="83">+IU9/$E9</f>
        <v>0</v>
      </c>
      <c r="IW9" s="540">
        <f>+IU9*$H$8</f>
        <v>0</v>
      </c>
      <c r="IX9" s="538"/>
      <c r="IY9" s="539">
        <f t="shared" ref="IY9:IY39" si="84">+IX9/$E9</f>
        <v>0</v>
      </c>
      <c r="IZ9" s="540">
        <f>+IX9*$H$8</f>
        <v>0</v>
      </c>
      <c r="JA9" s="538"/>
      <c r="JB9" s="539">
        <f t="shared" ref="JB9:JB39" si="85">+JA9/$E9</f>
        <v>0</v>
      </c>
      <c r="JC9" s="540">
        <f>+JA9*$H$8</f>
        <v>0</v>
      </c>
      <c r="JD9" s="538"/>
      <c r="JE9" s="539">
        <f t="shared" ref="JE9:JE39" si="86">+JD9/$E9</f>
        <v>0</v>
      </c>
      <c r="JF9" s="540">
        <f>+JD9*$H$8</f>
        <v>0</v>
      </c>
      <c r="JG9" s="538"/>
      <c r="JH9" s="539">
        <f t="shared" ref="JH9:JH39" si="87">+JG9/$E9</f>
        <v>0</v>
      </c>
      <c r="JI9" s="540">
        <f>+JG9*$H$8</f>
        <v>0</v>
      </c>
      <c r="JJ9" s="538"/>
      <c r="JK9" s="540" t="str">
        <f t="shared" ref="JK9:JK39" si="88">IFERROR((JJ9/$L9),"0")</f>
        <v>0</v>
      </c>
      <c r="JL9" s="540" t="str">
        <f t="shared" ref="JL9:JL39" si="89">IFERROR(((JJ9*JL$8)/$L9),"0")</f>
        <v>0</v>
      </c>
      <c r="JM9" s="538"/>
      <c r="JN9" s="540" t="str">
        <f t="shared" ref="JN9:JN39" si="90">IFERROR((JM9/$L9),"0")</f>
        <v>0</v>
      </c>
      <c r="JO9" s="540" t="str">
        <f t="shared" ref="JO9:JO39" si="91">IFERROR(((JM9*JO$8)/$L9),"0")</f>
        <v>0</v>
      </c>
      <c r="JP9" s="538"/>
      <c r="JQ9" s="540" t="str">
        <f t="shared" ref="JQ9:JQ39" si="92">IFERROR((JP9/$L9),"0")</f>
        <v>0</v>
      </c>
      <c r="JR9" s="540" t="str">
        <f t="shared" ref="JR9:JR39" si="93">IFERROR(((JP9*JR$8)/$L9),"0")</f>
        <v>0</v>
      </c>
      <c r="JS9" s="538"/>
      <c r="JT9" s="540" t="str">
        <f t="shared" ref="JT9:JT39" si="94">IFERROR((JS9/$L9),"0")</f>
        <v>0</v>
      </c>
      <c r="JU9" s="540" t="str">
        <f t="shared" ref="JU9:JU39" si="95">IFERROR(((JS9*JU$8)/$L9),"0")</f>
        <v>0</v>
      </c>
      <c r="JV9" s="538"/>
      <c r="JW9" s="540" t="str">
        <f t="shared" ref="JW9:JW39" si="96">IFERROR((JV9/$L9),"0")</f>
        <v>0</v>
      </c>
      <c r="JX9" s="540" t="str">
        <f t="shared" ref="JX9:JX39" si="97">IFERROR(((JV9*JX$8)/$L9),"0")</f>
        <v>0</v>
      </c>
      <c r="JY9" s="538"/>
      <c r="JZ9" s="540" t="str">
        <f t="shared" ref="JZ9:JZ39" si="98">IFERROR((JY9/$L9),"0")</f>
        <v>0</v>
      </c>
      <c r="KA9" s="540" t="str">
        <f t="shared" ref="KA9:KA39" si="99">IFERROR(((JY9*KA$8)/$L9),"0")</f>
        <v>0</v>
      </c>
      <c r="KB9" s="538"/>
      <c r="KC9" s="540" t="str">
        <f t="shared" ref="KC9:KC39" si="100">IFERROR((KB9/$L9),"0")</f>
        <v>0</v>
      </c>
      <c r="KD9" s="540" t="str">
        <f t="shared" ref="KD9:KD39" si="101">IFERROR(((KB9*KD$8)/$L9),"0")</f>
        <v>0</v>
      </c>
      <c r="KE9" s="538"/>
      <c r="KF9" s="540" t="str">
        <f t="shared" ref="KF9:KF39" si="102">IFERROR((KE9/$L9),"0")</f>
        <v>0</v>
      </c>
      <c r="KG9" s="540" t="str">
        <f t="shared" ref="KG9:KG39" si="103">IFERROR(((KE9*KG$8)/$L9),"0")</f>
        <v>0</v>
      </c>
      <c r="KH9" s="538"/>
      <c r="KI9" s="540" t="str">
        <f t="shared" ref="KI9:KI39" si="104">IFERROR((KH9/$L9),"0")</f>
        <v>0</v>
      </c>
      <c r="KJ9" s="540" t="str">
        <f t="shared" ref="KJ9:KJ39" si="105">IFERROR(((KH9*KJ$8)/$L9),"0")</f>
        <v>0</v>
      </c>
      <c r="KK9" s="538"/>
      <c r="KL9" s="540" t="str">
        <f t="shared" ref="KL9:KL39" si="106">IFERROR((KK9/$L9),"0")</f>
        <v>0</v>
      </c>
      <c r="KM9" s="540" t="str">
        <f t="shared" ref="KM9:KM39" si="107">IFERROR(((KK9*KM$8)/$L9),"0")</f>
        <v>0</v>
      </c>
      <c r="KN9" s="538"/>
      <c r="KO9" s="540" t="str">
        <f t="shared" ref="KO9:KO39" si="108">IFERROR((KN9/$L9),"0")</f>
        <v>0</v>
      </c>
      <c r="KP9" s="540" t="str">
        <f t="shared" ref="KP9:KP39" si="109">IFERROR(((KN9*KP$8)/$L9),"0")</f>
        <v>0</v>
      </c>
      <c r="KQ9" s="538"/>
      <c r="KR9" s="540" t="str">
        <f t="shared" ref="KR9:KR39" si="110">IFERROR((KQ9/$L9),"0")</f>
        <v>0</v>
      </c>
      <c r="KS9" s="540" t="str">
        <f t="shared" ref="KS9:KS39" si="111">IFERROR(((KQ9*KS$8)/$L9),"0")</f>
        <v>0</v>
      </c>
      <c r="KT9" s="540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40">
        <f>GF9+GI9+GL9+GO9+GR9+GU9+GX9+HA9+HD9+HG9+HJ9+HM9+HP9+HS9+HV9+HY9+IB9+IE9+IH9+IK9+IN9+IQ9+IT9+IW9+IZ9+JC9+JF9+JI9+JL9+JO9+JR9+JU9+JX9++KA9+KD9+KG9+KJ9++KM9+KP9+KS9</f>
        <v>0</v>
      </c>
      <c r="KV9" s="275">
        <f>+F9+I9+L9+O9+R9+U9+X9+AA9+AD9+AG9+AJ9+AM9+AP9+AS9+AV9+AY9+BB9+BE9+BH9+BK9+BN9+BQ9+BT9+BW9+BZ9+CC9+CF9+CI9+CL9+CO9+CR9+CU9+CX9+DA9+DD9+DJ9+DM9+DP9+DS9+DV9+DY9+EB9+DG9+EE9</f>
        <v>866.48622322710287</v>
      </c>
    </row>
    <row r="10" spans="1:308" ht="15" customHeight="1">
      <c r="A10" s="277">
        <f>+A9+1</f>
        <v>45993</v>
      </c>
      <c r="B10" s="278" t="str">
        <f>+Report1!B10</f>
        <v>MG</v>
      </c>
      <c r="C10" s="420" t="str">
        <f>+Report1!C10</f>
        <v>16,5</v>
      </c>
      <c r="D10" s="279">
        <f>+Report1!P10</f>
        <v>45.629222009999999</v>
      </c>
      <c r="E10" s="280">
        <f>+Report1!R10</f>
        <v>44.883000000000003</v>
      </c>
      <c r="F10" s="538">
        <v>162.79069767441865</v>
      </c>
      <c r="G10" s="539">
        <f t="shared" si="0"/>
        <v>3.6270012627145833</v>
      </c>
      <c r="H10" s="540">
        <f t="shared" ref="H10:H39" si="112">+F10*$H$8</f>
        <v>0</v>
      </c>
      <c r="I10" s="538">
        <v>627.90697674418595</v>
      </c>
      <c r="J10" s="539">
        <f t="shared" si="1"/>
        <v>13.989862013327672</v>
      </c>
      <c r="K10" s="540">
        <f t="shared" ref="K10:K39" si="113">+I10*$H$8</f>
        <v>0</v>
      </c>
      <c r="L10" s="538"/>
      <c r="M10" s="539">
        <f t="shared" si="2"/>
        <v>0</v>
      </c>
      <c r="N10" s="540">
        <f t="shared" ref="N10:N39" si="114">+L10*$H$8</f>
        <v>0</v>
      </c>
      <c r="O10" s="538">
        <v>9</v>
      </c>
      <c r="P10" s="539">
        <f t="shared" si="3"/>
        <v>0.20052135552436334</v>
      </c>
      <c r="Q10" s="540">
        <f t="shared" ref="Q10:Q39" si="115">+O10*$H$8</f>
        <v>0</v>
      </c>
      <c r="R10" s="538"/>
      <c r="S10" s="539">
        <f t="shared" si="4"/>
        <v>0</v>
      </c>
      <c r="T10" s="540">
        <f t="shared" ref="T10:T39" si="116">+R10*$H$8</f>
        <v>0</v>
      </c>
      <c r="U10" s="538">
        <v>5.1250000000000284</v>
      </c>
      <c r="V10" s="539">
        <f t="shared" si="5"/>
        <v>0.11418577189581865</v>
      </c>
      <c r="W10" s="540">
        <f t="shared" ref="W10:W39" si="117">+U10*$H$8</f>
        <v>0</v>
      </c>
      <c r="X10" s="538"/>
      <c r="Y10" s="539">
        <f t="shared" si="6"/>
        <v>0</v>
      </c>
      <c r="Z10" s="540">
        <f t="shared" ref="Z10:Z39" si="118">+X10*$H$8</f>
        <v>0</v>
      </c>
      <c r="AA10" s="538"/>
      <c r="AB10" s="539">
        <f t="shared" si="7"/>
        <v>0</v>
      </c>
      <c r="AC10" s="540">
        <f t="shared" ref="AC10:AC39" si="119">+AA10*$H$8</f>
        <v>0</v>
      </c>
      <c r="AD10" s="538"/>
      <c r="AE10" s="539">
        <f t="shared" si="8"/>
        <v>0</v>
      </c>
      <c r="AF10" s="540">
        <f t="shared" ref="AF10:AF39" si="120">+AD10*$H$8</f>
        <v>0</v>
      </c>
      <c r="AG10" s="538"/>
      <c r="AH10" s="539">
        <f t="shared" si="9"/>
        <v>0</v>
      </c>
      <c r="AI10" s="540">
        <f t="shared" ref="AI10:AI39" si="121">+AG10*$H$8</f>
        <v>0</v>
      </c>
      <c r="AJ10" s="538">
        <v>0</v>
      </c>
      <c r="AK10" s="539">
        <f t="shared" si="10"/>
        <v>0</v>
      </c>
      <c r="AL10" s="540">
        <f t="shared" ref="AL10:AL39" si="122">+AJ10*$H$8</f>
        <v>0</v>
      </c>
      <c r="AM10" s="538">
        <v>0</v>
      </c>
      <c r="AN10" s="539">
        <f t="shared" si="11"/>
        <v>0</v>
      </c>
      <c r="AO10" s="540">
        <f t="shared" ref="AO10:AO39" si="123">+AM10*$H$8</f>
        <v>0</v>
      </c>
      <c r="AP10" s="538">
        <v>0</v>
      </c>
      <c r="AQ10" s="539">
        <f t="shared" si="12"/>
        <v>0</v>
      </c>
      <c r="AR10" s="540">
        <f t="shared" ref="AR10:AR39" si="124">+AP10*$H$8</f>
        <v>0</v>
      </c>
      <c r="AS10" s="538"/>
      <c r="AT10" s="539">
        <f t="shared" si="13"/>
        <v>0</v>
      </c>
      <c r="AU10" s="540">
        <f t="shared" ref="AU10:AU39" si="125">+AS10*$H$8</f>
        <v>0</v>
      </c>
      <c r="AV10" s="538">
        <v>8.3249999999999886</v>
      </c>
      <c r="AW10" s="539">
        <f t="shared" si="14"/>
        <v>0.18548225386003583</v>
      </c>
      <c r="AX10" s="540">
        <f t="shared" ref="AX10:AX39" si="126">+AV10*$H$8</f>
        <v>0</v>
      </c>
      <c r="AY10" s="538">
        <v>79.333333333333343</v>
      </c>
      <c r="AZ10" s="539">
        <f t="shared" si="15"/>
        <v>1.7675586153629066</v>
      </c>
      <c r="BA10" s="540">
        <f t="shared" ref="BA10:BA39" si="127">+AY10*$H$8</f>
        <v>0</v>
      </c>
      <c r="BB10" s="538">
        <v>0</v>
      </c>
      <c r="BC10" s="539">
        <f t="shared" si="16"/>
        <v>0</v>
      </c>
      <c r="BD10" s="540">
        <f t="shared" ref="BD10:BD39" si="128">+BB10*$H$8</f>
        <v>0</v>
      </c>
      <c r="BE10" s="538"/>
      <c r="BF10" s="539">
        <f t="shared" si="17"/>
        <v>0</v>
      </c>
      <c r="BG10" s="540">
        <f t="shared" ref="BG10:BG39" si="129">+BE10*$H$8</f>
        <v>0</v>
      </c>
      <c r="BH10" s="538"/>
      <c r="BI10" s="539">
        <f t="shared" si="18"/>
        <v>0</v>
      </c>
      <c r="BJ10" s="540">
        <f t="shared" ref="BJ10:BJ39" si="130">+BH10*$H$8</f>
        <v>0</v>
      </c>
      <c r="BK10" s="538"/>
      <c r="BL10" s="539">
        <f t="shared" si="19"/>
        <v>0</v>
      </c>
      <c r="BM10" s="540">
        <f t="shared" ref="BM10:BM39" si="131">+BK10*$H$8</f>
        <v>0</v>
      </c>
      <c r="BN10" s="538">
        <v>10.12345679012347</v>
      </c>
      <c r="BO10" s="539">
        <f t="shared" si="20"/>
        <v>0.22555214201643092</v>
      </c>
      <c r="BP10" s="540">
        <f t="shared" ref="BP10:BP39" si="132">+BN10*$H$8</f>
        <v>0</v>
      </c>
      <c r="BQ10" s="538"/>
      <c r="BR10" s="539">
        <f t="shared" si="21"/>
        <v>0</v>
      </c>
      <c r="BS10" s="540">
        <f t="shared" ref="BS10:BS39" si="133">+BQ10*$H$8</f>
        <v>0</v>
      </c>
      <c r="BT10" s="538"/>
      <c r="BU10" s="539">
        <f t="shared" si="22"/>
        <v>0</v>
      </c>
      <c r="BV10" s="540">
        <f t="shared" ref="BV10:BV39" si="134">+BT10*$H$8</f>
        <v>0</v>
      </c>
      <c r="BW10" s="538">
        <v>0.67999999999999972</v>
      </c>
      <c r="BX10" s="539">
        <f t="shared" si="23"/>
        <v>1.5150502417396334E-2</v>
      </c>
      <c r="BY10" s="540">
        <f t="shared" ref="BY10:BY39" si="135">+BW10*$H$8</f>
        <v>0</v>
      </c>
      <c r="BZ10" s="538"/>
      <c r="CA10" s="539">
        <f t="shared" si="24"/>
        <v>0</v>
      </c>
      <c r="CB10" s="540">
        <f t="shared" ref="CB10:CB39" si="136">+BZ10*$H$8</f>
        <v>0</v>
      </c>
      <c r="CC10" s="538">
        <v>6.25</v>
      </c>
      <c r="CD10" s="539">
        <f t="shared" si="25"/>
        <v>0.13925094133636343</v>
      </c>
      <c r="CE10" s="540">
        <f t="shared" ref="CE10:CE39" si="137">+CC10*$H$8</f>
        <v>0</v>
      </c>
      <c r="CF10" s="538">
        <v>0.19999999999999996</v>
      </c>
      <c r="CG10" s="539">
        <f t="shared" si="26"/>
        <v>4.4560301227636288E-3</v>
      </c>
      <c r="CH10" s="540">
        <f t="shared" ref="CH10:CH39" si="138">+CF10*$H$8</f>
        <v>0</v>
      </c>
      <c r="CI10" s="538"/>
      <c r="CJ10" s="539">
        <f t="shared" si="27"/>
        <v>0</v>
      </c>
      <c r="CK10" s="540">
        <f t="shared" ref="CK10:CK39" si="139">+CI10*$H$8</f>
        <v>0</v>
      </c>
      <c r="CL10" s="538"/>
      <c r="CM10" s="539">
        <f t="shared" si="28"/>
        <v>0</v>
      </c>
      <c r="CN10" s="540">
        <f t="shared" ref="CN10:CN39" si="140">+CL10*$H$8</f>
        <v>0</v>
      </c>
      <c r="CO10" s="538"/>
      <c r="CP10" s="539">
        <f t="shared" si="29"/>
        <v>0</v>
      </c>
      <c r="CQ10" s="540">
        <f t="shared" ref="CQ10:CQ39" si="141">+CO10*$H$8</f>
        <v>0</v>
      </c>
      <c r="CR10" s="538"/>
      <c r="CS10" s="539">
        <f t="shared" si="30"/>
        <v>0</v>
      </c>
      <c r="CT10" s="540">
        <f t="shared" ref="CT10:CT39" si="142">+CR10*$H$8</f>
        <v>0</v>
      </c>
      <c r="CU10" s="538"/>
      <c r="CV10" s="539">
        <f t="shared" si="31"/>
        <v>0</v>
      </c>
      <c r="CW10" s="540">
        <f t="shared" ref="CW10:CW39" si="143">+CU10*$H$8</f>
        <v>0</v>
      </c>
      <c r="CX10" s="538"/>
      <c r="CY10" s="539">
        <f t="shared" si="32"/>
        <v>0</v>
      </c>
      <c r="CZ10" s="540">
        <f t="shared" ref="CZ10:CZ39" si="144">+CX10*$H$8</f>
        <v>0</v>
      </c>
      <c r="DA10" s="538"/>
      <c r="DB10" s="539">
        <f t="shared" si="33"/>
        <v>0</v>
      </c>
      <c r="DC10" s="540">
        <f t="shared" ref="DC10:DC39" si="145">+DA10*$H$8</f>
        <v>0</v>
      </c>
      <c r="DD10" s="538"/>
      <c r="DE10" s="539">
        <f t="shared" si="34"/>
        <v>0</v>
      </c>
      <c r="DF10" s="540">
        <f t="shared" ref="DF10:DF39" si="146">+DD10*$H$8</f>
        <v>0</v>
      </c>
      <c r="DG10" s="538">
        <v>4.7250000000000014</v>
      </c>
      <c r="DH10" s="539">
        <f t="shared" si="35"/>
        <v>0.10527371165029079</v>
      </c>
      <c r="DI10" s="540">
        <v>0</v>
      </c>
      <c r="DJ10" s="538"/>
      <c r="DK10" s="539">
        <f t="shared" si="36"/>
        <v>0</v>
      </c>
      <c r="DL10" s="540">
        <f t="shared" ref="DL10:DL39" si="147">+DJ10*$H$8</f>
        <v>0</v>
      </c>
      <c r="DM10" s="538"/>
      <c r="DN10" s="539">
        <f t="shared" si="37"/>
        <v>0</v>
      </c>
      <c r="DO10" s="540">
        <f t="shared" ref="DO10:DO39" si="148">+DM10*$H$8</f>
        <v>0</v>
      </c>
      <c r="DP10" s="538"/>
      <c r="DQ10" s="539">
        <f t="shared" si="38"/>
        <v>0</v>
      </c>
      <c r="DR10" s="540">
        <f t="shared" ref="DR10:DR39" si="149">+DP10*$H$8</f>
        <v>0</v>
      </c>
      <c r="DS10" s="538"/>
      <c r="DT10" s="539">
        <f t="shared" si="39"/>
        <v>0</v>
      </c>
      <c r="DU10" s="540">
        <f t="shared" ref="DU10:DU39" si="150">+DS10*$H$8</f>
        <v>0</v>
      </c>
      <c r="DV10" s="538"/>
      <c r="DW10" s="539">
        <f t="shared" si="40"/>
        <v>0</v>
      </c>
      <c r="DX10" s="540">
        <f t="shared" ref="DX10:DX39" si="151">+DV10*$H$8</f>
        <v>0</v>
      </c>
      <c r="DY10" s="538"/>
      <c r="DZ10" s="539">
        <f t="shared" si="41"/>
        <v>0</v>
      </c>
      <c r="EA10" s="540">
        <f t="shared" ref="EA10:EA39" si="152">+DY10*$H$8</f>
        <v>0</v>
      </c>
      <c r="EB10" s="538">
        <v>29.069767441860449</v>
      </c>
      <c r="EC10" s="539">
        <f t="shared" si="42"/>
        <v>0.64767879691331787</v>
      </c>
      <c r="ED10" s="540">
        <f t="shared" ref="ED10:ED39" si="153">+EB10*$H$8</f>
        <v>0</v>
      </c>
      <c r="EE10" s="538">
        <v>0</v>
      </c>
      <c r="EF10" s="539">
        <f t="shared" si="43"/>
        <v>0</v>
      </c>
      <c r="EG10" s="540">
        <f t="shared" ref="EG10:EG39" si="154">+EE10*$H$8</f>
        <v>0</v>
      </c>
      <c r="EH10" s="538"/>
      <c r="EI10" s="539">
        <f t="shared" si="44"/>
        <v>0</v>
      </c>
      <c r="EJ10" s="540">
        <f t="shared" ref="EJ10:EJ39" si="155">+EH10*$H$8</f>
        <v>0</v>
      </c>
      <c r="EK10" s="538"/>
      <c r="EL10" s="539">
        <f t="shared" si="45"/>
        <v>0</v>
      </c>
      <c r="EM10" s="540">
        <f t="shared" ref="EM10:EM39" si="156">+EK10*$H$8</f>
        <v>0</v>
      </c>
      <c r="EN10" s="538"/>
      <c r="EO10" s="539">
        <f t="shared" si="46"/>
        <v>0</v>
      </c>
      <c r="EP10" s="540">
        <f t="shared" ref="EP10:EP39" si="157">+EN10*$H$8</f>
        <v>0</v>
      </c>
      <c r="EQ10" s="538"/>
      <c r="ER10" s="539">
        <f t="shared" si="47"/>
        <v>0</v>
      </c>
      <c r="ES10" s="540">
        <f t="shared" ref="ES10:ES39" si="158">+EQ10*$H$8</f>
        <v>0</v>
      </c>
      <c r="ET10" s="538"/>
      <c r="EU10" s="539">
        <f t="shared" si="48"/>
        <v>0</v>
      </c>
      <c r="EV10" s="540">
        <f t="shared" ref="EV10:EV39" si="159">+ET10*$H$8</f>
        <v>0</v>
      </c>
      <c r="EW10" s="538"/>
      <c r="EX10" s="539">
        <f t="shared" si="49"/>
        <v>0</v>
      </c>
      <c r="EY10" s="540">
        <f t="shared" ref="EY10:EY39" si="160">+EW10*$H$8</f>
        <v>0</v>
      </c>
      <c r="EZ10" s="538"/>
      <c r="FA10" s="539">
        <f t="shared" si="50"/>
        <v>0</v>
      </c>
      <c r="FB10" s="540">
        <f t="shared" ref="FB10:FB39" si="161">+EZ10*$H$8</f>
        <v>0</v>
      </c>
      <c r="FC10" s="538"/>
      <c r="FD10" s="539">
        <f t="shared" si="51"/>
        <v>0</v>
      </c>
      <c r="FE10" s="540">
        <f t="shared" ref="FE10:FE39" si="162">+FC10*$H$8</f>
        <v>0</v>
      </c>
      <c r="FF10" s="538"/>
      <c r="FG10" s="539">
        <f t="shared" si="52"/>
        <v>0</v>
      </c>
      <c r="FH10" s="540">
        <f t="shared" ref="FH10:FH39" si="163">+FF10*$H$8</f>
        <v>0</v>
      </c>
      <c r="FI10" s="538"/>
      <c r="FJ10" s="539">
        <f t="shared" si="53"/>
        <v>0</v>
      </c>
      <c r="FK10" s="540">
        <f t="shared" ref="FK10:FK39" si="164">+FI10*$H$8</f>
        <v>0</v>
      </c>
      <c r="FL10" s="538"/>
      <c r="FM10" s="539">
        <f t="shared" si="54"/>
        <v>0</v>
      </c>
      <c r="FN10" s="540">
        <f t="shared" ref="FN10:FN39" si="165">+FL10*$H$8</f>
        <v>0</v>
      </c>
      <c r="FO10" s="538"/>
      <c r="FP10" s="539">
        <f t="shared" si="55"/>
        <v>0</v>
      </c>
      <c r="FQ10" s="540">
        <f t="shared" ref="FQ10:FQ39" si="166">+FO10*$H$8</f>
        <v>0</v>
      </c>
      <c r="FR10" s="538"/>
      <c r="FS10" s="539">
        <f t="shared" si="56"/>
        <v>0</v>
      </c>
      <c r="FT10" s="540">
        <f t="shared" ref="FT10:FT39" si="167">+FR10*$H$8</f>
        <v>0</v>
      </c>
      <c r="FU10" s="538"/>
      <c r="FV10" s="539">
        <f t="shared" si="57"/>
        <v>0</v>
      </c>
      <c r="FW10" s="540">
        <f t="shared" ref="FW10:FW39" si="168">+FU10*$H$8</f>
        <v>0</v>
      </c>
      <c r="FX10" s="538"/>
      <c r="FY10" s="539">
        <f t="shared" si="58"/>
        <v>0</v>
      </c>
      <c r="FZ10" s="540">
        <f t="shared" ref="FZ10:FZ39" si="169">+FX10*$H$8</f>
        <v>0</v>
      </c>
      <c r="GA10" s="538"/>
      <c r="GB10" s="539">
        <f t="shared" si="59"/>
        <v>0</v>
      </c>
      <c r="GC10" s="540">
        <f t="shared" ref="GC10:GC39" si="170">+GA10*$H$8</f>
        <v>0</v>
      </c>
      <c r="GD10" s="538"/>
      <c r="GE10" s="539">
        <f t="shared" si="60"/>
        <v>0</v>
      </c>
      <c r="GF10" s="540">
        <f t="shared" ref="GF10:GF39" si="171">+GD10*$H$8</f>
        <v>0</v>
      </c>
      <c r="GG10" s="538"/>
      <c r="GH10" s="539">
        <f t="shared" si="61"/>
        <v>0</v>
      </c>
      <c r="GI10" s="540">
        <f t="shared" ref="GI10:GI39" si="172">+GG10*$H$8</f>
        <v>0</v>
      </c>
      <c r="GJ10" s="538"/>
      <c r="GK10" s="539">
        <f t="shared" si="62"/>
        <v>0</v>
      </c>
      <c r="GL10" s="540">
        <f t="shared" ref="GL10:GL39" si="173">+GJ10*$H$8</f>
        <v>0</v>
      </c>
      <c r="GM10" s="538"/>
      <c r="GN10" s="539">
        <f t="shared" si="63"/>
        <v>0</v>
      </c>
      <c r="GO10" s="540">
        <f t="shared" ref="GO10:GO39" si="174">+GM10*$H$8</f>
        <v>0</v>
      </c>
      <c r="GP10" s="538"/>
      <c r="GQ10" s="539">
        <f t="shared" si="64"/>
        <v>0</v>
      </c>
      <c r="GR10" s="540">
        <f t="shared" ref="GR10:GR39" si="175">+GP10*$H$8</f>
        <v>0</v>
      </c>
      <c r="GS10" s="538"/>
      <c r="GT10" s="539">
        <f t="shared" si="65"/>
        <v>0</v>
      </c>
      <c r="GU10" s="540">
        <f t="shared" ref="GU10:GU39" si="176">+GS10*$H$8</f>
        <v>0</v>
      </c>
      <c r="GV10" s="538"/>
      <c r="GW10" s="539">
        <f t="shared" si="66"/>
        <v>0</v>
      </c>
      <c r="GX10" s="540">
        <f t="shared" ref="GX10:GX39" si="177">+GV10*$H$8</f>
        <v>0</v>
      </c>
      <c r="GY10" s="538"/>
      <c r="GZ10" s="539">
        <f t="shared" si="67"/>
        <v>0</v>
      </c>
      <c r="HA10" s="540">
        <f t="shared" ref="HA10:HA39" si="178">+GY10*$H$8</f>
        <v>0</v>
      </c>
      <c r="HB10" s="538"/>
      <c r="HC10" s="539">
        <f t="shared" si="68"/>
        <v>0</v>
      </c>
      <c r="HD10" s="540">
        <f t="shared" ref="HD10:HD39" si="179">+HB10*$H$8</f>
        <v>0</v>
      </c>
      <c r="HE10" s="538"/>
      <c r="HF10" s="539">
        <f t="shared" si="69"/>
        <v>0</v>
      </c>
      <c r="HG10" s="540">
        <f t="shared" ref="HG10:HG39" si="180">+HE10*$H$8</f>
        <v>0</v>
      </c>
      <c r="HH10" s="538"/>
      <c r="HI10" s="539">
        <f t="shared" si="70"/>
        <v>0</v>
      </c>
      <c r="HJ10" s="540">
        <f t="shared" ref="HJ10:HJ39" si="181">+HH10*$H$8</f>
        <v>0</v>
      </c>
      <c r="HK10" s="538"/>
      <c r="HL10" s="539">
        <f t="shared" si="71"/>
        <v>0</v>
      </c>
      <c r="HM10" s="540">
        <f t="shared" ref="HM10:HM39" si="182">+HK10*$H$8</f>
        <v>0</v>
      </c>
      <c r="HN10" s="538"/>
      <c r="HO10" s="539">
        <f t="shared" si="72"/>
        <v>0</v>
      </c>
      <c r="HP10" s="540">
        <f t="shared" ref="HP10:HP39" si="183">+HN10*$H$8</f>
        <v>0</v>
      </c>
      <c r="HQ10" s="538"/>
      <c r="HR10" s="539">
        <f t="shared" si="73"/>
        <v>0</v>
      </c>
      <c r="HS10" s="540">
        <f t="shared" ref="HS10:HS39" si="184">+HQ10*$H$8</f>
        <v>0</v>
      </c>
      <c r="HT10" s="538"/>
      <c r="HU10" s="539">
        <f t="shared" si="74"/>
        <v>0</v>
      </c>
      <c r="HV10" s="540">
        <f t="shared" ref="HV10:HV39" si="185">+HT10*$H$8</f>
        <v>0</v>
      </c>
      <c r="HW10" s="538"/>
      <c r="HX10" s="539">
        <f t="shared" si="75"/>
        <v>0</v>
      </c>
      <c r="HY10" s="540">
        <f t="shared" ref="HY10:HY39" si="186">+HW10*$H$8</f>
        <v>0</v>
      </c>
      <c r="HZ10" s="538"/>
      <c r="IA10" s="539">
        <f t="shared" si="76"/>
        <v>0</v>
      </c>
      <c r="IB10" s="540">
        <f t="shared" ref="IB10:IB39" si="187">+HZ10*$H$8</f>
        <v>0</v>
      </c>
      <c r="IC10" s="538"/>
      <c r="ID10" s="539">
        <f t="shared" si="77"/>
        <v>0</v>
      </c>
      <c r="IE10" s="540">
        <f t="shared" ref="IE10:IE39" si="188">+IC10*$H$8</f>
        <v>0</v>
      </c>
      <c r="IF10" s="538"/>
      <c r="IG10" s="539">
        <f t="shared" si="78"/>
        <v>0</v>
      </c>
      <c r="IH10" s="540">
        <f t="shared" ref="IH10:IH39" si="189">+IF10*$H$8</f>
        <v>0</v>
      </c>
      <c r="II10" s="538"/>
      <c r="IJ10" s="539">
        <f t="shared" si="79"/>
        <v>0</v>
      </c>
      <c r="IK10" s="540">
        <f t="shared" ref="IK10:IK39" si="190">+II10*$H$8</f>
        <v>0</v>
      </c>
      <c r="IL10" s="538"/>
      <c r="IM10" s="539">
        <f t="shared" si="80"/>
        <v>0</v>
      </c>
      <c r="IN10" s="540">
        <f t="shared" ref="IN10:IN39" si="191">+IL10*$H$8</f>
        <v>0</v>
      </c>
      <c r="IO10" s="538"/>
      <c r="IP10" s="539">
        <f t="shared" si="81"/>
        <v>0</v>
      </c>
      <c r="IQ10" s="540">
        <f t="shared" ref="IQ10:IQ39" si="192">+IO10*$H$8</f>
        <v>0</v>
      </c>
      <c r="IR10" s="538"/>
      <c r="IS10" s="539">
        <f t="shared" si="82"/>
        <v>0</v>
      </c>
      <c r="IT10" s="540">
        <f t="shared" ref="IT10:IT39" si="193">+IR10*$H$8</f>
        <v>0</v>
      </c>
      <c r="IU10" s="538"/>
      <c r="IV10" s="539">
        <f t="shared" si="83"/>
        <v>0</v>
      </c>
      <c r="IW10" s="540">
        <f t="shared" ref="IW10:IW39" si="194">+IU10*$H$8</f>
        <v>0</v>
      </c>
      <c r="IX10" s="538"/>
      <c r="IY10" s="539">
        <f t="shared" si="84"/>
        <v>0</v>
      </c>
      <c r="IZ10" s="540">
        <f t="shared" ref="IZ10:IZ39" si="195">+IX10*$H$8</f>
        <v>0</v>
      </c>
      <c r="JA10" s="538"/>
      <c r="JB10" s="539">
        <f t="shared" si="85"/>
        <v>0</v>
      </c>
      <c r="JC10" s="540">
        <f t="shared" ref="JC10:JC39" si="196">+JA10*$H$8</f>
        <v>0</v>
      </c>
      <c r="JD10" s="538"/>
      <c r="JE10" s="539">
        <f t="shared" si="86"/>
        <v>0</v>
      </c>
      <c r="JF10" s="540">
        <f t="shared" ref="JF10:JF39" si="197">+JD10*$H$8</f>
        <v>0</v>
      </c>
      <c r="JG10" s="538"/>
      <c r="JH10" s="539">
        <f t="shared" si="87"/>
        <v>0</v>
      </c>
      <c r="JI10" s="540">
        <f t="shared" ref="JI10:JI39" si="198">+JG10*$H$8</f>
        <v>0</v>
      </c>
      <c r="JJ10" s="538"/>
      <c r="JK10" s="540" t="str">
        <f t="shared" si="88"/>
        <v>0</v>
      </c>
      <c r="JL10" s="540" t="str">
        <f t="shared" si="89"/>
        <v>0</v>
      </c>
      <c r="JM10" s="538"/>
      <c r="JN10" s="540" t="str">
        <f t="shared" si="90"/>
        <v>0</v>
      </c>
      <c r="JO10" s="540" t="str">
        <f t="shared" si="91"/>
        <v>0</v>
      </c>
      <c r="JP10" s="538"/>
      <c r="JQ10" s="540" t="str">
        <f t="shared" si="92"/>
        <v>0</v>
      </c>
      <c r="JR10" s="540" t="str">
        <f t="shared" si="93"/>
        <v>0</v>
      </c>
      <c r="JS10" s="538"/>
      <c r="JT10" s="540" t="str">
        <f t="shared" si="94"/>
        <v>0</v>
      </c>
      <c r="JU10" s="540" t="str">
        <f t="shared" si="95"/>
        <v>0</v>
      </c>
      <c r="JV10" s="538"/>
      <c r="JW10" s="540" t="str">
        <f t="shared" si="96"/>
        <v>0</v>
      </c>
      <c r="JX10" s="540" t="str">
        <f t="shared" si="97"/>
        <v>0</v>
      </c>
      <c r="JY10" s="538"/>
      <c r="JZ10" s="540" t="str">
        <f t="shared" si="98"/>
        <v>0</v>
      </c>
      <c r="KA10" s="540" t="str">
        <f t="shared" si="99"/>
        <v>0</v>
      </c>
      <c r="KB10" s="538"/>
      <c r="KC10" s="540" t="str">
        <f t="shared" si="100"/>
        <v>0</v>
      </c>
      <c r="KD10" s="540" t="str">
        <f t="shared" si="101"/>
        <v>0</v>
      </c>
      <c r="KE10" s="538"/>
      <c r="KF10" s="540" t="str">
        <f t="shared" si="102"/>
        <v>0</v>
      </c>
      <c r="KG10" s="540" t="str">
        <f t="shared" si="103"/>
        <v>0</v>
      </c>
      <c r="KH10" s="538"/>
      <c r="KI10" s="540" t="str">
        <f t="shared" si="104"/>
        <v>0</v>
      </c>
      <c r="KJ10" s="540" t="str">
        <f t="shared" si="105"/>
        <v>0</v>
      </c>
      <c r="KK10" s="538"/>
      <c r="KL10" s="540" t="str">
        <f t="shared" si="106"/>
        <v>0</v>
      </c>
      <c r="KM10" s="540" t="str">
        <f t="shared" si="107"/>
        <v>0</v>
      </c>
      <c r="KN10" s="538"/>
      <c r="KO10" s="540" t="str">
        <f t="shared" si="108"/>
        <v>0</v>
      </c>
      <c r="KP10" s="540" t="str">
        <f t="shared" si="109"/>
        <v>0</v>
      </c>
      <c r="KQ10" s="538"/>
      <c r="KR10" s="540" t="str">
        <f t="shared" si="110"/>
        <v>0</v>
      </c>
      <c r="KS10" s="540" t="str">
        <f t="shared" si="111"/>
        <v>0</v>
      </c>
      <c r="KT10" s="540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40">
        <f>GF10+GI10+GL10+GO10+GR10+GU10+GX10+HA10+HD10+HG10+HJ10+HM10+HP10+HS10+HV10+HY10+IB10+IE10+IH10+IK10+IN10+IQ10+IT10+IW10+IZ10+JC10+JF10+JI10+JL10+JO10+JR10+JU10+JX10++KA10+KD10+KG10+KJ10++KM10+KP10+KS10</f>
        <v>0</v>
      </c>
      <c r="KV10" s="275">
        <f t="shared" ref="KV10:KV41" si="199">+F10+I10+L10+O10+R10+U10+X10+AA10+AD10+AG10+AJ10+AM10+AP10+AS10+AV10+AY10+BB10+BE10+BH10+BK10+BN10+BQ10+BT10+BW10+BZ10+CC10+CF10+CI10+CL10+CO10+CR10+CU10+CX10+DA10+DD10+DJ10+DM10+DP10+DS10+DV10+DY10+EB10+DG10+EE10</f>
        <v>943.52923198392182</v>
      </c>
    </row>
    <row r="11" spans="1:308" ht="15" customHeight="1">
      <c r="A11" s="277">
        <f t="shared" ref="A11:A39" si="200">+A10+1</f>
        <v>45994</v>
      </c>
      <c r="B11" s="278" t="str">
        <f>+Report1!B11</f>
        <v>MG</v>
      </c>
      <c r="C11" s="420" t="str">
        <f>+Report1!C11</f>
        <v>16,5</v>
      </c>
      <c r="D11" s="279">
        <f>+Report1!P11</f>
        <v>30.673000000000002</v>
      </c>
      <c r="E11" s="280">
        <f>+Report1!R11</f>
        <v>23.981000000000002</v>
      </c>
      <c r="F11" s="538">
        <v>81.39534883720944</v>
      </c>
      <c r="G11" s="539">
        <f t="shared" si="0"/>
        <v>3.3941599114803149</v>
      </c>
      <c r="H11" s="540">
        <f t="shared" si="112"/>
        <v>0</v>
      </c>
      <c r="I11" s="538">
        <v>372.09302325581405</v>
      </c>
      <c r="J11" s="539">
        <f t="shared" si="1"/>
        <v>15.516159595338561</v>
      </c>
      <c r="K11" s="540">
        <f t="shared" si="113"/>
        <v>0</v>
      </c>
      <c r="L11" s="538"/>
      <c r="M11" s="539">
        <f t="shared" si="2"/>
        <v>0</v>
      </c>
      <c r="N11" s="540">
        <f t="shared" si="114"/>
        <v>0</v>
      </c>
      <c r="O11" s="538">
        <v>9</v>
      </c>
      <c r="P11" s="539">
        <f t="shared" si="3"/>
        <v>0.37529711021225132</v>
      </c>
      <c r="Q11" s="540">
        <f t="shared" si="115"/>
        <v>0</v>
      </c>
      <c r="R11" s="538"/>
      <c r="S11" s="539">
        <f t="shared" si="4"/>
        <v>0</v>
      </c>
      <c r="T11" s="540">
        <f t="shared" si="116"/>
        <v>0</v>
      </c>
      <c r="U11" s="538">
        <v>5.1249999999999716</v>
      </c>
      <c r="V11" s="539">
        <f t="shared" si="5"/>
        <v>0.21371085442641971</v>
      </c>
      <c r="W11" s="540">
        <f t="shared" si="117"/>
        <v>0</v>
      </c>
      <c r="X11" s="538"/>
      <c r="Y11" s="539">
        <f t="shared" si="6"/>
        <v>0</v>
      </c>
      <c r="Z11" s="540">
        <f t="shared" si="118"/>
        <v>0</v>
      </c>
      <c r="AA11" s="538"/>
      <c r="AB11" s="539">
        <f t="shared" si="7"/>
        <v>0</v>
      </c>
      <c r="AC11" s="540">
        <f t="shared" si="119"/>
        <v>0</v>
      </c>
      <c r="AD11" s="538"/>
      <c r="AE11" s="539">
        <f t="shared" si="8"/>
        <v>0</v>
      </c>
      <c r="AF11" s="540">
        <f t="shared" si="120"/>
        <v>0</v>
      </c>
      <c r="AG11" s="538"/>
      <c r="AH11" s="539">
        <f t="shared" si="9"/>
        <v>0</v>
      </c>
      <c r="AI11" s="540">
        <f t="shared" si="121"/>
        <v>0</v>
      </c>
      <c r="AJ11" s="538">
        <v>20.566300000000012</v>
      </c>
      <c r="AK11" s="539">
        <f t="shared" si="10"/>
        <v>0.85760810641758101</v>
      </c>
      <c r="AL11" s="540">
        <f t="shared" si="122"/>
        <v>0</v>
      </c>
      <c r="AM11" s="538">
        <v>0</v>
      </c>
      <c r="AN11" s="539">
        <f t="shared" si="11"/>
        <v>0</v>
      </c>
      <c r="AO11" s="540">
        <f t="shared" si="123"/>
        <v>0</v>
      </c>
      <c r="AP11" s="538">
        <v>0</v>
      </c>
      <c r="AQ11" s="539">
        <f t="shared" si="12"/>
        <v>0</v>
      </c>
      <c r="AR11" s="540">
        <f t="shared" si="124"/>
        <v>0</v>
      </c>
      <c r="AS11" s="538"/>
      <c r="AT11" s="539">
        <f t="shared" si="13"/>
        <v>0</v>
      </c>
      <c r="AU11" s="540">
        <f t="shared" si="125"/>
        <v>0</v>
      </c>
      <c r="AV11" s="538">
        <v>5.5499999999999972</v>
      </c>
      <c r="AW11" s="539">
        <f t="shared" si="14"/>
        <v>0.23143321796422153</v>
      </c>
      <c r="AX11" s="540">
        <f t="shared" si="126"/>
        <v>0</v>
      </c>
      <c r="AY11" s="538">
        <v>41.999999999999986</v>
      </c>
      <c r="AZ11" s="539">
        <f t="shared" si="15"/>
        <v>1.751386514323839</v>
      </c>
      <c r="BA11" s="540">
        <f t="shared" si="127"/>
        <v>0</v>
      </c>
      <c r="BB11" s="538">
        <v>0</v>
      </c>
      <c r="BC11" s="539">
        <f t="shared" si="16"/>
        <v>0</v>
      </c>
      <c r="BD11" s="540">
        <f t="shared" si="128"/>
        <v>0</v>
      </c>
      <c r="BE11" s="538"/>
      <c r="BF11" s="539">
        <f t="shared" si="17"/>
        <v>0</v>
      </c>
      <c r="BG11" s="540">
        <f t="shared" si="129"/>
        <v>0</v>
      </c>
      <c r="BH11" s="538"/>
      <c r="BI11" s="539">
        <f t="shared" si="18"/>
        <v>0</v>
      </c>
      <c r="BJ11" s="540">
        <f t="shared" si="130"/>
        <v>0</v>
      </c>
      <c r="BK11" s="538"/>
      <c r="BL11" s="539">
        <f t="shared" si="19"/>
        <v>0</v>
      </c>
      <c r="BM11" s="540">
        <f t="shared" si="131"/>
        <v>0</v>
      </c>
      <c r="BN11" s="538">
        <v>5.0617283950617207</v>
      </c>
      <c r="BO11" s="539">
        <f t="shared" si="20"/>
        <v>0.21107244881621784</v>
      </c>
      <c r="BP11" s="540">
        <f t="shared" si="132"/>
        <v>0</v>
      </c>
      <c r="BQ11" s="538"/>
      <c r="BR11" s="539">
        <f t="shared" si="21"/>
        <v>0</v>
      </c>
      <c r="BS11" s="540">
        <f t="shared" si="133"/>
        <v>0</v>
      </c>
      <c r="BT11" s="538"/>
      <c r="BU11" s="539">
        <f t="shared" si="22"/>
        <v>0</v>
      </c>
      <c r="BV11" s="540">
        <f t="shared" si="134"/>
        <v>0</v>
      </c>
      <c r="BW11" s="538">
        <v>0</v>
      </c>
      <c r="BX11" s="539">
        <f t="shared" si="23"/>
        <v>0</v>
      </c>
      <c r="BY11" s="540">
        <f t="shared" si="135"/>
        <v>0</v>
      </c>
      <c r="BZ11" s="538"/>
      <c r="CA11" s="539">
        <f t="shared" si="24"/>
        <v>0</v>
      </c>
      <c r="CB11" s="540">
        <f t="shared" si="136"/>
        <v>0</v>
      </c>
      <c r="CC11" s="538">
        <v>6.25</v>
      </c>
      <c r="CD11" s="539">
        <f t="shared" si="25"/>
        <v>0.26062299320295235</v>
      </c>
      <c r="CE11" s="540">
        <f t="shared" si="137"/>
        <v>0</v>
      </c>
      <c r="CF11" s="538">
        <v>0.10000000000000009</v>
      </c>
      <c r="CG11" s="539">
        <f t="shared" si="26"/>
        <v>4.1699678912472411E-3</v>
      </c>
      <c r="CH11" s="540">
        <f t="shared" si="138"/>
        <v>0</v>
      </c>
      <c r="CI11" s="538"/>
      <c r="CJ11" s="539">
        <f t="shared" si="27"/>
        <v>0</v>
      </c>
      <c r="CK11" s="540">
        <f t="shared" si="139"/>
        <v>0</v>
      </c>
      <c r="CL11" s="538"/>
      <c r="CM11" s="539">
        <f t="shared" si="28"/>
        <v>0</v>
      </c>
      <c r="CN11" s="540">
        <f t="shared" si="140"/>
        <v>0</v>
      </c>
      <c r="CO11" s="538"/>
      <c r="CP11" s="539">
        <f t="shared" si="29"/>
        <v>0</v>
      </c>
      <c r="CQ11" s="540">
        <f t="shared" si="141"/>
        <v>0</v>
      </c>
      <c r="CR11" s="538"/>
      <c r="CS11" s="539">
        <f t="shared" si="30"/>
        <v>0</v>
      </c>
      <c r="CT11" s="540">
        <f t="shared" si="142"/>
        <v>0</v>
      </c>
      <c r="CU11" s="538"/>
      <c r="CV11" s="539">
        <f t="shared" si="31"/>
        <v>0</v>
      </c>
      <c r="CW11" s="540">
        <f t="shared" si="143"/>
        <v>0</v>
      </c>
      <c r="CX11" s="538"/>
      <c r="CY11" s="539">
        <f t="shared" si="32"/>
        <v>0</v>
      </c>
      <c r="CZ11" s="540">
        <f t="shared" si="144"/>
        <v>0</v>
      </c>
      <c r="DA11" s="538"/>
      <c r="DB11" s="539">
        <f t="shared" si="33"/>
        <v>0</v>
      </c>
      <c r="DC11" s="540">
        <f t="shared" si="145"/>
        <v>0</v>
      </c>
      <c r="DD11" s="538"/>
      <c r="DE11" s="539">
        <f t="shared" si="34"/>
        <v>0</v>
      </c>
      <c r="DF11" s="540">
        <f t="shared" si="146"/>
        <v>0</v>
      </c>
      <c r="DG11" s="538">
        <v>0</v>
      </c>
      <c r="DH11" s="539">
        <f t="shared" si="35"/>
        <v>0</v>
      </c>
      <c r="DI11" s="540">
        <v>0</v>
      </c>
      <c r="DJ11" s="538"/>
      <c r="DK11" s="539">
        <f t="shared" si="36"/>
        <v>0</v>
      </c>
      <c r="DL11" s="540">
        <f t="shared" si="147"/>
        <v>0</v>
      </c>
      <c r="DM11" s="538"/>
      <c r="DN11" s="539">
        <f t="shared" si="37"/>
        <v>0</v>
      </c>
      <c r="DO11" s="540">
        <f t="shared" si="148"/>
        <v>0</v>
      </c>
      <c r="DP11" s="538"/>
      <c r="DQ11" s="539">
        <f t="shared" si="38"/>
        <v>0</v>
      </c>
      <c r="DR11" s="540">
        <f t="shared" si="149"/>
        <v>0</v>
      </c>
      <c r="DS11" s="538"/>
      <c r="DT11" s="539">
        <f t="shared" si="39"/>
        <v>0</v>
      </c>
      <c r="DU11" s="540">
        <f t="shared" si="150"/>
        <v>0</v>
      </c>
      <c r="DV11" s="538"/>
      <c r="DW11" s="539">
        <f t="shared" si="40"/>
        <v>0</v>
      </c>
      <c r="DX11" s="540">
        <f t="shared" si="151"/>
        <v>0</v>
      </c>
      <c r="DY11" s="538"/>
      <c r="DZ11" s="539">
        <f t="shared" si="41"/>
        <v>0</v>
      </c>
      <c r="EA11" s="540">
        <f t="shared" si="152"/>
        <v>0</v>
      </c>
      <c r="EB11" s="538">
        <v>29.069767441860449</v>
      </c>
      <c r="EC11" s="539">
        <f t="shared" si="42"/>
        <v>1.212199968385824</v>
      </c>
      <c r="ED11" s="540">
        <f t="shared" si="153"/>
        <v>0</v>
      </c>
      <c r="EE11" s="538">
        <v>0</v>
      </c>
      <c r="EF11" s="539">
        <f t="shared" si="43"/>
        <v>0</v>
      </c>
      <c r="EG11" s="540">
        <f t="shared" si="154"/>
        <v>0</v>
      </c>
      <c r="EH11" s="538"/>
      <c r="EI11" s="539">
        <f t="shared" si="44"/>
        <v>0</v>
      </c>
      <c r="EJ11" s="540">
        <f t="shared" si="155"/>
        <v>0</v>
      </c>
      <c r="EK11" s="538"/>
      <c r="EL11" s="539">
        <f t="shared" si="45"/>
        <v>0</v>
      </c>
      <c r="EM11" s="540">
        <f t="shared" si="156"/>
        <v>0</v>
      </c>
      <c r="EN11" s="538"/>
      <c r="EO11" s="539">
        <f t="shared" si="46"/>
        <v>0</v>
      </c>
      <c r="EP11" s="540">
        <f t="shared" si="157"/>
        <v>0</v>
      </c>
      <c r="EQ11" s="538"/>
      <c r="ER11" s="539">
        <f t="shared" si="47"/>
        <v>0</v>
      </c>
      <c r="ES11" s="540">
        <f t="shared" si="158"/>
        <v>0</v>
      </c>
      <c r="ET11" s="538"/>
      <c r="EU11" s="539">
        <f t="shared" si="48"/>
        <v>0</v>
      </c>
      <c r="EV11" s="540">
        <f t="shared" si="159"/>
        <v>0</v>
      </c>
      <c r="EW11" s="538"/>
      <c r="EX11" s="539">
        <f t="shared" si="49"/>
        <v>0</v>
      </c>
      <c r="EY11" s="540">
        <f t="shared" si="160"/>
        <v>0</v>
      </c>
      <c r="EZ11" s="538"/>
      <c r="FA11" s="539">
        <f t="shared" si="50"/>
        <v>0</v>
      </c>
      <c r="FB11" s="540">
        <f t="shared" si="161"/>
        <v>0</v>
      </c>
      <c r="FC11" s="538"/>
      <c r="FD11" s="539">
        <f t="shared" si="51"/>
        <v>0</v>
      </c>
      <c r="FE11" s="540">
        <f t="shared" si="162"/>
        <v>0</v>
      </c>
      <c r="FF11" s="538"/>
      <c r="FG11" s="539">
        <f t="shared" si="52"/>
        <v>0</v>
      </c>
      <c r="FH11" s="540">
        <f t="shared" si="163"/>
        <v>0</v>
      </c>
      <c r="FI11" s="538"/>
      <c r="FJ11" s="539">
        <f t="shared" si="53"/>
        <v>0</v>
      </c>
      <c r="FK11" s="540">
        <f t="shared" si="164"/>
        <v>0</v>
      </c>
      <c r="FL11" s="538"/>
      <c r="FM11" s="539">
        <f t="shared" si="54"/>
        <v>0</v>
      </c>
      <c r="FN11" s="540">
        <f t="shared" si="165"/>
        <v>0</v>
      </c>
      <c r="FO11" s="538"/>
      <c r="FP11" s="539">
        <f t="shared" si="55"/>
        <v>0</v>
      </c>
      <c r="FQ11" s="540">
        <f t="shared" si="166"/>
        <v>0</v>
      </c>
      <c r="FR11" s="538"/>
      <c r="FS11" s="539">
        <f t="shared" si="56"/>
        <v>0</v>
      </c>
      <c r="FT11" s="540">
        <f t="shared" si="167"/>
        <v>0</v>
      </c>
      <c r="FU11" s="538"/>
      <c r="FV11" s="539">
        <f t="shared" si="57"/>
        <v>0</v>
      </c>
      <c r="FW11" s="540">
        <f t="shared" si="168"/>
        <v>0</v>
      </c>
      <c r="FX11" s="538"/>
      <c r="FY11" s="539">
        <f t="shared" si="58"/>
        <v>0</v>
      </c>
      <c r="FZ11" s="540">
        <f t="shared" si="169"/>
        <v>0</v>
      </c>
      <c r="GA11" s="538"/>
      <c r="GB11" s="539">
        <f t="shared" si="59"/>
        <v>0</v>
      </c>
      <c r="GC11" s="540">
        <f t="shared" si="170"/>
        <v>0</v>
      </c>
      <c r="GD11" s="538"/>
      <c r="GE11" s="539">
        <f t="shared" si="60"/>
        <v>0</v>
      </c>
      <c r="GF11" s="540">
        <f t="shared" si="171"/>
        <v>0</v>
      </c>
      <c r="GG11" s="538"/>
      <c r="GH11" s="539">
        <f t="shared" si="61"/>
        <v>0</v>
      </c>
      <c r="GI11" s="540">
        <f t="shared" si="172"/>
        <v>0</v>
      </c>
      <c r="GJ11" s="538"/>
      <c r="GK11" s="539">
        <f t="shared" si="62"/>
        <v>0</v>
      </c>
      <c r="GL11" s="540">
        <f t="shared" si="173"/>
        <v>0</v>
      </c>
      <c r="GM11" s="538"/>
      <c r="GN11" s="539">
        <f t="shared" si="63"/>
        <v>0</v>
      </c>
      <c r="GO11" s="540">
        <f t="shared" si="174"/>
        <v>0</v>
      </c>
      <c r="GP11" s="538"/>
      <c r="GQ11" s="539">
        <f t="shared" si="64"/>
        <v>0</v>
      </c>
      <c r="GR11" s="540">
        <f t="shared" si="175"/>
        <v>0</v>
      </c>
      <c r="GS11" s="538"/>
      <c r="GT11" s="539">
        <f t="shared" si="65"/>
        <v>0</v>
      </c>
      <c r="GU11" s="540">
        <f t="shared" si="176"/>
        <v>0</v>
      </c>
      <c r="GV11" s="538"/>
      <c r="GW11" s="539">
        <f t="shared" si="66"/>
        <v>0</v>
      </c>
      <c r="GX11" s="540">
        <f t="shared" si="177"/>
        <v>0</v>
      </c>
      <c r="GY11" s="538"/>
      <c r="GZ11" s="539">
        <f t="shared" si="67"/>
        <v>0</v>
      </c>
      <c r="HA11" s="540">
        <f t="shared" si="178"/>
        <v>0</v>
      </c>
      <c r="HB11" s="538"/>
      <c r="HC11" s="539">
        <f t="shared" si="68"/>
        <v>0</v>
      </c>
      <c r="HD11" s="540">
        <f t="shared" si="179"/>
        <v>0</v>
      </c>
      <c r="HE11" s="538"/>
      <c r="HF11" s="539">
        <f t="shared" si="69"/>
        <v>0</v>
      </c>
      <c r="HG11" s="540">
        <f t="shared" si="180"/>
        <v>0</v>
      </c>
      <c r="HH11" s="538"/>
      <c r="HI11" s="539">
        <f t="shared" si="70"/>
        <v>0</v>
      </c>
      <c r="HJ11" s="540">
        <f t="shared" si="181"/>
        <v>0</v>
      </c>
      <c r="HK11" s="538"/>
      <c r="HL11" s="539">
        <f t="shared" si="71"/>
        <v>0</v>
      </c>
      <c r="HM11" s="540">
        <f t="shared" si="182"/>
        <v>0</v>
      </c>
      <c r="HN11" s="538"/>
      <c r="HO11" s="539">
        <f t="shared" si="72"/>
        <v>0</v>
      </c>
      <c r="HP11" s="540">
        <f t="shared" si="183"/>
        <v>0</v>
      </c>
      <c r="HQ11" s="538"/>
      <c r="HR11" s="539">
        <f t="shared" si="73"/>
        <v>0</v>
      </c>
      <c r="HS11" s="540">
        <f t="shared" si="184"/>
        <v>0</v>
      </c>
      <c r="HT11" s="538"/>
      <c r="HU11" s="539">
        <f t="shared" si="74"/>
        <v>0</v>
      </c>
      <c r="HV11" s="540">
        <f t="shared" si="185"/>
        <v>0</v>
      </c>
      <c r="HW11" s="538"/>
      <c r="HX11" s="539">
        <f t="shared" si="75"/>
        <v>0</v>
      </c>
      <c r="HY11" s="540">
        <f t="shared" si="186"/>
        <v>0</v>
      </c>
      <c r="HZ11" s="538"/>
      <c r="IA11" s="539">
        <f t="shared" si="76"/>
        <v>0</v>
      </c>
      <c r="IB11" s="540">
        <f t="shared" si="187"/>
        <v>0</v>
      </c>
      <c r="IC11" s="538"/>
      <c r="ID11" s="539">
        <f t="shared" si="77"/>
        <v>0</v>
      </c>
      <c r="IE11" s="540">
        <f t="shared" si="188"/>
        <v>0</v>
      </c>
      <c r="IF11" s="538"/>
      <c r="IG11" s="539">
        <f t="shared" si="78"/>
        <v>0</v>
      </c>
      <c r="IH11" s="540">
        <f t="shared" si="189"/>
        <v>0</v>
      </c>
      <c r="II11" s="538"/>
      <c r="IJ11" s="539">
        <f t="shared" si="79"/>
        <v>0</v>
      </c>
      <c r="IK11" s="540">
        <f t="shared" si="190"/>
        <v>0</v>
      </c>
      <c r="IL11" s="538"/>
      <c r="IM11" s="539">
        <f t="shared" si="80"/>
        <v>0</v>
      </c>
      <c r="IN11" s="540">
        <f t="shared" si="191"/>
        <v>0</v>
      </c>
      <c r="IO11" s="538"/>
      <c r="IP11" s="539">
        <f t="shared" si="81"/>
        <v>0</v>
      </c>
      <c r="IQ11" s="540">
        <f t="shared" si="192"/>
        <v>0</v>
      </c>
      <c r="IR11" s="538"/>
      <c r="IS11" s="539">
        <f t="shared" si="82"/>
        <v>0</v>
      </c>
      <c r="IT11" s="540">
        <f t="shared" si="193"/>
        <v>0</v>
      </c>
      <c r="IU11" s="538"/>
      <c r="IV11" s="539">
        <f t="shared" si="83"/>
        <v>0</v>
      </c>
      <c r="IW11" s="540">
        <f t="shared" si="194"/>
        <v>0</v>
      </c>
      <c r="IX11" s="538"/>
      <c r="IY11" s="539">
        <f t="shared" si="84"/>
        <v>0</v>
      </c>
      <c r="IZ11" s="540">
        <f t="shared" si="195"/>
        <v>0</v>
      </c>
      <c r="JA11" s="538"/>
      <c r="JB11" s="539">
        <f t="shared" si="85"/>
        <v>0</v>
      </c>
      <c r="JC11" s="540">
        <f t="shared" si="196"/>
        <v>0</v>
      </c>
      <c r="JD11" s="538"/>
      <c r="JE11" s="539">
        <f t="shared" si="86"/>
        <v>0</v>
      </c>
      <c r="JF11" s="540">
        <f t="shared" si="197"/>
        <v>0</v>
      </c>
      <c r="JG11" s="538"/>
      <c r="JH11" s="539">
        <f t="shared" si="87"/>
        <v>0</v>
      </c>
      <c r="JI11" s="540">
        <f t="shared" si="198"/>
        <v>0</v>
      </c>
      <c r="JJ11" s="538"/>
      <c r="JK11" s="540" t="str">
        <f t="shared" si="88"/>
        <v>0</v>
      </c>
      <c r="JL11" s="540" t="str">
        <f t="shared" si="89"/>
        <v>0</v>
      </c>
      <c r="JM11" s="538"/>
      <c r="JN11" s="540" t="str">
        <f t="shared" si="90"/>
        <v>0</v>
      </c>
      <c r="JO11" s="540" t="str">
        <f t="shared" si="91"/>
        <v>0</v>
      </c>
      <c r="JP11" s="538"/>
      <c r="JQ11" s="540" t="str">
        <f t="shared" si="92"/>
        <v>0</v>
      </c>
      <c r="JR11" s="540" t="str">
        <f t="shared" si="93"/>
        <v>0</v>
      </c>
      <c r="JS11" s="538"/>
      <c r="JT11" s="540" t="str">
        <f t="shared" si="94"/>
        <v>0</v>
      </c>
      <c r="JU11" s="540" t="str">
        <f t="shared" si="95"/>
        <v>0</v>
      </c>
      <c r="JV11" s="538"/>
      <c r="JW11" s="540" t="str">
        <f t="shared" si="96"/>
        <v>0</v>
      </c>
      <c r="JX11" s="540" t="str">
        <f t="shared" si="97"/>
        <v>0</v>
      </c>
      <c r="JY11" s="538"/>
      <c r="JZ11" s="540" t="str">
        <f t="shared" si="98"/>
        <v>0</v>
      </c>
      <c r="KA11" s="540" t="str">
        <f t="shared" si="99"/>
        <v>0</v>
      </c>
      <c r="KB11" s="538"/>
      <c r="KC11" s="540" t="str">
        <f t="shared" si="100"/>
        <v>0</v>
      </c>
      <c r="KD11" s="540" t="str">
        <f t="shared" si="101"/>
        <v>0</v>
      </c>
      <c r="KE11" s="538"/>
      <c r="KF11" s="540" t="str">
        <f t="shared" si="102"/>
        <v>0</v>
      </c>
      <c r="KG11" s="540" t="str">
        <f t="shared" si="103"/>
        <v>0</v>
      </c>
      <c r="KH11" s="538"/>
      <c r="KI11" s="540" t="str">
        <f t="shared" si="104"/>
        <v>0</v>
      </c>
      <c r="KJ11" s="540" t="str">
        <f t="shared" si="105"/>
        <v>0</v>
      </c>
      <c r="KK11" s="538"/>
      <c r="KL11" s="540" t="str">
        <f t="shared" si="106"/>
        <v>0</v>
      </c>
      <c r="KM11" s="540" t="str">
        <f t="shared" si="107"/>
        <v>0</v>
      </c>
      <c r="KN11" s="538"/>
      <c r="KO11" s="540" t="str">
        <f t="shared" si="108"/>
        <v>0</v>
      </c>
      <c r="KP11" s="540" t="str">
        <f t="shared" si="109"/>
        <v>0</v>
      </c>
      <c r="KQ11" s="538"/>
      <c r="KR11" s="540" t="str">
        <f t="shared" si="110"/>
        <v>0</v>
      </c>
      <c r="KS11" s="540" t="str">
        <f t="shared" si="111"/>
        <v>0</v>
      </c>
      <c r="KT11" s="540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40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75">
        <f t="shared" si="199"/>
        <v>576.21116792994565</v>
      </c>
    </row>
    <row r="12" spans="1:308" ht="15" customHeight="1">
      <c r="A12" s="277">
        <f t="shared" si="200"/>
        <v>45995</v>
      </c>
      <c r="B12" s="278" t="str">
        <f>+Report1!B12</f>
        <v>MG</v>
      </c>
      <c r="C12" s="420" t="str">
        <f>+Report1!C12</f>
        <v>17</v>
      </c>
      <c r="D12" s="279">
        <f>+Report1!P12</f>
        <v>75.64500000000001</v>
      </c>
      <c r="E12" s="280">
        <f>+Report1!R12</f>
        <v>70.632000000000005</v>
      </c>
      <c r="F12" s="538">
        <v>116.2790697674418</v>
      </c>
      <c r="G12" s="539">
        <f t="shared" si="0"/>
        <v>1.646266136700671</v>
      </c>
      <c r="H12" s="540">
        <f t="shared" si="112"/>
        <v>0</v>
      </c>
      <c r="I12" s="538">
        <v>790.69767441860472</v>
      </c>
      <c r="J12" s="539">
        <f t="shared" si="1"/>
        <v>11.194609729564569</v>
      </c>
      <c r="K12" s="540">
        <f t="shared" si="113"/>
        <v>0</v>
      </c>
      <c r="L12" s="538"/>
      <c r="M12" s="539">
        <f t="shared" si="2"/>
        <v>0</v>
      </c>
      <c r="N12" s="540">
        <f t="shared" si="114"/>
        <v>0</v>
      </c>
      <c r="O12" s="538">
        <v>9</v>
      </c>
      <c r="P12" s="539">
        <f t="shared" si="3"/>
        <v>0.127420998980632</v>
      </c>
      <c r="Q12" s="540">
        <f t="shared" si="115"/>
        <v>0</v>
      </c>
      <c r="R12" s="538"/>
      <c r="S12" s="539">
        <f t="shared" si="4"/>
        <v>0</v>
      </c>
      <c r="T12" s="540">
        <f t="shared" si="116"/>
        <v>0</v>
      </c>
      <c r="U12" s="538">
        <v>5.1250000000000284</v>
      </c>
      <c r="V12" s="539">
        <f t="shared" si="5"/>
        <v>7.2559179975082516E-2</v>
      </c>
      <c r="W12" s="540">
        <f t="shared" si="117"/>
        <v>0</v>
      </c>
      <c r="X12" s="538"/>
      <c r="Y12" s="539">
        <f t="shared" si="6"/>
        <v>0</v>
      </c>
      <c r="Z12" s="540">
        <f t="shared" si="118"/>
        <v>0</v>
      </c>
      <c r="AA12" s="538"/>
      <c r="AB12" s="539">
        <f t="shared" si="7"/>
        <v>0</v>
      </c>
      <c r="AC12" s="540">
        <f t="shared" si="119"/>
        <v>0</v>
      </c>
      <c r="AD12" s="538"/>
      <c r="AE12" s="539">
        <f t="shared" si="8"/>
        <v>0</v>
      </c>
      <c r="AF12" s="540">
        <f t="shared" si="120"/>
        <v>0</v>
      </c>
      <c r="AG12" s="538"/>
      <c r="AH12" s="539">
        <f t="shared" si="9"/>
        <v>0</v>
      </c>
      <c r="AI12" s="540">
        <f t="shared" si="121"/>
        <v>0</v>
      </c>
      <c r="AJ12" s="538">
        <v>0</v>
      </c>
      <c r="AK12" s="539">
        <f t="shared" si="10"/>
        <v>0</v>
      </c>
      <c r="AL12" s="540">
        <f t="shared" si="122"/>
        <v>0</v>
      </c>
      <c r="AM12" s="538">
        <v>0</v>
      </c>
      <c r="AN12" s="539">
        <f t="shared" si="11"/>
        <v>0</v>
      </c>
      <c r="AO12" s="540">
        <f t="shared" si="123"/>
        <v>0</v>
      </c>
      <c r="AP12" s="538">
        <v>0</v>
      </c>
      <c r="AQ12" s="539">
        <f t="shared" si="12"/>
        <v>0</v>
      </c>
      <c r="AR12" s="540">
        <f t="shared" si="124"/>
        <v>0</v>
      </c>
      <c r="AS12" s="538"/>
      <c r="AT12" s="539">
        <f t="shared" si="13"/>
        <v>0</v>
      </c>
      <c r="AU12" s="540">
        <f t="shared" si="125"/>
        <v>0</v>
      </c>
      <c r="AV12" s="538">
        <v>5.5500000000000114</v>
      </c>
      <c r="AW12" s="539">
        <f t="shared" si="14"/>
        <v>7.8576282704723222E-2</v>
      </c>
      <c r="AX12" s="540">
        <f t="shared" si="126"/>
        <v>0</v>
      </c>
      <c r="AY12" s="538">
        <v>65.333333333333343</v>
      </c>
      <c r="AZ12" s="539">
        <f t="shared" si="15"/>
        <v>0.92498206667421756</v>
      </c>
      <c r="BA12" s="540">
        <f t="shared" si="127"/>
        <v>0</v>
      </c>
      <c r="BB12" s="538">
        <v>0</v>
      </c>
      <c r="BC12" s="539">
        <f t="shared" si="16"/>
        <v>0</v>
      </c>
      <c r="BD12" s="540">
        <f t="shared" si="128"/>
        <v>0</v>
      </c>
      <c r="BE12" s="538"/>
      <c r="BF12" s="539">
        <f t="shared" si="17"/>
        <v>0</v>
      </c>
      <c r="BG12" s="540">
        <f t="shared" si="129"/>
        <v>0</v>
      </c>
      <c r="BH12" s="538"/>
      <c r="BI12" s="539">
        <f t="shared" si="18"/>
        <v>0</v>
      </c>
      <c r="BJ12" s="540">
        <f t="shared" si="130"/>
        <v>0</v>
      </c>
      <c r="BK12" s="538"/>
      <c r="BL12" s="539">
        <f t="shared" si="19"/>
        <v>0</v>
      </c>
      <c r="BM12" s="540">
        <f t="shared" si="131"/>
        <v>0</v>
      </c>
      <c r="BN12" s="538">
        <v>15.18518518518519</v>
      </c>
      <c r="BO12" s="539">
        <f t="shared" si="20"/>
        <v>0.21499016288913225</v>
      </c>
      <c r="BP12" s="540">
        <f t="shared" si="132"/>
        <v>0</v>
      </c>
      <c r="BQ12" s="538"/>
      <c r="BR12" s="539">
        <f t="shared" si="21"/>
        <v>0</v>
      </c>
      <c r="BS12" s="540">
        <f t="shared" si="133"/>
        <v>0</v>
      </c>
      <c r="BT12" s="538"/>
      <c r="BU12" s="539">
        <f t="shared" si="22"/>
        <v>0</v>
      </c>
      <c r="BV12" s="540">
        <f t="shared" si="134"/>
        <v>0</v>
      </c>
      <c r="BW12" s="538">
        <v>0.67999999999999972</v>
      </c>
      <c r="BX12" s="539">
        <f t="shared" si="23"/>
        <v>9.6273643674255251E-3</v>
      </c>
      <c r="BY12" s="540">
        <f t="shared" si="135"/>
        <v>0</v>
      </c>
      <c r="BZ12" s="538"/>
      <c r="CA12" s="539">
        <f t="shared" si="24"/>
        <v>0</v>
      </c>
      <c r="CB12" s="540">
        <f t="shared" si="136"/>
        <v>0</v>
      </c>
      <c r="CC12" s="538">
        <v>6.25</v>
      </c>
      <c r="CD12" s="539">
        <f t="shared" si="25"/>
        <v>8.848680484766111E-2</v>
      </c>
      <c r="CE12" s="540">
        <f t="shared" si="137"/>
        <v>0</v>
      </c>
      <c r="CF12" s="538">
        <v>9.9999999999999978E-2</v>
      </c>
      <c r="CG12" s="539">
        <f t="shared" si="26"/>
        <v>1.4157888775625774E-3</v>
      </c>
      <c r="CH12" s="540">
        <f t="shared" si="138"/>
        <v>0</v>
      </c>
      <c r="CI12" s="538"/>
      <c r="CJ12" s="539">
        <f t="shared" si="27"/>
        <v>0</v>
      </c>
      <c r="CK12" s="540">
        <f t="shared" si="139"/>
        <v>0</v>
      </c>
      <c r="CL12" s="538"/>
      <c r="CM12" s="539">
        <f t="shared" si="28"/>
        <v>0</v>
      </c>
      <c r="CN12" s="540">
        <f t="shared" si="140"/>
        <v>0</v>
      </c>
      <c r="CO12" s="538"/>
      <c r="CP12" s="539">
        <f t="shared" si="29"/>
        <v>0</v>
      </c>
      <c r="CQ12" s="540">
        <f t="shared" si="141"/>
        <v>0</v>
      </c>
      <c r="CR12" s="538"/>
      <c r="CS12" s="539">
        <f t="shared" si="30"/>
        <v>0</v>
      </c>
      <c r="CT12" s="540">
        <f t="shared" si="142"/>
        <v>0</v>
      </c>
      <c r="CU12" s="538"/>
      <c r="CV12" s="539">
        <f t="shared" si="31"/>
        <v>0</v>
      </c>
      <c r="CW12" s="540">
        <f t="shared" si="143"/>
        <v>0</v>
      </c>
      <c r="CX12" s="538"/>
      <c r="CY12" s="539">
        <f t="shared" si="32"/>
        <v>0</v>
      </c>
      <c r="CZ12" s="540">
        <f t="shared" si="144"/>
        <v>0</v>
      </c>
      <c r="DA12" s="538"/>
      <c r="DB12" s="539">
        <f t="shared" si="33"/>
        <v>0</v>
      </c>
      <c r="DC12" s="540">
        <f t="shared" si="145"/>
        <v>0</v>
      </c>
      <c r="DD12" s="538"/>
      <c r="DE12" s="539">
        <f t="shared" si="34"/>
        <v>0</v>
      </c>
      <c r="DF12" s="540">
        <f t="shared" si="146"/>
        <v>0</v>
      </c>
      <c r="DG12" s="538">
        <v>4.7250000000000014</v>
      </c>
      <c r="DH12" s="539">
        <f t="shared" si="35"/>
        <v>6.6896024464831824E-2</v>
      </c>
      <c r="DI12" s="540">
        <v>0</v>
      </c>
      <c r="DJ12" s="538"/>
      <c r="DK12" s="539">
        <f t="shared" si="36"/>
        <v>0</v>
      </c>
      <c r="DL12" s="540">
        <f t="shared" si="147"/>
        <v>0</v>
      </c>
      <c r="DM12" s="538"/>
      <c r="DN12" s="539">
        <f t="shared" si="37"/>
        <v>0</v>
      </c>
      <c r="DO12" s="540">
        <f t="shared" si="148"/>
        <v>0</v>
      </c>
      <c r="DP12" s="538"/>
      <c r="DQ12" s="539">
        <f t="shared" si="38"/>
        <v>0</v>
      </c>
      <c r="DR12" s="540">
        <f t="shared" si="149"/>
        <v>0</v>
      </c>
      <c r="DS12" s="538"/>
      <c r="DT12" s="539">
        <f t="shared" si="39"/>
        <v>0</v>
      </c>
      <c r="DU12" s="540">
        <f t="shared" si="150"/>
        <v>0</v>
      </c>
      <c r="DV12" s="538"/>
      <c r="DW12" s="539">
        <f t="shared" si="40"/>
        <v>0</v>
      </c>
      <c r="DX12" s="540">
        <f t="shared" si="151"/>
        <v>0</v>
      </c>
      <c r="DY12" s="538"/>
      <c r="DZ12" s="539">
        <f t="shared" si="41"/>
        <v>0</v>
      </c>
      <c r="EA12" s="540">
        <f t="shared" si="152"/>
        <v>0</v>
      </c>
      <c r="EB12" s="538">
        <v>29.069767441860449</v>
      </c>
      <c r="EC12" s="539">
        <f t="shared" si="42"/>
        <v>0.41156653417516775</v>
      </c>
      <c r="ED12" s="540">
        <f t="shared" si="153"/>
        <v>0</v>
      </c>
      <c r="EE12" s="538">
        <v>0</v>
      </c>
      <c r="EF12" s="539">
        <f t="shared" si="43"/>
        <v>0</v>
      </c>
      <c r="EG12" s="540">
        <f t="shared" si="154"/>
        <v>0</v>
      </c>
      <c r="EH12" s="538"/>
      <c r="EI12" s="539">
        <f t="shared" si="44"/>
        <v>0</v>
      </c>
      <c r="EJ12" s="540">
        <f t="shared" si="155"/>
        <v>0</v>
      </c>
      <c r="EK12" s="538"/>
      <c r="EL12" s="539">
        <f t="shared" si="45"/>
        <v>0</v>
      </c>
      <c r="EM12" s="540">
        <f t="shared" si="156"/>
        <v>0</v>
      </c>
      <c r="EN12" s="538"/>
      <c r="EO12" s="539">
        <f t="shared" si="46"/>
        <v>0</v>
      </c>
      <c r="EP12" s="540">
        <f t="shared" si="157"/>
        <v>0</v>
      </c>
      <c r="EQ12" s="538"/>
      <c r="ER12" s="539">
        <f t="shared" si="47"/>
        <v>0</v>
      </c>
      <c r="ES12" s="540">
        <f t="shared" si="158"/>
        <v>0</v>
      </c>
      <c r="ET12" s="538"/>
      <c r="EU12" s="539">
        <f t="shared" si="48"/>
        <v>0</v>
      </c>
      <c r="EV12" s="540">
        <f t="shared" si="159"/>
        <v>0</v>
      </c>
      <c r="EW12" s="538"/>
      <c r="EX12" s="539">
        <f t="shared" si="49"/>
        <v>0</v>
      </c>
      <c r="EY12" s="540">
        <f t="shared" si="160"/>
        <v>0</v>
      </c>
      <c r="EZ12" s="538"/>
      <c r="FA12" s="539">
        <f t="shared" si="50"/>
        <v>0</v>
      </c>
      <c r="FB12" s="540">
        <f t="shared" si="161"/>
        <v>0</v>
      </c>
      <c r="FC12" s="538"/>
      <c r="FD12" s="539">
        <f t="shared" si="51"/>
        <v>0</v>
      </c>
      <c r="FE12" s="540">
        <f t="shared" si="162"/>
        <v>0</v>
      </c>
      <c r="FF12" s="538"/>
      <c r="FG12" s="539">
        <f t="shared" si="52"/>
        <v>0</v>
      </c>
      <c r="FH12" s="540">
        <f t="shared" si="163"/>
        <v>0</v>
      </c>
      <c r="FI12" s="538"/>
      <c r="FJ12" s="539">
        <f t="shared" si="53"/>
        <v>0</v>
      </c>
      <c r="FK12" s="540">
        <f t="shared" si="164"/>
        <v>0</v>
      </c>
      <c r="FL12" s="538"/>
      <c r="FM12" s="539">
        <f t="shared" si="54"/>
        <v>0</v>
      </c>
      <c r="FN12" s="540">
        <f t="shared" si="165"/>
        <v>0</v>
      </c>
      <c r="FO12" s="538"/>
      <c r="FP12" s="539">
        <f t="shared" si="55"/>
        <v>0</v>
      </c>
      <c r="FQ12" s="540">
        <f t="shared" si="166"/>
        <v>0</v>
      </c>
      <c r="FR12" s="538"/>
      <c r="FS12" s="539">
        <f t="shared" si="56"/>
        <v>0</v>
      </c>
      <c r="FT12" s="540">
        <f t="shared" si="167"/>
        <v>0</v>
      </c>
      <c r="FU12" s="538"/>
      <c r="FV12" s="539">
        <f t="shared" si="57"/>
        <v>0</v>
      </c>
      <c r="FW12" s="540">
        <f t="shared" si="168"/>
        <v>0</v>
      </c>
      <c r="FX12" s="538"/>
      <c r="FY12" s="539">
        <f t="shared" si="58"/>
        <v>0</v>
      </c>
      <c r="FZ12" s="540">
        <f t="shared" si="169"/>
        <v>0</v>
      </c>
      <c r="GA12" s="538"/>
      <c r="GB12" s="539">
        <f t="shared" si="59"/>
        <v>0</v>
      </c>
      <c r="GC12" s="540">
        <f t="shared" si="170"/>
        <v>0</v>
      </c>
      <c r="GD12" s="538"/>
      <c r="GE12" s="539">
        <f t="shared" si="60"/>
        <v>0</v>
      </c>
      <c r="GF12" s="540">
        <f t="shared" si="171"/>
        <v>0</v>
      </c>
      <c r="GG12" s="538"/>
      <c r="GH12" s="539">
        <f t="shared" si="61"/>
        <v>0</v>
      </c>
      <c r="GI12" s="540">
        <f t="shared" si="172"/>
        <v>0</v>
      </c>
      <c r="GJ12" s="538"/>
      <c r="GK12" s="539">
        <f t="shared" si="62"/>
        <v>0</v>
      </c>
      <c r="GL12" s="540">
        <f t="shared" si="173"/>
        <v>0</v>
      </c>
      <c r="GM12" s="538"/>
      <c r="GN12" s="539">
        <f t="shared" si="63"/>
        <v>0</v>
      </c>
      <c r="GO12" s="540">
        <f t="shared" si="174"/>
        <v>0</v>
      </c>
      <c r="GP12" s="538"/>
      <c r="GQ12" s="539">
        <f t="shared" si="64"/>
        <v>0</v>
      </c>
      <c r="GR12" s="540">
        <f t="shared" si="175"/>
        <v>0</v>
      </c>
      <c r="GS12" s="538"/>
      <c r="GT12" s="539">
        <f t="shared" si="65"/>
        <v>0</v>
      </c>
      <c r="GU12" s="540">
        <f t="shared" si="176"/>
        <v>0</v>
      </c>
      <c r="GV12" s="538"/>
      <c r="GW12" s="539">
        <f t="shared" si="66"/>
        <v>0</v>
      </c>
      <c r="GX12" s="540">
        <f t="shared" si="177"/>
        <v>0</v>
      </c>
      <c r="GY12" s="538"/>
      <c r="GZ12" s="539">
        <f t="shared" si="67"/>
        <v>0</v>
      </c>
      <c r="HA12" s="540">
        <f t="shared" si="178"/>
        <v>0</v>
      </c>
      <c r="HB12" s="538"/>
      <c r="HC12" s="539">
        <f t="shared" si="68"/>
        <v>0</v>
      </c>
      <c r="HD12" s="540">
        <f t="shared" si="179"/>
        <v>0</v>
      </c>
      <c r="HE12" s="538"/>
      <c r="HF12" s="539">
        <f t="shared" si="69"/>
        <v>0</v>
      </c>
      <c r="HG12" s="540">
        <f t="shared" si="180"/>
        <v>0</v>
      </c>
      <c r="HH12" s="538"/>
      <c r="HI12" s="539">
        <f t="shared" si="70"/>
        <v>0</v>
      </c>
      <c r="HJ12" s="540">
        <f t="shared" si="181"/>
        <v>0</v>
      </c>
      <c r="HK12" s="538"/>
      <c r="HL12" s="539">
        <f t="shared" si="71"/>
        <v>0</v>
      </c>
      <c r="HM12" s="540">
        <f t="shared" si="182"/>
        <v>0</v>
      </c>
      <c r="HN12" s="538"/>
      <c r="HO12" s="539">
        <f t="shared" si="72"/>
        <v>0</v>
      </c>
      <c r="HP12" s="540">
        <f t="shared" si="183"/>
        <v>0</v>
      </c>
      <c r="HQ12" s="538"/>
      <c r="HR12" s="539">
        <f t="shared" si="73"/>
        <v>0</v>
      </c>
      <c r="HS12" s="540">
        <f t="shared" si="184"/>
        <v>0</v>
      </c>
      <c r="HT12" s="538"/>
      <c r="HU12" s="539">
        <f t="shared" si="74"/>
        <v>0</v>
      </c>
      <c r="HV12" s="540">
        <f t="shared" si="185"/>
        <v>0</v>
      </c>
      <c r="HW12" s="538"/>
      <c r="HX12" s="539">
        <f t="shared" si="75"/>
        <v>0</v>
      </c>
      <c r="HY12" s="540">
        <f t="shared" si="186"/>
        <v>0</v>
      </c>
      <c r="HZ12" s="538"/>
      <c r="IA12" s="539">
        <f t="shared" si="76"/>
        <v>0</v>
      </c>
      <c r="IB12" s="540">
        <f t="shared" si="187"/>
        <v>0</v>
      </c>
      <c r="IC12" s="538"/>
      <c r="ID12" s="539">
        <f t="shared" si="77"/>
        <v>0</v>
      </c>
      <c r="IE12" s="540">
        <f t="shared" si="188"/>
        <v>0</v>
      </c>
      <c r="IF12" s="538"/>
      <c r="IG12" s="539">
        <f t="shared" si="78"/>
        <v>0</v>
      </c>
      <c r="IH12" s="540">
        <f t="shared" si="189"/>
        <v>0</v>
      </c>
      <c r="II12" s="538"/>
      <c r="IJ12" s="539">
        <f t="shared" si="79"/>
        <v>0</v>
      </c>
      <c r="IK12" s="540">
        <f t="shared" si="190"/>
        <v>0</v>
      </c>
      <c r="IL12" s="538"/>
      <c r="IM12" s="539">
        <f t="shared" si="80"/>
        <v>0</v>
      </c>
      <c r="IN12" s="540">
        <f t="shared" si="191"/>
        <v>0</v>
      </c>
      <c r="IO12" s="538"/>
      <c r="IP12" s="539">
        <f t="shared" si="81"/>
        <v>0</v>
      </c>
      <c r="IQ12" s="540">
        <f t="shared" si="192"/>
        <v>0</v>
      </c>
      <c r="IR12" s="538"/>
      <c r="IS12" s="539">
        <f t="shared" si="82"/>
        <v>0</v>
      </c>
      <c r="IT12" s="540">
        <f t="shared" si="193"/>
        <v>0</v>
      </c>
      <c r="IU12" s="538"/>
      <c r="IV12" s="539">
        <f t="shared" si="83"/>
        <v>0</v>
      </c>
      <c r="IW12" s="540">
        <f t="shared" si="194"/>
        <v>0</v>
      </c>
      <c r="IX12" s="538"/>
      <c r="IY12" s="539">
        <f t="shared" si="84"/>
        <v>0</v>
      </c>
      <c r="IZ12" s="540">
        <f t="shared" si="195"/>
        <v>0</v>
      </c>
      <c r="JA12" s="538"/>
      <c r="JB12" s="539">
        <f t="shared" si="85"/>
        <v>0</v>
      </c>
      <c r="JC12" s="540">
        <f t="shared" si="196"/>
        <v>0</v>
      </c>
      <c r="JD12" s="538"/>
      <c r="JE12" s="539">
        <f t="shared" si="86"/>
        <v>0</v>
      </c>
      <c r="JF12" s="540">
        <f t="shared" si="197"/>
        <v>0</v>
      </c>
      <c r="JG12" s="538"/>
      <c r="JH12" s="539">
        <f t="shared" si="87"/>
        <v>0</v>
      </c>
      <c r="JI12" s="540">
        <f t="shared" si="198"/>
        <v>0</v>
      </c>
      <c r="JJ12" s="538"/>
      <c r="JK12" s="540" t="str">
        <f t="shared" si="88"/>
        <v>0</v>
      </c>
      <c r="JL12" s="540" t="str">
        <f t="shared" si="89"/>
        <v>0</v>
      </c>
      <c r="JM12" s="538"/>
      <c r="JN12" s="540" t="str">
        <f t="shared" si="90"/>
        <v>0</v>
      </c>
      <c r="JO12" s="540" t="str">
        <f t="shared" si="91"/>
        <v>0</v>
      </c>
      <c r="JP12" s="538"/>
      <c r="JQ12" s="540" t="str">
        <f t="shared" si="92"/>
        <v>0</v>
      </c>
      <c r="JR12" s="540" t="str">
        <f t="shared" si="93"/>
        <v>0</v>
      </c>
      <c r="JS12" s="538"/>
      <c r="JT12" s="540" t="str">
        <f t="shared" si="94"/>
        <v>0</v>
      </c>
      <c r="JU12" s="540" t="str">
        <f t="shared" si="95"/>
        <v>0</v>
      </c>
      <c r="JV12" s="538"/>
      <c r="JW12" s="540" t="str">
        <f t="shared" si="96"/>
        <v>0</v>
      </c>
      <c r="JX12" s="540" t="str">
        <f t="shared" si="97"/>
        <v>0</v>
      </c>
      <c r="JY12" s="538"/>
      <c r="JZ12" s="540" t="str">
        <f t="shared" si="98"/>
        <v>0</v>
      </c>
      <c r="KA12" s="540" t="str">
        <f t="shared" si="99"/>
        <v>0</v>
      </c>
      <c r="KB12" s="538"/>
      <c r="KC12" s="540" t="str">
        <f t="shared" si="100"/>
        <v>0</v>
      </c>
      <c r="KD12" s="540" t="str">
        <f t="shared" si="101"/>
        <v>0</v>
      </c>
      <c r="KE12" s="538"/>
      <c r="KF12" s="540" t="str">
        <f t="shared" si="102"/>
        <v>0</v>
      </c>
      <c r="KG12" s="540" t="str">
        <f t="shared" si="103"/>
        <v>0</v>
      </c>
      <c r="KH12" s="538"/>
      <c r="KI12" s="540" t="str">
        <f t="shared" si="104"/>
        <v>0</v>
      </c>
      <c r="KJ12" s="540" t="str">
        <f t="shared" si="105"/>
        <v>0</v>
      </c>
      <c r="KK12" s="538"/>
      <c r="KL12" s="540" t="str">
        <f t="shared" si="106"/>
        <v>0</v>
      </c>
      <c r="KM12" s="540" t="str">
        <f t="shared" si="107"/>
        <v>0</v>
      </c>
      <c r="KN12" s="538"/>
      <c r="KO12" s="540" t="str">
        <f t="shared" si="108"/>
        <v>0</v>
      </c>
      <c r="KP12" s="540" t="str">
        <f t="shared" si="109"/>
        <v>0</v>
      </c>
      <c r="KQ12" s="538"/>
      <c r="KR12" s="540" t="str">
        <f t="shared" si="110"/>
        <v>0</v>
      </c>
      <c r="KS12" s="540" t="str">
        <f t="shared" si="111"/>
        <v>0</v>
      </c>
      <c r="KT12" s="540">
        <f t="shared" si="201"/>
        <v>0</v>
      </c>
      <c r="KU12" s="540">
        <f t="shared" si="202"/>
        <v>0</v>
      </c>
      <c r="KV12" s="275">
        <f t="shared" si="199"/>
        <v>1047.9950301464255</v>
      </c>
    </row>
    <row r="13" spans="1:308" ht="15" customHeight="1">
      <c r="A13" s="277">
        <f t="shared" si="200"/>
        <v>45996</v>
      </c>
      <c r="B13" s="278" t="str">
        <f>+Report1!B13</f>
        <v>MG</v>
      </c>
      <c r="C13" s="420" t="str">
        <f>+Report1!C13</f>
        <v>17/14</v>
      </c>
      <c r="D13" s="279">
        <f>+Report1!P13</f>
        <v>79.574000000000012</v>
      </c>
      <c r="E13" s="280">
        <f>+Report1!R13</f>
        <v>76.335999999999999</v>
      </c>
      <c r="F13" s="538">
        <v>383.7209302325582</v>
      </c>
      <c r="G13" s="539">
        <f t="shared" si="0"/>
        <v>5.0267361432686837</v>
      </c>
      <c r="H13" s="540">
        <f t="shared" si="112"/>
        <v>0</v>
      </c>
      <c r="I13" s="538">
        <v>790.69767441860461</v>
      </c>
      <c r="J13" s="539">
        <f t="shared" si="1"/>
        <v>10.358122961886982</v>
      </c>
      <c r="K13" s="540">
        <f t="shared" si="113"/>
        <v>0</v>
      </c>
      <c r="L13" s="538"/>
      <c r="M13" s="539">
        <f t="shared" si="2"/>
        <v>0</v>
      </c>
      <c r="N13" s="540">
        <f t="shared" si="114"/>
        <v>0</v>
      </c>
      <c r="O13" s="538">
        <v>9</v>
      </c>
      <c r="P13" s="539">
        <f t="shared" si="3"/>
        <v>0.11789981136030182</v>
      </c>
      <c r="Q13" s="540">
        <f t="shared" si="115"/>
        <v>0</v>
      </c>
      <c r="R13" s="538"/>
      <c r="S13" s="539">
        <f t="shared" si="4"/>
        <v>0</v>
      </c>
      <c r="T13" s="540">
        <f t="shared" si="116"/>
        <v>0</v>
      </c>
      <c r="U13" s="538">
        <v>5.1249999999999716</v>
      </c>
      <c r="V13" s="539">
        <f t="shared" si="5"/>
        <v>6.7137392580171498E-2</v>
      </c>
      <c r="W13" s="540">
        <f t="shared" si="117"/>
        <v>0</v>
      </c>
      <c r="X13" s="538"/>
      <c r="Y13" s="539">
        <f t="shared" si="6"/>
        <v>0</v>
      </c>
      <c r="Z13" s="540">
        <f t="shared" si="118"/>
        <v>0</v>
      </c>
      <c r="AA13" s="538"/>
      <c r="AB13" s="539">
        <f t="shared" si="7"/>
        <v>0</v>
      </c>
      <c r="AC13" s="540">
        <f t="shared" si="119"/>
        <v>0</v>
      </c>
      <c r="AD13" s="538"/>
      <c r="AE13" s="539">
        <f t="shared" si="8"/>
        <v>0</v>
      </c>
      <c r="AF13" s="540">
        <f t="shared" si="120"/>
        <v>0</v>
      </c>
      <c r="AG13" s="538"/>
      <c r="AH13" s="539">
        <f t="shared" si="9"/>
        <v>0</v>
      </c>
      <c r="AI13" s="540">
        <f t="shared" si="121"/>
        <v>0</v>
      </c>
      <c r="AJ13" s="538">
        <v>0</v>
      </c>
      <c r="AK13" s="539">
        <f t="shared" si="10"/>
        <v>0</v>
      </c>
      <c r="AL13" s="540">
        <f t="shared" si="122"/>
        <v>0</v>
      </c>
      <c r="AM13" s="538">
        <v>0</v>
      </c>
      <c r="AN13" s="539">
        <f t="shared" si="11"/>
        <v>0</v>
      </c>
      <c r="AO13" s="540">
        <f t="shared" si="123"/>
        <v>0</v>
      </c>
      <c r="AP13" s="538">
        <v>0</v>
      </c>
      <c r="AQ13" s="539">
        <f t="shared" si="12"/>
        <v>0</v>
      </c>
      <c r="AR13" s="540">
        <f t="shared" si="124"/>
        <v>0</v>
      </c>
      <c r="AS13" s="538"/>
      <c r="AT13" s="539">
        <f t="shared" si="13"/>
        <v>0</v>
      </c>
      <c r="AU13" s="540">
        <f t="shared" si="125"/>
        <v>0</v>
      </c>
      <c r="AV13" s="538">
        <v>8.3250000000000028</v>
      </c>
      <c r="AW13" s="539">
        <f t="shared" si="14"/>
        <v>0.10905732550827922</v>
      </c>
      <c r="AX13" s="540">
        <f t="shared" si="126"/>
        <v>0</v>
      </c>
      <c r="AY13" s="538">
        <v>72.333333333333314</v>
      </c>
      <c r="AZ13" s="539">
        <f t="shared" si="15"/>
        <v>0.94756515056242552</v>
      </c>
      <c r="BA13" s="540">
        <f t="shared" si="127"/>
        <v>0</v>
      </c>
      <c r="BB13" s="538">
        <v>0</v>
      </c>
      <c r="BC13" s="539">
        <f t="shared" si="16"/>
        <v>0</v>
      </c>
      <c r="BD13" s="540">
        <f t="shared" si="128"/>
        <v>0</v>
      </c>
      <c r="BE13" s="538"/>
      <c r="BF13" s="539">
        <f t="shared" si="17"/>
        <v>0</v>
      </c>
      <c r="BG13" s="540">
        <f t="shared" si="129"/>
        <v>0</v>
      </c>
      <c r="BH13" s="538"/>
      <c r="BI13" s="539">
        <f t="shared" si="18"/>
        <v>0</v>
      </c>
      <c r="BJ13" s="540">
        <f t="shared" si="130"/>
        <v>0</v>
      </c>
      <c r="BK13" s="538"/>
      <c r="BL13" s="539">
        <f t="shared" si="19"/>
        <v>0</v>
      </c>
      <c r="BM13" s="540">
        <f t="shared" si="131"/>
        <v>0</v>
      </c>
      <c r="BN13" s="538">
        <v>20.246913580246911</v>
      </c>
      <c r="BO13" s="539">
        <f t="shared" si="20"/>
        <v>0.2652341435266049</v>
      </c>
      <c r="BP13" s="540">
        <f t="shared" si="132"/>
        <v>0</v>
      </c>
      <c r="BQ13" s="538"/>
      <c r="BR13" s="539">
        <f t="shared" si="21"/>
        <v>0</v>
      </c>
      <c r="BS13" s="540">
        <f t="shared" si="133"/>
        <v>0</v>
      </c>
      <c r="BT13" s="538"/>
      <c r="BU13" s="539">
        <f t="shared" si="22"/>
        <v>0</v>
      </c>
      <c r="BV13" s="540">
        <f t="shared" si="134"/>
        <v>0</v>
      </c>
      <c r="BW13" s="538">
        <v>0.67999999999999972</v>
      </c>
      <c r="BX13" s="539">
        <f t="shared" si="23"/>
        <v>8.9079857472228012E-3</v>
      </c>
      <c r="BY13" s="540">
        <f t="shared" si="135"/>
        <v>0</v>
      </c>
      <c r="BZ13" s="538"/>
      <c r="CA13" s="539">
        <f t="shared" si="24"/>
        <v>0</v>
      </c>
      <c r="CB13" s="540">
        <f t="shared" si="136"/>
        <v>0</v>
      </c>
      <c r="CC13" s="538">
        <v>6.25</v>
      </c>
      <c r="CD13" s="539">
        <f t="shared" si="25"/>
        <v>8.1874869000209599E-2</v>
      </c>
      <c r="CE13" s="540">
        <f t="shared" si="137"/>
        <v>0</v>
      </c>
      <c r="CF13" s="538">
        <v>0.1</v>
      </c>
      <c r="CG13" s="539">
        <f t="shared" si="26"/>
        <v>1.3099979040033538E-3</v>
      </c>
      <c r="CH13" s="540">
        <f t="shared" si="138"/>
        <v>0</v>
      </c>
      <c r="CI13" s="538"/>
      <c r="CJ13" s="539">
        <f t="shared" si="27"/>
        <v>0</v>
      </c>
      <c r="CK13" s="540">
        <f t="shared" si="139"/>
        <v>0</v>
      </c>
      <c r="CL13" s="538"/>
      <c r="CM13" s="539">
        <f t="shared" si="28"/>
        <v>0</v>
      </c>
      <c r="CN13" s="540">
        <f t="shared" si="140"/>
        <v>0</v>
      </c>
      <c r="CO13" s="538"/>
      <c r="CP13" s="539">
        <f t="shared" si="29"/>
        <v>0</v>
      </c>
      <c r="CQ13" s="540">
        <f t="shared" si="141"/>
        <v>0</v>
      </c>
      <c r="CR13" s="538"/>
      <c r="CS13" s="539">
        <f t="shared" si="30"/>
        <v>0</v>
      </c>
      <c r="CT13" s="540">
        <f t="shared" si="142"/>
        <v>0</v>
      </c>
      <c r="CU13" s="538"/>
      <c r="CV13" s="539">
        <f t="shared" si="31"/>
        <v>0</v>
      </c>
      <c r="CW13" s="540">
        <f t="shared" si="143"/>
        <v>0</v>
      </c>
      <c r="CX13" s="538"/>
      <c r="CY13" s="539">
        <f t="shared" si="32"/>
        <v>0</v>
      </c>
      <c r="CZ13" s="540">
        <f t="shared" si="144"/>
        <v>0</v>
      </c>
      <c r="DA13" s="538"/>
      <c r="DB13" s="539">
        <f t="shared" si="33"/>
        <v>0</v>
      </c>
      <c r="DC13" s="540">
        <f t="shared" si="145"/>
        <v>0</v>
      </c>
      <c r="DD13" s="538"/>
      <c r="DE13" s="539">
        <f t="shared" si="34"/>
        <v>0</v>
      </c>
      <c r="DF13" s="540">
        <f t="shared" si="146"/>
        <v>0</v>
      </c>
      <c r="DG13" s="538">
        <v>4.7250000000000014</v>
      </c>
      <c r="DH13" s="539">
        <f t="shared" si="35"/>
        <v>6.189740096415848E-2</v>
      </c>
      <c r="DI13" s="540">
        <v>0</v>
      </c>
      <c r="DJ13" s="538"/>
      <c r="DK13" s="539">
        <f t="shared" si="36"/>
        <v>0</v>
      </c>
      <c r="DL13" s="540">
        <f t="shared" si="147"/>
        <v>0</v>
      </c>
      <c r="DM13" s="538"/>
      <c r="DN13" s="539">
        <f t="shared" si="37"/>
        <v>0</v>
      </c>
      <c r="DO13" s="540">
        <f t="shared" si="148"/>
        <v>0</v>
      </c>
      <c r="DP13" s="538"/>
      <c r="DQ13" s="539">
        <f t="shared" si="38"/>
        <v>0</v>
      </c>
      <c r="DR13" s="540">
        <f t="shared" si="149"/>
        <v>0</v>
      </c>
      <c r="DS13" s="538"/>
      <c r="DT13" s="539">
        <f t="shared" si="39"/>
        <v>0</v>
      </c>
      <c r="DU13" s="540">
        <f t="shared" si="150"/>
        <v>0</v>
      </c>
      <c r="DV13" s="538"/>
      <c r="DW13" s="539">
        <f t="shared" si="40"/>
        <v>0</v>
      </c>
      <c r="DX13" s="540">
        <f t="shared" si="151"/>
        <v>0</v>
      </c>
      <c r="DY13" s="538"/>
      <c r="DZ13" s="539">
        <f t="shared" si="41"/>
        <v>0</v>
      </c>
      <c r="EA13" s="540">
        <f t="shared" si="152"/>
        <v>0</v>
      </c>
      <c r="EB13" s="538">
        <v>29.069767441860563</v>
      </c>
      <c r="EC13" s="539">
        <f t="shared" si="42"/>
        <v>0.38081334418702267</v>
      </c>
      <c r="ED13" s="540">
        <f t="shared" si="153"/>
        <v>0</v>
      </c>
      <c r="EE13" s="538">
        <v>0</v>
      </c>
      <c r="EF13" s="539">
        <f t="shared" si="43"/>
        <v>0</v>
      </c>
      <c r="EG13" s="540">
        <f t="shared" si="154"/>
        <v>0</v>
      </c>
      <c r="EH13" s="538"/>
      <c r="EI13" s="539">
        <f t="shared" si="44"/>
        <v>0</v>
      </c>
      <c r="EJ13" s="540">
        <f t="shared" si="155"/>
        <v>0</v>
      </c>
      <c r="EK13" s="538"/>
      <c r="EL13" s="539">
        <f t="shared" si="45"/>
        <v>0</v>
      </c>
      <c r="EM13" s="540">
        <f t="shared" si="156"/>
        <v>0</v>
      </c>
      <c r="EN13" s="538"/>
      <c r="EO13" s="539">
        <f t="shared" si="46"/>
        <v>0</v>
      </c>
      <c r="EP13" s="540">
        <f t="shared" si="157"/>
        <v>0</v>
      </c>
      <c r="EQ13" s="538"/>
      <c r="ER13" s="539">
        <f t="shared" si="47"/>
        <v>0</v>
      </c>
      <c r="ES13" s="540">
        <f t="shared" si="158"/>
        <v>0</v>
      </c>
      <c r="ET13" s="538"/>
      <c r="EU13" s="539">
        <f t="shared" si="48"/>
        <v>0</v>
      </c>
      <c r="EV13" s="540">
        <f t="shared" si="159"/>
        <v>0</v>
      </c>
      <c r="EW13" s="538"/>
      <c r="EX13" s="539">
        <f t="shared" si="49"/>
        <v>0</v>
      </c>
      <c r="EY13" s="540">
        <f t="shared" si="160"/>
        <v>0</v>
      </c>
      <c r="EZ13" s="538"/>
      <c r="FA13" s="539">
        <f t="shared" si="50"/>
        <v>0</v>
      </c>
      <c r="FB13" s="540">
        <f t="shared" si="161"/>
        <v>0</v>
      </c>
      <c r="FC13" s="538"/>
      <c r="FD13" s="539">
        <f t="shared" si="51"/>
        <v>0</v>
      </c>
      <c r="FE13" s="540">
        <f t="shared" si="162"/>
        <v>0</v>
      </c>
      <c r="FF13" s="538"/>
      <c r="FG13" s="539">
        <f t="shared" si="52"/>
        <v>0</v>
      </c>
      <c r="FH13" s="540">
        <f t="shared" si="163"/>
        <v>0</v>
      </c>
      <c r="FI13" s="538"/>
      <c r="FJ13" s="539">
        <f t="shared" si="53"/>
        <v>0</v>
      </c>
      <c r="FK13" s="540">
        <f t="shared" si="164"/>
        <v>0</v>
      </c>
      <c r="FL13" s="538"/>
      <c r="FM13" s="539">
        <f t="shared" si="54"/>
        <v>0</v>
      </c>
      <c r="FN13" s="540">
        <f t="shared" si="165"/>
        <v>0</v>
      </c>
      <c r="FO13" s="538"/>
      <c r="FP13" s="539">
        <f t="shared" si="55"/>
        <v>0</v>
      </c>
      <c r="FQ13" s="540">
        <f t="shared" si="166"/>
        <v>0</v>
      </c>
      <c r="FR13" s="538"/>
      <c r="FS13" s="539">
        <f t="shared" si="56"/>
        <v>0</v>
      </c>
      <c r="FT13" s="540">
        <f t="shared" si="167"/>
        <v>0</v>
      </c>
      <c r="FU13" s="538"/>
      <c r="FV13" s="539">
        <f t="shared" si="57"/>
        <v>0</v>
      </c>
      <c r="FW13" s="540">
        <f t="shared" si="168"/>
        <v>0</v>
      </c>
      <c r="FX13" s="538"/>
      <c r="FY13" s="539">
        <f t="shared" si="58"/>
        <v>0</v>
      </c>
      <c r="FZ13" s="540">
        <f t="shared" si="169"/>
        <v>0</v>
      </c>
      <c r="GA13" s="538"/>
      <c r="GB13" s="539">
        <f t="shared" si="59"/>
        <v>0</v>
      </c>
      <c r="GC13" s="540">
        <f t="shared" si="170"/>
        <v>0</v>
      </c>
      <c r="GD13" s="538"/>
      <c r="GE13" s="539">
        <f t="shared" si="60"/>
        <v>0</v>
      </c>
      <c r="GF13" s="540">
        <f t="shared" si="171"/>
        <v>0</v>
      </c>
      <c r="GG13" s="538"/>
      <c r="GH13" s="539">
        <f t="shared" si="61"/>
        <v>0</v>
      </c>
      <c r="GI13" s="540">
        <f t="shared" si="172"/>
        <v>0</v>
      </c>
      <c r="GJ13" s="538"/>
      <c r="GK13" s="539">
        <f t="shared" si="62"/>
        <v>0</v>
      </c>
      <c r="GL13" s="540">
        <f t="shared" si="173"/>
        <v>0</v>
      </c>
      <c r="GM13" s="538"/>
      <c r="GN13" s="539">
        <f t="shared" si="63"/>
        <v>0</v>
      </c>
      <c r="GO13" s="540">
        <f t="shared" si="174"/>
        <v>0</v>
      </c>
      <c r="GP13" s="538"/>
      <c r="GQ13" s="539">
        <f t="shared" si="64"/>
        <v>0</v>
      </c>
      <c r="GR13" s="540">
        <f t="shared" si="175"/>
        <v>0</v>
      </c>
      <c r="GS13" s="538"/>
      <c r="GT13" s="539">
        <f t="shared" si="65"/>
        <v>0</v>
      </c>
      <c r="GU13" s="540">
        <f t="shared" si="176"/>
        <v>0</v>
      </c>
      <c r="GV13" s="538"/>
      <c r="GW13" s="539">
        <f t="shared" si="66"/>
        <v>0</v>
      </c>
      <c r="GX13" s="540">
        <f t="shared" si="177"/>
        <v>0</v>
      </c>
      <c r="GY13" s="538"/>
      <c r="GZ13" s="539">
        <f t="shared" si="67"/>
        <v>0</v>
      </c>
      <c r="HA13" s="540">
        <f t="shared" si="178"/>
        <v>0</v>
      </c>
      <c r="HB13" s="538"/>
      <c r="HC13" s="539">
        <f t="shared" si="68"/>
        <v>0</v>
      </c>
      <c r="HD13" s="540">
        <f t="shared" si="179"/>
        <v>0</v>
      </c>
      <c r="HE13" s="538"/>
      <c r="HF13" s="539">
        <f t="shared" si="69"/>
        <v>0</v>
      </c>
      <c r="HG13" s="540">
        <f t="shared" si="180"/>
        <v>0</v>
      </c>
      <c r="HH13" s="538"/>
      <c r="HI13" s="539">
        <f t="shared" si="70"/>
        <v>0</v>
      </c>
      <c r="HJ13" s="540">
        <f t="shared" si="181"/>
        <v>0</v>
      </c>
      <c r="HK13" s="538"/>
      <c r="HL13" s="539">
        <f t="shared" si="71"/>
        <v>0</v>
      </c>
      <c r="HM13" s="540">
        <f t="shared" si="182"/>
        <v>0</v>
      </c>
      <c r="HN13" s="538"/>
      <c r="HO13" s="539">
        <f t="shared" si="72"/>
        <v>0</v>
      </c>
      <c r="HP13" s="540">
        <f t="shared" si="183"/>
        <v>0</v>
      </c>
      <c r="HQ13" s="538"/>
      <c r="HR13" s="539">
        <f t="shared" si="73"/>
        <v>0</v>
      </c>
      <c r="HS13" s="540">
        <f t="shared" si="184"/>
        <v>0</v>
      </c>
      <c r="HT13" s="538"/>
      <c r="HU13" s="539">
        <f t="shared" si="74"/>
        <v>0</v>
      </c>
      <c r="HV13" s="540">
        <f t="shared" si="185"/>
        <v>0</v>
      </c>
      <c r="HW13" s="538"/>
      <c r="HX13" s="539">
        <f t="shared" si="75"/>
        <v>0</v>
      </c>
      <c r="HY13" s="540">
        <f t="shared" si="186"/>
        <v>0</v>
      </c>
      <c r="HZ13" s="538"/>
      <c r="IA13" s="539">
        <f t="shared" si="76"/>
        <v>0</v>
      </c>
      <c r="IB13" s="540">
        <f t="shared" si="187"/>
        <v>0</v>
      </c>
      <c r="IC13" s="538"/>
      <c r="ID13" s="539">
        <f t="shared" si="77"/>
        <v>0</v>
      </c>
      <c r="IE13" s="540">
        <f t="shared" si="188"/>
        <v>0</v>
      </c>
      <c r="IF13" s="538"/>
      <c r="IG13" s="539">
        <f t="shared" si="78"/>
        <v>0</v>
      </c>
      <c r="IH13" s="540">
        <f t="shared" si="189"/>
        <v>0</v>
      </c>
      <c r="II13" s="538"/>
      <c r="IJ13" s="539">
        <f t="shared" si="79"/>
        <v>0</v>
      </c>
      <c r="IK13" s="540">
        <f t="shared" si="190"/>
        <v>0</v>
      </c>
      <c r="IL13" s="538"/>
      <c r="IM13" s="539">
        <f t="shared" si="80"/>
        <v>0</v>
      </c>
      <c r="IN13" s="540">
        <f t="shared" si="191"/>
        <v>0</v>
      </c>
      <c r="IO13" s="538"/>
      <c r="IP13" s="539">
        <f t="shared" si="81"/>
        <v>0</v>
      </c>
      <c r="IQ13" s="540">
        <f t="shared" si="192"/>
        <v>0</v>
      </c>
      <c r="IR13" s="538"/>
      <c r="IS13" s="539">
        <f t="shared" si="82"/>
        <v>0</v>
      </c>
      <c r="IT13" s="540">
        <f t="shared" si="193"/>
        <v>0</v>
      </c>
      <c r="IU13" s="538"/>
      <c r="IV13" s="539">
        <f t="shared" si="83"/>
        <v>0</v>
      </c>
      <c r="IW13" s="540">
        <f t="shared" si="194"/>
        <v>0</v>
      </c>
      <c r="IX13" s="538"/>
      <c r="IY13" s="539">
        <f t="shared" si="84"/>
        <v>0</v>
      </c>
      <c r="IZ13" s="540">
        <f t="shared" si="195"/>
        <v>0</v>
      </c>
      <c r="JA13" s="538"/>
      <c r="JB13" s="539">
        <f t="shared" si="85"/>
        <v>0</v>
      </c>
      <c r="JC13" s="540">
        <f t="shared" si="196"/>
        <v>0</v>
      </c>
      <c r="JD13" s="538"/>
      <c r="JE13" s="539">
        <f t="shared" si="86"/>
        <v>0</v>
      </c>
      <c r="JF13" s="540">
        <f t="shared" si="197"/>
        <v>0</v>
      </c>
      <c r="JG13" s="538"/>
      <c r="JH13" s="539">
        <f t="shared" si="87"/>
        <v>0</v>
      </c>
      <c r="JI13" s="540">
        <f t="shared" si="198"/>
        <v>0</v>
      </c>
      <c r="JJ13" s="538"/>
      <c r="JK13" s="540" t="str">
        <f t="shared" si="88"/>
        <v>0</v>
      </c>
      <c r="JL13" s="540" t="str">
        <f t="shared" si="89"/>
        <v>0</v>
      </c>
      <c r="JM13" s="538"/>
      <c r="JN13" s="540" t="str">
        <f t="shared" si="90"/>
        <v>0</v>
      </c>
      <c r="JO13" s="540" t="str">
        <f t="shared" si="91"/>
        <v>0</v>
      </c>
      <c r="JP13" s="538"/>
      <c r="JQ13" s="540" t="str">
        <f t="shared" si="92"/>
        <v>0</v>
      </c>
      <c r="JR13" s="540" t="str">
        <f t="shared" si="93"/>
        <v>0</v>
      </c>
      <c r="JS13" s="538"/>
      <c r="JT13" s="540" t="str">
        <f t="shared" si="94"/>
        <v>0</v>
      </c>
      <c r="JU13" s="540" t="str">
        <f t="shared" si="95"/>
        <v>0</v>
      </c>
      <c r="JV13" s="538"/>
      <c r="JW13" s="540" t="str">
        <f t="shared" si="96"/>
        <v>0</v>
      </c>
      <c r="JX13" s="540" t="str">
        <f t="shared" si="97"/>
        <v>0</v>
      </c>
      <c r="JY13" s="538"/>
      <c r="JZ13" s="540" t="str">
        <f t="shared" si="98"/>
        <v>0</v>
      </c>
      <c r="KA13" s="540" t="str">
        <f t="shared" si="99"/>
        <v>0</v>
      </c>
      <c r="KB13" s="538"/>
      <c r="KC13" s="540" t="str">
        <f t="shared" si="100"/>
        <v>0</v>
      </c>
      <c r="KD13" s="540" t="str">
        <f t="shared" si="101"/>
        <v>0</v>
      </c>
      <c r="KE13" s="538"/>
      <c r="KF13" s="540" t="str">
        <f t="shared" si="102"/>
        <v>0</v>
      </c>
      <c r="KG13" s="540" t="str">
        <f t="shared" si="103"/>
        <v>0</v>
      </c>
      <c r="KH13" s="538"/>
      <c r="KI13" s="540" t="str">
        <f t="shared" si="104"/>
        <v>0</v>
      </c>
      <c r="KJ13" s="540" t="str">
        <f t="shared" si="105"/>
        <v>0</v>
      </c>
      <c r="KK13" s="538"/>
      <c r="KL13" s="540" t="str">
        <f t="shared" si="106"/>
        <v>0</v>
      </c>
      <c r="KM13" s="540" t="str">
        <f t="shared" si="107"/>
        <v>0</v>
      </c>
      <c r="KN13" s="538"/>
      <c r="KO13" s="540" t="str">
        <f t="shared" si="108"/>
        <v>0</v>
      </c>
      <c r="KP13" s="540" t="str">
        <f t="shared" si="109"/>
        <v>0</v>
      </c>
      <c r="KQ13" s="538"/>
      <c r="KR13" s="540" t="str">
        <f t="shared" si="110"/>
        <v>0</v>
      </c>
      <c r="KS13" s="540" t="str">
        <f t="shared" si="111"/>
        <v>0</v>
      </c>
      <c r="KT13" s="540">
        <f t="shared" si="201"/>
        <v>0</v>
      </c>
      <c r="KU13" s="540">
        <f t="shared" si="202"/>
        <v>0</v>
      </c>
      <c r="KV13" s="275">
        <f t="shared" si="199"/>
        <v>1330.2736190066034</v>
      </c>
    </row>
    <row r="14" spans="1:308" ht="15" customHeight="1">
      <c r="A14" s="277">
        <f t="shared" si="200"/>
        <v>45997</v>
      </c>
      <c r="B14" s="278" t="str">
        <f>+Report1!B14</f>
        <v>MG</v>
      </c>
      <c r="C14" s="420" t="str">
        <f>+Report1!C14</f>
        <v>14</v>
      </c>
      <c r="D14" s="279">
        <f>+Report1!P14</f>
        <v>69.167000000000002</v>
      </c>
      <c r="E14" s="280">
        <f>+Report1!R14</f>
        <v>72.11</v>
      </c>
      <c r="F14" s="538">
        <v>132.28674418604646</v>
      </c>
      <c r="G14" s="539">
        <f t="shared" si="0"/>
        <v>1.8345131630293505</v>
      </c>
      <c r="H14" s="540">
        <f t="shared" si="112"/>
        <v>0</v>
      </c>
      <c r="I14" s="538">
        <v>598.1630930232559</v>
      </c>
      <c r="J14" s="539">
        <f t="shared" si="1"/>
        <v>8.2951475942761874</v>
      </c>
      <c r="K14" s="540">
        <f t="shared" si="113"/>
        <v>0</v>
      </c>
      <c r="L14" s="538"/>
      <c r="M14" s="539">
        <f t="shared" si="2"/>
        <v>0</v>
      </c>
      <c r="N14" s="540">
        <f t="shared" si="114"/>
        <v>0</v>
      </c>
      <c r="O14" s="538">
        <v>8.901600000000002</v>
      </c>
      <c r="P14" s="539">
        <f t="shared" si="3"/>
        <v>0.12344473720704482</v>
      </c>
      <c r="Q14" s="540">
        <f t="shared" si="115"/>
        <v>0</v>
      </c>
      <c r="R14" s="538"/>
      <c r="S14" s="539">
        <f t="shared" si="4"/>
        <v>0</v>
      </c>
      <c r="T14" s="540">
        <f t="shared" si="116"/>
        <v>0</v>
      </c>
      <c r="U14" s="538">
        <v>6.3328000000000486</v>
      </c>
      <c r="V14" s="539">
        <f t="shared" si="5"/>
        <v>8.7821383996672428E-2</v>
      </c>
      <c r="W14" s="540">
        <f t="shared" si="117"/>
        <v>0</v>
      </c>
      <c r="X14" s="538"/>
      <c r="Y14" s="539">
        <f t="shared" si="6"/>
        <v>0</v>
      </c>
      <c r="Z14" s="540">
        <f t="shared" si="118"/>
        <v>0</v>
      </c>
      <c r="AA14" s="538"/>
      <c r="AB14" s="539">
        <f t="shared" si="7"/>
        <v>0</v>
      </c>
      <c r="AC14" s="540">
        <f t="shared" si="119"/>
        <v>0</v>
      </c>
      <c r="AD14" s="538"/>
      <c r="AE14" s="539">
        <f t="shared" si="8"/>
        <v>0</v>
      </c>
      <c r="AF14" s="540">
        <f t="shared" si="120"/>
        <v>0</v>
      </c>
      <c r="AG14" s="538"/>
      <c r="AH14" s="539">
        <f t="shared" si="9"/>
        <v>0</v>
      </c>
      <c r="AI14" s="540">
        <f t="shared" si="121"/>
        <v>0</v>
      </c>
      <c r="AJ14" s="538">
        <v>0</v>
      </c>
      <c r="AK14" s="539">
        <f t="shared" si="10"/>
        <v>0</v>
      </c>
      <c r="AL14" s="540">
        <f t="shared" si="122"/>
        <v>0</v>
      </c>
      <c r="AM14" s="538">
        <v>0</v>
      </c>
      <c r="AN14" s="539">
        <f t="shared" si="11"/>
        <v>0</v>
      </c>
      <c r="AO14" s="540">
        <f t="shared" si="123"/>
        <v>0</v>
      </c>
      <c r="AP14" s="538">
        <v>0</v>
      </c>
      <c r="AQ14" s="539">
        <f t="shared" si="12"/>
        <v>0</v>
      </c>
      <c r="AR14" s="540">
        <f t="shared" si="124"/>
        <v>0</v>
      </c>
      <c r="AS14" s="538"/>
      <c r="AT14" s="539">
        <f t="shared" si="13"/>
        <v>0</v>
      </c>
      <c r="AU14" s="540">
        <f t="shared" si="125"/>
        <v>0</v>
      </c>
      <c r="AV14" s="538">
        <v>8.2280000000000086</v>
      </c>
      <c r="AW14" s="539">
        <f t="shared" si="14"/>
        <v>0.11410345305782844</v>
      </c>
      <c r="AX14" s="540">
        <f t="shared" si="126"/>
        <v>0</v>
      </c>
      <c r="AY14" s="538">
        <v>77.325866666666627</v>
      </c>
      <c r="AZ14" s="539">
        <f t="shared" si="15"/>
        <v>1.0723320852401419</v>
      </c>
      <c r="BA14" s="540">
        <f t="shared" si="127"/>
        <v>0</v>
      </c>
      <c r="BB14" s="538">
        <v>0</v>
      </c>
      <c r="BC14" s="539">
        <f t="shared" si="16"/>
        <v>0</v>
      </c>
      <c r="BD14" s="540">
        <f t="shared" si="128"/>
        <v>0</v>
      </c>
      <c r="BE14" s="538"/>
      <c r="BF14" s="539">
        <f t="shared" si="17"/>
        <v>0</v>
      </c>
      <c r="BG14" s="540">
        <f t="shared" si="129"/>
        <v>0</v>
      </c>
      <c r="BH14" s="538"/>
      <c r="BI14" s="539">
        <f t="shared" si="18"/>
        <v>0</v>
      </c>
      <c r="BJ14" s="540">
        <f t="shared" si="130"/>
        <v>0</v>
      </c>
      <c r="BK14" s="538"/>
      <c r="BL14" s="539">
        <f t="shared" si="19"/>
        <v>0</v>
      </c>
      <c r="BM14" s="540">
        <f t="shared" si="131"/>
        <v>0</v>
      </c>
      <c r="BN14" s="538">
        <v>17.523809876543211</v>
      </c>
      <c r="BO14" s="539">
        <f t="shared" si="20"/>
        <v>0.24301497540622954</v>
      </c>
      <c r="BP14" s="540">
        <f t="shared" si="132"/>
        <v>0</v>
      </c>
      <c r="BQ14" s="538"/>
      <c r="BR14" s="539">
        <f t="shared" si="21"/>
        <v>0</v>
      </c>
      <c r="BS14" s="540">
        <f t="shared" si="133"/>
        <v>0</v>
      </c>
      <c r="BT14" s="538"/>
      <c r="BU14" s="539">
        <f t="shared" si="22"/>
        <v>0</v>
      </c>
      <c r="BV14" s="540">
        <f t="shared" si="134"/>
        <v>0</v>
      </c>
      <c r="BW14" s="538">
        <v>0.67999999999999972</v>
      </c>
      <c r="BX14" s="539">
        <f t="shared" si="23"/>
        <v>9.4300374427957242E-3</v>
      </c>
      <c r="BY14" s="540">
        <f t="shared" si="135"/>
        <v>0</v>
      </c>
      <c r="BZ14" s="538"/>
      <c r="CA14" s="539">
        <f t="shared" si="24"/>
        <v>0</v>
      </c>
      <c r="CB14" s="540">
        <f t="shared" si="136"/>
        <v>0</v>
      </c>
      <c r="CC14" s="538">
        <v>18.75</v>
      </c>
      <c r="CD14" s="539">
        <f t="shared" si="25"/>
        <v>0.26001941478297047</v>
      </c>
      <c r="CE14" s="540">
        <f t="shared" si="137"/>
        <v>0</v>
      </c>
      <c r="CF14" s="538">
        <v>0.1</v>
      </c>
      <c r="CG14" s="539">
        <f t="shared" si="26"/>
        <v>1.3867702121758425E-3</v>
      </c>
      <c r="CH14" s="540">
        <f t="shared" si="138"/>
        <v>0</v>
      </c>
      <c r="CI14" s="538"/>
      <c r="CJ14" s="539">
        <f t="shared" si="27"/>
        <v>0</v>
      </c>
      <c r="CK14" s="540">
        <f t="shared" si="139"/>
        <v>0</v>
      </c>
      <c r="CL14" s="538"/>
      <c r="CM14" s="539">
        <f t="shared" si="28"/>
        <v>0</v>
      </c>
      <c r="CN14" s="540">
        <f t="shared" si="140"/>
        <v>0</v>
      </c>
      <c r="CO14" s="538"/>
      <c r="CP14" s="539">
        <f t="shared" si="29"/>
        <v>0</v>
      </c>
      <c r="CQ14" s="540">
        <f t="shared" si="141"/>
        <v>0</v>
      </c>
      <c r="CR14" s="538"/>
      <c r="CS14" s="539">
        <f t="shared" si="30"/>
        <v>0</v>
      </c>
      <c r="CT14" s="540">
        <f t="shared" si="142"/>
        <v>0</v>
      </c>
      <c r="CU14" s="538"/>
      <c r="CV14" s="539">
        <f t="shared" si="31"/>
        <v>0</v>
      </c>
      <c r="CW14" s="540">
        <f t="shared" si="143"/>
        <v>0</v>
      </c>
      <c r="CX14" s="538"/>
      <c r="CY14" s="539">
        <f t="shared" si="32"/>
        <v>0</v>
      </c>
      <c r="CZ14" s="540">
        <f t="shared" si="144"/>
        <v>0</v>
      </c>
      <c r="DA14" s="538"/>
      <c r="DB14" s="539">
        <f t="shared" si="33"/>
        <v>0</v>
      </c>
      <c r="DC14" s="540">
        <f t="shared" si="145"/>
        <v>0</v>
      </c>
      <c r="DD14" s="538"/>
      <c r="DE14" s="539">
        <f t="shared" si="34"/>
        <v>0</v>
      </c>
      <c r="DF14" s="540">
        <f t="shared" si="146"/>
        <v>0</v>
      </c>
      <c r="DG14" s="538">
        <v>4.7249999999999996</v>
      </c>
      <c r="DH14" s="539">
        <f t="shared" si="35"/>
        <v>6.5524892525308548E-2</v>
      </c>
      <c r="DI14" s="540">
        <f t="shared" ref="DI14:DI39" si="203">+DG14*$H$8</f>
        <v>0</v>
      </c>
      <c r="DJ14" s="538"/>
      <c r="DK14" s="539">
        <f t="shared" si="36"/>
        <v>0</v>
      </c>
      <c r="DL14" s="540">
        <f t="shared" si="147"/>
        <v>0</v>
      </c>
      <c r="DM14" s="538"/>
      <c r="DN14" s="539">
        <f t="shared" si="37"/>
        <v>0</v>
      </c>
      <c r="DO14" s="540">
        <f t="shared" si="148"/>
        <v>0</v>
      </c>
      <c r="DP14" s="538"/>
      <c r="DQ14" s="539">
        <f t="shared" si="38"/>
        <v>0</v>
      </c>
      <c r="DR14" s="540">
        <f t="shared" si="149"/>
        <v>0</v>
      </c>
      <c r="DS14" s="538"/>
      <c r="DT14" s="539">
        <f t="shared" si="39"/>
        <v>0</v>
      </c>
      <c r="DU14" s="540">
        <f t="shared" si="150"/>
        <v>0</v>
      </c>
      <c r="DV14" s="538"/>
      <c r="DW14" s="539">
        <f t="shared" si="40"/>
        <v>0</v>
      </c>
      <c r="DX14" s="540">
        <f t="shared" si="151"/>
        <v>0</v>
      </c>
      <c r="DY14" s="538"/>
      <c r="DZ14" s="539">
        <f t="shared" si="41"/>
        <v>0</v>
      </c>
      <c r="EA14" s="540">
        <f t="shared" si="152"/>
        <v>0</v>
      </c>
      <c r="EB14" s="538">
        <v>28.758502325581276</v>
      </c>
      <c r="EC14" s="539">
        <f t="shared" si="42"/>
        <v>0.39881434371905805</v>
      </c>
      <c r="ED14" s="540">
        <f t="shared" si="153"/>
        <v>0</v>
      </c>
      <c r="EE14" s="538">
        <v>0</v>
      </c>
      <c r="EF14" s="539">
        <f t="shared" si="43"/>
        <v>0</v>
      </c>
      <c r="EG14" s="540">
        <f t="shared" si="154"/>
        <v>0</v>
      </c>
      <c r="EH14" s="538"/>
      <c r="EI14" s="539">
        <f t="shared" si="44"/>
        <v>0</v>
      </c>
      <c r="EJ14" s="540">
        <f t="shared" si="155"/>
        <v>0</v>
      </c>
      <c r="EK14" s="538"/>
      <c r="EL14" s="539">
        <f t="shared" si="45"/>
        <v>0</v>
      </c>
      <c r="EM14" s="540">
        <f t="shared" si="156"/>
        <v>0</v>
      </c>
      <c r="EN14" s="538"/>
      <c r="EO14" s="539">
        <f t="shared" si="46"/>
        <v>0</v>
      </c>
      <c r="EP14" s="540">
        <f t="shared" si="157"/>
        <v>0</v>
      </c>
      <c r="EQ14" s="538"/>
      <c r="ER14" s="539">
        <f t="shared" si="47"/>
        <v>0</v>
      </c>
      <c r="ES14" s="540">
        <f t="shared" si="158"/>
        <v>0</v>
      </c>
      <c r="ET14" s="538"/>
      <c r="EU14" s="539">
        <f t="shared" si="48"/>
        <v>0</v>
      </c>
      <c r="EV14" s="540">
        <f t="shared" si="159"/>
        <v>0</v>
      </c>
      <c r="EW14" s="538"/>
      <c r="EX14" s="539">
        <f t="shared" si="49"/>
        <v>0</v>
      </c>
      <c r="EY14" s="540">
        <f t="shared" si="160"/>
        <v>0</v>
      </c>
      <c r="EZ14" s="538"/>
      <c r="FA14" s="539">
        <f t="shared" si="50"/>
        <v>0</v>
      </c>
      <c r="FB14" s="540">
        <f t="shared" si="161"/>
        <v>0</v>
      </c>
      <c r="FC14" s="538"/>
      <c r="FD14" s="539">
        <f t="shared" si="51"/>
        <v>0</v>
      </c>
      <c r="FE14" s="540">
        <f t="shared" si="162"/>
        <v>0</v>
      </c>
      <c r="FF14" s="538"/>
      <c r="FG14" s="539">
        <f t="shared" si="52"/>
        <v>0</v>
      </c>
      <c r="FH14" s="540">
        <f t="shared" si="163"/>
        <v>0</v>
      </c>
      <c r="FI14" s="538"/>
      <c r="FJ14" s="539">
        <f t="shared" si="53"/>
        <v>0</v>
      </c>
      <c r="FK14" s="540">
        <f t="shared" si="164"/>
        <v>0</v>
      </c>
      <c r="FL14" s="538"/>
      <c r="FM14" s="539">
        <f t="shared" si="54"/>
        <v>0</v>
      </c>
      <c r="FN14" s="540">
        <f t="shared" si="165"/>
        <v>0</v>
      </c>
      <c r="FO14" s="538"/>
      <c r="FP14" s="539">
        <f t="shared" si="55"/>
        <v>0</v>
      </c>
      <c r="FQ14" s="540">
        <f t="shared" si="166"/>
        <v>0</v>
      </c>
      <c r="FR14" s="538"/>
      <c r="FS14" s="539">
        <f t="shared" si="56"/>
        <v>0</v>
      </c>
      <c r="FT14" s="540">
        <f t="shared" si="167"/>
        <v>0</v>
      </c>
      <c r="FU14" s="538"/>
      <c r="FV14" s="539">
        <f t="shared" si="57"/>
        <v>0</v>
      </c>
      <c r="FW14" s="540">
        <f t="shared" si="168"/>
        <v>0</v>
      </c>
      <c r="FX14" s="538"/>
      <c r="FY14" s="539">
        <f t="shared" si="58"/>
        <v>0</v>
      </c>
      <c r="FZ14" s="540">
        <f t="shared" si="169"/>
        <v>0</v>
      </c>
      <c r="GA14" s="538"/>
      <c r="GB14" s="539">
        <f t="shared" si="59"/>
        <v>0</v>
      </c>
      <c r="GC14" s="540">
        <f t="shared" si="170"/>
        <v>0</v>
      </c>
      <c r="GD14" s="538"/>
      <c r="GE14" s="539">
        <f t="shared" si="60"/>
        <v>0</v>
      </c>
      <c r="GF14" s="540">
        <f t="shared" si="171"/>
        <v>0</v>
      </c>
      <c r="GG14" s="538"/>
      <c r="GH14" s="539">
        <f t="shared" si="61"/>
        <v>0</v>
      </c>
      <c r="GI14" s="540">
        <f t="shared" si="172"/>
        <v>0</v>
      </c>
      <c r="GJ14" s="538"/>
      <c r="GK14" s="539">
        <f t="shared" si="62"/>
        <v>0</v>
      </c>
      <c r="GL14" s="540">
        <f t="shared" si="173"/>
        <v>0</v>
      </c>
      <c r="GM14" s="538"/>
      <c r="GN14" s="539">
        <f t="shared" si="63"/>
        <v>0</v>
      </c>
      <c r="GO14" s="540">
        <f t="shared" si="174"/>
        <v>0</v>
      </c>
      <c r="GP14" s="538"/>
      <c r="GQ14" s="539">
        <f t="shared" si="64"/>
        <v>0</v>
      </c>
      <c r="GR14" s="540">
        <f t="shared" si="175"/>
        <v>0</v>
      </c>
      <c r="GS14" s="538"/>
      <c r="GT14" s="539">
        <f t="shared" si="65"/>
        <v>0</v>
      </c>
      <c r="GU14" s="540">
        <f t="shared" si="176"/>
        <v>0</v>
      </c>
      <c r="GV14" s="538"/>
      <c r="GW14" s="539">
        <f t="shared" si="66"/>
        <v>0</v>
      </c>
      <c r="GX14" s="540">
        <f t="shared" si="177"/>
        <v>0</v>
      </c>
      <c r="GY14" s="538"/>
      <c r="GZ14" s="539">
        <f t="shared" si="67"/>
        <v>0</v>
      </c>
      <c r="HA14" s="540">
        <f t="shared" si="178"/>
        <v>0</v>
      </c>
      <c r="HB14" s="538"/>
      <c r="HC14" s="539">
        <f t="shared" si="68"/>
        <v>0</v>
      </c>
      <c r="HD14" s="540">
        <f t="shared" si="179"/>
        <v>0</v>
      </c>
      <c r="HE14" s="538"/>
      <c r="HF14" s="539">
        <f t="shared" si="69"/>
        <v>0</v>
      </c>
      <c r="HG14" s="540">
        <f t="shared" si="180"/>
        <v>0</v>
      </c>
      <c r="HH14" s="538"/>
      <c r="HI14" s="539">
        <f t="shared" si="70"/>
        <v>0</v>
      </c>
      <c r="HJ14" s="540">
        <f t="shared" si="181"/>
        <v>0</v>
      </c>
      <c r="HK14" s="538"/>
      <c r="HL14" s="539">
        <f t="shared" si="71"/>
        <v>0</v>
      </c>
      <c r="HM14" s="540">
        <f t="shared" si="182"/>
        <v>0</v>
      </c>
      <c r="HN14" s="538"/>
      <c r="HO14" s="539">
        <f t="shared" si="72"/>
        <v>0</v>
      </c>
      <c r="HP14" s="540">
        <f t="shared" si="183"/>
        <v>0</v>
      </c>
      <c r="HQ14" s="538"/>
      <c r="HR14" s="539">
        <f t="shared" si="73"/>
        <v>0</v>
      </c>
      <c r="HS14" s="540">
        <f t="shared" si="184"/>
        <v>0</v>
      </c>
      <c r="HT14" s="538"/>
      <c r="HU14" s="539">
        <f t="shared" si="74"/>
        <v>0</v>
      </c>
      <c r="HV14" s="540">
        <f t="shared" si="185"/>
        <v>0</v>
      </c>
      <c r="HW14" s="538"/>
      <c r="HX14" s="539">
        <f t="shared" si="75"/>
        <v>0</v>
      </c>
      <c r="HY14" s="540">
        <f t="shared" si="186"/>
        <v>0</v>
      </c>
      <c r="HZ14" s="538"/>
      <c r="IA14" s="539">
        <f t="shared" si="76"/>
        <v>0</v>
      </c>
      <c r="IB14" s="540">
        <f t="shared" si="187"/>
        <v>0</v>
      </c>
      <c r="IC14" s="538"/>
      <c r="ID14" s="539">
        <f t="shared" si="77"/>
        <v>0</v>
      </c>
      <c r="IE14" s="540">
        <f t="shared" si="188"/>
        <v>0</v>
      </c>
      <c r="IF14" s="538"/>
      <c r="IG14" s="539">
        <f t="shared" si="78"/>
        <v>0</v>
      </c>
      <c r="IH14" s="540">
        <f t="shared" si="189"/>
        <v>0</v>
      </c>
      <c r="II14" s="538"/>
      <c r="IJ14" s="539">
        <f t="shared" si="79"/>
        <v>0</v>
      </c>
      <c r="IK14" s="540">
        <f t="shared" si="190"/>
        <v>0</v>
      </c>
      <c r="IL14" s="538"/>
      <c r="IM14" s="539">
        <f t="shared" si="80"/>
        <v>0</v>
      </c>
      <c r="IN14" s="540">
        <f t="shared" si="191"/>
        <v>0</v>
      </c>
      <c r="IO14" s="538"/>
      <c r="IP14" s="539">
        <f t="shared" si="81"/>
        <v>0</v>
      </c>
      <c r="IQ14" s="540">
        <f t="shared" si="192"/>
        <v>0</v>
      </c>
      <c r="IR14" s="538"/>
      <c r="IS14" s="539">
        <f t="shared" si="82"/>
        <v>0</v>
      </c>
      <c r="IT14" s="540">
        <f t="shared" si="193"/>
        <v>0</v>
      </c>
      <c r="IU14" s="538"/>
      <c r="IV14" s="539">
        <f t="shared" si="83"/>
        <v>0</v>
      </c>
      <c r="IW14" s="540">
        <f t="shared" si="194"/>
        <v>0</v>
      </c>
      <c r="IX14" s="538"/>
      <c r="IY14" s="539">
        <f t="shared" si="84"/>
        <v>0</v>
      </c>
      <c r="IZ14" s="540">
        <f t="shared" si="195"/>
        <v>0</v>
      </c>
      <c r="JA14" s="538"/>
      <c r="JB14" s="539">
        <f t="shared" si="85"/>
        <v>0</v>
      </c>
      <c r="JC14" s="540">
        <f t="shared" si="196"/>
        <v>0</v>
      </c>
      <c r="JD14" s="538"/>
      <c r="JE14" s="539">
        <f t="shared" si="86"/>
        <v>0</v>
      </c>
      <c r="JF14" s="540">
        <f t="shared" si="197"/>
        <v>0</v>
      </c>
      <c r="JG14" s="538"/>
      <c r="JH14" s="539">
        <f t="shared" si="87"/>
        <v>0</v>
      </c>
      <c r="JI14" s="540">
        <f t="shared" si="198"/>
        <v>0</v>
      </c>
      <c r="JJ14" s="538"/>
      <c r="JK14" s="540" t="str">
        <f t="shared" si="88"/>
        <v>0</v>
      </c>
      <c r="JL14" s="540" t="str">
        <f t="shared" si="89"/>
        <v>0</v>
      </c>
      <c r="JM14" s="538"/>
      <c r="JN14" s="540" t="str">
        <f t="shared" si="90"/>
        <v>0</v>
      </c>
      <c r="JO14" s="540" t="str">
        <f t="shared" si="91"/>
        <v>0</v>
      </c>
      <c r="JP14" s="538"/>
      <c r="JQ14" s="540" t="str">
        <f t="shared" si="92"/>
        <v>0</v>
      </c>
      <c r="JR14" s="540" t="str">
        <f t="shared" si="93"/>
        <v>0</v>
      </c>
      <c r="JS14" s="538"/>
      <c r="JT14" s="540" t="str">
        <f t="shared" si="94"/>
        <v>0</v>
      </c>
      <c r="JU14" s="540" t="str">
        <f t="shared" si="95"/>
        <v>0</v>
      </c>
      <c r="JV14" s="538"/>
      <c r="JW14" s="540" t="str">
        <f t="shared" si="96"/>
        <v>0</v>
      </c>
      <c r="JX14" s="540" t="str">
        <f t="shared" si="97"/>
        <v>0</v>
      </c>
      <c r="JY14" s="538"/>
      <c r="JZ14" s="540" t="str">
        <f t="shared" si="98"/>
        <v>0</v>
      </c>
      <c r="KA14" s="540" t="str">
        <f t="shared" si="99"/>
        <v>0</v>
      </c>
      <c r="KB14" s="538"/>
      <c r="KC14" s="540" t="str">
        <f t="shared" si="100"/>
        <v>0</v>
      </c>
      <c r="KD14" s="540" t="str">
        <f t="shared" si="101"/>
        <v>0</v>
      </c>
      <c r="KE14" s="538"/>
      <c r="KF14" s="540" t="str">
        <f t="shared" si="102"/>
        <v>0</v>
      </c>
      <c r="KG14" s="540" t="str">
        <f t="shared" si="103"/>
        <v>0</v>
      </c>
      <c r="KH14" s="538"/>
      <c r="KI14" s="540" t="str">
        <f t="shared" si="104"/>
        <v>0</v>
      </c>
      <c r="KJ14" s="540" t="str">
        <f t="shared" si="105"/>
        <v>0</v>
      </c>
      <c r="KK14" s="538"/>
      <c r="KL14" s="540" t="str">
        <f t="shared" si="106"/>
        <v>0</v>
      </c>
      <c r="KM14" s="540" t="str">
        <f t="shared" si="107"/>
        <v>0</v>
      </c>
      <c r="KN14" s="538"/>
      <c r="KO14" s="540" t="str">
        <f t="shared" si="108"/>
        <v>0</v>
      </c>
      <c r="KP14" s="540" t="str">
        <f t="shared" si="109"/>
        <v>0</v>
      </c>
      <c r="KQ14" s="538"/>
      <c r="KR14" s="540" t="str">
        <f t="shared" si="110"/>
        <v>0</v>
      </c>
      <c r="KS14" s="540" t="str">
        <f t="shared" si="111"/>
        <v>0</v>
      </c>
      <c r="KT14" s="540">
        <f t="shared" si="201"/>
        <v>0</v>
      </c>
      <c r="KU14" s="540">
        <f t="shared" si="202"/>
        <v>0</v>
      </c>
      <c r="KV14" s="275">
        <f t="shared" si="199"/>
        <v>901.77541607809349</v>
      </c>
    </row>
    <row r="15" spans="1:308" ht="15" customHeight="1">
      <c r="A15" s="277">
        <f t="shared" si="200"/>
        <v>45998</v>
      </c>
      <c r="B15" s="278" t="str">
        <f>+Report1!B15</f>
        <v>MG</v>
      </c>
      <c r="C15" s="420" t="str">
        <f>+Report1!C15</f>
        <v>14/19</v>
      </c>
      <c r="D15" s="279">
        <f>+Report1!P15</f>
        <v>70.668999999999997</v>
      </c>
      <c r="E15" s="280">
        <f>+Report1!R15</f>
        <v>74.795000000000002</v>
      </c>
      <c r="F15" s="538">
        <v>135.16020000000003</v>
      </c>
      <c r="G15" s="539">
        <f t="shared" si="0"/>
        <v>1.8070753392606462</v>
      </c>
      <c r="H15" s="540">
        <f t="shared" si="112"/>
        <v>0</v>
      </c>
      <c r="I15" s="538">
        <v>611.14319999999987</v>
      </c>
      <c r="J15" s="539">
        <f t="shared" si="1"/>
        <v>8.1709098201751438</v>
      </c>
      <c r="K15" s="540">
        <f t="shared" si="113"/>
        <v>0</v>
      </c>
      <c r="L15" s="538"/>
      <c r="M15" s="539">
        <f t="shared" si="2"/>
        <v>0</v>
      </c>
      <c r="N15" s="540">
        <f t="shared" si="114"/>
        <v>0</v>
      </c>
      <c r="O15" s="538">
        <v>9.0944000000000074</v>
      </c>
      <c r="P15" s="539">
        <f t="shared" si="3"/>
        <v>0.12159101544220879</v>
      </c>
      <c r="Q15" s="540">
        <f t="shared" si="115"/>
        <v>0</v>
      </c>
      <c r="R15" s="538"/>
      <c r="S15" s="539">
        <f t="shared" si="4"/>
        <v>0</v>
      </c>
      <c r="T15" s="540">
        <f t="shared" si="116"/>
        <v>0</v>
      </c>
      <c r="U15" s="538">
        <v>6.478699999999975</v>
      </c>
      <c r="V15" s="539">
        <f t="shared" si="5"/>
        <v>8.6619426432247806E-2</v>
      </c>
      <c r="W15" s="540">
        <f t="shared" si="117"/>
        <v>0</v>
      </c>
      <c r="X15" s="538"/>
      <c r="Y15" s="539">
        <f t="shared" si="6"/>
        <v>0</v>
      </c>
      <c r="Z15" s="540">
        <f t="shared" si="118"/>
        <v>0</v>
      </c>
      <c r="AA15" s="538"/>
      <c r="AB15" s="539">
        <f t="shared" si="7"/>
        <v>0</v>
      </c>
      <c r="AC15" s="540">
        <f t="shared" si="119"/>
        <v>0</v>
      </c>
      <c r="AD15" s="538"/>
      <c r="AE15" s="539">
        <f t="shared" si="8"/>
        <v>0</v>
      </c>
      <c r="AF15" s="540">
        <f t="shared" si="120"/>
        <v>0</v>
      </c>
      <c r="AG15" s="538"/>
      <c r="AH15" s="539">
        <f t="shared" si="9"/>
        <v>0</v>
      </c>
      <c r="AI15" s="540">
        <f t="shared" si="121"/>
        <v>0</v>
      </c>
      <c r="AJ15" s="538">
        <v>0</v>
      </c>
      <c r="AK15" s="539">
        <f t="shared" si="10"/>
        <v>0</v>
      </c>
      <c r="AL15" s="540">
        <f t="shared" si="122"/>
        <v>0</v>
      </c>
      <c r="AM15" s="538">
        <v>0</v>
      </c>
      <c r="AN15" s="539">
        <f t="shared" si="11"/>
        <v>0</v>
      </c>
      <c r="AO15" s="540">
        <f t="shared" si="123"/>
        <v>0</v>
      </c>
      <c r="AP15" s="538">
        <v>0</v>
      </c>
      <c r="AQ15" s="539">
        <f t="shared" si="12"/>
        <v>0</v>
      </c>
      <c r="AR15" s="540">
        <f t="shared" si="124"/>
        <v>0</v>
      </c>
      <c r="AS15" s="538"/>
      <c r="AT15" s="539">
        <f t="shared" si="13"/>
        <v>0</v>
      </c>
      <c r="AU15" s="540">
        <f t="shared" si="125"/>
        <v>0</v>
      </c>
      <c r="AV15" s="538">
        <v>0</v>
      </c>
      <c r="AW15" s="539">
        <f t="shared" si="14"/>
        <v>0</v>
      </c>
      <c r="AX15" s="540">
        <f t="shared" si="126"/>
        <v>0</v>
      </c>
      <c r="AY15" s="538">
        <v>79.009599999999978</v>
      </c>
      <c r="AZ15" s="539">
        <f t="shared" si="15"/>
        <v>1.0563486864095191</v>
      </c>
      <c r="BA15" s="540">
        <f t="shared" si="127"/>
        <v>0</v>
      </c>
      <c r="BB15" s="538">
        <v>0</v>
      </c>
      <c r="BC15" s="539">
        <f t="shared" si="16"/>
        <v>0</v>
      </c>
      <c r="BD15" s="540">
        <f t="shared" si="128"/>
        <v>0</v>
      </c>
      <c r="BE15" s="538"/>
      <c r="BF15" s="539">
        <f t="shared" si="17"/>
        <v>0</v>
      </c>
      <c r="BG15" s="540">
        <f t="shared" si="129"/>
        <v>0</v>
      </c>
      <c r="BH15" s="538"/>
      <c r="BI15" s="539">
        <f t="shared" si="18"/>
        <v>0</v>
      </c>
      <c r="BJ15" s="540">
        <f t="shared" si="130"/>
        <v>0</v>
      </c>
      <c r="BK15" s="538"/>
      <c r="BL15" s="539">
        <f t="shared" si="19"/>
        <v>0</v>
      </c>
      <c r="BM15" s="540">
        <f t="shared" si="131"/>
        <v>0</v>
      </c>
      <c r="BN15" s="538">
        <v>17.907300000000006</v>
      </c>
      <c r="BO15" s="539">
        <f t="shared" si="20"/>
        <v>0.23941841032154565</v>
      </c>
      <c r="BP15" s="540">
        <f t="shared" si="132"/>
        <v>0</v>
      </c>
      <c r="BQ15" s="538"/>
      <c r="BR15" s="539">
        <f t="shared" si="21"/>
        <v>0</v>
      </c>
      <c r="BS15" s="540">
        <f t="shared" si="133"/>
        <v>0</v>
      </c>
      <c r="BT15" s="538"/>
      <c r="BU15" s="539">
        <f t="shared" si="22"/>
        <v>0</v>
      </c>
      <c r="BV15" s="540">
        <f t="shared" si="134"/>
        <v>0</v>
      </c>
      <c r="BW15" s="538">
        <v>0.67999999999999972</v>
      </c>
      <c r="BX15" s="539">
        <f t="shared" si="23"/>
        <v>9.0915168126211605E-3</v>
      </c>
      <c r="BY15" s="540">
        <f t="shared" si="135"/>
        <v>0</v>
      </c>
      <c r="BZ15" s="538"/>
      <c r="CA15" s="539">
        <f t="shared" si="24"/>
        <v>0</v>
      </c>
      <c r="CB15" s="540">
        <f t="shared" si="136"/>
        <v>0</v>
      </c>
      <c r="CC15" s="538">
        <v>18.75</v>
      </c>
      <c r="CD15" s="539">
        <f t="shared" si="25"/>
        <v>0.250685206230363</v>
      </c>
      <c r="CE15" s="540">
        <f t="shared" si="137"/>
        <v>0</v>
      </c>
      <c r="CF15" s="538">
        <v>0.1</v>
      </c>
      <c r="CG15" s="539">
        <f t="shared" si="26"/>
        <v>1.3369877665619361E-3</v>
      </c>
      <c r="CH15" s="540">
        <f t="shared" si="138"/>
        <v>0</v>
      </c>
      <c r="CI15" s="538"/>
      <c r="CJ15" s="539">
        <f t="shared" si="27"/>
        <v>0</v>
      </c>
      <c r="CK15" s="540">
        <f t="shared" si="139"/>
        <v>0</v>
      </c>
      <c r="CL15" s="538"/>
      <c r="CM15" s="539">
        <f t="shared" si="28"/>
        <v>0</v>
      </c>
      <c r="CN15" s="540">
        <f t="shared" si="140"/>
        <v>0</v>
      </c>
      <c r="CO15" s="538"/>
      <c r="CP15" s="539">
        <f t="shared" si="29"/>
        <v>0</v>
      </c>
      <c r="CQ15" s="540">
        <f t="shared" si="141"/>
        <v>0</v>
      </c>
      <c r="CR15" s="538"/>
      <c r="CS15" s="539">
        <f t="shared" si="30"/>
        <v>0</v>
      </c>
      <c r="CT15" s="540">
        <f t="shared" si="142"/>
        <v>0</v>
      </c>
      <c r="CU15" s="538"/>
      <c r="CV15" s="539">
        <f t="shared" si="31"/>
        <v>0</v>
      </c>
      <c r="CW15" s="540">
        <f t="shared" si="143"/>
        <v>0</v>
      </c>
      <c r="CX15" s="538"/>
      <c r="CY15" s="539">
        <f t="shared" si="32"/>
        <v>0</v>
      </c>
      <c r="CZ15" s="540">
        <f t="shared" si="144"/>
        <v>0</v>
      </c>
      <c r="DA15" s="538"/>
      <c r="DB15" s="539">
        <f t="shared" si="33"/>
        <v>0</v>
      </c>
      <c r="DC15" s="540">
        <f t="shared" si="145"/>
        <v>0</v>
      </c>
      <c r="DD15" s="538"/>
      <c r="DE15" s="539">
        <f t="shared" si="34"/>
        <v>0</v>
      </c>
      <c r="DF15" s="540">
        <f t="shared" si="146"/>
        <v>0</v>
      </c>
      <c r="DG15" s="538">
        <v>4.7249999999999996</v>
      </c>
      <c r="DH15" s="539">
        <f t="shared" si="35"/>
        <v>6.3172671970051469E-2</v>
      </c>
      <c r="DI15" s="540">
        <f t="shared" si="203"/>
        <v>0</v>
      </c>
      <c r="DJ15" s="538"/>
      <c r="DK15" s="539">
        <f t="shared" si="36"/>
        <v>0</v>
      </c>
      <c r="DL15" s="540">
        <f t="shared" si="147"/>
        <v>0</v>
      </c>
      <c r="DM15" s="538"/>
      <c r="DN15" s="539">
        <f t="shared" si="37"/>
        <v>0</v>
      </c>
      <c r="DO15" s="540">
        <f t="shared" si="148"/>
        <v>0</v>
      </c>
      <c r="DP15" s="538"/>
      <c r="DQ15" s="539">
        <f t="shared" si="38"/>
        <v>0</v>
      </c>
      <c r="DR15" s="540">
        <f t="shared" si="149"/>
        <v>0</v>
      </c>
      <c r="DS15" s="538"/>
      <c r="DT15" s="539">
        <f t="shared" si="39"/>
        <v>0</v>
      </c>
      <c r="DU15" s="540">
        <f t="shared" si="150"/>
        <v>0</v>
      </c>
      <c r="DV15" s="538"/>
      <c r="DW15" s="539">
        <f t="shared" si="40"/>
        <v>0</v>
      </c>
      <c r="DX15" s="540">
        <f t="shared" si="151"/>
        <v>0</v>
      </c>
      <c r="DY15" s="538"/>
      <c r="DZ15" s="539">
        <f t="shared" si="41"/>
        <v>0</v>
      </c>
      <c r="EA15" s="540">
        <f t="shared" si="152"/>
        <v>0</v>
      </c>
      <c r="EB15" s="538">
        <v>29.375600000000077</v>
      </c>
      <c r="EC15" s="539">
        <f t="shared" si="42"/>
        <v>0.39274817835416909</v>
      </c>
      <c r="ED15" s="540">
        <f t="shared" si="153"/>
        <v>0</v>
      </c>
      <c r="EE15" s="538">
        <v>0</v>
      </c>
      <c r="EF15" s="539">
        <f t="shared" si="43"/>
        <v>0</v>
      </c>
      <c r="EG15" s="540">
        <f t="shared" si="154"/>
        <v>0</v>
      </c>
      <c r="EH15" s="538"/>
      <c r="EI15" s="539">
        <f t="shared" si="44"/>
        <v>0</v>
      </c>
      <c r="EJ15" s="540">
        <f t="shared" si="155"/>
        <v>0</v>
      </c>
      <c r="EK15" s="538"/>
      <c r="EL15" s="539">
        <f t="shared" si="45"/>
        <v>0</v>
      </c>
      <c r="EM15" s="540">
        <f t="shared" si="156"/>
        <v>0</v>
      </c>
      <c r="EN15" s="538"/>
      <c r="EO15" s="539">
        <f t="shared" si="46"/>
        <v>0</v>
      </c>
      <c r="EP15" s="540">
        <f t="shared" si="157"/>
        <v>0</v>
      </c>
      <c r="EQ15" s="538"/>
      <c r="ER15" s="539">
        <f t="shared" si="47"/>
        <v>0</v>
      </c>
      <c r="ES15" s="540">
        <f t="shared" si="158"/>
        <v>0</v>
      </c>
      <c r="ET15" s="538"/>
      <c r="EU15" s="539">
        <f t="shared" si="48"/>
        <v>0</v>
      </c>
      <c r="EV15" s="540">
        <f t="shared" si="159"/>
        <v>0</v>
      </c>
      <c r="EW15" s="538"/>
      <c r="EX15" s="539">
        <f t="shared" si="49"/>
        <v>0</v>
      </c>
      <c r="EY15" s="540">
        <f t="shared" si="160"/>
        <v>0</v>
      </c>
      <c r="EZ15" s="538"/>
      <c r="FA15" s="539">
        <f t="shared" si="50"/>
        <v>0</v>
      </c>
      <c r="FB15" s="540">
        <f t="shared" si="161"/>
        <v>0</v>
      </c>
      <c r="FC15" s="538"/>
      <c r="FD15" s="539">
        <f t="shared" si="51"/>
        <v>0</v>
      </c>
      <c r="FE15" s="540">
        <f t="shared" si="162"/>
        <v>0</v>
      </c>
      <c r="FF15" s="538"/>
      <c r="FG15" s="539">
        <f t="shared" si="52"/>
        <v>0</v>
      </c>
      <c r="FH15" s="540">
        <f t="shared" si="163"/>
        <v>0</v>
      </c>
      <c r="FI15" s="538"/>
      <c r="FJ15" s="539">
        <f t="shared" si="53"/>
        <v>0</v>
      </c>
      <c r="FK15" s="540">
        <f t="shared" si="164"/>
        <v>0</v>
      </c>
      <c r="FL15" s="538"/>
      <c r="FM15" s="539">
        <f t="shared" si="54"/>
        <v>0</v>
      </c>
      <c r="FN15" s="540">
        <f t="shared" si="165"/>
        <v>0</v>
      </c>
      <c r="FO15" s="538"/>
      <c r="FP15" s="539">
        <f t="shared" si="55"/>
        <v>0</v>
      </c>
      <c r="FQ15" s="540">
        <f t="shared" si="166"/>
        <v>0</v>
      </c>
      <c r="FR15" s="538"/>
      <c r="FS15" s="539">
        <f t="shared" si="56"/>
        <v>0</v>
      </c>
      <c r="FT15" s="540">
        <f t="shared" si="167"/>
        <v>0</v>
      </c>
      <c r="FU15" s="538"/>
      <c r="FV15" s="539">
        <f t="shared" si="57"/>
        <v>0</v>
      </c>
      <c r="FW15" s="540">
        <f t="shared" si="168"/>
        <v>0</v>
      </c>
      <c r="FX15" s="538"/>
      <c r="FY15" s="539">
        <f t="shared" si="58"/>
        <v>0</v>
      </c>
      <c r="FZ15" s="540">
        <f t="shared" si="169"/>
        <v>0</v>
      </c>
      <c r="GA15" s="538"/>
      <c r="GB15" s="539">
        <f t="shared" si="59"/>
        <v>0</v>
      </c>
      <c r="GC15" s="540">
        <f t="shared" si="170"/>
        <v>0</v>
      </c>
      <c r="GD15" s="538"/>
      <c r="GE15" s="539">
        <f t="shared" si="60"/>
        <v>0</v>
      </c>
      <c r="GF15" s="540">
        <f t="shared" si="171"/>
        <v>0</v>
      </c>
      <c r="GG15" s="538"/>
      <c r="GH15" s="539">
        <f t="shared" si="61"/>
        <v>0</v>
      </c>
      <c r="GI15" s="540">
        <f t="shared" si="172"/>
        <v>0</v>
      </c>
      <c r="GJ15" s="538"/>
      <c r="GK15" s="539">
        <f t="shared" si="62"/>
        <v>0</v>
      </c>
      <c r="GL15" s="540">
        <f t="shared" si="173"/>
        <v>0</v>
      </c>
      <c r="GM15" s="538"/>
      <c r="GN15" s="539">
        <f t="shared" si="63"/>
        <v>0</v>
      </c>
      <c r="GO15" s="540">
        <f t="shared" si="174"/>
        <v>0</v>
      </c>
      <c r="GP15" s="538"/>
      <c r="GQ15" s="539">
        <f t="shared" si="64"/>
        <v>0</v>
      </c>
      <c r="GR15" s="540">
        <f t="shared" si="175"/>
        <v>0</v>
      </c>
      <c r="GS15" s="538"/>
      <c r="GT15" s="539">
        <f t="shared" si="65"/>
        <v>0</v>
      </c>
      <c r="GU15" s="540">
        <f t="shared" si="176"/>
        <v>0</v>
      </c>
      <c r="GV15" s="538"/>
      <c r="GW15" s="539">
        <f t="shared" si="66"/>
        <v>0</v>
      </c>
      <c r="GX15" s="540">
        <f t="shared" si="177"/>
        <v>0</v>
      </c>
      <c r="GY15" s="538"/>
      <c r="GZ15" s="539">
        <f t="shared" si="67"/>
        <v>0</v>
      </c>
      <c r="HA15" s="540">
        <f t="shared" si="178"/>
        <v>0</v>
      </c>
      <c r="HB15" s="538"/>
      <c r="HC15" s="539">
        <f t="shared" si="68"/>
        <v>0</v>
      </c>
      <c r="HD15" s="540">
        <f t="shared" si="179"/>
        <v>0</v>
      </c>
      <c r="HE15" s="538"/>
      <c r="HF15" s="539">
        <f t="shared" si="69"/>
        <v>0</v>
      </c>
      <c r="HG15" s="540">
        <f t="shared" si="180"/>
        <v>0</v>
      </c>
      <c r="HH15" s="538"/>
      <c r="HI15" s="539">
        <f t="shared" si="70"/>
        <v>0</v>
      </c>
      <c r="HJ15" s="540">
        <f t="shared" si="181"/>
        <v>0</v>
      </c>
      <c r="HK15" s="538"/>
      <c r="HL15" s="539">
        <f t="shared" si="71"/>
        <v>0</v>
      </c>
      <c r="HM15" s="540">
        <f t="shared" si="182"/>
        <v>0</v>
      </c>
      <c r="HN15" s="538"/>
      <c r="HO15" s="539">
        <f t="shared" si="72"/>
        <v>0</v>
      </c>
      <c r="HP15" s="540">
        <f t="shared" si="183"/>
        <v>0</v>
      </c>
      <c r="HQ15" s="538"/>
      <c r="HR15" s="539">
        <f t="shared" si="73"/>
        <v>0</v>
      </c>
      <c r="HS15" s="540">
        <f t="shared" si="184"/>
        <v>0</v>
      </c>
      <c r="HT15" s="538"/>
      <c r="HU15" s="539">
        <f t="shared" si="74"/>
        <v>0</v>
      </c>
      <c r="HV15" s="540">
        <f t="shared" si="185"/>
        <v>0</v>
      </c>
      <c r="HW15" s="538"/>
      <c r="HX15" s="539">
        <f t="shared" si="75"/>
        <v>0</v>
      </c>
      <c r="HY15" s="540">
        <f t="shared" si="186"/>
        <v>0</v>
      </c>
      <c r="HZ15" s="538"/>
      <c r="IA15" s="539">
        <f t="shared" si="76"/>
        <v>0</v>
      </c>
      <c r="IB15" s="540">
        <f t="shared" si="187"/>
        <v>0</v>
      </c>
      <c r="IC15" s="538"/>
      <c r="ID15" s="539">
        <f t="shared" si="77"/>
        <v>0</v>
      </c>
      <c r="IE15" s="540">
        <f t="shared" si="188"/>
        <v>0</v>
      </c>
      <c r="IF15" s="538"/>
      <c r="IG15" s="539">
        <f t="shared" si="78"/>
        <v>0</v>
      </c>
      <c r="IH15" s="540">
        <f t="shared" si="189"/>
        <v>0</v>
      </c>
      <c r="II15" s="538"/>
      <c r="IJ15" s="539">
        <f t="shared" si="79"/>
        <v>0</v>
      </c>
      <c r="IK15" s="540">
        <f t="shared" si="190"/>
        <v>0</v>
      </c>
      <c r="IL15" s="538"/>
      <c r="IM15" s="539">
        <f t="shared" si="80"/>
        <v>0</v>
      </c>
      <c r="IN15" s="540">
        <f t="shared" si="191"/>
        <v>0</v>
      </c>
      <c r="IO15" s="538"/>
      <c r="IP15" s="539">
        <f t="shared" si="81"/>
        <v>0</v>
      </c>
      <c r="IQ15" s="540">
        <f t="shared" si="192"/>
        <v>0</v>
      </c>
      <c r="IR15" s="538"/>
      <c r="IS15" s="539">
        <f t="shared" si="82"/>
        <v>0</v>
      </c>
      <c r="IT15" s="540">
        <f t="shared" si="193"/>
        <v>0</v>
      </c>
      <c r="IU15" s="538"/>
      <c r="IV15" s="539">
        <f t="shared" si="83"/>
        <v>0</v>
      </c>
      <c r="IW15" s="540">
        <f t="shared" si="194"/>
        <v>0</v>
      </c>
      <c r="IX15" s="538"/>
      <c r="IY15" s="539">
        <f t="shared" si="84"/>
        <v>0</v>
      </c>
      <c r="IZ15" s="540">
        <f t="shared" si="195"/>
        <v>0</v>
      </c>
      <c r="JA15" s="538"/>
      <c r="JB15" s="539">
        <f t="shared" si="85"/>
        <v>0</v>
      </c>
      <c r="JC15" s="540">
        <f t="shared" si="196"/>
        <v>0</v>
      </c>
      <c r="JD15" s="538"/>
      <c r="JE15" s="539">
        <f t="shared" si="86"/>
        <v>0</v>
      </c>
      <c r="JF15" s="540">
        <f t="shared" si="197"/>
        <v>0</v>
      </c>
      <c r="JG15" s="538"/>
      <c r="JH15" s="539">
        <f t="shared" si="87"/>
        <v>0</v>
      </c>
      <c r="JI15" s="540">
        <f t="shared" si="198"/>
        <v>0</v>
      </c>
      <c r="JJ15" s="538"/>
      <c r="JK15" s="540" t="str">
        <f t="shared" si="88"/>
        <v>0</v>
      </c>
      <c r="JL15" s="540" t="str">
        <f t="shared" si="89"/>
        <v>0</v>
      </c>
      <c r="JM15" s="538"/>
      <c r="JN15" s="540" t="str">
        <f t="shared" si="90"/>
        <v>0</v>
      </c>
      <c r="JO15" s="540" t="str">
        <f t="shared" si="91"/>
        <v>0</v>
      </c>
      <c r="JP15" s="538"/>
      <c r="JQ15" s="540" t="str">
        <f t="shared" si="92"/>
        <v>0</v>
      </c>
      <c r="JR15" s="540" t="str">
        <f t="shared" si="93"/>
        <v>0</v>
      </c>
      <c r="JS15" s="538"/>
      <c r="JT15" s="540" t="str">
        <f t="shared" si="94"/>
        <v>0</v>
      </c>
      <c r="JU15" s="540" t="str">
        <f t="shared" si="95"/>
        <v>0</v>
      </c>
      <c r="JV15" s="538"/>
      <c r="JW15" s="540" t="str">
        <f t="shared" si="96"/>
        <v>0</v>
      </c>
      <c r="JX15" s="540" t="str">
        <f t="shared" si="97"/>
        <v>0</v>
      </c>
      <c r="JY15" s="538"/>
      <c r="JZ15" s="540" t="str">
        <f t="shared" si="98"/>
        <v>0</v>
      </c>
      <c r="KA15" s="540" t="str">
        <f t="shared" si="99"/>
        <v>0</v>
      </c>
      <c r="KB15" s="538"/>
      <c r="KC15" s="540" t="str">
        <f t="shared" si="100"/>
        <v>0</v>
      </c>
      <c r="KD15" s="540" t="str">
        <f t="shared" si="101"/>
        <v>0</v>
      </c>
      <c r="KE15" s="538"/>
      <c r="KF15" s="540" t="str">
        <f t="shared" si="102"/>
        <v>0</v>
      </c>
      <c r="KG15" s="540" t="str">
        <f t="shared" si="103"/>
        <v>0</v>
      </c>
      <c r="KH15" s="538"/>
      <c r="KI15" s="540" t="str">
        <f t="shared" si="104"/>
        <v>0</v>
      </c>
      <c r="KJ15" s="540" t="str">
        <f t="shared" si="105"/>
        <v>0</v>
      </c>
      <c r="KK15" s="538"/>
      <c r="KL15" s="540" t="str">
        <f t="shared" si="106"/>
        <v>0</v>
      </c>
      <c r="KM15" s="540" t="str">
        <f t="shared" si="107"/>
        <v>0</v>
      </c>
      <c r="KN15" s="538"/>
      <c r="KO15" s="540" t="str">
        <f t="shared" si="108"/>
        <v>0</v>
      </c>
      <c r="KP15" s="540" t="str">
        <f t="shared" si="109"/>
        <v>0</v>
      </c>
      <c r="KQ15" s="538"/>
      <c r="KR15" s="540" t="str">
        <f t="shared" si="110"/>
        <v>0</v>
      </c>
      <c r="KS15" s="540" t="str">
        <f t="shared" si="111"/>
        <v>0</v>
      </c>
      <c r="KT15" s="540">
        <f t="shared" si="201"/>
        <v>0</v>
      </c>
      <c r="KU15" s="540">
        <f t="shared" si="202"/>
        <v>0</v>
      </c>
      <c r="KV15" s="275">
        <f t="shared" si="199"/>
        <v>912.42399999999998</v>
      </c>
    </row>
    <row r="16" spans="1:308" ht="15" customHeight="1">
      <c r="A16" s="277">
        <f t="shared" si="200"/>
        <v>45999</v>
      </c>
      <c r="B16" s="278" t="str">
        <f>+Report1!B16</f>
        <v>MG</v>
      </c>
      <c r="C16" s="420" t="str">
        <f>+Report1!C16</f>
        <v>19/17/17/21,5</v>
      </c>
      <c r="D16" s="279">
        <f>+Report1!P16</f>
        <v>79.239000000000004</v>
      </c>
      <c r="E16" s="280">
        <f>+Report1!R16</f>
        <v>90.966999999999999</v>
      </c>
      <c r="F16" s="538">
        <v>81.390265116279011</v>
      </c>
      <c r="G16" s="539">
        <f t="shared" si="0"/>
        <v>0.89472297774224729</v>
      </c>
      <c r="H16" s="540">
        <f t="shared" si="112"/>
        <v>0</v>
      </c>
      <c r="I16" s="538">
        <v>860.46114883720918</v>
      </c>
      <c r="J16" s="539">
        <f t="shared" si="1"/>
        <v>9.4590472241275325</v>
      </c>
      <c r="K16" s="540">
        <f t="shared" si="113"/>
        <v>0</v>
      </c>
      <c r="L16" s="538"/>
      <c r="M16" s="539">
        <f t="shared" si="2"/>
        <v>0</v>
      </c>
      <c r="N16" s="540">
        <f t="shared" si="114"/>
        <v>0</v>
      </c>
      <c r="O16" s="538">
        <v>9.0039999999999907</v>
      </c>
      <c r="P16" s="539">
        <f t="shared" si="3"/>
        <v>9.8980949135400648E-2</v>
      </c>
      <c r="Q16" s="540">
        <f t="shared" si="115"/>
        <v>0</v>
      </c>
      <c r="R16" s="538"/>
      <c r="S16" s="539">
        <f t="shared" si="4"/>
        <v>0</v>
      </c>
      <c r="T16" s="540">
        <f t="shared" si="116"/>
        <v>0</v>
      </c>
      <c r="U16" s="538">
        <v>5.1260000000000048</v>
      </c>
      <c r="V16" s="539">
        <f t="shared" si="5"/>
        <v>5.6350104983125801E-2</v>
      </c>
      <c r="W16" s="540">
        <f t="shared" si="117"/>
        <v>0</v>
      </c>
      <c r="X16" s="538"/>
      <c r="Y16" s="539">
        <f t="shared" si="6"/>
        <v>0</v>
      </c>
      <c r="Z16" s="540">
        <f t="shared" si="118"/>
        <v>0</v>
      </c>
      <c r="AA16" s="538"/>
      <c r="AB16" s="539">
        <f t="shared" si="7"/>
        <v>0</v>
      </c>
      <c r="AC16" s="540">
        <f t="shared" si="119"/>
        <v>0</v>
      </c>
      <c r="AD16" s="538"/>
      <c r="AE16" s="539">
        <f t="shared" si="8"/>
        <v>0</v>
      </c>
      <c r="AF16" s="540">
        <f t="shared" si="120"/>
        <v>0</v>
      </c>
      <c r="AG16" s="538"/>
      <c r="AH16" s="539">
        <f t="shared" si="9"/>
        <v>0</v>
      </c>
      <c r="AI16" s="540">
        <f t="shared" si="121"/>
        <v>0</v>
      </c>
      <c r="AJ16" s="538">
        <v>120.4375</v>
      </c>
      <c r="AK16" s="539">
        <f t="shared" si="10"/>
        <v>1.3239691316631306</v>
      </c>
      <c r="AL16" s="540">
        <f t="shared" si="122"/>
        <v>0</v>
      </c>
      <c r="AM16" s="538">
        <v>0</v>
      </c>
      <c r="AN16" s="539">
        <f t="shared" si="11"/>
        <v>0</v>
      </c>
      <c r="AO16" s="540">
        <f t="shared" si="123"/>
        <v>0</v>
      </c>
      <c r="AP16" s="538">
        <v>0</v>
      </c>
      <c r="AQ16" s="539">
        <f t="shared" si="12"/>
        <v>0</v>
      </c>
      <c r="AR16" s="540">
        <f t="shared" si="124"/>
        <v>0</v>
      </c>
      <c r="AS16" s="538"/>
      <c r="AT16" s="539">
        <f t="shared" si="13"/>
        <v>0</v>
      </c>
      <c r="AU16" s="540">
        <f t="shared" si="125"/>
        <v>0</v>
      </c>
      <c r="AV16" s="538">
        <v>0</v>
      </c>
      <c r="AW16" s="539">
        <f t="shared" si="14"/>
        <v>0</v>
      </c>
      <c r="AX16" s="540">
        <f t="shared" si="126"/>
        <v>0</v>
      </c>
      <c r="AY16" s="538">
        <v>72.331200000000038</v>
      </c>
      <c r="AZ16" s="539">
        <f t="shared" si="15"/>
        <v>0.79513669792342323</v>
      </c>
      <c r="BA16" s="540">
        <f t="shared" si="127"/>
        <v>0</v>
      </c>
      <c r="BB16" s="538">
        <v>0</v>
      </c>
      <c r="BC16" s="539">
        <f t="shared" si="16"/>
        <v>0</v>
      </c>
      <c r="BD16" s="540">
        <f t="shared" si="128"/>
        <v>0</v>
      </c>
      <c r="BE16" s="538"/>
      <c r="BF16" s="539">
        <f t="shared" si="17"/>
        <v>0</v>
      </c>
      <c r="BG16" s="540">
        <f t="shared" si="129"/>
        <v>0</v>
      </c>
      <c r="BH16" s="538"/>
      <c r="BI16" s="539">
        <f t="shared" si="18"/>
        <v>0</v>
      </c>
      <c r="BJ16" s="540">
        <f t="shared" si="130"/>
        <v>0</v>
      </c>
      <c r="BK16" s="538"/>
      <c r="BL16" s="539">
        <f t="shared" si="19"/>
        <v>0</v>
      </c>
      <c r="BM16" s="540">
        <f t="shared" si="131"/>
        <v>0</v>
      </c>
      <c r="BN16" s="538">
        <v>10.124445679012339</v>
      </c>
      <c r="BO16" s="539">
        <f t="shared" si="20"/>
        <v>0.11129800563954334</v>
      </c>
      <c r="BP16" s="540">
        <f t="shared" si="132"/>
        <v>0</v>
      </c>
      <c r="BQ16" s="538"/>
      <c r="BR16" s="539">
        <f t="shared" si="21"/>
        <v>0</v>
      </c>
      <c r="BS16" s="540">
        <f t="shared" si="133"/>
        <v>0</v>
      </c>
      <c r="BT16" s="538"/>
      <c r="BU16" s="539">
        <f t="shared" si="22"/>
        <v>0</v>
      </c>
      <c r="BV16" s="540">
        <f t="shared" si="134"/>
        <v>0</v>
      </c>
      <c r="BW16" s="538">
        <v>0</v>
      </c>
      <c r="BX16" s="539">
        <f t="shared" si="23"/>
        <v>0</v>
      </c>
      <c r="BY16" s="540">
        <f t="shared" si="135"/>
        <v>0</v>
      </c>
      <c r="BZ16" s="538"/>
      <c r="CA16" s="539">
        <f t="shared" si="24"/>
        <v>0</v>
      </c>
      <c r="CB16" s="540">
        <f t="shared" si="136"/>
        <v>0</v>
      </c>
      <c r="CC16" s="538">
        <v>6.25</v>
      </c>
      <c r="CD16" s="539">
        <f t="shared" si="25"/>
        <v>6.8706234128859914E-2</v>
      </c>
      <c r="CE16" s="540">
        <f t="shared" si="137"/>
        <v>0</v>
      </c>
      <c r="CF16" s="538">
        <v>0.1</v>
      </c>
      <c r="CG16" s="539">
        <f t="shared" si="26"/>
        <v>1.0992997460617588E-3</v>
      </c>
      <c r="CH16" s="540">
        <f t="shared" si="138"/>
        <v>0</v>
      </c>
      <c r="CI16" s="538"/>
      <c r="CJ16" s="539">
        <f t="shared" si="27"/>
        <v>0</v>
      </c>
      <c r="CK16" s="540">
        <f t="shared" si="139"/>
        <v>0</v>
      </c>
      <c r="CL16" s="538"/>
      <c r="CM16" s="539">
        <f t="shared" si="28"/>
        <v>0</v>
      </c>
      <c r="CN16" s="540">
        <f t="shared" si="140"/>
        <v>0</v>
      </c>
      <c r="CO16" s="538"/>
      <c r="CP16" s="539">
        <f t="shared" si="29"/>
        <v>0</v>
      </c>
      <c r="CQ16" s="540">
        <f t="shared" si="141"/>
        <v>0</v>
      </c>
      <c r="CR16" s="538"/>
      <c r="CS16" s="539">
        <f t="shared" si="30"/>
        <v>0</v>
      </c>
      <c r="CT16" s="540">
        <f t="shared" si="142"/>
        <v>0</v>
      </c>
      <c r="CU16" s="538"/>
      <c r="CV16" s="539">
        <f t="shared" si="31"/>
        <v>0</v>
      </c>
      <c r="CW16" s="540">
        <f t="shared" si="143"/>
        <v>0</v>
      </c>
      <c r="CX16" s="538"/>
      <c r="CY16" s="539">
        <f t="shared" si="32"/>
        <v>0</v>
      </c>
      <c r="CZ16" s="540">
        <f t="shared" si="144"/>
        <v>0</v>
      </c>
      <c r="DA16" s="538"/>
      <c r="DB16" s="539">
        <f t="shared" si="33"/>
        <v>0</v>
      </c>
      <c r="DC16" s="540">
        <f t="shared" si="145"/>
        <v>0</v>
      </c>
      <c r="DD16" s="538"/>
      <c r="DE16" s="539">
        <f t="shared" si="34"/>
        <v>0</v>
      </c>
      <c r="DF16" s="540">
        <f t="shared" si="146"/>
        <v>0</v>
      </c>
      <c r="DG16" s="538">
        <v>0</v>
      </c>
      <c r="DH16" s="539">
        <f t="shared" si="35"/>
        <v>0</v>
      </c>
      <c r="DI16" s="540">
        <f t="shared" si="203"/>
        <v>0</v>
      </c>
      <c r="DJ16" s="538"/>
      <c r="DK16" s="539">
        <f t="shared" si="36"/>
        <v>0</v>
      </c>
      <c r="DL16" s="540">
        <f t="shared" si="147"/>
        <v>0</v>
      </c>
      <c r="DM16" s="538"/>
      <c r="DN16" s="539">
        <f t="shared" si="37"/>
        <v>0</v>
      </c>
      <c r="DO16" s="540">
        <f t="shared" si="148"/>
        <v>0</v>
      </c>
      <c r="DP16" s="538"/>
      <c r="DQ16" s="539">
        <f t="shared" si="38"/>
        <v>0</v>
      </c>
      <c r="DR16" s="540">
        <f t="shared" si="149"/>
        <v>0</v>
      </c>
      <c r="DS16" s="538"/>
      <c r="DT16" s="539">
        <f t="shared" si="39"/>
        <v>0</v>
      </c>
      <c r="DU16" s="540">
        <f t="shared" si="150"/>
        <v>0</v>
      </c>
      <c r="DV16" s="538"/>
      <c r="DW16" s="539">
        <f t="shared" si="40"/>
        <v>0</v>
      </c>
      <c r="DX16" s="540">
        <f t="shared" si="151"/>
        <v>0</v>
      </c>
      <c r="DY16" s="538"/>
      <c r="DZ16" s="539">
        <f t="shared" si="41"/>
        <v>0</v>
      </c>
      <c r="EA16" s="540">
        <f t="shared" si="152"/>
        <v>0</v>
      </c>
      <c r="EB16" s="538">
        <v>29.075199999999995</v>
      </c>
      <c r="EC16" s="539">
        <f t="shared" si="42"/>
        <v>0.31962359976694843</v>
      </c>
      <c r="ED16" s="540">
        <f t="shared" si="153"/>
        <v>0</v>
      </c>
      <c r="EE16" s="538">
        <v>1</v>
      </c>
      <c r="EF16" s="539">
        <f t="shared" si="43"/>
        <v>1.0992997460617587E-2</v>
      </c>
      <c r="EG16" s="540">
        <f t="shared" si="154"/>
        <v>0</v>
      </c>
      <c r="EH16" s="538"/>
      <c r="EI16" s="539">
        <f t="shared" si="44"/>
        <v>0</v>
      </c>
      <c r="EJ16" s="540">
        <f t="shared" si="155"/>
        <v>0</v>
      </c>
      <c r="EK16" s="538"/>
      <c r="EL16" s="539">
        <f t="shared" si="45"/>
        <v>0</v>
      </c>
      <c r="EM16" s="540">
        <f t="shared" si="156"/>
        <v>0</v>
      </c>
      <c r="EN16" s="538"/>
      <c r="EO16" s="539">
        <f t="shared" si="46"/>
        <v>0</v>
      </c>
      <c r="EP16" s="540">
        <f t="shared" si="157"/>
        <v>0</v>
      </c>
      <c r="EQ16" s="538"/>
      <c r="ER16" s="539">
        <f t="shared" si="47"/>
        <v>0</v>
      </c>
      <c r="ES16" s="540">
        <f t="shared" si="158"/>
        <v>0</v>
      </c>
      <c r="ET16" s="538"/>
      <c r="EU16" s="539">
        <f t="shared" si="48"/>
        <v>0</v>
      </c>
      <c r="EV16" s="540">
        <f t="shared" si="159"/>
        <v>0</v>
      </c>
      <c r="EW16" s="538"/>
      <c r="EX16" s="539">
        <f t="shared" si="49"/>
        <v>0</v>
      </c>
      <c r="EY16" s="540">
        <f t="shared" si="160"/>
        <v>0</v>
      </c>
      <c r="EZ16" s="538"/>
      <c r="FA16" s="539">
        <f t="shared" si="50"/>
        <v>0</v>
      </c>
      <c r="FB16" s="540">
        <f t="shared" si="161"/>
        <v>0</v>
      </c>
      <c r="FC16" s="538"/>
      <c r="FD16" s="539">
        <f t="shared" si="51"/>
        <v>0</v>
      </c>
      <c r="FE16" s="540">
        <f t="shared" si="162"/>
        <v>0</v>
      </c>
      <c r="FF16" s="538"/>
      <c r="FG16" s="539">
        <f t="shared" si="52"/>
        <v>0</v>
      </c>
      <c r="FH16" s="540">
        <f t="shared" si="163"/>
        <v>0</v>
      </c>
      <c r="FI16" s="538"/>
      <c r="FJ16" s="539">
        <f t="shared" si="53"/>
        <v>0</v>
      </c>
      <c r="FK16" s="540">
        <f t="shared" si="164"/>
        <v>0</v>
      </c>
      <c r="FL16" s="538"/>
      <c r="FM16" s="539">
        <f t="shared" si="54"/>
        <v>0</v>
      </c>
      <c r="FN16" s="540">
        <f t="shared" si="165"/>
        <v>0</v>
      </c>
      <c r="FO16" s="538"/>
      <c r="FP16" s="539">
        <f t="shared" si="55"/>
        <v>0</v>
      </c>
      <c r="FQ16" s="540">
        <f t="shared" si="166"/>
        <v>0</v>
      </c>
      <c r="FR16" s="538"/>
      <c r="FS16" s="539">
        <f t="shared" si="56"/>
        <v>0</v>
      </c>
      <c r="FT16" s="540">
        <f t="shared" si="167"/>
        <v>0</v>
      </c>
      <c r="FU16" s="538"/>
      <c r="FV16" s="539">
        <f t="shared" si="57"/>
        <v>0</v>
      </c>
      <c r="FW16" s="540">
        <f t="shared" si="168"/>
        <v>0</v>
      </c>
      <c r="FX16" s="538"/>
      <c r="FY16" s="539">
        <f t="shared" si="58"/>
        <v>0</v>
      </c>
      <c r="FZ16" s="540">
        <f t="shared" si="169"/>
        <v>0</v>
      </c>
      <c r="GA16" s="538"/>
      <c r="GB16" s="539">
        <f t="shared" si="59"/>
        <v>0</v>
      </c>
      <c r="GC16" s="540">
        <f t="shared" si="170"/>
        <v>0</v>
      </c>
      <c r="GD16" s="538"/>
      <c r="GE16" s="539">
        <f t="shared" si="60"/>
        <v>0</v>
      </c>
      <c r="GF16" s="540">
        <f t="shared" si="171"/>
        <v>0</v>
      </c>
      <c r="GG16" s="538"/>
      <c r="GH16" s="539">
        <f t="shared" si="61"/>
        <v>0</v>
      </c>
      <c r="GI16" s="540">
        <f t="shared" si="172"/>
        <v>0</v>
      </c>
      <c r="GJ16" s="538"/>
      <c r="GK16" s="539">
        <f t="shared" si="62"/>
        <v>0</v>
      </c>
      <c r="GL16" s="540">
        <f t="shared" si="173"/>
        <v>0</v>
      </c>
      <c r="GM16" s="538"/>
      <c r="GN16" s="539">
        <f t="shared" si="63"/>
        <v>0</v>
      </c>
      <c r="GO16" s="540">
        <f t="shared" si="174"/>
        <v>0</v>
      </c>
      <c r="GP16" s="538"/>
      <c r="GQ16" s="539">
        <f t="shared" si="64"/>
        <v>0</v>
      </c>
      <c r="GR16" s="540">
        <f t="shared" si="175"/>
        <v>0</v>
      </c>
      <c r="GS16" s="538"/>
      <c r="GT16" s="539">
        <f t="shared" si="65"/>
        <v>0</v>
      </c>
      <c r="GU16" s="540">
        <f t="shared" si="176"/>
        <v>0</v>
      </c>
      <c r="GV16" s="538"/>
      <c r="GW16" s="539">
        <f t="shared" si="66"/>
        <v>0</v>
      </c>
      <c r="GX16" s="540">
        <f t="shared" si="177"/>
        <v>0</v>
      </c>
      <c r="GY16" s="538"/>
      <c r="GZ16" s="539">
        <f t="shared" si="67"/>
        <v>0</v>
      </c>
      <c r="HA16" s="540">
        <f t="shared" si="178"/>
        <v>0</v>
      </c>
      <c r="HB16" s="538"/>
      <c r="HC16" s="539">
        <f t="shared" si="68"/>
        <v>0</v>
      </c>
      <c r="HD16" s="540">
        <f t="shared" si="179"/>
        <v>0</v>
      </c>
      <c r="HE16" s="538"/>
      <c r="HF16" s="539">
        <f t="shared" si="69"/>
        <v>0</v>
      </c>
      <c r="HG16" s="540">
        <f t="shared" si="180"/>
        <v>0</v>
      </c>
      <c r="HH16" s="538"/>
      <c r="HI16" s="539">
        <f t="shared" si="70"/>
        <v>0</v>
      </c>
      <c r="HJ16" s="540">
        <f t="shared" si="181"/>
        <v>0</v>
      </c>
      <c r="HK16" s="538"/>
      <c r="HL16" s="539">
        <f t="shared" si="71"/>
        <v>0</v>
      </c>
      <c r="HM16" s="540">
        <f t="shared" si="182"/>
        <v>0</v>
      </c>
      <c r="HN16" s="538"/>
      <c r="HO16" s="539">
        <f t="shared" si="72"/>
        <v>0</v>
      </c>
      <c r="HP16" s="540">
        <f t="shared" si="183"/>
        <v>0</v>
      </c>
      <c r="HQ16" s="538"/>
      <c r="HR16" s="539">
        <f t="shared" si="73"/>
        <v>0</v>
      </c>
      <c r="HS16" s="540">
        <f t="shared" si="184"/>
        <v>0</v>
      </c>
      <c r="HT16" s="538"/>
      <c r="HU16" s="539">
        <f t="shared" si="74"/>
        <v>0</v>
      </c>
      <c r="HV16" s="540">
        <f t="shared" si="185"/>
        <v>0</v>
      </c>
      <c r="HW16" s="538"/>
      <c r="HX16" s="539">
        <f t="shared" si="75"/>
        <v>0</v>
      </c>
      <c r="HY16" s="540">
        <f t="shared" si="186"/>
        <v>0</v>
      </c>
      <c r="HZ16" s="538"/>
      <c r="IA16" s="539">
        <f t="shared" si="76"/>
        <v>0</v>
      </c>
      <c r="IB16" s="540">
        <f t="shared" si="187"/>
        <v>0</v>
      </c>
      <c r="IC16" s="538"/>
      <c r="ID16" s="539">
        <f t="shared" si="77"/>
        <v>0</v>
      </c>
      <c r="IE16" s="540">
        <f t="shared" si="188"/>
        <v>0</v>
      </c>
      <c r="IF16" s="538"/>
      <c r="IG16" s="539">
        <f t="shared" si="78"/>
        <v>0</v>
      </c>
      <c r="IH16" s="540">
        <f t="shared" si="189"/>
        <v>0</v>
      </c>
      <c r="II16" s="538"/>
      <c r="IJ16" s="539">
        <f t="shared" si="79"/>
        <v>0</v>
      </c>
      <c r="IK16" s="540">
        <f t="shared" si="190"/>
        <v>0</v>
      </c>
      <c r="IL16" s="538"/>
      <c r="IM16" s="539">
        <f t="shared" si="80"/>
        <v>0</v>
      </c>
      <c r="IN16" s="540">
        <f t="shared" si="191"/>
        <v>0</v>
      </c>
      <c r="IO16" s="538"/>
      <c r="IP16" s="539">
        <f t="shared" si="81"/>
        <v>0</v>
      </c>
      <c r="IQ16" s="540">
        <f t="shared" si="192"/>
        <v>0</v>
      </c>
      <c r="IR16" s="538"/>
      <c r="IS16" s="539">
        <f t="shared" si="82"/>
        <v>0</v>
      </c>
      <c r="IT16" s="540">
        <f t="shared" si="193"/>
        <v>0</v>
      </c>
      <c r="IU16" s="538"/>
      <c r="IV16" s="539">
        <f t="shared" si="83"/>
        <v>0</v>
      </c>
      <c r="IW16" s="540">
        <f t="shared" si="194"/>
        <v>0</v>
      </c>
      <c r="IX16" s="538"/>
      <c r="IY16" s="539">
        <f t="shared" si="84"/>
        <v>0</v>
      </c>
      <c r="IZ16" s="540">
        <f t="shared" si="195"/>
        <v>0</v>
      </c>
      <c r="JA16" s="538"/>
      <c r="JB16" s="539">
        <f t="shared" si="85"/>
        <v>0</v>
      </c>
      <c r="JC16" s="540">
        <f t="shared" si="196"/>
        <v>0</v>
      </c>
      <c r="JD16" s="538"/>
      <c r="JE16" s="539">
        <f t="shared" si="86"/>
        <v>0</v>
      </c>
      <c r="JF16" s="540">
        <f t="shared" si="197"/>
        <v>0</v>
      </c>
      <c r="JG16" s="538"/>
      <c r="JH16" s="539">
        <f t="shared" si="87"/>
        <v>0</v>
      </c>
      <c r="JI16" s="540">
        <f t="shared" si="198"/>
        <v>0</v>
      </c>
      <c r="JJ16" s="538"/>
      <c r="JK16" s="540" t="str">
        <f t="shared" si="88"/>
        <v>0</v>
      </c>
      <c r="JL16" s="540" t="str">
        <f t="shared" si="89"/>
        <v>0</v>
      </c>
      <c r="JM16" s="538"/>
      <c r="JN16" s="540" t="str">
        <f t="shared" si="90"/>
        <v>0</v>
      </c>
      <c r="JO16" s="540" t="str">
        <f t="shared" si="91"/>
        <v>0</v>
      </c>
      <c r="JP16" s="538"/>
      <c r="JQ16" s="540" t="str">
        <f t="shared" si="92"/>
        <v>0</v>
      </c>
      <c r="JR16" s="540" t="str">
        <f t="shared" si="93"/>
        <v>0</v>
      </c>
      <c r="JS16" s="538"/>
      <c r="JT16" s="540" t="str">
        <f t="shared" si="94"/>
        <v>0</v>
      </c>
      <c r="JU16" s="540" t="str">
        <f t="shared" si="95"/>
        <v>0</v>
      </c>
      <c r="JV16" s="538"/>
      <c r="JW16" s="540" t="str">
        <f t="shared" si="96"/>
        <v>0</v>
      </c>
      <c r="JX16" s="540" t="str">
        <f t="shared" si="97"/>
        <v>0</v>
      </c>
      <c r="JY16" s="538"/>
      <c r="JZ16" s="540" t="str">
        <f t="shared" si="98"/>
        <v>0</v>
      </c>
      <c r="KA16" s="540" t="str">
        <f t="shared" si="99"/>
        <v>0</v>
      </c>
      <c r="KB16" s="538"/>
      <c r="KC16" s="540" t="str">
        <f t="shared" si="100"/>
        <v>0</v>
      </c>
      <c r="KD16" s="540" t="str">
        <f t="shared" si="101"/>
        <v>0</v>
      </c>
      <c r="KE16" s="538"/>
      <c r="KF16" s="540" t="str">
        <f t="shared" si="102"/>
        <v>0</v>
      </c>
      <c r="KG16" s="540" t="str">
        <f t="shared" si="103"/>
        <v>0</v>
      </c>
      <c r="KH16" s="538"/>
      <c r="KI16" s="540" t="str">
        <f t="shared" si="104"/>
        <v>0</v>
      </c>
      <c r="KJ16" s="540" t="str">
        <f t="shared" si="105"/>
        <v>0</v>
      </c>
      <c r="KK16" s="538"/>
      <c r="KL16" s="540" t="str">
        <f t="shared" si="106"/>
        <v>0</v>
      </c>
      <c r="KM16" s="540" t="str">
        <f t="shared" si="107"/>
        <v>0</v>
      </c>
      <c r="KN16" s="538"/>
      <c r="KO16" s="540" t="str">
        <f t="shared" si="108"/>
        <v>0</v>
      </c>
      <c r="KP16" s="540" t="str">
        <f t="shared" si="109"/>
        <v>0</v>
      </c>
      <c r="KQ16" s="538"/>
      <c r="KR16" s="540" t="str">
        <f t="shared" si="110"/>
        <v>0</v>
      </c>
      <c r="KS16" s="540" t="str">
        <f t="shared" si="111"/>
        <v>0</v>
      </c>
      <c r="KT16" s="540">
        <f t="shared" si="201"/>
        <v>0</v>
      </c>
      <c r="KU16" s="540">
        <f t="shared" si="202"/>
        <v>0</v>
      </c>
      <c r="KV16" s="275">
        <f t="shared" si="199"/>
        <v>1195.2997596325006</v>
      </c>
    </row>
    <row r="17" spans="1:309" ht="15" customHeight="1">
      <c r="A17" s="277">
        <f t="shared" si="200"/>
        <v>46000</v>
      </c>
      <c r="B17" s="278" t="str">
        <f>+Report1!B17</f>
        <v>MG/Facial</v>
      </c>
      <c r="C17" s="420" t="str">
        <f>+Report1!C17</f>
        <v>21,5/13</v>
      </c>
      <c r="D17" s="279">
        <f>+Report1!P17</f>
        <v>62.222999999999999</v>
      </c>
      <c r="E17" s="280">
        <f>+Report1!R17</f>
        <v>54.371000000000002</v>
      </c>
      <c r="F17" s="538">
        <v>0</v>
      </c>
      <c r="G17" s="539">
        <f t="shared" si="0"/>
        <v>0</v>
      </c>
      <c r="H17" s="540">
        <f t="shared" si="112"/>
        <v>0</v>
      </c>
      <c r="I17" s="538">
        <v>290.69767441860449</v>
      </c>
      <c r="J17" s="539">
        <f t="shared" si="1"/>
        <v>5.3465574372110956</v>
      </c>
      <c r="K17" s="540">
        <f t="shared" si="113"/>
        <v>0</v>
      </c>
      <c r="L17" s="538"/>
      <c r="M17" s="539">
        <f t="shared" si="2"/>
        <v>0</v>
      </c>
      <c r="N17" s="540">
        <f t="shared" si="114"/>
        <v>0</v>
      </c>
      <c r="O17" s="538">
        <v>9</v>
      </c>
      <c r="P17" s="539">
        <f t="shared" si="3"/>
        <v>0.1655294182560556</v>
      </c>
      <c r="Q17" s="540">
        <f t="shared" si="115"/>
        <v>0</v>
      </c>
      <c r="R17" s="538"/>
      <c r="S17" s="539">
        <f t="shared" si="4"/>
        <v>0</v>
      </c>
      <c r="T17" s="540">
        <f t="shared" si="116"/>
        <v>0</v>
      </c>
      <c r="U17" s="538">
        <v>5.1249999999999716</v>
      </c>
      <c r="V17" s="539">
        <f t="shared" si="5"/>
        <v>9.4259807618031141E-2</v>
      </c>
      <c r="W17" s="540">
        <f t="shared" si="117"/>
        <v>0</v>
      </c>
      <c r="X17" s="538"/>
      <c r="Y17" s="539">
        <f t="shared" si="6"/>
        <v>0</v>
      </c>
      <c r="Z17" s="540">
        <f t="shared" si="118"/>
        <v>0</v>
      </c>
      <c r="AA17" s="538"/>
      <c r="AB17" s="539">
        <f t="shared" si="7"/>
        <v>0</v>
      </c>
      <c r="AC17" s="540">
        <f t="shared" si="119"/>
        <v>0</v>
      </c>
      <c r="AD17" s="538"/>
      <c r="AE17" s="539">
        <f t="shared" si="8"/>
        <v>0</v>
      </c>
      <c r="AF17" s="540">
        <f t="shared" si="120"/>
        <v>0</v>
      </c>
      <c r="AG17" s="538"/>
      <c r="AH17" s="539">
        <f t="shared" si="9"/>
        <v>0</v>
      </c>
      <c r="AI17" s="540">
        <f t="shared" si="121"/>
        <v>0</v>
      </c>
      <c r="AJ17" s="538">
        <v>0</v>
      </c>
      <c r="AK17" s="539">
        <f t="shared" si="10"/>
        <v>0</v>
      </c>
      <c r="AL17" s="540">
        <f t="shared" si="122"/>
        <v>0</v>
      </c>
      <c r="AM17" s="538">
        <v>0</v>
      </c>
      <c r="AN17" s="539">
        <f t="shared" si="11"/>
        <v>0</v>
      </c>
      <c r="AO17" s="540">
        <f t="shared" si="123"/>
        <v>0</v>
      </c>
      <c r="AP17" s="538">
        <v>65.503584810126654</v>
      </c>
      <c r="AQ17" s="539">
        <f t="shared" si="12"/>
        <v>1.204752254145163</v>
      </c>
      <c r="AR17" s="540">
        <f t="shared" si="124"/>
        <v>0</v>
      </c>
      <c r="AS17" s="538"/>
      <c r="AT17" s="539">
        <f t="shared" si="13"/>
        <v>0</v>
      </c>
      <c r="AU17" s="540">
        <f t="shared" si="125"/>
        <v>0</v>
      </c>
      <c r="AV17" s="538">
        <v>22.296999999999983</v>
      </c>
      <c r="AW17" s="539">
        <f t="shared" si="14"/>
        <v>0.41008993765058543</v>
      </c>
      <c r="AX17" s="540">
        <f t="shared" si="126"/>
        <v>0</v>
      </c>
      <c r="AY17" s="538">
        <v>42.000000000000028</v>
      </c>
      <c r="AZ17" s="539">
        <f t="shared" si="15"/>
        <v>0.77247061852826004</v>
      </c>
      <c r="BA17" s="540">
        <f t="shared" si="127"/>
        <v>0</v>
      </c>
      <c r="BB17" s="538">
        <v>0</v>
      </c>
      <c r="BC17" s="539">
        <f t="shared" si="16"/>
        <v>0</v>
      </c>
      <c r="BD17" s="540">
        <f t="shared" si="128"/>
        <v>0</v>
      </c>
      <c r="BE17" s="538"/>
      <c r="BF17" s="539">
        <f t="shared" si="17"/>
        <v>0</v>
      </c>
      <c r="BG17" s="540">
        <f t="shared" si="129"/>
        <v>0</v>
      </c>
      <c r="BH17" s="538"/>
      <c r="BI17" s="539">
        <f t="shared" si="18"/>
        <v>0</v>
      </c>
      <c r="BJ17" s="540">
        <f t="shared" si="130"/>
        <v>0</v>
      </c>
      <c r="BK17" s="538"/>
      <c r="BL17" s="539">
        <f t="shared" si="19"/>
        <v>0</v>
      </c>
      <c r="BM17" s="540">
        <f t="shared" si="131"/>
        <v>0</v>
      </c>
      <c r="BN17" s="538">
        <v>12.654320987654316</v>
      </c>
      <c r="BO17" s="539">
        <f t="shared" si="20"/>
        <v>0.2327402657235349</v>
      </c>
      <c r="BP17" s="540">
        <f t="shared" si="132"/>
        <v>0</v>
      </c>
      <c r="BQ17" s="538"/>
      <c r="BR17" s="539">
        <f t="shared" si="21"/>
        <v>0</v>
      </c>
      <c r="BS17" s="540">
        <f t="shared" si="133"/>
        <v>0</v>
      </c>
      <c r="BT17" s="538"/>
      <c r="BU17" s="539">
        <f t="shared" si="22"/>
        <v>0</v>
      </c>
      <c r="BV17" s="540">
        <f t="shared" si="134"/>
        <v>0</v>
      </c>
      <c r="BW17" s="538">
        <v>0</v>
      </c>
      <c r="BX17" s="539">
        <f t="shared" si="23"/>
        <v>0</v>
      </c>
      <c r="BY17" s="540">
        <f t="shared" si="135"/>
        <v>0</v>
      </c>
      <c r="BZ17" s="538"/>
      <c r="CA17" s="539">
        <f t="shared" si="24"/>
        <v>0</v>
      </c>
      <c r="CB17" s="540">
        <f t="shared" si="136"/>
        <v>0</v>
      </c>
      <c r="CC17" s="538">
        <v>0</v>
      </c>
      <c r="CD17" s="539">
        <f t="shared" si="25"/>
        <v>0</v>
      </c>
      <c r="CE17" s="540">
        <f t="shared" si="137"/>
        <v>0</v>
      </c>
      <c r="CF17" s="538">
        <v>0.1</v>
      </c>
      <c r="CG17" s="539">
        <f t="shared" si="26"/>
        <v>1.8392157584006181E-3</v>
      </c>
      <c r="CH17" s="540">
        <f t="shared" si="138"/>
        <v>0</v>
      </c>
      <c r="CI17" s="538"/>
      <c r="CJ17" s="539">
        <f t="shared" si="27"/>
        <v>0</v>
      </c>
      <c r="CK17" s="540">
        <f t="shared" si="139"/>
        <v>0</v>
      </c>
      <c r="CL17" s="538"/>
      <c r="CM17" s="539">
        <f t="shared" si="28"/>
        <v>0</v>
      </c>
      <c r="CN17" s="540">
        <f t="shared" si="140"/>
        <v>0</v>
      </c>
      <c r="CO17" s="538"/>
      <c r="CP17" s="539">
        <f t="shared" si="29"/>
        <v>0</v>
      </c>
      <c r="CQ17" s="540">
        <f t="shared" si="141"/>
        <v>0</v>
      </c>
      <c r="CR17" s="538"/>
      <c r="CS17" s="539">
        <f t="shared" si="30"/>
        <v>0</v>
      </c>
      <c r="CT17" s="540">
        <f t="shared" si="142"/>
        <v>0</v>
      </c>
      <c r="CU17" s="538"/>
      <c r="CV17" s="539">
        <f t="shared" si="31"/>
        <v>0</v>
      </c>
      <c r="CW17" s="540">
        <f t="shared" si="143"/>
        <v>0</v>
      </c>
      <c r="CX17" s="538"/>
      <c r="CY17" s="539">
        <f t="shared" si="32"/>
        <v>0</v>
      </c>
      <c r="CZ17" s="540">
        <f t="shared" si="144"/>
        <v>0</v>
      </c>
      <c r="DA17" s="538"/>
      <c r="DB17" s="539">
        <f t="shared" si="33"/>
        <v>0</v>
      </c>
      <c r="DC17" s="540">
        <f t="shared" si="145"/>
        <v>0</v>
      </c>
      <c r="DD17" s="538"/>
      <c r="DE17" s="539">
        <f t="shared" si="34"/>
        <v>0</v>
      </c>
      <c r="DF17" s="540">
        <f t="shared" si="146"/>
        <v>0</v>
      </c>
      <c r="DG17" s="538">
        <v>0</v>
      </c>
      <c r="DH17" s="539">
        <f t="shared" si="35"/>
        <v>0</v>
      </c>
      <c r="DI17" s="540">
        <f t="shared" si="203"/>
        <v>0</v>
      </c>
      <c r="DJ17" s="538"/>
      <c r="DK17" s="539">
        <f t="shared" si="36"/>
        <v>0</v>
      </c>
      <c r="DL17" s="540">
        <f t="shared" si="147"/>
        <v>0</v>
      </c>
      <c r="DM17" s="538"/>
      <c r="DN17" s="539">
        <f t="shared" si="37"/>
        <v>0</v>
      </c>
      <c r="DO17" s="540">
        <f t="shared" si="148"/>
        <v>0</v>
      </c>
      <c r="DP17" s="538"/>
      <c r="DQ17" s="539">
        <f t="shared" si="38"/>
        <v>0</v>
      </c>
      <c r="DR17" s="540">
        <f t="shared" si="149"/>
        <v>0</v>
      </c>
      <c r="DS17" s="538"/>
      <c r="DT17" s="539">
        <f t="shared" si="39"/>
        <v>0</v>
      </c>
      <c r="DU17" s="540">
        <f t="shared" si="150"/>
        <v>0</v>
      </c>
      <c r="DV17" s="538"/>
      <c r="DW17" s="539">
        <f t="shared" si="40"/>
        <v>0</v>
      </c>
      <c r="DX17" s="540">
        <f t="shared" si="151"/>
        <v>0</v>
      </c>
      <c r="DY17" s="538"/>
      <c r="DZ17" s="539">
        <f t="shared" si="41"/>
        <v>0</v>
      </c>
      <c r="EA17" s="540">
        <f t="shared" si="152"/>
        <v>0</v>
      </c>
      <c r="EB17" s="538">
        <v>29.069767441860449</v>
      </c>
      <c r="EC17" s="539">
        <f t="shared" si="42"/>
        <v>0.53465574372110958</v>
      </c>
      <c r="ED17" s="540">
        <f t="shared" si="153"/>
        <v>0</v>
      </c>
      <c r="EE17" s="538">
        <v>0</v>
      </c>
      <c r="EF17" s="539">
        <f t="shared" si="43"/>
        <v>0</v>
      </c>
      <c r="EG17" s="540">
        <f t="shared" si="154"/>
        <v>0</v>
      </c>
      <c r="EH17" s="538"/>
      <c r="EI17" s="539">
        <f t="shared" si="44"/>
        <v>0</v>
      </c>
      <c r="EJ17" s="540">
        <f t="shared" si="155"/>
        <v>0</v>
      </c>
      <c r="EK17" s="538"/>
      <c r="EL17" s="539">
        <f t="shared" si="45"/>
        <v>0</v>
      </c>
      <c r="EM17" s="540">
        <f t="shared" si="156"/>
        <v>0</v>
      </c>
      <c r="EN17" s="538"/>
      <c r="EO17" s="539">
        <f t="shared" si="46"/>
        <v>0</v>
      </c>
      <c r="EP17" s="540">
        <f t="shared" si="157"/>
        <v>0</v>
      </c>
      <c r="EQ17" s="538"/>
      <c r="ER17" s="539">
        <f t="shared" si="47"/>
        <v>0</v>
      </c>
      <c r="ES17" s="540">
        <f t="shared" si="158"/>
        <v>0</v>
      </c>
      <c r="ET17" s="538"/>
      <c r="EU17" s="539">
        <f t="shared" si="48"/>
        <v>0</v>
      </c>
      <c r="EV17" s="540">
        <f t="shared" si="159"/>
        <v>0</v>
      </c>
      <c r="EW17" s="538"/>
      <c r="EX17" s="539">
        <f t="shared" si="49"/>
        <v>0</v>
      </c>
      <c r="EY17" s="540">
        <f t="shared" si="160"/>
        <v>0</v>
      </c>
      <c r="EZ17" s="538"/>
      <c r="FA17" s="539">
        <f t="shared" si="50"/>
        <v>0</v>
      </c>
      <c r="FB17" s="540">
        <f t="shared" si="161"/>
        <v>0</v>
      </c>
      <c r="FC17" s="538"/>
      <c r="FD17" s="539">
        <f t="shared" si="51"/>
        <v>0</v>
      </c>
      <c r="FE17" s="540">
        <f t="shared" si="162"/>
        <v>0</v>
      </c>
      <c r="FF17" s="538"/>
      <c r="FG17" s="539">
        <f t="shared" si="52"/>
        <v>0</v>
      </c>
      <c r="FH17" s="540">
        <f t="shared" si="163"/>
        <v>0</v>
      </c>
      <c r="FI17" s="538"/>
      <c r="FJ17" s="539">
        <f t="shared" si="53"/>
        <v>0</v>
      </c>
      <c r="FK17" s="540">
        <f t="shared" si="164"/>
        <v>0</v>
      </c>
      <c r="FL17" s="538"/>
      <c r="FM17" s="539">
        <f t="shared" si="54"/>
        <v>0</v>
      </c>
      <c r="FN17" s="540">
        <f t="shared" si="165"/>
        <v>0</v>
      </c>
      <c r="FO17" s="538"/>
      <c r="FP17" s="539">
        <f t="shared" si="55"/>
        <v>0</v>
      </c>
      <c r="FQ17" s="540">
        <f t="shared" si="166"/>
        <v>0</v>
      </c>
      <c r="FR17" s="538"/>
      <c r="FS17" s="539">
        <f t="shared" si="56"/>
        <v>0</v>
      </c>
      <c r="FT17" s="540">
        <f t="shared" si="167"/>
        <v>0</v>
      </c>
      <c r="FU17" s="538"/>
      <c r="FV17" s="539">
        <f t="shared" si="57"/>
        <v>0</v>
      </c>
      <c r="FW17" s="540">
        <f t="shared" si="168"/>
        <v>0</v>
      </c>
      <c r="FX17" s="538"/>
      <c r="FY17" s="539">
        <f t="shared" si="58"/>
        <v>0</v>
      </c>
      <c r="FZ17" s="540">
        <f t="shared" si="169"/>
        <v>0</v>
      </c>
      <c r="GA17" s="538"/>
      <c r="GB17" s="539">
        <f t="shared" si="59"/>
        <v>0</v>
      </c>
      <c r="GC17" s="540">
        <f t="shared" si="170"/>
        <v>0</v>
      </c>
      <c r="GD17" s="538"/>
      <c r="GE17" s="539">
        <f t="shared" si="60"/>
        <v>0</v>
      </c>
      <c r="GF17" s="540">
        <f t="shared" si="171"/>
        <v>0</v>
      </c>
      <c r="GG17" s="538"/>
      <c r="GH17" s="539">
        <f t="shared" si="61"/>
        <v>0</v>
      </c>
      <c r="GI17" s="540">
        <f t="shared" si="172"/>
        <v>0</v>
      </c>
      <c r="GJ17" s="538"/>
      <c r="GK17" s="539">
        <f t="shared" si="62"/>
        <v>0</v>
      </c>
      <c r="GL17" s="540">
        <f t="shared" si="173"/>
        <v>0</v>
      </c>
      <c r="GM17" s="538"/>
      <c r="GN17" s="539">
        <f t="shared" si="63"/>
        <v>0</v>
      </c>
      <c r="GO17" s="540">
        <f t="shared" si="174"/>
        <v>0</v>
      </c>
      <c r="GP17" s="538"/>
      <c r="GQ17" s="539">
        <f t="shared" si="64"/>
        <v>0</v>
      </c>
      <c r="GR17" s="540">
        <f t="shared" si="175"/>
        <v>0</v>
      </c>
      <c r="GS17" s="538"/>
      <c r="GT17" s="539">
        <f t="shared" si="65"/>
        <v>0</v>
      </c>
      <c r="GU17" s="540">
        <f t="shared" si="176"/>
        <v>0</v>
      </c>
      <c r="GV17" s="538"/>
      <c r="GW17" s="539">
        <f t="shared" si="66"/>
        <v>0</v>
      </c>
      <c r="GX17" s="540">
        <f t="shared" si="177"/>
        <v>0</v>
      </c>
      <c r="GY17" s="538"/>
      <c r="GZ17" s="539">
        <f t="shared" si="67"/>
        <v>0</v>
      </c>
      <c r="HA17" s="540">
        <f t="shared" si="178"/>
        <v>0</v>
      </c>
      <c r="HB17" s="538"/>
      <c r="HC17" s="539">
        <f t="shared" si="68"/>
        <v>0</v>
      </c>
      <c r="HD17" s="540">
        <f t="shared" si="179"/>
        <v>0</v>
      </c>
      <c r="HE17" s="538"/>
      <c r="HF17" s="539">
        <f t="shared" si="69"/>
        <v>0</v>
      </c>
      <c r="HG17" s="540">
        <f t="shared" si="180"/>
        <v>0</v>
      </c>
      <c r="HH17" s="538"/>
      <c r="HI17" s="539">
        <f t="shared" si="70"/>
        <v>0</v>
      </c>
      <c r="HJ17" s="540">
        <f t="shared" si="181"/>
        <v>0</v>
      </c>
      <c r="HK17" s="538"/>
      <c r="HL17" s="539">
        <f t="shared" si="71"/>
        <v>0</v>
      </c>
      <c r="HM17" s="540">
        <f t="shared" si="182"/>
        <v>0</v>
      </c>
      <c r="HN17" s="538"/>
      <c r="HO17" s="539">
        <f t="shared" si="72"/>
        <v>0</v>
      </c>
      <c r="HP17" s="540">
        <f t="shared" si="183"/>
        <v>0</v>
      </c>
      <c r="HQ17" s="538"/>
      <c r="HR17" s="539">
        <f t="shared" si="73"/>
        <v>0</v>
      </c>
      <c r="HS17" s="540">
        <f t="shared" si="184"/>
        <v>0</v>
      </c>
      <c r="HT17" s="538"/>
      <c r="HU17" s="539">
        <f t="shared" si="74"/>
        <v>0</v>
      </c>
      <c r="HV17" s="540">
        <f t="shared" si="185"/>
        <v>0</v>
      </c>
      <c r="HW17" s="538"/>
      <c r="HX17" s="539">
        <f t="shared" si="75"/>
        <v>0</v>
      </c>
      <c r="HY17" s="540">
        <f t="shared" si="186"/>
        <v>0</v>
      </c>
      <c r="HZ17" s="538"/>
      <c r="IA17" s="539">
        <f t="shared" si="76"/>
        <v>0</v>
      </c>
      <c r="IB17" s="540">
        <f t="shared" si="187"/>
        <v>0</v>
      </c>
      <c r="IC17" s="538"/>
      <c r="ID17" s="539">
        <f t="shared" si="77"/>
        <v>0</v>
      </c>
      <c r="IE17" s="540">
        <f t="shared" si="188"/>
        <v>0</v>
      </c>
      <c r="IF17" s="538"/>
      <c r="IG17" s="539">
        <f t="shared" si="78"/>
        <v>0</v>
      </c>
      <c r="IH17" s="540">
        <f t="shared" si="189"/>
        <v>0</v>
      </c>
      <c r="II17" s="538"/>
      <c r="IJ17" s="539">
        <f t="shared" si="79"/>
        <v>0</v>
      </c>
      <c r="IK17" s="540">
        <f t="shared" si="190"/>
        <v>0</v>
      </c>
      <c r="IL17" s="538"/>
      <c r="IM17" s="539">
        <f t="shared" si="80"/>
        <v>0</v>
      </c>
      <c r="IN17" s="540">
        <f t="shared" si="191"/>
        <v>0</v>
      </c>
      <c r="IO17" s="538"/>
      <c r="IP17" s="539">
        <f t="shared" si="81"/>
        <v>0</v>
      </c>
      <c r="IQ17" s="540">
        <f t="shared" si="192"/>
        <v>0</v>
      </c>
      <c r="IR17" s="538"/>
      <c r="IS17" s="539">
        <f t="shared" si="82"/>
        <v>0</v>
      </c>
      <c r="IT17" s="540">
        <f t="shared" si="193"/>
        <v>0</v>
      </c>
      <c r="IU17" s="538"/>
      <c r="IV17" s="539">
        <f t="shared" si="83"/>
        <v>0</v>
      </c>
      <c r="IW17" s="540">
        <f t="shared" si="194"/>
        <v>0</v>
      </c>
      <c r="IX17" s="538"/>
      <c r="IY17" s="539">
        <f t="shared" si="84"/>
        <v>0</v>
      </c>
      <c r="IZ17" s="540">
        <f t="shared" si="195"/>
        <v>0</v>
      </c>
      <c r="JA17" s="538"/>
      <c r="JB17" s="539">
        <f t="shared" si="85"/>
        <v>0</v>
      </c>
      <c r="JC17" s="540">
        <f t="shared" si="196"/>
        <v>0</v>
      </c>
      <c r="JD17" s="538"/>
      <c r="JE17" s="539">
        <f t="shared" si="86"/>
        <v>0</v>
      </c>
      <c r="JF17" s="540">
        <f t="shared" si="197"/>
        <v>0</v>
      </c>
      <c r="JG17" s="538"/>
      <c r="JH17" s="539">
        <f t="shared" si="87"/>
        <v>0</v>
      </c>
      <c r="JI17" s="540">
        <f t="shared" si="198"/>
        <v>0</v>
      </c>
      <c r="JJ17" s="538"/>
      <c r="JK17" s="540" t="str">
        <f t="shared" si="88"/>
        <v>0</v>
      </c>
      <c r="JL17" s="540" t="str">
        <f t="shared" si="89"/>
        <v>0</v>
      </c>
      <c r="JM17" s="538"/>
      <c r="JN17" s="540" t="str">
        <f t="shared" si="90"/>
        <v>0</v>
      </c>
      <c r="JO17" s="540" t="str">
        <f t="shared" si="91"/>
        <v>0</v>
      </c>
      <c r="JP17" s="538"/>
      <c r="JQ17" s="540" t="str">
        <f t="shared" si="92"/>
        <v>0</v>
      </c>
      <c r="JR17" s="540" t="str">
        <f t="shared" si="93"/>
        <v>0</v>
      </c>
      <c r="JS17" s="538"/>
      <c r="JT17" s="540" t="str">
        <f t="shared" si="94"/>
        <v>0</v>
      </c>
      <c r="JU17" s="540" t="str">
        <f t="shared" si="95"/>
        <v>0</v>
      </c>
      <c r="JV17" s="538"/>
      <c r="JW17" s="540" t="str">
        <f t="shared" si="96"/>
        <v>0</v>
      </c>
      <c r="JX17" s="540" t="str">
        <f t="shared" si="97"/>
        <v>0</v>
      </c>
      <c r="JY17" s="538"/>
      <c r="JZ17" s="540" t="str">
        <f t="shared" si="98"/>
        <v>0</v>
      </c>
      <c r="KA17" s="540" t="str">
        <f t="shared" si="99"/>
        <v>0</v>
      </c>
      <c r="KB17" s="538"/>
      <c r="KC17" s="540" t="str">
        <f t="shared" si="100"/>
        <v>0</v>
      </c>
      <c r="KD17" s="540" t="str">
        <f t="shared" si="101"/>
        <v>0</v>
      </c>
      <c r="KE17" s="538"/>
      <c r="KF17" s="540" t="str">
        <f t="shared" si="102"/>
        <v>0</v>
      </c>
      <c r="KG17" s="540" t="str">
        <f t="shared" si="103"/>
        <v>0</v>
      </c>
      <c r="KH17" s="538"/>
      <c r="KI17" s="540" t="str">
        <f t="shared" si="104"/>
        <v>0</v>
      </c>
      <c r="KJ17" s="540" t="str">
        <f t="shared" si="105"/>
        <v>0</v>
      </c>
      <c r="KK17" s="538"/>
      <c r="KL17" s="540" t="str">
        <f t="shared" si="106"/>
        <v>0</v>
      </c>
      <c r="KM17" s="540" t="str">
        <f t="shared" si="107"/>
        <v>0</v>
      </c>
      <c r="KN17" s="538"/>
      <c r="KO17" s="540" t="str">
        <f t="shared" si="108"/>
        <v>0</v>
      </c>
      <c r="KP17" s="540" t="str">
        <f t="shared" si="109"/>
        <v>0</v>
      </c>
      <c r="KQ17" s="538"/>
      <c r="KR17" s="540" t="str">
        <f t="shared" si="110"/>
        <v>0</v>
      </c>
      <c r="KS17" s="540" t="str">
        <f t="shared" si="111"/>
        <v>0</v>
      </c>
      <c r="KT17" s="540">
        <f t="shared" si="201"/>
        <v>0</v>
      </c>
      <c r="KU17" s="540">
        <f t="shared" si="202"/>
        <v>0</v>
      </c>
      <c r="KV17" s="275">
        <f t="shared" si="199"/>
        <v>476.44734765824597</v>
      </c>
    </row>
    <row r="18" spans="1:309" ht="15" customHeight="1">
      <c r="A18" s="277">
        <f t="shared" si="200"/>
        <v>46001</v>
      </c>
      <c r="B18" s="278" t="str">
        <f>+Report1!B18</f>
        <v>Facial</v>
      </c>
      <c r="C18" s="420" t="str">
        <f>+Report1!C18</f>
        <v>13/10,5</v>
      </c>
      <c r="D18" s="279">
        <f>+Report1!P18</f>
        <v>59.295999999999999</v>
      </c>
      <c r="E18" s="280">
        <f>+Report1!R18</f>
        <v>58.976999999999997</v>
      </c>
      <c r="F18" s="538">
        <v>0</v>
      </c>
      <c r="G18" s="539">
        <f t="shared" si="0"/>
        <v>0</v>
      </c>
      <c r="H18" s="540">
        <f t="shared" si="112"/>
        <v>0</v>
      </c>
      <c r="I18" s="538">
        <v>255.81395348837214</v>
      </c>
      <c r="J18" s="539">
        <f t="shared" si="1"/>
        <v>4.3375206180099388</v>
      </c>
      <c r="K18" s="540">
        <f t="shared" si="113"/>
        <v>0</v>
      </c>
      <c r="L18" s="538"/>
      <c r="M18" s="539">
        <f t="shared" si="2"/>
        <v>0</v>
      </c>
      <c r="N18" s="540">
        <f t="shared" si="114"/>
        <v>0</v>
      </c>
      <c r="O18" s="538">
        <v>9.0000000000000284</v>
      </c>
      <c r="P18" s="539">
        <f t="shared" si="3"/>
        <v>0.15260186174271376</v>
      </c>
      <c r="Q18" s="540">
        <f t="shared" si="115"/>
        <v>0</v>
      </c>
      <c r="R18" s="538"/>
      <c r="S18" s="539">
        <f t="shared" si="4"/>
        <v>0</v>
      </c>
      <c r="T18" s="540">
        <f t="shared" si="116"/>
        <v>0</v>
      </c>
      <c r="U18" s="538">
        <v>5.1250000000000284</v>
      </c>
      <c r="V18" s="539">
        <f t="shared" si="5"/>
        <v>8.6898282381267761E-2</v>
      </c>
      <c r="W18" s="540">
        <f t="shared" si="117"/>
        <v>0</v>
      </c>
      <c r="X18" s="538"/>
      <c r="Y18" s="539">
        <f t="shared" si="6"/>
        <v>0</v>
      </c>
      <c r="Z18" s="540">
        <f t="shared" si="118"/>
        <v>0</v>
      </c>
      <c r="AA18" s="538"/>
      <c r="AB18" s="539">
        <f t="shared" si="7"/>
        <v>0</v>
      </c>
      <c r="AC18" s="540">
        <f t="shared" si="119"/>
        <v>0</v>
      </c>
      <c r="AD18" s="538"/>
      <c r="AE18" s="539">
        <f t="shared" si="8"/>
        <v>0</v>
      </c>
      <c r="AF18" s="540">
        <f t="shared" si="120"/>
        <v>0</v>
      </c>
      <c r="AG18" s="538"/>
      <c r="AH18" s="539">
        <f t="shared" si="9"/>
        <v>0</v>
      </c>
      <c r="AI18" s="540">
        <f t="shared" si="121"/>
        <v>0</v>
      </c>
      <c r="AJ18" s="538">
        <v>0</v>
      </c>
      <c r="AK18" s="539">
        <f t="shared" si="10"/>
        <v>0</v>
      </c>
      <c r="AL18" s="540">
        <f t="shared" si="122"/>
        <v>0</v>
      </c>
      <c r="AM18" s="538">
        <v>0</v>
      </c>
      <c r="AN18" s="539">
        <f t="shared" si="11"/>
        <v>0</v>
      </c>
      <c r="AO18" s="540">
        <f t="shared" si="123"/>
        <v>0</v>
      </c>
      <c r="AP18" s="538">
        <v>56.962025316455652</v>
      </c>
      <c r="AQ18" s="539">
        <f t="shared" si="12"/>
        <v>0.96583456799185541</v>
      </c>
      <c r="AR18" s="540">
        <f t="shared" si="124"/>
        <v>0</v>
      </c>
      <c r="AS18" s="538"/>
      <c r="AT18" s="539">
        <f t="shared" si="13"/>
        <v>0</v>
      </c>
      <c r="AU18" s="540">
        <f t="shared" si="125"/>
        <v>0</v>
      </c>
      <c r="AV18" s="538">
        <v>5.5500000000000114</v>
      </c>
      <c r="AW18" s="539">
        <f t="shared" si="14"/>
        <v>9.4104481408006715E-2</v>
      </c>
      <c r="AX18" s="540">
        <f t="shared" si="126"/>
        <v>0</v>
      </c>
      <c r="AY18" s="538">
        <v>34.999999999999972</v>
      </c>
      <c r="AZ18" s="539">
        <f t="shared" si="15"/>
        <v>0.59345168455499553</v>
      </c>
      <c r="BA18" s="540">
        <f t="shared" si="127"/>
        <v>0</v>
      </c>
      <c r="BB18" s="538">
        <v>0</v>
      </c>
      <c r="BC18" s="539">
        <f t="shared" si="16"/>
        <v>0</v>
      </c>
      <c r="BD18" s="540">
        <f t="shared" si="128"/>
        <v>0</v>
      </c>
      <c r="BE18" s="538"/>
      <c r="BF18" s="539">
        <f t="shared" si="17"/>
        <v>0</v>
      </c>
      <c r="BG18" s="540">
        <f t="shared" si="129"/>
        <v>0</v>
      </c>
      <c r="BH18" s="538"/>
      <c r="BI18" s="539">
        <f t="shared" si="18"/>
        <v>0</v>
      </c>
      <c r="BJ18" s="540">
        <f t="shared" si="130"/>
        <v>0</v>
      </c>
      <c r="BK18" s="538"/>
      <c r="BL18" s="539">
        <f t="shared" si="19"/>
        <v>0</v>
      </c>
      <c r="BM18" s="540">
        <f t="shared" si="131"/>
        <v>0</v>
      </c>
      <c r="BN18" s="538">
        <v>7.5925925925926023</v>
      </c>
      <c r="BO18" s="539">
        <f t="shared" si="20"/>
        <v>0.12873819612039614</v>
      </c>
      <c r="BP18" s="540">
        <f t="shared" si="132"/>
        <v>0</v>
      </c>
      <c r="BQ18" s="538"/>
      <c r="BR18" s="539">
        <f t="shared" si="21"/>
        <v>0</v>
      </c>
      <c r="BS18" s="540">
        <f t="shared" si="133"/>
        <v>0</v>
      </c>
      <c r="BT18" s="538"/>
      <c r="BU18" s="539">
        <f t="shared" si="22"/>
        <v>0</v>
      </c>
      <c r="BV18" s="540">
        <f t="shared" si="134"/>
        <v>0</v>
      </c>
      <c r="BW18" s="538">
        <v>0</v>
      </c>
      <c r="BX18" s="539">
        <f t="shared" si="23"/>
        <v>0</v>
      </c>
      <c r="BY18" s="540">
        <f t="shared" si="135"/>
        <v>0</v>
      </c>
      <c r="BZ18" s="538"/>
      <c r="CA18" s="539">
        <f t="shared" si="24"/>
        <v>0</v>
      </c>
      <c r="CB18" s="540">
        <f t="shared" si="136"/>
        <v>0</v>
      </c>
      <c r="CC18" s="538">
        <v>0</v>
      </c>
      <c r="CD18" s="539">
        <f t="shared" si="25"/>
        <v>0</v>
      </c>
      <c r="CE18" s="540">
        <f t="shared" si="137"/>
        <v>0</v>
      </c>
      <c r="CF18" s="538">
        <v>0.10000000000000009</v>
      </c>
      <c r="CG18" s="539">
        <f t="shared" si="26"/>
        <v>1.6955762415857044E-3</v>
      </c>
      <c r="CH18" s="540">
        <f t="shared" si="138"/>
        <v>0</v>
      </c>
      <c r="CI18" s="538"/>
      <c r="CJ18" s="539">
        <f t="shared" si="27"/>
        <v>0</v>
      </c>
      <c r="CK18" s="540">
        <f t="shared" si="139"/>
        <v>0</v>
      </c>
      <c r="CL18" s="538"/>
      <c r="CM18" s="539">
        <f t="shared" si="28"/>
        <v>0</v>
      </c>
      <c r="CN18" s="540">
        <f t="shared" si="140"/>
        <v>0</v>
      </c>
      <c r="CO18" s="538"/>
      <c r="CP18" s="539">
        <f t="shared" si="29"/>
        <v>0</v>
      </c>
      <c r="CQ18" s="540">
        <f t="shared" si="141"/>
        <v>0</v>
      </c>
      <c r="CR18" s="538"/>
      <c r="CS18" s="539">
        <f t="shared" si="30"/>
        <v>0</v>
      </c>
      <c r="CT18" s="540">
        <f t="shared" si="142"/>
        <v>0</v>
      </c>
      <c r="CU18" s="538"/>
      <c r="CV18" s="539">
        <f t="shared" si="31"/>
        <v>0</v>
      </c>
      <c r="CW18" s="540">
        <f t="shared" si="143"/>
        <v>0</v>
      </c>
      <c r="CX18" s="538"/>
      <c r="CY18" s="539">
        <f t="shared" si="32"/>
        <v>0</v>
      </c>
      <c r="CZ18" s="540">
        <f t="shared" si="144"/>
        <v>0</v>
      </c>
      <c r="DA18" s="538"/>
      <c r="DB18" s="539">
        <f t="shared" si="33"/>
        <v>0</v>
      </c>
      <c r="DC18" s="540">
        <f t="shared" si="145"/>
        <v>0</v>
      </c>
      <c r="DD18" s="538"/>
      <c r="DE18" s="539">
        <f t="shared" si="34"/>
        <v>0</v>
      </c>
      <c r="DF18" s="540">
        <f t="shared" si="146"/>
        <v>0</v>
      </c>
      <c r="DG18" s="538">
        <v>0</v>
      </c>
      <c r="DH18" s="539">
        <f t="shared" si="35"/>
        <v>0</v>
      </c>
      <c r="DI18" s="540">
        <f t="shared" si="203"/>
        <v>0</v>
      </c>
      <c r="DJ18" s="538"/>
      <c r="DK18" s="539">
        <f t="shared" si="36"/>
        <v>0</v>
      </c>
      <c r="DL18" s="540">
        <f t="shared" si="147"/>
        <v>0</v>
      </c>
      <c r="DM18" s="538"/>
      <c r="DN18" s="539">
        <f t="shared" si="37"/>
        <v>0</v>
      </c>
      <c r="DO18" s="540">
        <f t="shared" si="148"/>
        <v>0</v>
      </c>
      <c r="DP18" s="538"/>
      <c r="DQ18" s="539">
        <f t="shared" si="38"/>
        <v>0</v>
      </c>
      <c r="DR18" s="540">
        <f t="shared" si="149"/>
        <v>0</v>
      </c>
      <c r="DS18" s="538"/>
      <c r="DT18" s="539">
        <f t="shared" si="39"/>
        <v>0</v>
      </c>
      <c r="DU18" s="540">
        <f t="shared" si="150"/>
        <v>0</v>
      </c>
      <c r="DV18" s="538"/>
      <c r="DW18" s="539">
        <f t="shared" si="40"/>
        <v>0</v>
      </c>
      <c r="DX18" s="540">
        <f t="shared" si="151"/>
        <v>0</v>
      </c>
      <c r="DY18" s="538"/>
      <c r="DZ18" s="539">
        <f t="shared" si="41"/>
        <v>0</v>
      </c>
      <c r="EA18" s="540">
        <f t="shared" si="152"/>
        <v>0</v>
      </c>
      <c r="EB18" s="538">
        <v>14.534883720930111</v>
      </c>
      <c r="EC18" s="539">
        <f t="shared" si="42"/>
        <v>0.24645003511419897</v>
      </c>
      <c r="ED18" s="540">
        <f t="shared" si="153"/>
        <v>0</v>
      </c>
      <c r="EE18" s="538">
        <v>0</v>
      </c>
      <c r="EF18" s="539">
        <f t="shared" si="43"/>
        <v>0</v>
      </c>
      <c r="EG18" s="540">
        <f t="shared" si="154"/>
        <v>0</v>
      </c>
      <c r="EH18" s="538"/>
      <c r="EI18" s="539">
        <f t="shared" si="44"/>
        <v>0</v>
      </c>
      <c r="EJ18" s="540">
        <f t="shared" si="155"/>
        <v>0</v>
      </c>
      <c r="EK18" s="538"/>
      <c r="EL18" s="539">
        <f t="shared" si="45"/>
        <v>0</v>
      </c>
      <c r="EM18" s="540">
        <f t="shared" si="156"/>
        <v>0</v>
      </c>
      <c r="EN18" s="538"/>
      <c r="EO18" s="539">
        <f t="shared" si="46"/>
        <v>0</v>
      </c>
      <c r="EP18" s="540">
        <f t="shared" si="157"/>
        <v>0</v>
      </c>
      <c r="EQ18" s="538"/>
      <c r="ER18" s="539">
        <f t="shared" si="47"/>
        <v>0</v>
      </c>
      <c r="ES18" s="540">
        <f t="shared" si="158"/>
        <v>0</v>
      </c>
      <c r="ET18" s="538"/>
      <c r="EU18" s="539">
        <f t="shared" si="48"/>
        <v>0</v>
      </c>
      <c r="EV18" s="540">
        <f t="shared" si="159"/>
        <v>0</v>
      </c>
      <c r="EW18" s="538"/>
      <c r="EX18" s="539">
        <f t="shared" si="49"/>
        <v>0</v>
      </c>
      <c r="EY18" s="540">
        <f t="shared" si="160"/>
        <v>0</v>
      </c>
      <c r="EZ18" s="538"/>
      <c r="FA18" s="539">
        <f t="shared" si="50"/>
        <v>0</v>
      </c>
      <c r="FB18" s="540">
        <f t="shared" si="161"/>
        <v>0</v>
      </c>
      <c r="FC18" s="538"/>
      <c r="FD18" s="539">
        <f t="shared" si="51"/>
        <v>0</v>
      </c>
      <c r="FE18" s="540">
        <f t="shared" si="162"/>
        <v>0</v>
      </c>
      <c r="FF18" s="538"/>
      <c r="FG18" s="539">
        <f t="shared" si="52"/>
        <v>0</v>
      </c>
      <c r="FH18" s="540">
        <f t="shared" si="163"/>
        <v>0</v>
      </c>
      <c r="FI18" s="538"/>
      <c r="FJ18" s="539">
        <f t="shared" si="53"/>
        <v>0</v>
      </c>
      <c r="FK18" s="540">
        <f t="shared" si="164"/>
        <v>0</v>
      </c>
      <c r="FL18" s="538"/>
      <c r="FM18" s="539">
        <f t="shared" si="54"/>
        <v>0</v>
      </c>
      <c r="FN18" s="540">
        <f t="shared" si="165"/>
        <v>0</v>
      </c>
      <c r="FO18" s="538"/>
      <c r="FP18" s="539">
        <f t="shared" si="55"/>
        <v>0</v>
      </c>
      <c r="FQ18" s="540">
        <f t="shared" si="166"/>
        <v>0</v>
      </c>
      <c r="FR18" s="538"/>
      <c r="FS18" s="539">
        <f t="shared" si="56"/>
        <v>0</v>
      </c>
      <c r="FT18" s="540">
        <f t="shared" si="167"/>
        <v>0</v>
      </c>
      <c r="FU18" s="538"/>
      <c r="FV18" s="539">
        <f t="shared" si="57"/>
        <v>0</v>
      </c>
      <c r="FW18" s="540">
        <f t="shared" si="168"/>
        <v>0</v>
      </c>
      <c r="FX18" s="538"/>
      <c r="FY18" s="539">
        <f t="shared" si="58"/>
        <v>0</v>
      </c>
      <c r="FZ18" s="540">
        <f t="shared" si="169"/>
        <v>0</v>
      </c>
      <c r="GA18" s="538"/>
      <c r="GB18" s="539">
        <f t="shared" si="59"/>
        <v>0</v>
      </c>
      <c r="GC18" s="540">
        <f t="shared" si="170"/>
        <v>0</v>
      </c>
      <c r="GD18" s="538"/>
      <c r="GE18" s="539">
        <f t="shared" si="60"/>
        <v>0</v>
      </c>
      <c r="GF18" s="540">
        <f t="shared" si="171"/>
        <v>0</v>
      </c>
      <c r="GG18" s="538"/>
      <c r="GH18" s="539">
        <f t="shared" si="61"/>
        <v>0</v>
      </c>
      <c r="GI18" s="540">
        <f t="shared" si="172"/>
        <v>0</v>
      </c>
      <c r="GJ18" s="538"/>
      <c r="GK18" s="539">
        <f t="shared" si="62"/>
        <v>0</v>
      </c>
      <c r="GL18" s="540">
        <f t="shared" si="173"/>
        <v>0</v>
      </c>
      <c r="GM18" s="538"/>
      <c r="GN18" s="539">
        <f t="shared" si="63"/>
        <v>0</v>
      </c>
      <c r="GO18" s="540">
        <f t="shared" si="174"/>
        <v>0</v>
      </c>
      <c r="GP18" s="538"/>
      <c r="GQ18" s="539">
        <f t="shared" si="64"/>
        <v>0</v>
      </c>
      <c r="GR18" s="540">
        <f t="shared" si="175"/>
        <v>0</v>
      </c>
      <c r="GS18" s="538"/>
      <c r="GT18" s="539">
        <f t="shared" si="65"/>
        <v>0</v>
      </c>
      <c r="GU18" s="540">
        <f t="shared" si="176"/>
        <v>0</v>
      </c>
      <c r="GV18" s="538"/>
      <c r="GW18" s="539">
        <f t="shared" si="66"/>
        <v>0</v>
      </c>
      <c r="GX18" s="540">
        <f t="shared" si="177"/>
        <v>0</v>
      </c>
      <c r="GY18" s="538"/>
      <c r="GZ18" s="539">
        <f t="shared" si="67"/>
        <v>0</v>
      </c>
      <c r="HA18" s="540">
        <f t="shared" si="178"/>
        <v>0</v>
      </c>
      <c r="HB18" s="538"/>
      <c r="HC18" s="539">
        <f t="shared" si="68"/>
        <v>0</v>
      </c>
      <c r="HD18" s="540">
        <f t="shared" si="179"/>
        <v>0</v>
      </c>
      <c r="HE18" s="538"/>
      <c r="HF18" s="539">
        <f t="shared" si="69"/>
        <v>0</v>
      </c>
      <c r="HG18" s="540">
        <f t="shared" si="180"/>
        <v>0</v>
      </c>
      <c r="HH18" s="538"/>
      <c r="HI18" s="539">
        <f t="shared" si="70"/>
        <v>0</v>
      </c>
      <c r="HJ18" s="540">
        <f t="shared" si="181"/>
        <v>0</v>
      </c>
      <c r="HK18" s="538"/>
      <c r="HL18" s="539">
        <f t="shared" si="71"/>
        <v>0</v>
      </c>
      <c r="HM18" s="540">
        <f t="shared" si="182"/>
        <v>0</v>
      </c>
      <c r="HN18" s="538"/>
      <c r="HO18" s="539">
        <f t="shared" si="72"/>
        <v>0</v>
      </c>
      <c r="HP18" s="540">
        <f t="shared" si="183"/>
        <v>0</v>
      </c>
      <c r="HQ18" s="538"/>
      <c r="HR18" s="539">
        <f t="shared" si="73"/>
        <v>0</v>
      </c>
      <c r="HS18" s="540">
        <f t="shared" si="184"/>
        <v>0</v>
      </c>
      <c r="HT18" s="538"/>
      <c r="HU18" s="539">
        <f t="shared" si="74"/>
        <v>0</v>
      </c>
      <c r="HV18" s="540">
        <f t="shared" si="185"/>
        <v>0</v>
      </c>
      <c r="HW18" s="538"/>
      <c r="HX18" s="539">
        <f t="shared" si="75"/>
        <v>0</v>
      </c>
      <c r="HY18" s="540">
        <f t="shared" si="186"/>
        <v>0</v>
      </c>
      <c r="HZ18" s="538"/>
      <c r="IA18" s="539">
        <f t="shared" si="76"/>
        <v>0</v>
      </c>
      <c r="IB18" s="540">
        <f t="shared" si="187"/>
        <v>0</v>
      </c>
      <c r="IC18" s="538"/>
      <c r="ID18" s="539">
        <f t="shared" si="77"/>
        <v>0</v>
      </c>
      <c r="IE18" s="540">
        <f t="shared" si="188"/>
        <v>0</v>
      </c>
      <c r="IF18" s="538"/>
      <c r="IG18" s="539">
        <f t="shared" si="78"/>
        <v>0</v>
      </c>
      <c r="IH18" s="540">
        <f t="shared" si="189"/>
        <v>0</v>
      </c>
      <c r="II18" s="538"/>
      <c r="IJ18" s="539">
        <f t="shared" si="79"/>
        <v>0</v>
      </c>
      <c r="IK18" s="540">
        <f t="shared" si="190"/>
        <v>0</v>
      </c>
      <c r="IL18" s="538"/>
      <c r="IM18" s="539">
        <f t="shared" si="80"/>
        <v>0</v>
      </c>
      <c r="IN18" s="540">
        <f t="shared" si="191"/>
        <v>0</v>
      </c>
      <c r="IO18" s="538"/>
      <c r="IP18" s="539">
        <f t="shared" si="81"/>
        <v>0</v>
      </c>
      <c r="IQ18" s="540">
        <f t="shared" si="192"/>
        <v>0</v>
      </c>
      <c r="IR18" s="538"/>
      <c r="IS18" s="539">
        <f t="shared" si="82"/>
        <v>0</v>
      </c>
      <c r="IT18" s="540">
        <f t="shared" si="193"/>
        <v>0</v>
      </c>
      <c r="IU18" s="538"/>
      <c r="IV18" s="539">
        <f t="shared" si="83"/>
        <v>0</v>
      </c>
      <c r="IW18" s="540">
        <f t="shared" si="194"/>
        <v>0</v>
      </c>
      <c r="IX18" s="538"/>
      <c r="IY18" s="539">
        <f t="shared" si="84"/>
        <v>0</v>
      </c>
      <c r="IZ18" s="540">
        <f t="shared" si="195"/>
        <v>0</v>
      </c>
      <c r="JA18" s="538"/>
      <c r="JB18" s="539">
        <f t="shared" si="85"/>
        <v>0</v>
      </c>
      <c r="JC18" s="540">
        <f t="shared" si="196"/>
        <v>0</v>
      </c>
      <c r="JD18" s="538"/>
      <c r="JE18" s="539">
        <f t="shared" si="86"/>
        <v>0</v>
      </c>
      <c r="JF18" s="540">
        <f t="shared" si="197"/>
        <v>0</v>
      </c>
      <c r="JG18" s="538"/>
      <c r="JH18" s="539">
        <f t="shared" si="87"/>
        <v>0</v>
      </c>
      <c r="JI18" s="540">
        <f t="shared" si="198"/>
        <v>0</v>
      </c>
      <c r="JJ18" s="538"/>
      <c r="JK18" s="540" t="str">
        <f t="shared" si="88"/>
        <v>0</v>
      </c>
      <c r="JL18" s="540" t="str">
        <f t="shared" si="89"/>
        <v>0</v>
      </c>
      <c r="JM18" s="538"/>
      <c r="JN18" s="540" t="str">
        <f t="shared" si="90"/>
        <v>0</v>
      </c>
      <c r="JO18" s="540" t="str">
        <f t="shared" si="91"/>
        <v>0</v>
      </c>
      <c r="JP18" s="538"/>
      <c r="JQ18" s="540" t="str">
        <f t="shared" si="92"/>
        <v>0</v>
      </c>
      <c r="JR18" s="540" t="str">
        <f t="shared" si="93"/>
        <v>0</v>
      </c>
      <c r="JS18" s="538"/>
      <c r="JT18" s="540" t="str">
        <f t="shared" si="94"/>
        <v>0</v>
      </c>
      <c r="JU18" s="540" t="str">
        <f t="shared" si="95"/>
        <v>0</v>
      </c>
      <c r="JV18" s="538"/>
      <c r="JW18" s="540" t="str">
        <f t="shared" si="96"/>
        <v>0</v>
      </c>
      <c r="JX18" s="540" t="str">
        <f t="shared" si="97"/>
        <v>0</v>
      </c>
      <c r="JY18" s="538"/>
      <c r="JZ18" s="540" t="str">
        <f t="shared" si="98"/>
        <v>0</v>
      </c>
      <c r="KA18" s="540" t="str">
        <f t="shared" si="99"/>
        <v>0</v>
      </c>
      <c r="KB18" s="538"/>
      <c r="KC18" s="540" t="str">
        <f t="shared" si="100"/>
        <v>0</v>
      </c>
      <c r="KD18" s="540" t="str">
        <f t="shared" si="101"/>
        <v>0</v>
      </c>
      <c r="KE18" s="538"/>
      <c r="KF18" s="540" t="str">
        <f t="shared" si="102"/>
        <v>0</v>
      </c>
      <c r="KG18" s="540" t="str">
        <f t="shared" si="103"/>
        <v>0</v>
      </c>
      <c r="KH18" s="538"/>
      <c r="KI18" s="540" t="str">
        <f t="shared" si="104"/>
        <v>0</v>
      </c>
      <c r="KJ18" s="540" t="str">
        <f t="shared" si="105"/>
        <v>0</v>
      </c>
      <c r="KK18" s="538"/>
      <c r="KL18" s="540" t="str">
        <f t="shared" si="106"/>
        <v>0</v>
      </c>
      <c r="KM18" s="540" t="str">
        <f t="shared" si="107"/>
        <v>0</v>
      </c>
      <c r="KN18" s="538"/>
      <c r="KO18" s="540" t="str">
        <f t="shared" si="108"/>
        <v>0</v>
      </c>
      <c r="KP18" s="540" t="str">
        <f t="shared" si="109"/>
        <v>0</v>
      </c>
      <c r="KQ18" s="538"/>
      <c r="KR18" s="540" t="str">
        <f t="shared" si="110"/>
        <v>0</v>
      </c>
      <c r="KS18" s="540" t="str">
        <f t="shared" si="111"/>
        <v>0</v>
      </c>
      <c r="KT18" s="540">
        <f t="shared" si="201"/>
        <v>0</v>
      </c>
      <c r="KU18" s="540">
        <f t="shared" si="202"/>
        <v>0</v>
      </c>
      <c r="KV18" s="275">
        <f t="shared" si="199"/>
        <v>389.67845511835048</v>
      </c>
    </row>
    <row r="19" spans="1:309" ht="15" customHeight="1">
      <c r="A19" s="277">
        <f t="shared" si="200"/>
        <v>46002</v>
      </c>
      <c r="B19" s="278" t="str">
        <f>+Report1!B19</f>
        <v>Facial/Sanitary Napkin</v>
      </c>
      <c r="C19" s="420" t="str">
        <f>+Report1!C19</f>
        <v>10,3/13</v>
      </c>
      <c r="D19" s="279">
        <f>+Report1!P19</f>
        <v>50.820999999999998</v>
      </c>
      <c r="E19" s="280">
        <f>+Report1!R19</f>
        <v>47.878999999999998</v>
      </c>
      <c r="F19" s="538">
        <v>93.023255813953597</v>
      </c>
      <c r="G19" s="539">
        <f t="shared" si="0"/>
        <v>1.9428821782817853</v>
      </c>
      <c r="H19" s="540">
        <f t="shared" si="112"/>
        <v>0</v>
      </c>
      <c r="I19" s="538">
        <v>372.09302325581393</v>
      </c>
      <c r="J19" s="539">
        <f t="shared" si="1"/>
        <v>7.7715287131271316</v>
      </c>
      <c r="K19" s="540">
        <f t="shared" si="113"/>
        <v>0</v>
      </c>
      <c r="L19" s="538"/>
      <c r="M19" s="539">
        <f t="shared" si="2"/>
        <v>0</v>
      </c>
      <c r="N19" s="540">
        <f t="shared" si="114"/>
        <v>0</v>
      </c>
      <c r="O19" s="538">
        <v>9</v>
      </c>
      <c r="P19" s="539">
        <f t="shared" si="3"/>
        <v>0.18797385074876252</v>
      </c>
      <c r="Q19" s="540">
        <f t="shared" si="115"/>
        <v>0</v>
      </c>
      <c r="R19" s="538"/>
      <c r="S19" s="539">
        <f t="shared" si="4"/>
        <v>0</v>
      </c>
      <c r="T19" s="540">
        <f t="shared" si="116"/>
        <v>0</v>
      </c>
      <c r="U19" s="538">
        <v>5.1249999999999716</v>
      </c>
      <c r="V19" s="539">
        <f t="shared" si="5"/>
        <v>0.10704066500971139</v>
      </c>
      <c r="W19" s="540">
        <f t="shared" si="117"/>
        <v>0</v>
      </c>
      <c r="X19" s="538"/>
      <c r="Y19" s="539">
        <f t="shared" si="6"/>
        <v>0</v>
      </c>
      <c r="Z19" s="540">
        <f t="shared" si="118"/>
        <v>0</v>
      </c>
      <c r="AA19" s="538"/>
      <c r="AB19" s="539">
        <f t="shared" si="7"/>
        <v>0</v>
      </c>
      <c r="AC19" s="540">
        <f t="shared" si="119"/>
        <v>0</v>
      </c>
      <c r="AD19" s="538"/>
      <c r="AE19" s="539">
        <f t="shared" si="8"/>
        <v>0</v>
      </c>
      <c r="AF19" s="540">
        <f t="shared" si="120"/>
        <v>0</v>
      </c>
      <c r="AG19" s="538"/>
      <c r="AH19" s="539">
        <f t="shared" si="9"/>
        <v>0</v>
      </c>
      <c r="AI19" s="540">
        <f t="shared" si="121"/>
        <v>0</v>
      </c>
      <c r="AJ19" s="538">
        <v>0</v>
      </c>
      <c r="AK19" s="539">
        <f t="shared" si="10"/>
        <v>0</v>
      </c>
      <c r="AL19" s="540">
        <f t="shared" si="122"/>
        <v>0</v>
      </c>
      <c r="AM19" s="538">
        <v>55.192307692307679</v>
      </c>
      <c r="AN19" s="539">
        <f t="shared" si="11"/>
        <v>1.1527456231815134</v>
      </c>
      <c r="AO19" s="540">
        <f t="shared" si="123"/>
        <v>0</v>
      </c>
      <c r="AP19" s="538">
        <v>11.392405063291164</v>
      </c>
      <c r="AQ19" s="539">
        <f t="shared" si="12"/>
        <v>0.2379415832262822</v>
      </c>
      <c r="AR19" s="540">
        <f t="shared" si="124"/>
        <v>0</v>
      </c>
      <c r="AS19" s="538"/>
      <c r="AT19" s="539">
        <f t="shared" si="13"/>
        <v>0</v>
      </c>
      <c r="AU19" s="540">
        <f t="shared" si="125"/>
        <v>0</v>
      </c>
      <c r="AV19" s="538">
        <v>2.7749999999999915</v>
      </c>
      <c r="AW19" s="539">
        <f t="shared" si="14"/>
        <v>5.7958603980868266E-2</v>
      </c>
      <c r="AX19" s="540">
        <f t="shared" si="126"/>
        <v>0</v>
      </c>
      <c r="AY19" s="538">
        <v>49.000000000000028</v>
      </c>
      <c r="AZ19" s="539">
        <f t="shared" si="15"/>
        <v>1.0234131874099299</v>
      </c>
      <c r="BA19" s="540">
        <f t="shared" si="127"/>
        <v>0</v>
      </c>
      <c r="BB19" s="538">
        <v>0</v>
      </c>
      <c r="BC19" s="539">
        <f t="shared" si="16"/>
        <v>0</v>
      </c>
      <c r="BD19" s="540">
        <f t="shared" si="128"/>
        <v>0</v>
      </c>
      <c r="BE19" s="538"/>
      <c r="BF19" s="539">
        <f t="shared" si="17"/>
        <v>0</v>
      </c>
      <c r="BG19" s="540">
        <f t="shared" si="129"/>
        <v>0</v>
      </c>
      <c r="BH19" s="538"/>
      <c r="BI19" s="539">
        <f t="shared" si="18"/>
        <v>0</v>
      </c>
      <c r="BJ19" s="540">
        <f t="shared" si="130"/>
        <v>0</v>
      </c>
      <c r="BK19" s="538"/>
      <c r="BL19" s="539">
        <f t="shared" si="19"/>
        <v>0</v>
      </c>
      <c r="BM19" s="540">
        <f t="shared" si="131"/>
        <v>0</v>
      </c>
      <c r="BN19" s="538">
        <v>7.5925925925925881</v>
      </c>
      <c r="BO19" s="539">
        <f t="shared" si="20"/>
        <v>0.15857876297735099</v>
      </c>
      <c r="BP19" s="540">
        <f t="shared" si="132"/>
        <v>0</v>
      </c>
      <c r="BQ19" s="538"/>
      <c r="BR19" s="539">
        <f t="shared" si="21"/>
        <v>0</v>
      </c>
      <c r="BS19" s="540">
        <f t="shared" si="133"/>
        <v>0</v>
      </c>
      <c r="BT19" s="538"/>
      <c r="BU19" s="539">
        <f t="shared" si="22"/>
        <v>0</v>
      </c>
      <c r="BV19" s="540">
        <f t="shared" si="134"/>
        <v>0</v>
      </c>
      <c r="BW19" s="538">
        <v>0</v>
      </c>
      <c r="BX19" s="539">
        <f t="shared" si="23"/>
        <v>0</v>
      </c>
      <c r="BY19" s="540">
        <f t="shared" si="135"/>
        <v>0</v>
      </c>
      <c r="BZ19" s="538"/>
      <c r="CA19" s="539">
        <f t="shared" si="24"/>
        <v>0</v>
      </c>
      <c r="CB19" s="540">
        <f t="shared" si="136"/>
        <v>0</v>
      </c>
      <c r="CC19" s="538">
        <v>0</v>
      </c>
      <c r="CD19" s="539">
        <f t="shared" si="25"/>
        <v>0</v>
      </c>
      <c r="CE19" s="540">
        <f t="shared" si="137"/>
        <v>0</v>
      </c>
      <c r="CF19" s="538">
        <v>9.9999999999999978E-2</v>
      </c>
      <c r="CG19" s="539">
        <f t="shared" si="26"/>
        <v>2.0885983416529166E-3</v>
      </c>
      <c r="CH19" s="540">
        <f t="shared" si="138"/>
        <v>0</v>
      </c>
      <c r="CI19" s="538"/>
      <c r="CJ19" s="539">
        <f t="shared" si="27"/>
        <v>0</v>
      </c>
      <c r="CK19" s="540">
        <f t="shared" si="139"/>
        <v>0</v>
      </c>
      <c r="CL19" s="538"/>
      <c r="CM19" s="539">
        <f t="shared" si="28"/>
        <v>0</v>
      </c>
      <c r="CN19" s="540">
        <f t="shared" si="140"/>
        <v>0</v>
      </c>
      <c r="CO19" s="538"/>
      <c r="CP19" s="539">
        <f t="shared" si="29"/>
        <v>0</v>
      </c>
      <c r="CQ19" s="540">
        <f t="shared" si="141"/>
        <v>0</v>
      </c>
      <c r="CR19" s="538"/>
      <c r="CS19" s="539">
        <f t="shared" si="30"/>
        <v>0</v>
      </c>
      <c r="CT19" s="540">
        <f t="shared" si="142"/>
        <v>0</v>
      </c>
      <c r="CU19" s="538"/>
      <c r="CV19" s="539">
        <f t="shared" si="31"/>
        <v>0</v>
      </c>
      <c r="CW19" s="540">
        <f t="shared" si="143"/>
        <v>0</v>
      </c>
      <c r="CX19" s="538"/>
      <c r="CY19" s="539">
        <f t="shared" si="32"/>
        <v>0</v>
      </c>
      <c r="CZ19" s="540">
        <f t="shared" si="144"/>
        <v>0</v>
      </c>
      <c r="DA19" s="538"/>
      <c r="DB19" s="539">
        <f t="shared" si="33"/>
        <v>0</v>
      </c>
      <c r="DC19" s="540">
        <f t="shared" si="145"/>
        <v>0</v>
      </c>
      <c r="DD19" s="538"/>
      <c r="DE19" s="539">
        <f t="shared" si="34"/>
        <v>0</v>
      </c>
      <c r="DF19" s="540">
        <f t="shared" si="146"/>
        <v>0</v>
      </c>
      <c r="DG19" s="538">
        <v>0</v>
      </c>
      <c r="DH19" s="539">
        <f t="shared" si="35"/>
        <v>0</v>
      </c>
      <c r="DI19" s="540">
        <f t="shared" si="203"/>
        <v>0</v>
      </c>
      <c r="DJ19" s="538"/>
      <c r="DK19" s="539">
        <f t="shared" si="36"/>
        <v>0</v>
      </c>
      <c r="DL19" s="540">
        <f t="shared" si="147"/>
        <v>0</v>
      </c>
      <c r="DM19" s="538"/>
      <c r="DN19" s="539">
        <f t="shared" si="37"/>
        <v>0</v>
      </c>
      <c r="DO19" s="540">
        <f t="shared" si="148"/>
        <v>0</v>
      </c>
      <c r="DP19" s="538"/>
      <c r="DQ19" s="539">
        <f t="shared" si="38"/>
        <v>0</v>
      </c>
      <c r="DR19" s="540">
        <f t="shared" si="149"/>
        <v>0</v>
      </c>
      <c r="DS19" s="538"/>
      <c r="DT19" s="539">
        <f t="shared" si="39"/>
        <v>0</v>
      </c>
      <c r="DU19" s="540">
        <f t="shared" si="150"/>
        <v>0</v>
      </c>
      <c r="DV19" s="538"/>
      <c r="DW19" s="539">
        <f t="shared" si="40"/>
        <v>0</v>
      </c>
      <c r="DX19" s="540">
        <f t="shared" si="151"/>
        <v>0</v>
      </c>
      <c r="DY19" s="538"/>
      <c r="DZ19" s="539">
        <f t="shared" si="41"/>
        <v>0</v>
      </c>
      <c r="EA19" s="540">
        <f t="shared" si="152"/>
        <v>0</v>
      </c>
      <c r="EB19" s="538">
        <v>29.069767441860563</v>
      </c>
      <c r="EC19" s="539">
        <f t="shared" si="42"/>
        <v>0.60715068071305922</v>
      </c>
      <c r="ED19" s="540">
        <f t="shared" si="153"/>
        <v>0</v>
      </c>
      <c r="EE19" s="538">
        <v>0</v>
      </c>
      <c r="EF19" s="539">
        <f t="shared" si="43"/>
        <v>0</v>
      </c>
      <c r="EG19" s="540">
        <f t="shared" si="154"/>
        <v>0</v>
      </c>
      <c r="EH19" s="538"/>
      <c r="EI19" s="539">
        <f t="shared" si="44"/>
        <v>0</v>
      </c>
      <c r="EJ19" s="540">
        <f t="shared" si="155"/>
        <v>0</v>
      </c>
      <c r="EK19" s="538"/>
      <c r="EL19" s="539">
        <f t="shared" si="45"/>
        <v>0</v>
      </c>
      <c r="EM19" s="540">
        <f t="shared" si="156"/>
        <v>0</v>
      </c>
      <c r="EN19" s="538"/>
      <c r="EO19" s="539">
        <f t="shared" si="46"/>
        <v>0</v>
      </c>
      <c r="EP19" s="540">
        <f t="shared" si="157"/>
        <v>0</v>
      </c>
      <c r="EQ19" s="538"/>
      <c r="ER19" s="539">
        <f t="shared" si="47"/>
        <v>0</v>
      </c>
      <c r="ES19" s="540">
        <f t="shared" si="158"/>
        <v>0</v>
      </c>
      <c r="ET19" s="538"/>
      <c r="EU19" s="539">
        <f t="shared" si="48"/>
        <v>0</v>
      </c>
      <c r="EV19" s="540">
        <f t="shared" si="159"/>
        <v>0</v>
      </c>
      <c r="EW19" s="538"/>
      <c r="EX19" s="539">
        <f t="shared" si="49"/>
        <v>0</v>
      </c>
      <c r="EY19" s="540">
        <f t="shared" si="160"/>
        <v>0</v>
      </c>
      <c r="EZ19" s="538"/>
      <c r="FA19" s="539">
        <f t="shared" si="50"/>
        <v>0</v>
      </c>
      <c r="FB19" s="540">
        <f t="shared" si="161"/>
        <v>0</v>
      </c>
      <c r="FC19" s="538"/>
      <c r="FD19" s="539">
        <f t="shared" si="51"/>
        <v>0</v>
      </c>
      <c r="FE19" s="540">
        <f t="shared" si="162"/>
        <v>0</v>
      </c>
      <c r="FF19" s="538"/>
      <c r="FG19" s="539">
        <f t="shared" si="52"/>
        <v>0</v>
      </c>
      <c r="FH19" s="540">
        <f t="shared" si="163"/>
        <v>0</v>
      </c>
      <c r="FI19" s="538"/>
      <c r="FJ19" s="539">
        <f t="shared" si="53"/>
        <v>0</v>
      </c>
      <c r="FK19" s="540">
        <f t="shared" si="164"/>
        <v>0</v>
      </c>
      <c r="FL19" s="538"/>
      <c r="FM19" s="539">
        <f t="shared" si="54"/>
        <v>0</v>
      </c>
      <c r="FN19" s="540">
        <f t="shared" si="165"/>
        <v>0</v>
      </c>
      <c r="FO19" s="538"/>
      <c r="FP19" s="539">
        <f t="shared" si="55"/>
        <v>0</v>
      </c>
      <c r="FQ19" s="540">
        <f t="shared" si="166"/>
        <v>0</v>
      </c>
      <c r="FR19" s="538"/>
      <c r="FS19" s="539">
        <f t="shared" si="56"/>
        <v>0</v>
      </c>
      <c r="FT19" s="540">
        <f t="shared" si="167"/>
        <v>0</v>
      </c>
      <c r="FU19" s="538"/>
      <c r="FV19" s="539">
        <f t="shared" si="57"/>
        <v>0</v>
      </c>
      <c r="FW19" s="540">
        <f t="shared" si="168"/>
        <v>0</v>
      </c>
      <c r="FX19" s="538"/>
      <c r="FY19" s="539">
        <f t="shared" si="58"/>
        <v>0</v>
      </c>
      <c r="FZ19" s="540">
        <f t="shared" si="169"/>
        <v>0</v>
      </c>
      <c r="GA19" s="538"/>
      <c r="GB19" s="539">
        <f t="shared" si="59"/>
        <v>0</v>
      </c>
      <c r="GC19" s="540">
        <f t="shared" si="170"/>
        <v>0</v>
      </c>
      <c r="GD19" s="538"/>
      <c r="GE19" s="539">
        <f t="shared" si="60"/>
        <v>0</v>
      </c>
      <c r="GF19" s="540">
        <f t="shared" si="171"/>
        <v>0</v>
      </c>
      <c r="GG19" s="538"/>
      <c r="GH19" s="539">
        <f t="shared" si="61"/>
        <v>0</v>
      </c>
      <c r="GI19" s="540">
        <f t="shared" si="172"/>
        <v>0</v>
      </c>
      <c r="GJ19" s="538"/>
      <c r="GK19" s="539">
        <f t="shared" si="62"/>
        <v>0</v>
      </c>
      <c r="GL19" s="540">
        <f t="shared" si="173"/>
        <v>0</v>
      </c>
      <c r="GM19" s="538"/>
      <c r="GN19" s="539">
        <f t="shared" si="63"/>
        <v>0</v>
      </c>
      <c r="GO19" s="540">
        <f t="shared" si="174"/>
        <v>0</v>
      </c>
      <c r="GP19" s="538"/>
      <c r="GQ19" s="539">
        <f t="shared" si="64"/>
        <v>0</v>
      </c>
      <c r="GR19" s="540">
        <f t="shared" si="175"/>
        <v>0</v>
      </c>
      <c r="GS19" s="538"/>
      <c r="GT19" s="539">
        <f t="shared" si="65"/>
        <v>0</v>
      </c>
      <c r="GU19" s="540">
        <f t="shared" si="176"/>
        <v>0</v>
      </c>
      <c r="GV19" s="538"/>
      <c r="GW19" s="539">
        <f t="shared" si="66"/>
        <v>0</v>
      </c>
      <c r="GX19" s="540">
        <f t="shared" si="177"/>
        <v>0</v>
      </c>
      <c r="GY19" s="538"/>
      <c r="GZ19" s="539">
        <f t="shared" si="67"/>
        <v>0</v>
      </c>
      <c r="HA19" s="540">
        <f t="shared" si="178"/>
        <v>0</v>
      </c>
      <c r="HB19" s="538"/>
      <c r="HC19" s="539">
        <f t="shared" si="68"/>
        <v>0</v>
      </c>
      <c r="HD19" s="540">
        <f t="shared" si="179"/>
        <v>0</v>
      </c>
      <c r="HE19" s="538"/>
      <c r="HF19" s="539">
        <f t="shared" si="69"/>
        <v>0</v>
      </c>
      <c r="HG19" s="540">
        <f t="shared" si="180"/>
        <v>0</v>
      </c>
      <c r="HH19" s="538"/>
      <c r="HI19" s="539">
        <f t="shared" si="70"/>
        <v>0</v>
      </c>
      <c r="HJ19" s="540">
        <f t="shared" si="181"/>
        <v>0</v>
      </c>
      <c r="HK19" s="538"/>
      <c r="HL19" s="539">
        <f t="shared" si="71"/>
        <v>0</v>
      </c>
      <c r="HM19" s="540">
        <f t="shared" si="182"/>
        <v>0</v>
      </c>
      <c r="HN19" s="538"/>
      <c r="HO19" s="539">
        <f t="shared" si="72"/>
        <v>0</v>
      </c>
      <c r="HP19" s="540">
        <f t="shared" si="183"/>
        <v>0</v>
      </c>
      <c r="HQ19" s="538"/>
      <c r="HR19" s="539">
        <f t="shared" si="73"/>
        <v>0</v>
      </c>
      <c r="HS19" s="540">
        <f t="shared" si="184"/>
        <v>0</v>
      </c>
      <c r="HT19" s="538"/>
      <c r="HU19" s="539">
        <f t="shared" si="74"/>
        <v>0</v>
      </c>
      <c r="HV19" s="540">
        <f t="shared" si="185"/>
        <v>0</v>
      </c>
      <c r="HW19" s="538"/>
      <c r="HX19" s="539">
        <f t="shared" si="75"/>
        <v>0</v>
      </c>
      <c r="HY19" s="540">
        <f t="shared" si="186"/>
        <v>0</v>
      </c>
      <c r="HZ19" s="538"/>
      <c r="IA19" s="539">
        <f t="shared" si="76"/>
        <v>0</v>
      </c>
      <c r="IB19" s="540">
        <f t="shared" si="187"/>
        <v>0</v>
      </c>
      <c r="IC19" s="538"/>
      <c r="ID19" s="539">
        <f t="shared" si="77"/>
        <v>0</v>
      </c>
      <c r="IE19" s="540">
        <f t="shared" si="188"/>
        <v>0</v>
      </c>
      <c r="IF19" s="538"/>
      <c r="IG19" s="539">
        <f t="shared" si="78"/>
        <v>0</v>
      </c>
      <c r="IH19" s="540">
        <f t="shared" si="189"/>
        <v>0</v>
      </c>
      <c r="II19" s="538"/>
      <c r="IJ19" s="539">
        <f t="shared" si="79"/>
        <v>0</v>
      </c>
      <c r="IK19" s="540">
        <f t="shared" si="190"/>
        <v>0</v>
      </c>
      <c r="IL19" s="538"/>
      <c r="IM19" s="539">
        <f t="shared" si="80"/>
        <v>0</v>
      </c>
      <c r="IN19" s="540">
        <f t="shared" si="191"/>
        <v>0</v>
      </c>
      <c r="IO19" s="538"/>
      <c r="IP19" s="539">
        <f t="shared" si="81"/>
        <v>0</v>
      </c>
      <c r="IQ19" s="540">
        <f t="shared" si="192"/>
        <v>0</v>
      </c>
      <c r="IR19" s="538"/>
      <c r="IS19" s="539">
        <f t="shared" si="82"/>
        <v>0</v>
      </c>
      <c r="IT19" s="540">
        <f t="shared" si="193"/>
        <v>0</v>
      </c>
      <c r="IU19" s="538"/>
      <c r="IV19" s="539">
        <f t="shared" si="83"/>
        <v>0</v>
      </c>
      <c r="IW19" s="540">
        <f t="shared" si="194"/>
        <v>0</v>
      </c>
      <c r="IX19" s="538"/>
      <c r="IY19" s="539">
        <f t="shared" si="84"/>
        <v>0</v>
      </c>
      <c r="IZ19" s="540">
        <f t="shared" si="195"/>
        <v>0</v>
      </c>
      <c r="JA19" s="538"/>
      <c r="JB19" s="539">
        <f t="shared" si="85"/>
        <v>0</v>
      </c>
      <c r="JC19" s="540">
        <f t="shared" si="196"/>
        <v>0</v>
      </c>
      <c r="JD19" s="538"/>
      <c r="JE19" s="539">
        <f t="shared" si="86"/>
        <v>0</v>
      </c>
      <c r="JF19" s="540">
        <f t="shared" si="197"/>
        <v>0</v>
      </c>
      <c r="JG19" s="538"/>
      <c r="JH19" s="539">
        <f t="shared" si="87"/>
        <v>0</v>
      </c>
      <c r="JI19" s="540">
        <f t="shared" si="198"/>
        <v>0</v>
      </c>
      <c r="JJ19" s="538"/>
      <c r="JK19" s="540" t="str">
        <f t="shared" si="88"/>
        <v>0</v>
      </c>
      <c r="JL19" s="540" t="str">
        <f t="shared" si="89"/>
        <v>0</v>
      </c>
      <c r="JM19" s="538"/>
      <c r="JN19" s="540" t="str">
        <f t="shared" si="90"/>
        <v>0</v>
      </c>
      <c r="JO19" s="540" t="str">
        <f t="shared" si="91"/>
        <v>0</v>
      </c>
      <c r="JP19" s="538"/>
      <c r="JQ19" s="540" t="str">
        <f t="shared" si="92"/>
        <v>0</v>
      </c>
      <c r="JR19" s="540" t="str">
        <f t="shared" si="93"/>
        <v>0</v>
      </c>
      <c r="JS19" s="538"/>
      <c r="JT19" s="540" t="str">
        <f t="shared" si="94"/>
        <v>0</v>
      </c>
      <c r="JU19" s="540" t="str">
        <f t="shared" si="95"/>
        <v>0</v>
      </c>
      <c r="JV19" s="538"/>
      <c r="JW19" s="540" t="str">
        <f t="shared" si="96"/>
        <v>0</v>
      </c>
      <c r="JX19" s="540" t="str">
        <f t="shared" si="97"/>
        <v>0</v>
      </c>
      <c r="JY19" s="538"/>
      <c r="JZ19" s="540" t="str">
        <f t="shared" si="98"/>
        <v>0</v>
      </c>
      <c r="KA19" s="540" t="str">
        <f t="shared" si="99"/>
        <v>0</v>
      </c>
      <c r="KB19" s="538"/>
      <c r="KC19" s="540" t="str">
        <f t="shared" si="100"/>
        <v>0</v>
      </c>
      <c r="KD19" s="540" t="str">
        <f t="shared" si="101"/>
        <v>0</v>
      </c>
      <c r="KE19" s="538"/>
      <c r="KF19" s="540" t="str">
        <f t="shared" si="102"/>
        <v>0</v>
      </c>
      <c r="KG19" s="540" t="str">
        <f t="shared" si="103"/>
        <v>0</v>
      </c>
      <c r="KH19" s="538"/>
      <c r="KI19" s="540" t="str">
        <f t="shared" si="104"/>
        <v>0</v>
      </c>
      <c r="KJ19" s="540" t="str">
        <f t="shared" si="105"/>
        <v>0</v>
      </c>
      <c r="KK19" s="538"/>
      <c r="KL19" s="540" t="str">
        <f t="shared" si="106"/>
        <v>0</v>
      </c>
      <c r="KM19" s="540" t="str">
        <f t="shared" si="107"/>
        <v>0</v>
      </c>
      <c r="KN19" s="538"/>
      <c r="KO19" s="540" t="str">
        <f t="shared" si="108"/>
        <v>0</v>
      </c>
      <c r="KP19" s="540" t="str">
        <f t="shared" si="109"/>
        <v>0</v>
      </c>
      <c r="KQ19" s="538"/>
      <c r="KR19" s="540" t="str">
        <f t="shared" si="110"/>
        <v>0</v>
      </c>
      <c r="KS19" s="540" t="str">
        <f t="shared" si="111"/>
        <v>0</v>
      </c>
      <c r="KT19" s="540">
        <f t="shared" si="201"/>
        <v>0</v>
      </c>
      <c r="KU19" s="540">
        <f t="shared" si="202"/>
        <v>0</v>
      </c>
      <c r="KV19" s="275">
        <f t="shared" si="199"/>
        <v>634.36335185981955</v>
      </c>
    </row>
    <row r="20" spans="1:309" ht="15" customHeight="1">
      <c r="A20" s="277">
        <f t="shared" si="200"/>
        <v>46003</v>
      </c>
      <c r="B20" s="278" t="str">
        <f>+Report1!B20</f>
        <v>Sanitary Napkin</v>
      </c>
      <c r="C20" s="420" t="str">
        <f>+Report1!C20</f>
        <v>13</v>
      </c>
      <c r="D20" s="279">
        <f>+Report1!P20</f>
        <v>54.747</v>
      </c>
      <c r="E20" s="280">
        <f>+Report1!R20</f>
        <v>54.314999999999998</v>
      </c>
      <c r="F20" s="538">
        <v>186.04651162790674</v>
      </c>
      <c r="G20" s="539">
        <f t="shared" si="0"/>
        <v>3.4253247100783715</v>
      </c>
      <c r="H20" s="540">
        <f t="shared" si="112"/>
        <v>0</v>
      </c>
      <c r="I20" s="538">
        <v>488.37209302325573</v>
      </c>
      <c r="J20" s="539">
        <f t="shared" si="1"/>
        <v>8.9914773639557346</v>
      </c>
      <c r="K20" s="540">
        <f t="shared" si="113"/>
        <v>0</v>
      </c>
      <c r="L20" s="538"/>
      <c r="M20" s="539">
        <f t="shared" si="2"/>
        <v>0</v>
      </c>
      <c r="N20" s="540">
        <f t="shared" si="114"/>
        <v>0</v>
      </c>
      <c r="O20" s="538">
        <v>9</v>
      </c>
      <c r="P20" s="539">
        <f t="shared" si="3"/>
        <v>0.16570008285004142</v>
      </c>
      <c r="Q20" s="540">
        <f t="shared" si="115"/>
        <v>0</v>
      </c>
      <c r="R20" s="538"/>
      <c r="S20" s="539">
        <f t="shared" si="4"/>
        <v>0</v>
      </c>
      <c r="T20" s="540">
        <f t="shared" si="116"/>
        <v>0</v>
      </c>
      <c r="U20" s="538">
        <v>5.1250000000000284</v>
      </c>
      <c r="V20" s="539">
        <f t="shared" si="5"/>
        <v>9.4356991622940783E-2</v>
      </c>
      <c r="W20" s="540">
        <f t="shared" si="117"/>
        <v>0</v>
      </c>
      <c r="X20" s="538"/>
      <c r="Y20" s="539">
        <f t="shared" si="6"/>
        <v>0</v>
      </c>
      <c r="Z20" s="540">
        <f t="shared" si="118"/>
        <v>0</v>
      </c>
      <c r="AA20" s="538"/>
      <c r="AB20" s="539">
        <f t="shared" si="7"/>
        <v>0</v>
      </c>
      <c r="AC20" s="540">
        <f t="shared" si="119"/>
        <v>0</v>
      </c>
      <c r="AD20" s="538"/>
      <c r="AE20" s="539">
        <f t="shared" si="8"/>
        <v>0</v>
      </c>
      <c r="AF20" s="540">
        <f t="shared" si="120"/>
        <v>0</v>
      </c>
      <c r="AG20" s="538"/>
      <c r="AH20" s="539">
        <f t="shared" si="9"/>
        <v>0</v>
      </c>
      <c r="AI20" s="540">
        <f t="shared" si="121"/>
        <v>0</v>
      </c>
      <c r="AJ20" s="538">
        <v>0</v>
      </c>
      <c r="AK20" s="539">
        <f t="shared" si="10"/>
        <v>0</v>
      </c>
      <c r="AL20" s="540">
        <f t="shared" si="122"/>
        <v>0</v>
      </c>
      <c r="AM20" s="538">
        <v>49.935897435897459</v>
      </c>
      <c r="AN20" s="539">
        <f t="shared" si="11"/>
        <v>0.91937581581326455</v>
      </c>
      <c r="AO20" s="540">
        <f t="shared" si="123"/>
        <v>0</v>
      </c>
      <c r="AP20" s="538">
        <v>0</v>
      </c>
      <c r="AQ20" s="539">
        <f t="shared" si="12"/>
        <v>0</v>
      </c>
      <c r="AR20" s="540">
        <f t="shared" si="124"/>
        <v>0</v>
      </c>
      <c r="AS20" s="538"/>
      <c r="AT20" s="539">
        <f t="shared" si="13"/>
        <v>0</v>
      </c>
      <c r="AU20" s="540">
        <f t="shared" si="125"/>
        <v>0</v>
      </c>
      <c r="AV20" s="538">
        <v>2.7750000000000057</v>
      </c>
      <c r="AW20" s="539">
        <f t="shared" si="14"/>
        <v>5.1090858878762878E-2</v>
      </c>
      <c r="AX20" s="540">
        <f t="shared" si="126"/>
        <v>0</v>
      </c>
      <c r="AY20" s="538">
        <v>62.999999999999972</v>
      </c>
      <c r="AZ20" s="539">
        <f t="shared" si="15"/>
        <v>1.1599005799502895</v>
      </c>
      <c r="BA20" s="540">
        <f t="shared" si="127"/>
        <v>0</v>
      </c>
      <c r="BB20" s="538">
        <v>0</v>
      </c>
      <c r="BC20" s="539">
        <f t="shared" si="16"/>
        <v>0</v>
      </c>
      <c r="BD20" s="540">
        <f t="shared" si="128"/>
        <v>0</v>
      </c>
      <c r="BE20" s="538"/>
      <c r="BF20" s="539">
        <f t="shared" si="17"/>
        <v>0</v>
      </c>
      <c r="BG20" s="540">
        <f t="shared" si="129"/>
        <v>0</v>
      </c>
      <c r="BH20" s="538"/>
      <c r="BI20" s="539">
        <f t="shared" si="18"/>
        <v>0</v>
      </c>
      <c r="BJ20" s="540">
        <f t="shared" si="130"/>
        <v>0</v>
      </c>
      <c r="BK20" s="538"/>
      <c r="BL20" s="539">
        <f t="shared" si="19"/>
        <v>0</v>
      </c>
      <c r="BM20" s="540">
        <f t="shared" si="131"/>
        <v>0</v>
      </c>
      <c r="BN20" s="538">
        <v>10.123456790123463</v>
      </c>
      <c r="BO20" s="539">
        <f t="shared" si="20"/>
        <v>0.18638418098358581</v>
      </c>
      <c r="BP20" s="540">
        <f t="shared" si="132"/>
        <v>0</v>
      </c>
      <c r="BQ20" s="538"/>
      <c r="BR20" s="539">
        <f t="shared" si="21"/>
        <v>0</v>
      </c>
      <c r="BS20" s="540">
        <f t="shared" si="133"/>
        <v>0</v>
      </c>
      <c r="BT20" s="538"/>
      <c r="BU20" s="539">
        <f t="shared" si="22"/>
        <v>0</v>
      </c>
      <c r="BV20" s="540">
        <f t="shared" si="134"/>
        <v>0</v>
      </c>
      <c r="BW20" s="538">
        <v>0</v>
      </c>
      <c r="BX20" s="539">
        <f t="shared" si="23"/>
        <v>0</v>
      </c>
      <c r="BY20" s="540">
        <f t="shared" si="135"/>
        <v>0</v>
      </c>
      <c r="BZ20" s="538"/>
      <c r="CA20" s="539">
        <f t="shared" si="24"/>
        <v>0</v>
      </c>
      <c r="CB20" s="540">
        <f t="shared" si="136"/>
        <v>0</v>
      </c>
      <c r="CC20" s="538">
        <v>0</v>
      </c>
      <c r="CD20" s="539">
        <f t="shared" si="25"/>
        <v>0</v>
      </c>
      <c r="CE20" s="540">
        <f t="shared" si="137"/>
        <v>0</v>
      </c>
      <c r="CF20" s="538">
        <v>9.9999999999999978E-2</v>
      </c>
      <c r="CG20" s="539">
        <f t="shared" si="26"/>
        <v>1.8411120316671266E-3</v>
      </c>
      <c r="CH20" s="540">
        <f t="shared" si="138"/>
        <v>0</v>
      </c>
      <c r="CI20" s="538"/>
      <c r="CJ20" s="539">
        <f t="shared" si="27"/>
        <v>0</v>
      </c>
      <c r="CK20" s="540">
        <f t="shared" si="139"/>
        <v>0</v>
      </c>
      <c r="CL20" s="538"/>
      <c r="CM20" s="539">
        <f t="shared" si="28"/>
        <v>0</v>
      </c>
      <c r="CN20" s="540">
        <f t="shared" si="140"/>
        <v>0</v>
      </c>
      <c r="CO20" s="538"/>
      <c r="CP20" s="539">
        <f t="shared" si="29"/>
        <v>0</v>
      </c>
      <c r="CQ20" s="540">
        <f t="shared" si="141"/>
        <v>0</v>
      </c>
      <c r="CR20" s="538"/>
      <c r="CS20" s="539">
        <f t="shared" si="30"/>
        <v>0</v>
      </c>
      <c r="CT20" s="540">
        <f t="shared" si="142"/>
        <v>0</v>
      </c>
      <c r="CU20" s="538"/>
      <c r="CV20" s="539">
        <f t="shared" si="31"/>
        <v>0</v>
      </c>
      <c r="CW20" s="540">
        <f t="shared" si="143"/>
        <v>0</v>
      </c>
      <c r="CX20" s="538"/>
      <c r="CY20" s="539">
        <f t="shared" si="32"/>
        <v>0</v>
      </c>
      <c r="CZ20" s="540">
        <f t="shared" si="144"/>
        <v>0</v>
      </c>
      <c r="DA20" s="538"/>
      <c r="DB20" s="539">
        <f t="shared" si="33"/>
        <v>0</v>
      </c>
      <c r="DC20" s="540">
        <f t="shared" si="145"/>
        <v>0</v>
      </c>
      <c r="DD20" s="538"/>
      <c r="DE20" s="539">
        <f t="shared" si="34"/>
        <v>0</v>
      </c>
      <c r="DF20" s="540">
        <f t="shared" si="146"/>
        <v>0</v>
      </c>
      <c r="DG20" s="538">
        <v>0</v>
      </c>
      <c r="DH20" s="539">
        <f t="shared" si="35"/>
        <v>0</v>
      </c>
      <c r="DI20" s="540">
        <f t="shared" si="203"/>
        <v>0</v>
      </c>
      <c r="DJ20" s="538"/>
      <c r="DK20" s="539">
        <f t="shared" si="36"/>
        <v>0</v>
      </c>
      <c r="DL20" s="540">
        <f t="shared" si="147"/>
        <v>0</v>
      </c>
      <c r="DM20" s="538"/>
      <c r="DN20" s="539">
        <f t="shared" si="37"/>
        <v>0</v>
      </c>
      <c r="DO20" s="540">
        <f t="shared" si="148"/>
        <v>0</v>
      </c>
      <c r="DP20" s="538"/>
      <c r="DQ20" s="539">
        <f t="shared" si="38"/>
        <v>0</v>
      </c>
      <c r="DR20" s="540">
        <f t="shared" si="149"/>
        <v>0</v>
      </c>
      <c r="DS20" s="538"/>
      <c r="DT20" s="539">
        <f t="shared" si="39"/>
        <v>0</v>
      </c>
      <c r="DU20" s="540">
        <f t="shared" si="150"/>
        <v>0</v>
      </c>
      <c r="DV20" s="538"/>
      <c r="DW20" s="539">
        <f t="shared" si="40"/>
        <v>0</v>
      </c>
      <c r="DX20" s="540">
        <f t="shared" si="151"/>
        <v>0</v>
      </c>
      <c r="DY20" s="538"/>
      <c r="DZ20" s="539">
        <f t="shared" si="41"/>
        <v>0</v>
      </c>
      <c r="EA20" s="540">
        <f t="shared" si="152"/>
        <v>0</v>
      </c>
      <c r="EB20" s="538">
        <v>29.069767441860449</v>
      </c>
      <c r="EC20" s="539">
        <f t="shared" si="42"/>
        <v>0.53520698594974592</v>
      </c>
      <c r="ED20" s="540">
        <f t="shared" si="153"/>
        <v>0</v>
      </c>
      <c r="EE20" s="538">
        <v>0</v>
      </c>
      <c r="EF20" s="539">
        <f t="shared" si="43"/>
        <v>0</v>
      </c>
      <c r="EG20" s="540">
        <f t="shared" si="154"/>
        <v>0</v>
      </c>
      <c r="EH20" s="538"/>
      <c r="EI20" s="539">
        <f t="shared" si="44"/>
        <v>0</v>
      </c>
      <c r="EJ20" s="540">
        <f t="shared" si="155"/>
        <v>0</v>
      </c>
      <c r="EK20" s="538"/>
      <c r="EL20" s="539">
        <f t="shared" si="45"/>
        <v>0</v>
      </c>
      <c r="EM20" s="540">
        <f t="shared" si="156"/>
        <v>0</v>
      </c>
      <c r="EN20" s="538"/>
      <c r="EO20" s="539">
        <f t="shared" si="46"/>
        <v>0</v>
      </c>
      <c r="EP20" s="540">
        <f t="shared" si="157"/>
        <v>0</v>
      </c>
      <c r="EQ20" s="538"/>
      <c r="ER20" s="539">
        <f t="shared" si="47"/>
        <v>0</v>
      </c>
      <c r="ES20" s="540">
        <f t="shared" si="158"/>
        <v>0</v>
      </c>
      <c r="ET20" s="538"/>
      <c r="EU20" s="539">
        <f t="shared" si="48"/>
        <v>0</v>
      </c>
      <c r="EV20" s="540">
        <f t="shared" si="159"/>
        <v>0</v>
      </c>
      <c r="EW20" s="538"/>
      <c r="EX20" s="539">
        <f t="shared" si="49"/>
        <v>0</v>
      </c>
      <c r="EY20" s="540">
        <f t="shared" si="160"/>
        <v>0</v>
      </c>
      <c r="EZ20" s="538"/>
      <c r="FA20" s="539">
        <f t="shared" si="50"/>
        <v>0</v>
      </c>
      <c r="FB20" s="540">
        <f t="shared" si="161"/>
        <v>0</v>
      </c>
      <c r="FC20" s="538"/>
      <c r="FD20" s="539">
        <f t="shared" si="51"/>
        <v>0</v>
      </c>
      <c r="FE20" s="540">
        <f t="shared" si="162"/>
        <v>0</v>
      </c>
      <c r="FF20" s="538"/>
      <c r="FG20" s="539">
        <f t="shared" si="52"/>
        <v>0</v>
      </c>
      <c r="FH20" s="540">
        <f t="shared" si="163"/>
        <v>0</v>
      </c>
      <c r="FI20" s="538"/>
      <c r="FJ20" s="539">
        <f t="shared" si="53"/>
        <v>0</v>
      </c>
      <c r="FK20" s="540">
        <f t="shared" si="164"/>
        <v>0</v>
      </c>
      <c r="FL20" s="538"/>
      <c r="FM20" s="539">
        <f t="shared" si="54"/>
        <v>0</v>
      </c>
      <c r="FN20" s="540">
        <f t="shared" si="165"/>
        <v>0</v>
      </c>
      <c r="FO20" s="538"/>
      <c r="FP20" s="539">
        <f t="shared" si="55"/>
        <v>0</v>
      </c>
      <c r="FQ20" s="540">
        <f t="shared" si="166"/>
        <v>0</v>
      </c>
      <c r="FR20" s="538"/>
      <c r="FS20" s="539">
        <f t="shared" si="56"/>
        <v>0</v>
      </c>
      <c r="FT20" s="540">
        <f t="shared" si="167"/>
        <v>0</v>
      </c>
      <c r="FU20" s="538"/>
      <c r="FV20" s="539">
        <f t="shared" si="57"/>
        <v>0</v>
      </c>
      <c r="FW20" s="540">
        <f t="shared" si="168"/>
        <v>0</v>
      </c>
      <c r="FX20" s="538"/>
      <c r="FY20" s="539">
        <f t="shared" si="58"/>
        <v>0</v>
      </c>
      <c r="FZ20" s="540">
        <f t="shared" si="169"/>
        <v>0</v>
      </c>
      <c r="GA20" s="538"/>
      <c r="GB20" s="539">
        <f t="shared" si="59"/>
        <v>0</v>
      </c>
      <c r="GC20" s="540">
        <f t="shared" si="170"/>
        <v>0</v>
      </c>
      <c r="GD20" s="538"/>
      <c r="GE20" s="539">
        <f t="shared" si="60"/>
        <v>0</v>
      </c>
      <c r="GF20" s="540">
        <f t="shared" si="171"/>
        <v>0</v>
      </c>
      <c r="GG20" s="538"/>
      <c r="GH20" s="539">
        <f t="shared" si="61"/>
        <v>0</v>
      </c>
      <c r="GI20" s="540">
        <f t="shared" si="172"/>
        <v>0</v>
      </c>
      <c r="GJ20" s="538"/>
      <c r="GK20" s="539">
        <f t="shared" si="62"/>
        <v>0</v>
      </c>
      <c r="GL20" s="540">
        <f t="shared" si="173"/>
        <v>0</v>
      </c>
      <c r="GM20" s="538"/>
      <c r="GN20" s="539">
        <f t="shared" si="63"/>
        <v>0</v>
      </c>
      <c r="GO20" s="540">
        <f t="shared" si="174"/>
        <v>0</v>
      </c>
      <c r="GP20" s="538"/>
      <c r="GQ20" s="539">
        <f t="shared" si="64"/>
        <v>0</v>
      </c>
      <c r="GR20" s="540">
        <f t="shared" si="175"/>
        <v>0</v>
      </c>
      <c r="GS20" s="538"/>
      <c r="GT20" s="539">
        <f t="shared" si="65"/>
        <v>0</v>
      </c>
      <c r="GU20" s="540">
        <f t="shared" si="176"/>
        <v>0</v>
      </c>
      <c r="GV20" s="538"/>
      <c r="GW20" s="539">
        <f t="shared" si="66"/>
        <v>0</v>
      </c>
      <c r="GX20" s="540">
        <f t="shared" si="177"/>
        <v>0</v>
      </c>
      <c r="GY20" s="538"/>
      <c r="GZ20" s="539">
        <f t="shared" si="67"/>
        <v>0</v>
      </c>
      <c r="HA20" s="540">
        <f t="shared" si="178"/>
        <v>0</v>
      </c>
      <c r="HB20" s="538"/>
      <c r="HC20" s="539">
        <f t="shared" si="68"/>
        <v>0</v>
      </c>
      <c r="HD20" s="540">
        <f t="shared" si="179"/>
        <v>0</v>
      </c>
      <c r="HE20" s="538"/>
      <c r="HF20" s="539">
        <f t="shared" si="69"/>
        <v>0</v>
      </c>
      <c r="HG20" s="540">
        <f t="shared" si="180"/>
        <v>0</v>
      </c>
      <c r="HH20" s="538"/>
      <c r="HI20" s="539">
        <f t="shared" si="70"/>
        <v>0</v>
      </c>
      <c r="HJ20" s="540">
        <f t="shared" si="181"/>
        <v>0</v>
      </c>
      <c r="HK20" s="538"/>
      <c r="HL20" s="539">
        <f t="shared" si="71"/>
        <v>0</v>
      </c>
      <c r="HM20" s="540">
        <f t="shared" si="182"/>
        <v>0</v>
      </c>
      <c r="HN20" s="538"/>
      <c r="HO20" s="539">
        <f t="shared" si="72"/>
        <v>0</v>
      </c>
      <c r="HP20" s="540">
        <f t="shared" si="183"/>
        <v>0</v>
      </c>
      <c r="HQ20" s="538"/>
      <c r="HR20" s="539">
        <f t="shared" si="73"/>
        <v>0</v>
      </c>
      <c r="HS20" s="540">
        <f t="shared" si="184"/>
        <v>0</v>
      </c>
      <c r="HT20" s="538"/>
      <c r="HU20" s="539">
        <f t="shared" si="74"/>
        <v>0</v>
      </c>
      <c r="HV20" s="540">
        <f t="shared" si="185"/>
        <v>0</v>
      </c>
      <c r="HW20" s="538"/>
      <c r="HX20" s="539">
        <f t="shared" si="75"/>
        <v>0</v>
      </c>
      <c r="HY20" s="540">
        <f t="shared" si="186"/>
        <v>0</v>
      </c>
      <c r="HZ20" s="538"/>
      <c r="IA20" s="539">
        <f t="shared" si="76"/>
        <v>0</v>
      </c>
      <c r="IB20" s="540">
        <f t="shared" si="187"/>
        <v>0</v>
      </c>
      <c r="IC20" s="538"/>
      <c r="ID20" s="539">
        <f t="shared" si="77"/>
        <v>0</v>
      </c>
      <c r="IE20" s="540">
        <f t="shared" si="188"/>
        <v>0</v>
      </c>
      <c r="IF20" s="538"/>
      <c r="IG20" s="539">
        <f t="shared" si="78"/>
        <v>0</v>
      </c>
      <c r="IH20" s="540">
        <f t="shared" si="189"/>
        <v>0</v>
      </c>
      <c r="II20" s="538"/>
      <c r="IJ20" s="539">
        <f t="shared" si="79"/>
        <v>0</v>
      </c>
      <c r="IK20" s="540">
        <f t="shared" si="190"/>
        <v>0</v>
      </c>
      <c r="IL20" s="538"/>
      <c r="IM20" s="539">
        <f t="shared" si="80"/>
        <v>0</v>
      </c>
      <c r="IN20" s="540">
        <f t="shared" si="191"/>
        <v>0</v>
      </c>
      <c r="IO20" s="538"/>
      <c r="IP20" s="539">
        <f t="shared" si="81"/>
        <v>0</v>
      </c>
      <c r="IQ20" s="540">
        <f t="shared" si="192"/>
        <v>0</v>
      </c>
      <c r="IR20" s="538"/>
      <c r="IS20" s="539">
        <f t="shared" si="82"/>
        <v>0</v>
      </c>
      <c r="IT20" s="540">
        <f t="shared" si="193"/>
        <v>0</v>
      </c>
      <c r="IU20" s="538"/>
      <c r="IV20" s="539">
        <f t="shared" si="83"/>
        <v>0</v>
      </c>
      <c r="IW20" s="540">
        <f t="shared" si="194"/>
        <v>0</v>
      </c>
      <c r="IX20" s="538"/>
      <c r="IY20" s="539">
        <f t="shared" si="84"/>
        <v>0</v>
      </c>
      <c r="IZ20" s="540">
        <f t="shared" si="195"/>
        <v>0</v>
      </c>
      <c r="JA20" s="538"/>
      <c r="JB20" s="539">
        <f t="shared" si="85"/>
        <v>0</v>
      </c>
      <c r="JC20" s="540">
        <f t="shared" si="196"/>
        <v>0</v>
      </c>
      <c r="JD20" s="538"/>
      <c r="JE20" s="539">
        <f t="shared" si="86"/>
        <v>0</v>
      </c>
      <c r="JF20" s="540">
        <f t="shared" si="197"/>
        <v>0</v>
      </c>
      <c r="JG20" s="538"/>
      <c r="JH20" s="539">
        <f t="shared" si="87"/>
        <v>0</v>
      </c>
      <c r="JI20" s="540">
        <f t="shared" si="198"/>
        <v>0</v>
      </c>
      <c r="JJ20" s="538"/>
      <c r="JK20" s="540" t="str">
        <f t="shared" si="88"/>
        <v>0</v>
      </c>
      <c r="JL20" s="540" t="str">
        <f t="shared" si="89"/>
        <v>0</v>
      </c>
      <c r="JM20" s="538"/>
      <c r="JN20" s="540" t="str">
        <f t="shared" si="90"/>
        <v>0</v>
      </c>
      <c r="JO20" s="540" t="str">
        <f t="shared" si="91"/>
        <v>0</v>
      </c>
      <c r="JP20" s="538"/>
      <c r="JQ20" s="540" t="str">
        <f t="shared" si="92"/>
        <v>0</v>
      </c>
      <c r="JR20" s="540" t="str">
        <f t="shared" si="93"/>
        <v>0</v>
      </c>
      <c r="JS20" s="538"/>
      <c r="JT20" s="540" t="str">
        <f t="shared" si="94"/>
        <v>0</v>
      </c>
      <c r="JU20" s="540" t="str">
        <f t="shared" si="95"/>
        <v>0</v>
      </c>
      <c r="JV20" s="538"/>
      <c r="JW20" s="540" t="str">
        <f t="shared" si="96"/>
        <v>0</v>
      </c>
      <c r="JX20" s="540" t="str">
        <f t="shared" si="97"/>
        <v>0</v>
      </c>
      <c r="JY20" s="538"/>
      <c r="JZ20" s="540" t="str">
        <f t="shared" si="98"/>
        <v>0</v>
      </c>
      <c r="KA20" s="540" t="str">
        <f t="shared" si="99"/>
        <v>0</v>
      </c>
      <c r="KB20" s="538"/>
      <c r="KC20" s="540" t="str">
        <f t="shared" si="100"/>
        <v>0</v>
      </c>
      <c r="KD20" s="540" t="str">
        <f t="shared" si="101"/>
        <v>0</v>
      </c>
      <c r="KE20" s="538"/>
      <c r="KF20" s="540" t="str">
        <f t="shared" si="102"/>
        <v>0</v>
      </c>
      <c r="KG20" s="540" t="str">
        <f t="shared" si="103"/>
        <v>0</v>
      </c>
      <c r="KH20" s="538"/>
      <c r="KI20" s="540" t="str">
        <f t="shared" si="104"/>
        <v>0</v>
      </c>
      <c r="KJ20" s="540" t="str">
        <f t="shared" si="105"/>
        <v>0</v>
      </c>
      <c r="KK20" s="538"/>
      <c r="KL20" s="540" t="str">
        <f t="shared" si="106"/>
        <v>0</v>
      </c>
      <c r="KM20" s="540" t="str">
        <f t="shared" si="107"/>
        <v>0</v>
      </c>
      <c r="KN20" s="538"/>
      <c r="KO20" s="540" t="str">
        <f t="shared" si="108"/>
        <v>0</v>
      </c>
      <c r="KP20" s="540" t="str">
        <f t="shared" si="109"/>
        <v>0</v>
      </c>
      <c r="KQ20" s="538"/>
      <c r="KR20" s="540" t="str">
        <f t="shared" si="110"/>
        <v>0</v>
      </c>
      <c r="KS20" s="540" t="str">
        <f t="shared" si="111"/>
        <v>0</v>
      </c>
      <c r="KT20" s="540">
        <f t="shared" si="201"/>
        <v>0</v>
      </c>
      <c r="KU20" s="540">
        <f t="shared" si="202"/>
        <v>0</v>
      </c>
      <c r="KV20" s="275">
        <f t="shared" si="199"/>
        <v>843.54772631904382</v>
      </c>
    </row>
    <row r="21" spans="1:309" ht="15" customHeight="1">
      <c r="A21" s="277">
        <f t="shared" si="200"/>
        <v>46004</v>
      </c>
      <c r="B21" s="278" t="str">
        <f>+Report1!B21</f>
        <v>Sanitary Napkin</v>
      </c>
      <c r="C21" s="420" t="str">
        <f>+Report1!C21</f>
        <v>13/14/15</v>
      </c>
      <c r="D21" s="279">
        <f>+Report1!P21</f>
        <v>56.959000000000003</v>
      </c>
      <c r="E21" s="280">
        <f>+Report1!R21</f>
        <v>50.185000000000002</v>
      </c>
      <c r="F21" s="538">
        <v>241.96436744186076</v>
      </c>
      <c r="G21" s="539">
        <f t="shared" si="0"/>
        <v>4.8214479912695181</v>
      </c>
      <c r="H21" s="540">
        <f t="shared" si="112"/>
        <v>0</v>
      </c>
      <c r="I21" s="538">
        <v>410.77250697674435</v>
      </c>
      <c r="J21" s="539">
        <f t="shared" si="1"/>
        <v>8.1851650289278535</v>
      </c>
      <c r="K21" s="540">
        <f t="shared" si="113"/>
        <v>0</v>
      </c>
      <c r="L21" s="538"/>
      <c r="M21" s="539">
        <f t="shared" si="2"/>
        <v>0</v>
      </c>
      <c r="N21" s="540">
        <f t="shared" si="114"/>
        <v>0</v>
      </c>
      <c r="O21" s="538">
        <v>10.165599999999984</v>
      </c>
      <c r="P21" s="539">
        <f t="shared" si="3"/>
        <v>0.2025625186808804</v>
      </c>
      <c r="Q21" s="540">
        <f t="shared" si="115"/>
        <v>0</v>
      </c>
      <c r="R21" s="538"/>
      <c r="S21" s="539">
        <f t="shared" si="4"/>
        <v>0</v>
      </c>
      <c r="T21" s="540">
        <f t="shared" si="116"/>
        <v>0</v>
      </c>
      <c r="U21" s="538">
        <v>6.2010000000000218</v>
      </c>
      <c r="V21" s="539">
        <f t="shared" si="5"/>
        <v>0.12356281757497303</v>
      </c>
      <c r="W21" s="540">
        <f t="shared" si="117"/>
        <v>0</v>
      </c>
      <c r="X21" s="538"/>
      <c r="Y21" s="539">
        <f t="shared" si="6"/>
        <v>0</v>
      </c>
      <c r="Z21" s="540">
        <f t="shared" si="118"/>
        <v>0</v>
      </c>
      <c r="AA21" s="538"/>
      <c r="AB21" s="539">
        <f t="shared" si="7"/>
        <v>0</v>
      </c>
      <c r="AC21" s="540">
        <f t="shared" si="119"/>
        <v>0</v>
      </c>
      <c r="AD21" s="538"/>
      <c r="AE21" s="539">
        <f t="shared" si="8"/>
        <v>0</v>
      </c>
      <c r="AF21" s="540">
        <f t="shared" si="120"/>
        <v>0</v>
      </c>
      <c r="AG21" s="538"/>
      <c r="AH21" s="539">
        <f t="shared" si="9"/>
        <v>0</v>
      </c>
      <c r="AI21" s="540">
        <f t="shared" si="121"/>
        <v>0</v>
      </c>
      <c r="AJ21" s="538">
        <v>0</v>
      </c>
      <c r="AK21" s="539">
        <f t="shared" si="10"/>
        <v>0</v>
      </c>
      <c r="AL21" s="540">
        <f t="shared" si="122"/>
        <v>0</v>
      </c>
      <c r="AM21" s="538">
        <v>26.706887179487182</v>
      </c>
      <c r="AN21" s="539">
        <f t="shared" si="11"/>
        <v>0.53216871932822918</v>
      </c>
      <c r="AO21" s="540">
        <f t="shared" si="123"/>
        <v>0</v>
      </c>
      <c r="AP21" s="538">
        <v>0</v>
      </c>
      <c r="AQ21" s="539">
        <f t="shared" si="12"/>
        <v>0</v>
      </c>
      <c r="AR21" s="540">
        <f t="shared" si="124"/>
        <v>0</v>
      </c>
      <c r="AS21" s="538"/>
      <c r="AT21" s="539">
        <f t="shared" si="13"/>
        <v>0</v>
      </c>
      <c r="AU21" s="540">
        <f t="shared" si="125"/>
        <v>0</v>
      </c>
      <c r="AV21" s="538">
        <v>4.0240000000000151</v>
      </c>
      <c r="AW21" s="539">
        <f t="shared" si="14"/>
        <v>8.0183321709674502E-2</v>
      </c>
      <c r="AX21" s="540">
        <f t="shared" si="126"/>
        <v>0</v>
      </c>
      <c r="AY21" s="538">
        <v>58.720399999999984</v>
      </c>
      <c r="AZ21" s="539">
        <f t="shared" si="15"/>
        <v>1.1700787087775228</v>
      </c>
      <c r="BA21" s="540">
        <f t="shared" si="127"/>
        <v>0</v>
      </c>
      <c r="BB21" s="538">
        <v>0</v>
      </c>
      <c r="BC21" s="539">
        <f t="shared" si="16"/>
        <v>0</v>
      </c>
      <c r="BD21" s="540">
        <f t="shared" si="128"/>
        <v>0</v>
      </c>
      <c r="BE21" s="538"/>
      <c r="BF21" s="539">
        <f t="shared" si="17"/>
        <v>0</v>
      </c>
      <c r="BG21" s="540">
        <f t="shared" si="129"/>
        <v>0</v>
      </c>
      <c r="BH21" s="538"/>
      <c r="BI21" s="539">
        <f t="shared" si="18"/>
        <v>0</v>
      </c>
      <c r="BJ21" s="540">
        <f t="shared" si="130"/>
        <v>0</v>
      </c>
      <c r="BK21" s="538"/>
      <c r="BL21" s="539">
        <f t="shared" si="19"/>
        <v>0</v>
      </c>
      <c r="BM21" s="540">
        <f t="shared" si="131"/>
        <v>0</v>
      </c>
      <c r="BN21" s="538">
        <v>11.017791358024688</v>
      </c>
      <c r="BO21" s="539">
        <f t="shared" si="20"/>
        <v>0.21954351615073603</v>
      </c>
      <c r="BP21" s="540">
        <f t="shared" si="132"/>
        <v>0</v>
      </c>
      <c r="BQ21" s="538"/>
      <c r="BR21" s="539">
        <f t="shared" si="21"/>
        <v>0</v>
      </c>
      <c r="BS21" s="540">
        <f t="shared" si="133"/>
        <v>0</v>
      </c>
      <c r="BT21" s="538"/>
      <c r="BU21" s="539">
        <f t="shared" si="22"/>
        <v>0</v>
      </c>
      <c r="BV21" s="540">
        <f t="shared" si="134"/>
        <v>0</v>
      </c>
      <c r="BW21" s="538">
        <v>0</v>
      </c>
      <c r="BX21" s="539">
        <f t="shared" si="23"/>
        <v>0</v>
      </c>
      <c r="BY21" s="540">
        <f t="shared" si="135"/>
        <v>0</v>
      </c>
      <c r="BZ21" s="538"/>
      <c r="CA21" s="539">
        <f t="shared" si="24"/>
        <v>0</v>
      </c>
      <c r="CB21" s="540">
        <f t="shared" si="136"/>
        <v>0</v>
      </c>
      <c r="CC21" s="538">
        <v>0</v>
      </c>
      <c r="CD21" s="539">
        <f t="shared" si="25"/>
        <v>0</v>
      </c>
      <c r="CE21" s="540">
        <f t="shared" si="137"/>
        <v>0</v>
      </c>
      <c r="CF21" s="538">
        <v>0.15000000000000002</v>
      </c>
      <c r="CG21" s="539">
        <f t="shared" si="26"/>
        <v>2.9889409186011759E-3</v>
      </c>
      <c r="CH21" s="540">
        <f t="shared" si="138"/>
        <v>0</v>
      </c>
      <c r="CI21" s="538"/>
      <c r="CJ21" s="539">
        <f t="shared" si="27"/>
        <v>0</v>
      </c>
      <c r="CK21" s="540">
        <f t="shared" si="139"/>
        <v>0</v>
      </c>
      <c r="CL21" s="538"/>
      <c r="CM21" s="539">
        <f t="shared" si="28"/>
        <v>0</v>
      </c>
      <c r="CN21" s="540">
        <f t="shared" si="140"/>
        <v>0</v>
      </c>
      <c r="CO21" s="538"/>
      <c r="CP21" s="539">
        <f t="shared" si="29"/>
        <v>0</v>
      </c>
      <c r="CQ21" s="540">
        <f t="shared" si="141"/>
        <v>0</v>
      </c>
      <c r="CR21" s="538"/>
      <c r="CS21" s="539">
        <f t="shared" si="30"/>
        <v>0</v>
      </c>
      <c r="CT21" s="540">
        <f t="shared" si="142"/>
        <v>0</v>
      </c>
      <c r="CU21" s="538"/>
      <c r="CV21" s="539">
        <f t="shared" si="31"/>
        <v>0</v>
      </c>
      <c r="CW21" s="540">
        <f t="shared" si="143"/>
        <v>0</v>
      </c>
      <c r="CX21" s="538"/>
      <c r="CY21" s="539">
        <f t="shared" si="32"/>
        <v>0</v>
      </c>
      <c r="CZ21" s="540">
        <f t="shared" si="144"/>
        <v>0</v>
      </c>
      <c r="DA21" s="538"/>
      <c r="DB21" s="539">
        <f t="shared" si="33"/>
        <v>0</v>
      </c>
      <c r="DC21" s="540">
        <f t="shared" si="145"/>
        <v>0</v>
      </c>
      <c r="DD21" s="538"/>
      <c r="DE21" s="539">
        <f t="shared" si="34"/>
        <v>0</v>
      </c>
      <c r="DF21" s="540">
        <f t="shared" si="146"/>
        <v>0</v>
      </c>
      <c r="DG21" s="538">
        <v>0</v>
      </c>
      <c r="DH21" s="539">
        <f t="shared" si="35"/>
        <v>0</v>
      </c>
      <c r="DI21" s="540">
        <f t="shared" si="203"/>
        <v>0</v>
      </c>
      <c r="DJ21" s="538"/>
      <c r="DK21" s="539">
        <f t="shared" si="36"/>
        <v>0</v>
      </c>
      <c r="DL21" s="540">
        <f t="shared" si="147"/>
        <v>0</v>
      </c>
      <c r="DM21" s="538"/>
      <c r="DN21" s="539">
        <f t="shared" si="37"/>
        <v>0</v>
      </c>
      <c r="DO21" s="540">
        <f t="shared" si="148"/>
        <v>0</v>
      </c>
      <c r="DP21" s="538"/>
      <c r="DQ21" s="539">
        <f t="shared" si="38"/>
        <v>0</v>
      </c>
      <c r="DR21" s="540">
        <f t="shared" si="149"/>
        <v>0</v>
      </c>
      <c r="DS21" s="538"/>
      <c r="DT21" s="539">
        <f t="shared" si="39"/>
        <v>0</v>
      </c>
      <c r="DU21" s="540">
        <f t="shared" si="150"/>
        <v>0</v>
      </c>
      <c r="DV21" s="538"/>
      <c r="DW21" s="539">
        <f t="shared" si="40"/>
        <v>0</v>
      </c>
      <c r="DX21" s="540">
        <f t="shared" si="151"/>
        <v>0</v>
      </c>
      <c r="DY21" s="538"/>
      <c r="DZ21" s="539">
        <f t="shared" si="41"/>
        <v>0</v>
      </c>
      <c r="EA21" s="540">
        <f t="shared" si="152"/>
        <v>0</v>
      </c>
      <c r="EB21" s="538">
        <v>14.062213953488367</v>
      </c>
      <c r="EC21" s="539">
        <f t="shared" si="42"/>
        <v>0.28020751127803861</v>
      </c>
      <c r="ED21" s="540">
        <f t="shared" si="153"/>
        <v>0</v>
      </c>
      <c r="EE21" s="538">
        <v>0</v>
      </c>
      <c r="EF21" s="539">
        <f t="shared" si="43"/>
        <v>0</v>
      </c>
      <c r="EG21" s="540">
        <f t="shared" si="154"/>
        <v>0</v>
      </c>
      <c r="EH21" s="538"/>
      <c r="EI21" s="539">
        <f t="shared" si="44"/>
        <v>0</v>
      </c>
      <c r="EJ21" s="540">
        <f t="shared" si="155"/>
        <v>0</v>
      </c>
      <c r="EK21" s="538"/>
      <c r="EL21" s="539">
        <f t="shared" si="45"/>
        <v>0</v>
      </c>
      <c r="EM21" s="540">
        <f t="shared" si="156"/>
        <v>0</v>
      </c>
      <c r="EN21" s="538"/>
      <c r="EO21" s="539">
        <f t="shared" si="46"/>
        <v>0</v>
      </c>
      <c r="EP21" s="540">
        <f t="shared" si="157"/>
        <v>0</v>
      </c>
      <c r="EQ21" s="538"/>
      <c r="ER21" s="539">
        <f t="shared" si="47"/>
        <v>0</v>
      </c>
      <c r="ES21" s="540">
        <f t="shared" si="158"/>
        <v>0</v>
      </c>
      <c r="ET21" s="538"/>
      <c r="EU21" s="539">
        <f t="shared" si="48"/>
        <v>0</v>
      </c>
      <c r="EV21" s="540">
        <f t="shared" si="159"/>
        <v>0</v>
      </c>
      <c r="EW21" s="538"/>
      <c r="EX21" s="539">
        <f t="shared" si="49"/>
        <v>0</v>
      </c>
      <c r="EY21" s="540">
        <f t="shared" si="160"/>
        <v>0</v>
      </c>
      <c r="EZ21" s="538"/>
      <c r="FA21" s="539">
        <f t="shared" si="50"/>
        <v>0</v>
      </c>
      <c r="FB21" s="540">
        <f t="shared" si="161"/>
        <v>0</v>
      </c>
      <c r="FC21" s="538"/>
      <c r="FD21" s="539">
        <f t="shared" si="51"/>
        <v>0</v>
      </c>
      <c r="FE21" s="540">
        <f t="shared" si="162"/>
        <v>0</v>
      </c>
      <c r="FF21" s="538"/>
      <c r="FG21" s="539">
        <f t="shared" si="52"/>
        <v>0</v>
      </c>
      <c r="FH21" s="540">
        <f t="shared" si="163"/>
        <v>0</v>
      </c>
      <c r="FI21" s="538"/>
      <c r="FJ21" s="539">
        <f t="shared" si="53"/>
        <v>0</v>
      </c>
      <c r="FK21" s="540">
        <f t="shared" si="164"/>
        <v>0</v>
      </c>
      <c r="FL21" s="538"/>
      <c r="FM21" s="539">
        <f t="shared" si="54"/>
        <v>0</v>
      </c>
      <c r="FN21" s="540">
        <f t="shared" si="165"/>
        <v>0</v>
      </c>
      <c r="FO21" s="538"/>
      <c r="FP21" s="539">
        <f t="shared" si="55"/>
        <v>0</v>
      </c>
      <c r="FQ21" s="540">
        <f t="shared" si="166"/>
        <v>0</v>
      </c>
      <c r="FR21" s="538"/>
      <c r="FS21" s="539">
        <f t="shared" si="56"/>
        <v>0</v>
      </c>
      <c r="FT21" s="540">
        <f t="shared" si="167"/>
        <v>0</v>
      </c>
      <c r="FU21" s="538"/>
      <c r="FV21" s="539">
        <f t="shared" si="57"/>
        <v>0</v>
      </c>
      <c r="FW21" s="540">
        <f t="shared" si="168"/>
        <v>0</v>
      </c>
      <c r="FX21" s="538"/>
      <c r="FY21" s="539">
        <f t="shared" si="58"/>
        <v>0</v>
      </c>
      <c r="FZ21" s="540">
        <f t="shared" si="169"/>
        <v>0</v>
      </c>
      <c r="GA21" s="538"/>
      <c r="GB21" s="539">
        <f t="shared" si="59"/>
        <v>0</v>
      </c>
      <c r="GC21" s="540">
        <f t="shared" si="170"/>
        <v>0</v>
      </c>
      <c r="GD21" s="538"/>
      <c r="GE21" s="539">
        <f t="shared" si="60"/>
        <v>0</v>
      </c>
      <c r="GF21" s="540">
        <f t="shared" si="171"/>
        <v>0</v>
      </c>
      <c r="GG21" s="538"/>
      <c r="GH21" s="539">
        <f t="shared" si="61"/>
        <v>0</v>
      </c>
      <c r="GI21" s="540">
        <f t="shared" si="172"/>
        <v>0</v>
      </c>
      <c r="GJ21" s="538"/>
      <c r="GK21" s="539">
        <f t="shared" si="62"/>
        <v>0</v>
      </c>
      <c r="GL21" s="540">
        <f t="shared" si="173"/>
        <v>0</v>
      </c>
      <c r="GM21" s="538"/>
      <c r="GN21" s="539">
        <f t="shared" si="63"/>
        <v>0</v>
      </c>
      <c r="GO21" s="540">
        <f t="shared" si="174"/>
        <v>0</v>
      </c>
      <c r="GP21" s="538"/>
      <c r="GQ21" s="539">
        <f t="shared" si="64"/>
        <v>0</v>
      </c>
      <c r="GR21" s="540">
        <f t="shared" si="175"/>
        <v>0</v>
      </c>
      <c r="GS21" s="538"/>
      <c r="GT21" s="539">
        <f t="shared" si="65"/>
        <v>0</v>
      </c>
      <c r="GU21" s="540">
        <f t="shared" si="176"/>
        <v>0</v>
      </c>
      <c r="GV21" s="538"/>
      <c r="GW21" s="539">
        <f t="shared" si="66"/>
        <v>0</v>
      </c>
      <c r="GX21" s="540">
        <f t="shared" si="177"/>
        <v>0</v>
      </c>
      <c r="GY21" s="538"/>
      <c r="GZ21" s="539">
        <f t="shared" si="67"/>
        <v>0</v>
      </c>
      <c r="HA21" s="540">
        <f t="shared" si="178"/>
        <v>0</v>
      </c>
      <c r="HB21" s="538"/>
      <c r="HC21" s="539">
        <f t="shared" si="68"/>
        <v>0</v>
      </c>
      <c r="HD21" s="540">
        <f t="shared" si="179"/>
        <v>0</v>
      </c>
      <c r="HE21" s="538"/>
      <c r="HF21" s="539">
        <f t="shared" si="69"/>
        <v>0</v>
      </c>
      <c r="HG21" s="540">
        <f t="shared" si="180"/>
        <v>0</v>
      </c>
      <c r="HH21" s="538"/>
      <c r="HI21" s="539">
        <f t="shared" si="70"/>
        <v>0</v>
      </c>
      <c r="HJ21" s="540">
        <f t="shared" si="181"/>
        <v>0</v>
      </c>
      <c r="HK21" s="538"/>
      <c r="HL21" s="539">
        <f t="shared" si="71"/>
        <v>0</v>
      </c>
      <c r="HM21" s="540">
        <f t="shared" si="182"/>
        <v>0</v>
      </c>
      <c r="HN21" s="538"/>
      <c r="HO21" s="539">
        <f t="shared" si="72"/>
        <v>0</v>
      </c>
      <c r="HP21" s="540">
        <f t="shared" si="183"/>
        <v>0</v>
      </c>
      <c r="HQ21" s="538"/>
      <c r="HR21" s="539">
        <f t="shared" si="73"/>
        <v>0</v>
      </c>
      <c r="HS21" s="540">
        <f t="shared" si="184"/>
        <v>0</v>
      </c>
      <c r="HT21" s="538"/>
      <c r="HU21" s="539">
        <f t="shared" si="74"/>
        <v>0</v>
      </c>
      <c r="HV21" s="540">
        <f t="shared" si="185"/>
        <v>0</v>
      </c>
      <c r="HW21" s="538"/>
      <c r="HX21" s="539">
        <f t="shared" si="75"/>
        <v>0</v>
      </c>
      <c r="HY21" s="540">
        <f t="shared" si="186"/>
        <v>0</v>
      </c>
      <c r="HZ21" s="538"/>
      <c r="IA21" s="539">
        <f t="shared" si="76"/>
        <v>0</v>
      </c>
      <c r="IB21" s="540">
        <f t="shared" si="187"/>
        <v>0</v>
      </c>
      <c r="IC21" s="538"/>
      <c r="ID21" s="539">
        <f t="shared" si="77"/>
        <v>0</v>
      </c>
      <c r="IE21" s="540">
        <f t="shared" si="188"/>
        <v>0</v>
      </c>
      <c r="IF21" s="538"/>
      <c r="IG21" s="539">
        <f t="shared" si="78"/>
        <v>0</v>
      </c>
      <c r="IH21" s="540">
        <f t="shared" si="189"/>
        <v>0</v>
      </c>
      <c r="II21" s="538"/>
      <c r="IJ21" s="539">
        <f t="shared" si="79"/>
        <v>0</v>
      </c>
      <c r="IK21" s="540">
        <f t="shared" si="190"/>
        <v>0</v>
      </c>
      <c r="IL21" s="538"/>
      <c r="IM21" s="539">
        <f t="shared" si="80"/>
        <v>0</v>
      </c>
      <c r="IN21" s="540">
        <f t="shared" si="191"/>
        <v>0</v>
      </c>
      <c r="IO21" s="538"/>
      <c r="IP21" s="539">
        <f t="shared" si="81"/>
        <v>0</v>
      </c>
      <c r="IQ21" s="540">
        <f t="shared" si="192"/>
        <v>0</v>
      </c>
      <c r="IR21" s="538"/>
      <c r="IS21" s="539">
        <f t="shared" si="82"/>
        <v>0</v>
      </c>
      <c r="IT21" s="540">
        <f t="shared" si="193"/>
        <v>0</v>
      </c>
      <c r="IU21" s="538"/>
      <c r="IV21" s="539">
        <f t="shared" si="83"/>
        <v>0</v>
      </c>
      <c r="IW21" s="540">
        <f t="shared" si="194"/>
        <v>0</v>
      </c>
      <c r="IX21" s="538"/>
      <c r="IY21" s="539">
        <f t="shared" si="84"/>
        <v>0</v>
      </c>
      <c r="IZ21" s="540">
        <f t="shared" si="195"/>
        <v>0</v>
      </c>
      <c r="JA21" s="538"/>
      <c r="JB21" s="539">
        <f t="shared" si="85"/>
        <v>0</v>
      </c>
      <c r="JC21" s="540">
        <f t="shared" si="196"/>
        <v>0</v>
      </c>
      <c r="JD21" s="538"/>
      <c r="JE21" s="539">
        <f t="shared" si="86"/>
        <v>0</v>
      </c>
      <c r="JF21" s="540">
        <f t="shared" si="197"/>
        <v>0</v>
      </c>
      <c r="JG21" s="538"/>
      <c r="JH21" s="539">
        <f t="shared" si="87"/>
        <v>0</v>
      </c>
      <c r="JI21" s="540">
        <f t="shared" si="198"/>
        <v>0</v>
      </c>
      <c r="JJ21" s="538"/>
      <c r="JK21" s="540" t="str">
        <f t="shared" si="88"/>
        <v>0</v>
      </c>
      <c r="JL21" s="540" t="str">
        <f t="shared" si="89"/>
        <v>0</v>
      </c>
      <c r="JM21" s="538"/>
      <c r="JN21" s="540" t="str">
        <f t="shared" si="90"/>
        <v>0</v>
      </c>
      <c r="JO21" s="540" t="str">
        <f t="shared" si="91"/>
        <v>0</v>
      </c>
      <c r="JP21" s="538"/>
      <c r="JQ21" s="540" t="str">
        <f t="shared" si="92"/>
        <v>0</v>
      </c>
      <c r="JR21" s="540" t="str">
        <f t="shared" si="93"/>
        <v>0</v>
      </c>
      <c r="JS21" s="538"/>
      <c r="JT21" s="540" t="str">
        <f t="shared" si="94"/>
        <v>0</v>
      </c>
      <c r="JU21" s="540" t="str">
        <f t="shared" si="95"/>
        <v>0</v>
      </c>
      <c r="JV21" s="538"/>
      <c r="JW21" s="540" t="str">
        <f t="shared" si="96"/>
        <v>0</v>
      </c>
      <c r="JX21" s="540" t="str">
        <f t="shared" si="97"/>
        <v>0</v>
      </c>
      <c r="JY21" s="538"/>
      <c r="JZ21" s="540" t="str">
        <f t="shared" si="98"/>
        <v>0</v>
      </c>
      <c r="KA21" s="540" t="str">
        <f t="shared" si="99"/>
        <v>0</v>
      </c>
      <c r="KB21" s="538"/>
      <c r="KC21" s="540" t="str">
        <f t="shared" si="100"/>
        <v>0</v>
      </c>
      <c r="KD21" s="540" t="str">
        <f t="shared" si="101"/>
        <v>0</v>
      </c>
      <c r="KE21" s="538"/>
      <c r="KF21" s="540" t="str">
        <f t="shared" si="102"/>
        <v>0</v>
      </c>
      <c r="KG21" s="540" t="str">
        <f t="shared" si="103"/>
        <v>0</v>
      </c>
      <c r="KH21" s="538"/>
      <c r="KI21" s="540" t="str">
        <f t="shared" si="104"/>
        <v>0</v>
      </c>
      <c r="KJ21" s="540" t="str">
        <f t="shared" si="105"/>
        <v>0</v>
      </c>
      <c r="KK21" s="538"/>
      <c r="KL21" s="540" t="str">
        <f t="shared" si="106"/>
        <v>0</v>
      </c>
      <c r="KM21" s="540" t="str">
        <f t="shared" si="107"/>
        <v>0</v>
      </c>
      <c r="KN21" s="538"/>
      <c r="KO21" s="540" t="str">
        <f t="shared" si="108"/>
        <v>0</v>
      </c>
      <c r="KP21" s="540" t="str">
        <f t="shared" si="109"/>
        <v>0</v>
      </c>
      <c r="KQ21" s="538"/>
      <c r="KR21" s="540" t="str">
        <f t="shared" si="110"/>
        <v>0</v>
      </c>
      <c r="KS21" s="540" t="str">
        <f t="shared" si="111"/>
        <v>0</v>
      </c>
      <c r="KT21" s="540">
        <f t="shared" si="201"/>
        <v>0</v>
      </c>
      <c r="KU21" s="540">
        <f t="shared" si="202"/>
        <v>0</v>
      </c>
      <c r="KV21" s="275">
        <f t="shared" si="199"/>
        <v>783.78476690960554</v>
      </c>
    </row>
    <row r="22" spans="1:309" ht="15" customHeight="1">
      <c r="A22" s="277">
        <f t="shared" si="200"/>
        <v>46005</v>
      </c>
      <c r="B22" s="278" t="str">
        <f>+Report1!B22</f>
        <v>Sanitary Napkin/Facial</v>
      </c>
      <c r="C22" s="420" t="str">
        <f>+Report1!C22</f>
        <v>15/10,3</v>
      </c>
      <c r="D22" s="279">
        <f>+Report1!P22</f>
        <v>60.744</v>
      </c>
      <c r="E22" s="280">
        <f>+Report1!R22</f>
        <v>47.676000000000002</v>
      </c>
      <c r="F22" s="538">
        <v>258.03959999999995</v>
      </c>
      <c r="G22" s="539">
        <f t="shared" si="0"/>
        <v>5.4123584193304799</v>
      </c>
      <c r="H22" s="540">
        <f t="shared" si="112"/>
        <v>0</v>
      </c>
      <c r="I22" s="538">
        <v>438.06959999999992</v>
      </c>
      <c r="J22" s="539">
        <f t="shared" si="1"/>
        <v>9.1884721872640309</v>
      </c>
      <c r="K22" s="540">
        <f t="shared" si="113"/>
        <v>0</v>
      </c>
      <c r="L22" s="538"/>
      <c r="M22" s="539">
        <f t="shared" si="2"/>
        <v>0</v>
      </c>
      <c r="N22" s="540">
        <f t="shared" si="114"/>
        <v>0</v>
      </c>
      <c r="O22" s="538">
        <v>10.834399999999988</v>
      </c>
      <c r="P22" s="539">
        <f t="shared" si="3"/>
        <v>0.22725060827250582</v>
      </c>
      <c r="Q22" s="540">
        <f t="shared" si="115"/>
        <v>0</v>
      </c>
      <c r="R22" s="538"/>
      <c r="S22" s="539">
        <f t="shared" si="4"/>
        <v>0</v>
      </c>
      <c r="T22" s="540">
        <f t="shared" si="116"/>
        <v>0</v>
      </c>
      <c r="U22" s="538">
        <v>6.6125999999999863</v>
      </c>
      <c r="V22" s="539">
        <f t="shared" si="5"/>
        <v>0.13869871633526273</v>
      </c>
      <c r="W22" s="540">
        <f t="shared" si="117"/>
        <v>0</v>
      </c>
      <c r="X22" s="538"/>
      <c r="Y22" s="539">
        <f t="shared" si="6"/>
        <v>0</v>
      </c>
      <c r="Z22" s="540">
        <f t="shared" si="118"/>
        <v>0</v>
      </c>
      <c r="AA22" s="538"/>
      <c r="AB22" s="539">
        <f t="shared" si="7"/>
        <v>0</v>
      </c>
      <c r="AC22" s="540">
        <f t="shared" si="119"/>
        <v>0</v>
      </c>
      <c r="AD22" s="538"/>
      <c r="AE22" s="539">
        <f t="shared" si="8"/>
        <v>0</v>
      </c>
      <c r="AF22" s="540">
        <f t="shared" si="120"/>
        <v>0</v>
      </c>
      <c r="AG22" s="538"/>
      <c r="AH22" s="539">
        <f t="shared" si="9"/>
        <v>0</v>
      </c>
      <c r="AI22" s="540">
        <f t="shared" si="121"/>
        <v>0</v>
      </c>
      <c r="AJ22" s="538">
        <v>0</v>
      </c>
      <c r="AK22" s="539">
        <f t="shared" si="10"/>
        <v>0</v>
      </c>
      <c r="AL22" s="540">
        <f t="shared" si="122"/>
        <v>0</v>
      </c>
      <c r="AM22" s="538">
        <v>28.483399999999961</v>
      </c>
      <c r="AN22" s="539">
        <f t="shared" si="11"/>
        <v>0.59743686550885056</v>
      </c>
      <c r="AO22" s="540">
        <f t="shared" si="123"/>
        <v>0</v>
      </c>
      <c r="AP22" s="538">
        <v>0</v>
      </c>
      <c r="AQ22" s="539">
        <f t="shared" si="12"/>
        <v>0</v>
      </c>
      <c r="AR22" s="540">
        <f t="shared" si="124"/>
        <v>0</v>
      </c>
      <c r="AS22" s="538"/>
      <c r="AT22" s="539">
        <f t="shared" si="13"/>
        <v>0</v>
      </c>
      <c r="AU22" s="540">
        <f t="shared" si="125"/>
        <v>0</v>
      </c>
      <c r="AV22" s="538">
        <v>4.3009999999999948</v>
      </c>
      <c r="AW22" s="539">
        <f t="shared" si="14"/>
        <v>9.0213105126268872E-2</v>
      </c>
      <c r="AX22" s="540">
        <f t="shared" si="126"/>
        <v>0</v>
      </c>
      <c r="AY22" s="538">
        <v>62.615200000000016</v>
      </c>
      <c r="AZ22" s="539">
        <f t="shared" si="15"/>
        <v>1.3133484352714158</v>
      </c>
      <c r="BA22" s="540">
        <f t="shared" si="127"/>
        <v>0</v>
      </c>
      <c r="BB22" s="538">
        <v>0</v>
      </c>
      <c r="BC22" s="539">
        <f t="shared" si="16"/>
        <v>0</v>
      </c>
      <c r="BD22" s="540">
        <f t="shared" si="128"/>
        <v>0</v>
      </c>
      <c r="BE22" s="538"/>
      <c r="BF22" s="539">
        <f t="shared" si="17"/>
        <v>0</v>
      </c>
      <c r="BG22" s="540">
        <f t="shared" si="129"/>
        <v>0</v>
      </c>
      <c r="BH22" s="538"/>
      <c r="BI22" s="539">
        <f t="shared" si="18"/>
        <v>0</v>
      </c>
      <c r="BJ22" s="540">
        <f t="shared" si="130"/>
        <v>0</v>
      </c>
      <c r="BK22" s="538"/>
      <c r="BL22" s="539">
        <f t="shared" si="19"/>
        <v>0</v>
      </c>
      <c r="BM22" s="540">
        <f t="shared" si="131"/>
        <v>0</v>
      </c>
      <c r="BN22" s="538">
        <v>11.756399999999999</v>
      </c>
      <c r="BO22" s="539">
        <f t="shared" si="20"/>
        <v>0.24658947898313616</v>
      </c>
      <c r="BP22" s="540">
        <f t="shared" si="132"/>
        <v>0</v>
      </c>
      <c r="BQ22" s="538"/>
      <c r="BR22" s="539">
        <f t="shared" si="21"/>
        <v>0</v>
      </c>
      <c r="BS22" s="540">
        <f t="shared" si="133"/>
        <v>0</v>
      </c>
      <c r="BT22" s="538"/>
      <c r="BU22" s="539">
        <f t="shared" si="22"/>
        <v>0</v>
      </c>
      <c r="BV22" s="540">
        <f t="shared" si="134"/>
        <v>0</v>
      </c>
      <c r="BW22" s="538">
        <v>0</v>
      </c>
      <c r="BX22" s="539">
        <f t="shared" si="23"/>
        <v>0</v>
      </c>
      <c r="BY22" s="540">
        <f t="shared" si="135"/>
        <v>0</v>
      </c>
      <c r="BZ22" s="538"/>
      <c r="CA22" s="539">
        <f t="shared" si="24"/>
        <v>0</v>
      </c>
      <c r="CB22" s="540">
        <f t="shared" si="136"/>
        <v>0</v>
      </c>
      <c r="CC22" s="538">
        <v>0</v>
      </c>
      <c r="CD22" s="539">
        <f t="shared" si="25"/>
        <v>0</v>
      </c>
      <c r="CE22" s="540">
        <f t="shared" si="137"/>
        <v>0</v>
      </c>
      <c r="CF22" s="538">
        <v>0.15000000000000002</v>
      </c>
      <c r="CG22" s="539">
        <f t="shared" si="26"/>
        <v>3.1462371004278887E-3</v>
      </c>
      <c r="CH22" s="540">
        <f t="shared" si="138"/>
        <v>0</v>
      </c>
      <c r="CI22" s="538"/>
      <c r="CJ22" s="539">
        <f t="shared" si="27"/>
        <v>0</v>
      </c>
      <c r="CK22" s="540">
        <f t="shared" si="139"/>
        <v>0</v>
      </c>
      <c r="CL22" s="538"/>
      <c r="CM22" s="539">
        <f t="shared" si="28"/>
        <v>0</v>
      </c>
      <c r="CN22" s="540">
        <f t="shared" si="140"/>
        <v>0</v>
      </c>
      <c r="CO22" s="538"/>
      <c r="CP22" s="539">
        <f t="shared" si="29"/>
        <v>0</v>
      </c>
      <c r="CQ22" s="540">
        <f t="shared" si="141"/>
        <v>0</v>
      </c>
      <c r="CR22" s="538"/>
      <c r="CS22" s="539">
        <f t="shared" si="30"/>
        <v>0</v>
      </c>
      <c r="CT22" s="540">
        <f t="shared" si="142"/>
        <v>0</v>
      </c>
      <c r="CU22" s="538"/>
      <c r="CV22" s="539">
        <f t="shared" si="31"/>
        <v>0</v>
      </c>
      <c r="CW22" s="540">
        <f t="shared" si="143"/>
        <v>0</v>
      </c>
      <c r="CX22" s="538"/>
      <c r="CY22" s="539">
        <f t="shared" si="32"/>
        <v>0</v>
      </c>
      <c r="CZ22" s="540">
        <f t="shared" si="144"/>
        <v>0</v>
      </c>
      <c r="DA22" s="538"/>
      <c r="DB22" s="539">
        <f t="shared" si="33"/>
        <v>0</v>
      </c>
      <c r="DC22" s="540">
        <f t="shared" si="145"/>
        <v>0</v>
      </c>
      <c r="DD22" s="538"/>
      <c r="DE22" s="539">
        <f t="shared" si="34"/>
        <v>0</v>
      </c>
      <c r="DF22" s="540">
        <f t="shared" si="146"/>
        <v>0</v>
      </c>
      <c r="DG22" s="538">
        <v>0</v>
      </c>
      <c r="DH22" s="539">
        <f t="shared" si="35"/>
        <v>0</v>
      </c>
      <c r="DI22" s="540">
        <f t="shared" si="203"/>
        <v>0</v>
      </c>
      <c r="DJ22" s="538"/>
      <c r="DK22" s="539">
        <f t="shared" si="36"/>
        <v>0</v>
      </c>
      <c r="DL22" s="540">
        <f t="shared" si="147"/>
        <v>0</v>
      </c>
      <c r="DM22" s="538"/>
      <c r="DN22" s="539">
        <f t="shared" si="37"/>
        <v>0</v>
      </c>
      <c r="DO22" s="540">
        <f t="shared" si="148"/>
        <v>0</v>
      </c>
      <c r="DP22" s="538"/>
      <c r="DQ22" s="539">
        <f t="shared" si="38"/>
        <v>0</v>
      </c>
      <c r="DR22" s="540">
        <f t="shared" si="149"/>
        <v>0</v>
      </c>
      <c r="DS22" s="538"/>
      <c r="DT22" s="539">
        <f t="shared" si="39"/>
        <v>0</v>
      </c>
      <c r="DU22" s="540">
        <f t="shared" si="150"/>
        <v>0</v>
      </c>
      <c r="DV22" s="538"/>
      <c r="DW22" s="539">
        <f t="shared" si="40"/>
        <v>0</v>
      </c>
      <c r="DX22" s="540">
        <f t="shared" si="151"/>
        <v>0</v>
      </c>
      <c r="DY22" s="538"/>
      <c r="DZ22" s="539">
        <f t="shared" si="41"/>
        <v>0</v>
      </c>
      <c r="EA22" s="540">
        <f t="shared" si="152"/>
        <v>0</v>
      </c>
      <c r="EB22" s="538">
        <v>15.004000000000019</v>
      </c>
      <c r="EC22" s="539">
        <f t="shared" si="42"/>
        <v>0.31470760969880063</v>
      </c>
      <c r="ED22" s="540">
        <f t="shared" si="153"/>
        <v>0</v>
      </c>
      <c r="EE22" s="538">
        <v>0</v>
      </c>
      <c r="EF22" s="539">
        <f t="shared" si="43"/>
        <v>0</v>
      </c>
      <c r="EG22" s="540">
        <f t="shared" si="154"/>
        <v>0</v>
      </c>
      <c r="EH22" s="538"/>
      <c r="EI22" s="539">
        <f t="shared" si="44"/>
        <v>0</v>
      </c>
      <c r="EJ22" s="540">
        <f t="shared" si="155"/>
        <v>0</v>
      </c>
      <c r="EK22" s="538"/>
      <c r="EL22" s="539">
        <f t="shared" si="45"/>
        <v>0</v>
      </c>
      <c r="EM22" s="540">
        <f t="shared" si="156"/>
        <v>0</v>
      </c>
      <c r="EN22" s="538"/>
      <c r="EO22" s="539">
        <f t="shared" si="46"/>
        <v>0</v>
      </c>
      <c r="EP22" s="540">
        <f t="shared" si="157"/>
        <v>0</v>
      </c>
      <c r="EQ22" s="538"/>
      <c r="ER22" s="539">
        <f t="shared" si="47"/>
        <v>0</v>
      </c>
      <c r="ES22" s="540">
        <f t="shared" si="158"/>
        <v>0</v>
      </c>
      <c r="ET22" s="538"/>
      <c r="EU22" s="539">
        <f t="shared" si="48"/>
        <v>0</v>
      </c>
      <c r="EV22" s="540">
        <f t="shared" si="159"/>
        <v>0</v>
      </c>
      <c r="EW22" s="538"/>
      <c r="EX22" s="539">
        <f t="shared" si="49"/>
        <v>0</v>
      </c>
      <c r="EY22" s="540">
        <f t="shared" si="160"/>
        <v>0</v>
      </c>
      <c r="EZ22" s="538"/>
      <c r="FA22" s="539">
        <f t="shared" si="50"/>
        <v>0</v>
      </c>
      <c r="FB22" s="540">
        <f t="shared" si="161"/>
        <v>0</v>
      </c>
      <c r="FC22" s="538"/>
      <c r="FD22" s="539">
        <f t="shared" si="51"/>
        <v>0</v>
      </c>
      <c r="FE22" s="540">
        <f t="shared" si="162"/>
        <v>0</v>
      </c>
      <c r="FF22" s="538"/>
      <c r="FG22" s="539">
        <f t="shared" si="52"/>
        <v>0</v>
      </c>
      <c r="FH22" s="540">
        <f t="shared" si="163"/>
        <v>0</v>
      </c>
      <c r="FI22" s="538"/>
      <c r="FJ22" s="539">
        <f t="shared" si="53"/>
        <v>0</v>
      </c>
      <c r="FK22" s="540">
        <f t="shared" si="164"/>
        <v>0</v>
      </c>
      <c r="FL22" s="538"/>
      <c r="FM22" s="539">
        <f t="shared" si="54"/>
        <v>0</v>
      </c>
      <c r="FN22" s="540">
        <f t="shared" si="165"/>
        <v>0</v>
      </c>
      <c r="FO22" s="538"/>
      <c r="FP22" s="539">
        <f t="shared" si="55"/>
        <v>0</v>
      </c>
      <c r="FQ22" s="540">
        <f t="shared" si="166"/>
        <v>0</v>
      </c>
      <c r="FR22" s="538"/>
      <c r="FS22" s="539">
        <f t="shared" si="56"/>
        <v>0</v>
      </c>
      <c r="FT22" s="540">
        <f t="shared" si="167"/>
        <v>0</v>
      </c>
      <c r="FU22" s="538"/>
      <c r="FV22" s="539">
        <f t="shared" si="57"/>
        <v>0</v>
      </c>
      <c r="FW22" s="540">
        <f t="shared" si="168"/>
        <v>0</v>
      </c>
      <c r="FX22" s="538"/>
      <c r="FY22" s="539">
        <f t="shared" si="58"/>
        <v>0</v>
      </c>
      <c r="FZ22" s="540">
        <f t="shared" si="169"/>
        <v>0</v>
      </c>
      <c r="GA22" s="538"/>
      <c r="GB22" s="539">
        <f t="shared" si="59"/>
        <v>0</v>
      </c>
      <c r="GC22" s="540">
        <f t="shared" si="170"/>
        <v>0</v>
      </c>
      <c r="GD22" s="538"/>
      <c r="GE22" s="539">
        <f t="shared" si="60"/>
        <v>0</v>
      </c>
      <c r="GF22" s="540">
        <f t="shared" si="171"/>
        <v>0</v>
      </c>
      <c r="GG22" s="538"/>
      <c r="GH22" s="539">
        <f t="shared" si="61"/>
        <v>0</v>
      </c>
      <c r="GI22" s="540">
        <f t="shared" si="172"/>
        <v>0</v>
      </c>
      <c r="GJ22" s="538"/>
      <c r="GK22" s="539">
        <f t="shared" si="62"/>
        <v>0</v>
      </c>
      <c r="GL22" s="540">
        <f t="shared" si="173"/>
        <v>0</v>
      </c>
      <c r="GM22" s="538"/>
      <c r="GN22" s="539">
        <f t="shared" si="63"/>
        <v>0</v>
      </c>
      <c r="GO22" s="540">
        <f t="shared" si="174"/>
        <v>0</v>
      </c>
      <c r="GP22" s="538"/>
      <c r="GQ22" s="539">
        <f t="shared" si="64"/>
        <v>0</v>
      </c>
      <c r="GR22" s="540">
        <f t="shared" si="175"/>
        <v>0</v>
      </c>
      <c r="GS22" s="538"/>
      <c r="GT22" s="539">
        <f t="shared" si="65"/>
        <v>0</v>
      </c>
      <c r="GU22" s="540">
        <f t="shared" si="176"/>
        <v>0</v>
      </c>
      <c r="GV22" s="538"/>
      <c r="GW22" s="539">
        <f t="shared" si="66"/>
        <v>0</v>
      </c>
      <c r="GX22" s="540">
        <f t="shared" si="177"/>
        <v>0</v>
      </c>
      <c r="GY22" s="538"/>
      <c r="GZ22" s="539">
        <f t="shared" si="67"/>
        <v>0</v>
      </c>
      <c r="HA22" s="540">
        <f t="shared" si="178"/>
        <v>0</v>
      </c>
      <c r="HB22" s="538"/>
      <c r="HC22" s="539">
        <f t="shared" si="68"/>
        <v>0</v>
      </c>
      <c r="HD22" s="540">
        <f t="shared" si="179"/>
        <v>0</v>
      </c>
      <c r="HE22" s="538"/>
      <c r="HF22" s="539">
        <f t="shared" si="69"/>
        <v>0</v>
      </c>
      <c r="HG22" s="540">
        <f t="shared" si="180"/>
        <v>0</v>
      </c>
      <c r="HH22" s="538"/>
      <c r="HI22" s="539">
        <f t="shared" si="70"/>
        <v>0</v>
      </c>
      <c r="HJ22" s="540">
        <f t="shared" si="181"/>
        <v>0</v>
      </c>
      <c r="HK22" s="538"/>
      <c r="HL22" s="539">
        <f t="shared" si="71"/>
        <v>0</v>
      </c>
      <c r="HM22" s="540">
        <f t="shared" si="182"/>
        <v>0</v>
      </c>
      <c r="HN22" s="538"/>
      <c r="HO22" s="539">
        <f t="shared" si="72"/>
        <v>0</v>
      </c>
      <c r="HP22" s="540">
        <f t="shared" si="183"/>
        <v>0</v>
      </c>
      <c r="HQ22" s="538"/>
      <c r="HR22" s="539">
        <f t="shared" si="73"/>
        <v>0</v>
      </c>
      <c r="HS22" s="540">
        <f t="shared" si="184"/>
        <v>0</v>
      </c>
      <c r="HT22" s="538"/>
      <c r="HU22" s="539">
        <f t="shared" si="74"/>
        <v>0</v>
      </c>
      <c r="HV22" s="540">
        <f t="shared" si="185"/>
        <v>0</v>
      </c>
      <c r="HW22" s="538"/>
      <c r="HX22" s="539">
        <f t="shared" si="75"/>
        <v>0</v>
      </c>
      <c r="HY22" s="540">
        <f t="shared" si="186"/>
        <v>0</v>
      </c>
      <c r="HZ22" s="538"/>
      <c r="IA22" s="539">
        <f t="shared" si="76"/>
        <v>0</v>
      </c>
      <c r="IB22" s="540">
        <f t="shared" si="187"/>
        <v>0</v>
      </c>
      <c r="IC22" s="538"/>
      <c r="ID22" s="539">
        <f t="shared" si="77"/>
        <v>0</v>
      </c>
      <c r="IE22" s="540">
        <f t="shared" si="188"/>
        <v>0</v>
      </c>
      <c r="IF22" s="538"/>
      <c r="IG22" s="539">
        <f t="shared" si="78"/>
        <v>0</v>
      </c>
      <c r="IH22" s="540">
        <f t="shared" si="189"/>
        <v>0</v>
      </c>
      <c r="II22" s="538"/>
      <c r="IJ22" s="539">
        <f t="shared" si="79"/>
        <v>0</v>
      </c>
      <c r="IK22" s="540">
        <f t="shared" si="190"/>
        <v>0</v>
      </c>
      <c r="IL22" s="538"/>
      <c r="IM22" s="539">
        <f t="shared" si="80"/>
        <v>0</v>
      </c>
      <c r="IN22" s="540">
        <f t="shared" si="191"/>
        <v>0</v>
      </c>
      <c r="IO22" s="538"/>
      <c r="IP22" s="539">
        <f t="shared" si="81"/>
        <v>0</v>
      </c>
      <c r="IQ22" s="540">
        <f t="shared" si="192"/>
        <v>0</v>
      </c>
      <c r="IR22" s="538"/>
      <c r="IS22" s="539">
        <f t="shared" si="82"/>
        <v>0</v>
      </c>
      <c r="IT22" s="540">
        <f t="shared" si="193"/>
        <v>0</v>
      </c>
      <c r="IU22" s="538"/>
      <c r="IV22" s="539">
        <f t="shared" si="83"/>
        <v>0</v>
      </c>
      <c r="IW22" s="540">
        <f t="shared" si="194"/>
        <v>0</v>
      </c>
      <c r="IX22" s="538"/>
      <c r="IY22" s="539">
        <f t="shared" si="84"/>
        <v>0</v>
      </c>
      <c r="IZ22" s="540">
        <f t="shared" si="195"/>
        <v>0</v>
      </c>
      <c r="JA22" s="538"/>
      <c r="JB22" s="539">
        <f t="shared" si="85"/>
        <v>0</v>
      </c>
      <c r="JC22" s="540">
        <f t="shared" si="196"/>
        <v>0</v>
      </c>
      <c r="JD22" s="538"/>
      <c r="JE22" s="539">
        <f t="shared" si="86"/>
        <v>0</v>
      </c>
      <c r="JF22" s="540">
        <f t="shared" si="197"/>
        <v>0</v>
      </c>
      <c r="JG22" s="538"/>
      <c r="JH22" s="539">
        <f t="shared" si="87"/>
        <v>0</v>
      </c>
      <c r="JI22" s="540">
        <f t="shared" si="198"/>
        <v>0</v>
      </c>
      <c r="JJ22" s="538"/>
      <c r="JK22" s="540" t="str">
        <f t="shared" si="88"/>
        <v>0</v>
      </c>
      <c r="JL22" s="540" t="str">
        <f t="shared" si="89"/>
        <v>0</v>
      </c>
      <c r="JM22" s="538"/>
      <c r="JN22" s="540" t="str">
        <f t="shared" si="90"/>
        <v>0</v>
      </c>
      <c r="JO22" s="540" t="str">
        <f t="shared" si="91"/>
        <v>0</v>
      </c>
      <c r="JP22" s="538"/>
      <c r="JQ22" s="540" t="str">
        <f t="shared" si="92"/>
        <v>0</v>
      </c>
      <c r="JR22" s="540" t="str">
        <f t="shared" si="93"/>
        <v>0</v>
      </c>
      <c r="JS22" s="538"/>
      <c r="JT22" s="540" t="str">
        <f t="shared" si="94"/>
        <v>0</v>
      </c>
      <c r="JU22" s="540" t="str">
        <f t="shared" si="95"/>
        <v>0</v>
      </c>
      <c r="JV22" s="538"/>
      <c r="JW22" s="540" t="str">
        <f t="shared" si="96"/>
        <v>0</v>
      </c>
      <c r="JX22" s="540" t="str">
        <f t="shared" si="97"/>
        <v>0</v>
      </c>
      <c r="JY22" s="538"/>
      <c r="JZ22" s="540" t="str">
        <f t="shared" si="98"/>
        <v>0</v>
      </c>
      <c r="KA22" s="540" t="str">
        <f t="shared" si="99"/>
        <v>0</v>
      </c>
      <c r="KB22" s="538"/>
      <c r="KC22" s="540" t="str">
        <f t="shared" si="100"/>
        <v>0</v>
      </c>
      <c r="KD22" s="540" t="str">
        <f t="shared" si="101"/>
        <v>0</v>
      </c>
      <c r="KE22" s="538"/>
      <c r="KF22" s="540" t="str">
        <f t="shared" si="102"/>
        <v>0</v>
      </c>
      <c r="KG22" s="540" t="str">
        <f t="shared" si="103"/>
        <v>0</v>
      </c>
      <c r="KH22" s="538"/>
      <c r="KI22" s="540" t="str">
        <f t="shared" si="104"/>
        <v>0</v>
      </c>
      <c r="KJ22" s="540" t="str">
        <f t="shared" si="105"/>
        <v>0</v>
      </c>
      <c r="KK22" s="538"/>
      <c r="KL22" s="540" t="str">
        <f t="shared" si="106"/>
        <v>0</v>
      </c>
      <c r="KM22" s="540" t="str">
        <f t="shared" si="107"/>
        <v>0</v>
      </c>
      <c r="KN22" s="538"/>
      <c r="KO22" s="540" t="str">
        <f t="shared" si="108"/>
        <v>0</v>
      </c>
      <c r="KP22" s="540" t="str">
        <f t="shared" si="109"/>
        <v>0</v>
      </c>
      <c r="KQ22" s="538"/>
      <c r="KR22" s="540" t="str">
        <f t="shared" si="110"/>
        <v>0</v>
      </c>
      <c r="KS22" s="540" t="str">
        <f t="shared" si="111"/>
        <v>0</v>
      </c>
      <c r="KT22" s="540">
        <f t="shared" si="201"/>
        <v>0</v>
      </c>
      <c r="KU22" s="540">
        <f t="shared" si="202"/>
        <v>0</v>
      </c>
      <c r="KV22" s="275">
        <f t="shared" si="199"/>
        <v>835.86619999999971</v>
      </c>
    </row>
    <row r="23" spans="1:309" ht="15" customHeight="1">
      <c r="A23" s="277">
        <f t="shared" si="200"/>
        <v>46006</v>
      </c>
      <c r="B23" s="278" t="str">
        <f>+Report1!B23</f>
        <v>Facial</v>
      </c>
      <c r="C23" s="420" t="str">
        <f>+Report1!C23</f>
        <v>10,3</v>
      </c>
      <c r="D23" s="279">
        <f>+Report1!P23</f>
        <v>53.219000000000001</v>
      </c>
      <c r="E23" s="280">
        <f>+Report1!R23</f>
        <v>64.352999999999994</v>
      </c>
      <c r="F23" s="538">
        <v>0</v>
      </c>
      <c r="G23" s="539">
        <f t="shared" si="0"/>
        <v>0</v>
      </c>
      <c r="H23" s="540">
        <f t="shared" si="112"/>
        <v>0</v>
      </c>
      <c r="I23" s="538">
        <v>220.92533488372078</v>
      </c>
      <c r="J23" s="539">
        <f t="shared" si="1"/>
        <v>3.4330230895796747</v>
      </c>
      <c r="K23" s="540">
        <f t="shared" si="113"/>
        <v>0</v>
      </c>
      <c r="L23" s="538"/>
      <c r="M23" s="539">
        <f t="shared" si="2"/>
        <v>0</v>
      </c>
      <c r="N23" s="540">
        <f t="shared" si="114"/>
        <v>0</v>
      </c>
      <c r="O23" s="538">
        <v>9</v>
      </c>
      <c r="P23" s="539">
        <f t="shared" si="3"/>
        <v>0.13985361987786118</v>
      </c>
      <c r="Q23" s="540">
        <f t="shared" si="115"/>
        <v>0</v>
      </c>
      <c r="R23" s="538"/>
      <c r="S23" s="539">
        <f t="shared" si="4"/>
        <v>0</v>
      </c>
      <c r="T23" s="540">
        <f t="shared" si="116"/>
        <v>0</v>
      </c>
      <c r="U23" s="538">
        <v>7.6863999999999777</v>
      </c>
      <c r="V23" s="539">
        <f t="shared" si="5"/>
        <v>0.11944120709213212</v>
      </c>
      <c r="W23" s="540">
        <f t="shared" si="117"/>
        <v>0</v>
      </c>
      <c r="X23" s="538"/>
      <c r="Y23" s="539">
        <f t="shared" si="6"/>
        <v>0</v>
      </c>
      <c r="Z23" s="540">
        <f t="shared" si="118"/>
        <v>0</v>
      </c>
      <c r="AA23" s="538"/>
      <c r="AB23" s="539">
        <f t="shared" si="7"/>
        <v>0</v>
      </c>
      <c r="AC23" s="540">
        <f t="shared" si="119"/>
        <v>0</v>
      </c>
      <c r="AD23" s="538"/>
      <c r="AE23" s="539">
        <f t="shared" si="8"/>
        <v>0</v>
      </c>
      <c r="AF23" s="540">
        <f t="shared" si="120"/>
        <v>0</v>
      </c>
      <c r="AG23" s="538"/>
      <c r="AH23" s="539">
        <f t="shared" si="9"/>
        <v>0</v>
      </c>
      <c r="AI23" s="540">
        <f t="shared" si="121"/>
        <v>0</v>
      </c>
      <c r="AJ23" s="538">
        <v>0</v>
      </c>
      <c r="AK23" s="539">
        <f t="shared" si="10"/>
        <v>0</v>
      </c>
      <c r="AL23" s="540">
        <f t="shared" si="122"/>
        <v>0</v>
      </c>
      <c r="AM23" s="538">
        <v>0</v>
      </c>
      <c r="AN23" s="539">
        <f t="shared" si="11"/>
        <v>0</v>
      </c>
      <c r="AO23" s="540">
        <f t="shared" si="123"/>
        <v>0</v>
      </c>
      <c r="AP23" s="538">
        <v>54.113924050632903</v>
      </c>
      <c r="AQ23" s="539">
        <f t="shared" si="12"/>
        <v>0.84089201825296267</v>
      </c>
      <c r="AR23" s="540">
        <f t="shared" si="124"/>
        <v>0</v>
      </c>
      <c r="AS23" s="538"/>
      <c r="AT23" s="539">
        <f t="shared" si="13"/>
        <v>0</v>
      </c>
      <c r="AU23" s="540">
        <f t="shared" si="125"/>
        <v>0</v>
      </c>
      <c r="AV23" s="538">
        <v>5.5499999999999901</v>
      </c>
      <c r="AW23" s="539">
        <f t="shared" si="14"/>
        <v>8.6243065591347576E-2</v>
      </c>
      <c r="AX23" s="540">
        <f t="shared" si="126"/>
        <v>0</v>
      </c>
      <c r="AY23" s="538">
        <v>60.664400000000001</v>
      </c>
      <c r="AZ23" s="539">
        <f t="shared" si="15"/>
        <v>0.94268177085761362</v>
      </c>
      <c r="BA23" s="540">
        <f t="shared" si="127"/>
        <v>0</v>
      </c>
      <c r="BB23" s="538">
        <v>0</v>
      </c>
      <c r="BC23" s="539">
        <f t="shared" si="16"/>
        <v>0</v>
      </c>
      <c r="BD23" s="540">
        <f t="shared" si="128"/>
        <v>0</v>
      </c>
      <c r="BE23" s="538"/>
      <c r="BF23" s="539">
        <f t="shared" si="17"/>
        <v>0</v>
      </c>
      <c r="BG23" s="540">
        <f t="shared" si="129"/>
        <v>0</v>
      </c>
      <c r="BH23" s="538"/>
      <c r="BI23" s="539">
        <f t="shared" si="18"/>
        <v>0</v>
      </c>
      <c r="BJ23" s="540">
        <f t="shared" si="130"/>
        <v>0</v>
      </c>
      <c r="BK23" s="538"/>
      <c r="BL23" s="539">
        <f t="shared" si="19"/>
        <v>0</v>
      </c>
      <c r="BM23" s="540">
        <f t="shared" si="131"/>
        <v>0</v>
      </c>
      <c r="BN23" s="538">
        <v>5.0653148148148173</v>
      </c>
      <c r="BO23" s="539">
        <f t="shared" si="20"/>
        <v>7.8711401408090034E-2</v>
      </c>
      <c r="BP23" s="540">
        <f t="shared" si="132"/>
        <v>0</v>
      </c>
      <c r="BQ23" s="538"/>
      <c r="BR23" s="539">
        <f t="shared" si="21"/>
        <v>0</v>
      </c>
      <c r="BS23" s="540">
        <f t="shared" si="133"/>
        <v>0</v>
      </c>
      <c r="BT23" s="538"/>
      <c r="BU23" s="539">
        <f t="shared" si="22"/>
        <v>0</v>
      </c>
      <c r="BV23" s="540">
        <f t="shared" si="134"/>
        <v>0</v>
      </c>
      <c r="BW23" s="538">
        <v>0</v>
      </c>
      <c r="BX23" s="539">
        <f t="shared" si="23"/>
        <v>0</v>
      </c>
      <c r="BY23" s="540">
        <f t="shared" si="135"/>
        <v>0</v>
      </c>
      <c r="BZ23" s="538"/>
      <c r="CA23" s="539">
        <f t="shared" si="24"/>
        <v>0</v>
      </c>
      <c r="CB23" s="540">
        <f t="shared" si="136"/>
        <v>0</v>
      </c>
      <c r="CC23" s="538">
        <v>0</v>
      </c>
      <c r="CD23" s="539">
        <f t="shared" si="25"/>
        <v>0</v>
      </c>
      <c r="CE23" s="540">
        <f t="shared" si="137"/>
        <v>0</v>
      </c>
      <c r="CF23" s="538">
        <v>9.9999999999999978E-2</v>
      </c>
      <c r="CG23" s="539">
        <f t="shared" si="26"/>
        <v>1.5539291097540129E-3</v>
      </c>
      <c r="CH23" s="540">
        <f t="shared" si="138"/>
        <v>0</v>
      </c>
      <c r="CI23" s="538"/>
      <c r="CJ23" s="539">
        <f t="shared" si="27"/>
        <v>0</v>
      </c>
      <c r="CK23" s="540">
        <f t="shared" si="139"/>
        <v>0</v>
      </c>
      <c r="CL23" s="538"/>
      <c r="CM23" s="539">
        <f t="shared" si="28"/>
        <v>0</v>
      </c>
      <c r="CN23" s="540">
        <f t="shared" si="140"/>
        <v>0</v>
      </c>
      <c r="CO23" s="538"/>
      <c r="CP23" s="539">
        <f t="shared" si="29"/>
        <v>0</v>
      </c>
      <c r="CQ23" s="540">
        <f t="shared" si="141"/>
        <v>0</v>
      </c>
      <c r="CR23" s="538"/>
      <c r="CS23" s="539">
        <f t="shared" si="30"/>
        <v>0</v>
      </c>
      <c r="CT23" s="540">
        <f t="shared" si="142"/>
        <v>0</v>
      </c>
      <c r="CU23" s="538"/>
      <c r="CV23" s="539">
        <f t="shared" si="31"/>
        <v>0</v>
      </c>
      <c r="CW23" s="540">
        <f t="shared" si="143"/>
        <v>0</v>
      </c>
      <c r="CX23" s="538"/>
      <c r="CY23" s="539">
        <f t="shared" si="32"/>
        <v>0</v>
      </c>
      <c r="CZ23" s="540">
        <f t="shared" si="144"/>
        <v>0</v>
      </c>
      <c r="DA23" s="538"/>
      <c r="DB23" s="539">
        <f t="shared" si="33"/>
        <v>0</v>
      </c>
      <c r="DC23" s="540">
        <f t="shared" si="145"/>
        <v>0</v>
      </c>
      <c r="DD23" s="538"/>
      <c r="DE23" s="539">
        <f t="shared" si="34"/>
        <v>0</v>
      </c>
      <c r="DF23" s="540">
        <f t="shared" si="146"/>
        <v>0</v>
      </c>
      <c r="DG23" s="538">
        <v>0</v>
      </c>
      <c r="DH23" s="539">
        <f t="shared" si="35"/>
        <v>0</v>
      </c>
      <c r="DI23" s="540">
        <f t="shared" si="203"/>
        <v>0</v>
      </c>
      <c r="DJ23" s="538"/>
      <c r="DK23" s="539">
        <f t="shared" si="36"/>
        <v>0</v>
      </c>
      <c r="DL23" s="540">
        <f t="shared" si="147"/>
        <v>0</v>
      </c>
      <c r="DM23" s="538"/>
      <c r="DN23" s="539">
        <f t="shared" si="37"/>
        <v>0</v>
      </c>
      <c r="DO23" s="540">
        <f t="shared" si="148"/>
        <v>0</v>
      </c>
      <c r="DP23" s="538"/>
      <c r="DQ23" s="539">
        <f t="shared" si="38"/>
        <v>0</v>
      </c>
      <c r="DR23" s="540">
        <f t="shared" si="149"/>
        <v>0</v>
      </c>
      <c r="DS23" s="538"/>
      <c r="DT23" s="539">
        <f t="shared" si="39"/>
        <v>0</v>
      </c>
      <c r="DU23" s="540">
        <f t="shared" si="150"/>
        <v>0</v>
      </c>
      <c r="DV23" s="538"/>
      <c r="DW23" s="539">
        <f t="shared" si="40"/>
        <v>0</v>
      </c>
      <c r="DX23" s="540">
        <f t="shared" si="151"/>
        <v>0</v>
      </c>
      <c r="DY23" s="538"/>
      <c r="DZ23" s="539">
        <f t="shared" si="41"/>
        <v>0</v>
      </c>
      <c r="EA23" s="540">
        <f t="shared" si="152"/>
        <v>0</v>
      </c>
      <c r="EB23" s="538">
        <v>29.073320930232569</v>
      </c>
      <c r="EC23" s="539">
        <f t="shared" si="42"/>
        <v>0.45177879710709012</v>
      </c>
      <c r="ED23" s="540">
        <f t="shared" si="153"/>
        <v>0</v>
      </c>
      <c r="EE23" s="538">
        <v>0</v>
      </c>
      <c r="EF23" s="539">
        <f t="shared" si="43"/>
        <v>0</v>
      </c>
      <c r="EG23" s="540">
        <f t="shared" si="154"/>
        <v>0</v>
      </c>
      <c r="EH23" s="538"/>
      <c r="EI23" s="539">
        <f t="shared" si="44"/>
        <v>0</v>
      </c>
      <c r="EJ23" s="540">
        <f t="shared" si="155"/>
        <v>0</v>
      </c>
      <c r="EK23" s="538"/>
      <c r="EL23" s="539">
        <f t="shared" si="45"/>
        <v>0</v>
      </c>
      <c r="EM23" s="540">
        <f t="shared" si="156"/>
        <v>0</v>
      </c>
      <c r="EN23" s="538"/>
      <c r="EO23" s="539">
        <f t="shared" si="46"/>
        <v>0</v>
      </c>
      <c r="EP23" s="540">
        <f t="shared" si="157"/>
        <v>0</v>
      </c>
      <c r="EQ23" s="538"/>
      <c r="ER23" s="539">
        <f t="shared" si="47"/>
        <v>0</v>
      </c>
      <c r="ES23" s="540">
        <f t="shared" si="158"/>
        <v>0</v>
      </c>
      <c r="ET23" s="538"/>
      <c r="EU23" s="539">
        <f t="shared" si="48"/>
        <v>0</v>
      </c>
      <c r="EV23" s="540">
        <f t="shared" si="159"/>
        <v>0</v>
      </c>
      <c r="EW23" s="538"/>
      <c r="EX23" s="539">
        <f t="shared" si="49"/>
        <v>0</v>
      </c>
      <c r="EY23" s="540">
        <f t="shared" si="160"/>
        <v>0</v>
      </c>
      <c r="EZ23" s="538"/>
      <c r="FA23" s="539">
        <f t="shared" si="50"/>
        <v>0</v>
      </c>
      <c r="FB23" s="540">
        <f t="shared" si="161"/>
        <v>0</v>
      </c>
      <c r="FC23" s="538"/>
      <c r="FD23" s="539">
        <f t="shared" si="51"/>
        <v>0</v>
      </c>
      <c r="FE23" s="540">
        <f t="shared" si="162"/>
        <v>0</v>
      </c>
      <c r="FF23" s="538"/>
      <c r="FG23" s="539">
        <f t="shared" si="52"/>
        <v>0</v>
      </c>
      <c r="FH23" s="540">
        <f t="shared" si="163"/>
        <v>0</v>
      </c>
      <c r="FI23" s="538"/>
      <c r="FJ23" s="539">
        <f t="shared" si="53"/>
        <v>0</v>
      </c>
      <c r="FK23" s="540">
        <f t="shared" si="164"/>
        <v>0</v>
      </c>
      <c r="FL23" s="538"/>
      <c r="FM23" s="539">
        <f t="shared" si="54"/>
        <v>0</v>
      </c>
      <c r="FN23" s="540">
        <f t="shared" si="165"/>
        <v>0</v>
      </c>
      <c r="FO23" s="538"/>
      <c r="FP23" s="539">
        <f t="shared" si="55"/>
        <v>0</v>
      </c>
      <c r="FQ23" s="540">
        <f t="shared" si="166"/>
        <v>0</v>
      </c>
      <c r="FR23" s="538"/>
      <c r="FS23" s="539">
        <f t="shared" si="56"/>
        <v>0</v>
      </c>
      <c r="FT23" s="540">
        <f t="shared" si="167"/>
        <v>0</v>
      </c>
      <c r="FU23" s="538"/>
      <c r="FV23" s="539">
        <f t="shared" si="57"/>
        <v>0</v>
      </c>
      <c r="FW23" s="540">
        <f t="shared" si="168"/>
        <v>0</v>
      </c>
      <c r="FX23" s="538"/>
      <c r="FY23" s="539">
        <f t="shared" si="58"/>
        <v>0</v>
      </c>
      <c r="FZ23" s="540">
        <f t="shared" si="169"/>
        <v>0</v>
      </c>
      <c r="GA23" s="538"/>
      <c r="GB23" s="539">
        <f t="shared" si="59"/>
        <v>0</v>
      </c>
      <c r="GC23" s="540">
        <f t="shared" si="170"/>
        <v>0</v>
      </c>
      <c r="GD23" s="538"/>
      <c r="GE23" s="539">
        <f t="shared" si="60"/>
        <v>0</v>
      </c>
      <c r="GF23" s="540">
        <f t="shared" si="171"/>
        <v>0</v>
      </c>
      <c r="GG23" s="538"/>
      <c r="GH23" s="539">
        <f t="shared" si="61"/>
        <v>0</v>
      </c>
      <c r="GI23" s="540">
        <f t="shared" si="172"/>
        <v>0</v>
      </c>
      <c r="GJ23" s="538"/>
      <c r="GK23" s="539">
        <f t="shared" si="62"/>
        <v>0</v>
      </c>
      <c r="GL23" s="540">
        <f t="shared" si="173"/>
        <v>0</v>
      </c>
      <c r="GM23" s="538"/>
      <c r="GN23" s="539">
        <f t="shared" si="63"/>
        <v>0</v>
      </c>
      <c r="GO23" s="540">
        <f t="shared" si="174"/>
        <v>0</v>
      </c>
      <c r="GP23" s="538"/>
      <c r="GQ23" s="539">
        <f t="shared" si="64"/>
        <v>0</v>
      </c>
      <c r="GR23" s="540">
        <f t="shared" si="175"/>
        <v>0</v>
      </c>
      <c r="GS23" s="538"/>
      <c r="GT23" s="539">
        <f t="shared" si="65"/>
        <v>0</v>
      </c>
      <c r="GU23" s="540">
        <f t="shared" si="176"/>
        <v>0</v>
      </c>
      <c r="GV23" s="538"/>
      <c r="GW23" s="539">
        <f t="shared" si="66"/>
        <v>0</v>
      </c>
      <c r="GX23" s="540">
        <f t="shared" si="177"/>
        <v>0</v>
      </c>
      <c r="GY23" s="538"/>
      <c r="GZ23" s="539">
        <f t="shared" si="67"/>
        <v>0</v>
      </c>
      <c r="HA23" s="540">
        <f t="shared" si="178"/>
        <v>0</v>
      </c>
      <c r="HB23" s="538"/>
      <c r="HC23" s="539">
        <f t="shared" si="68"/>
        <v>0</v>
      </c>
      <c r="HD23" s="540">
        <f t="shared" si="179"/>
        <v>0</v>
      </c>
      <c r="HE23" s="538"/>
      <c r="HF23" s="539">
        <f t="shared" si="69"/>
        <v>0</v>
      </c>
      <c r="HG23" s="540">
        <f t="shared" si="180"/>
        <v>0</v>
      </c>
      <c r="HH23" s="538"/>
      <c r="HI23" s="539">
        <f t="shared" si="70"/>
        <v>0</v>
      </c>
      <c r="HJ23" s="540">
        <f t="shared" si="181"/>
        <v>0</v>
      </c>
      <c r="HK23" s="538"/>
      <c r="HL23" s="539">
        <f t="shared" si="71"/>
        <v>0</v>
      </c>
      <c r="HM23" s="540">
        <f t="shared" si="182"/>
        <v>0</v>
      </c>
      <c r="HN23" s="538"/>
      <c r="HO23" s="539">
        <f t="shared" si="72"/>
        <v>0</v>
      </c>
      <c r="HP23" s="540">
        <f t="shared" si="183"/>
        <v>0</v>
      </c>
      <c r="HQ23" s="538"/>
      <c r="HR23" s="539">
        <f t="shared" si="73"/>
        <v>0</v>
      </c>
      <c r="HS23" s="540">
        <f t="shared" si="184"/>
        <v>0</v>
      </c>
      <c r="HT23" s="538"/>
      <c r="HU23" s="539">
        <f t="shared" si="74"/>
        <v>0</v>
      </c>
      <c r="HV23" s="540">
        <f t="shared" si="185"/>
        <v>0</v>
      </c>
      <c r="HW23" s="538"/>
      <c r="HX23" s="539">
        <f t="shared" si="75"/>
        <v>0</v>
      </c>
      <c r="HY23" s="540">
        <f t="shared" si="186"/>
        <v>0</v>
      </c>
      <c r="HZ23" s="538"/>
      <c r="IA23" s="539">
        <f t="shared" si="76"/>
        <v>0</v>
      </c>
      <c r="IB23" s="540">
        <f t="shared" si="187"/>
        <v>0</v>
      </c>
      <c r="IC23" s="538"/>
      <c r="ID23" s="539">
        <f t="shared" si="77"/>
        <v>0</v>
      </c>
      <c r="IE23" s="540">
        <f t="shared" si="188"/>
        <v>0</v>
      </c>
      <c r="IF23" s="538"/>
      <c r="IG23" s="539">
        <f t="shared" si="78"/>
        <v>0</v>
      </c>
      <c r="IH23" s="540">
        <f t="shared" si="189"/>
        <v>0</v>
      </c>
      <c r="II23" s="538"/>
      <c r="IJ23" s="539">
        <f t="shared" si="79"/>
        <v>0</v>
      </c>
      <c r="IK23" s="540">
        <f t="shared" si="190"/>
        <v>0</v>
      </c>
      <c r="IL23" s="538"/>
      <c r="IM23" s="539">
        <f t="shared" si="80"/>
        <v>0</v>
      </c>
      <c r="IN23" s="540">
        <f t="shared" si="191"/>
        <v>0</v>
      </c>
      <c r="IO23" s="538"/>
      <c r="IP23" s="539">
        <f t="shared" si="81"/>
        <v>0</v>
      </c>
      <c r="IQ23" s="540">
        <f t="shared" si="192"/>
        <v>0</v>
      </c>
      <c r="IR23" s="538"/>
      <c r="IS23" s="539">
        <f t="shared" si="82"/>
        <v>0</v>
      </c>
      <c r="IT23" s="540">
        <f t="shared" si="193"/>
        <v>0</v>
      </c>
      <c r="IU23" s="538"/>
      <c r="IV23" s="539">
        <f t="shared" si="83"/>
        <v>0</v>
      </c>
      <c r="IW23" s="540">
        <f t="shared" si="194"/>
        <v>0</v>
      </c>
      <c r="IX23" s="538"/>
      <c r="IY23" s="539">
        <f t="shared" si="84"/>
        <v>0</v>
      </c>
      <c r="IZ23" s="540">
        <f t="shared" si="195"/>
        <v>0</v>
      </c>
      <c r="JA23" s="538"/>
      <c r="JB23" s="539">
        <f t="shared" si="85"/>
        <v>0</v>
      </c>
      <c r="JC23" s="540">
        <f t="shared" si="196"/>
        <v>0</v>
      </c>
      <c r="JD23" s="538"/>
      <c r="JE23" s="539">
        <f t="shared" si="86"/>
        <v>0</v>
      </c>
      <c r="JF23" s="540">
        <f t="shared" si="197"/>
        <v>0</v>
      </c>
      <c r="JG23" s="538"/>
      <c r="JH23" s="539">
        <f t="shared" si="87"/>
        <v>0</v>
      </c>
      <c r="JI23" s="540">
        <f t="shared" si="198"/>
        <v>0</v>
      </c>
      <c r="JJ23" s="538"/>
      <c r="JK23" s="540" t="str">
        <f t="shared" si="88"/>
        <v>0</v>
      </c>
      <c r="JL23" s="540" t="str">
        <f t="shared" si="89"/>
        <v>0</v>
      </c>
      <c r="JM23" s="538"/>
      <c r="JN23" s="540" t="str">
        <f t="shared" si="90"/>
        <v>0</v>
      </c>
      <c r="JO23" s="540" t="str">
        <f t="shared" si="91"/>
        <v>0</v>
      </c>
      <c r="JP23" s="538"/>
      <c r="JQ23" s="540" t="str">
        <f t="shared" si="92"/>
        <v>0</v>
      </c>
      <c r="JR23" s="540" t="str">
        <f t="shared" si="93"/>
        <v>0</v>
      </c>
      <c r="JS23" s="538"/>
      <c r="JT23" s="540" t="str">
        <f t="shared" si="94"/>
        <v>0</v>
      </c>
      <c r="JU23" s="540" t="str">
        <f t="shared" si="95"/>
        <v>0</v>
      </c>
      <c r="JV23" s="538"/>
      <c r="JW23" s="540" t="str">
        <f t="shared" si="96"/>
        <v>0</v>
      </c>
      <c r="JX23" s="540" t="str">
        <f t="shared" si="97"/>
        <v>0</v>
      </c>
      <c r="JY23" s="538"/>
      <c r="JZ23" s="540" t="str">
        <f t="shared" si="98"/>
        <v>0</v>
      </c>
      <c r="KA23" s="540" t="str">
        <f t="shared" si="99"/>
        <v>0</v>
      </c>
      <c r="KB23" s="538"/>
      <c r="KC23" s="540" t="str">
        <f t="shared" si="100"/>
        <v>0</v>
      </c>
      <c r="KD23" s="540" t="str">
        <f t="shared" si="101"/>
        <v>0</v>
      </c>
      <c r="KE23" s="538"/>
      <c r="KF23" s="540" t="str">
        <f t="shared" si="102"/>
        <v>0</v>
      </c>
      <c r="KG23" s="540" t="str">
        <f t="shared" si="103"/>
        <v>0</v>
      </c>
      <c r="KH23" s="538"/>
      <c r="KI23" s="540" t="str">
        <f t="shared" si="104"/>
        <v>0</v>
      </c>
      <c r="KJ23" s="540" t="str">
        <f t="shared" si="105"/>
        <v>0</v>
      </c>
      <c r="KK23" s="538"/>
      <c r="KL23" s="540" t="str">
        <f t="shared" si="106"/>
        <v>0</v>
      </c>
      <c r="KM23" s="540" t="str">
        <f t="shared" si="107"/>
        <v>0</v>
      </c>
      <c r="KN23" s="538"/>
      <c r="KO23" s="540" t="str">
        <f t="shared" si="108"/>
        <v>0</v>
      </c>
      <c r="KP23" s="540" t="str">
        <f t="shared" si="109"/>
        <v>0</v>
      </c>
      <c r="KQ23" s="538"/>
      <c r="KR23" s="540" t="str">
        <f t="shared" si="110"/>
        <v>0</v>
      </c>
      <c r="KS23" s="540" t="str">
        <f t="shared" si="111"/>
        <v>0</v>
      </c>
      <c r="KT23" s="540">
        <f t="shared" si="201"/>
        <v>0</v>
      </c>
      <c r="KU23" s="540">
        <f t="shared" si="202"/>
        <v>0</v>
      </c>
      <c r="KV23" s="275">
        <f t="shared" si="199"/>
        <v>392.17869467940108</v>
      </c>
      <c r="KW23" s="275"/>
    </row>
    <row r="24" spans="1:309" ht="15" customHeight="1">
      <c r="A24" s="277">
        <f t="shared" si="200"/>
        <v>46007</v>
      </c>
      <c r="B24" s="278" t="str">
        <f>+Report1!B24</f>
        <v>Facial</v>
      </c>
      <c r="C24" s="420" t="str">
        <f>+Report1!C24</f>
        <v>10,3/13</v>
      </c>
      <c r="D24" s="279">
        <f>+Report1!P24</f>
        <v>54.137</v>
      </c>
      <c r="E24" s="280">
        <f>+Report1!R24</f>
        <v>58.548000000000002</v>
      </c>
      <c r="F24" s="538">
        <v>0</v>
      </c>
      <c r="G24" s="539">
        <f t="shared" si="0"/>
        <v>0</v>
      </c>
      <c r="H24" s="540">
        <f t="shared" si="112"/>
        <v>0</v>
      </c>
      <c r="I24" s="538">
        <v>232.55813953488405</v>
      </c>
      <c r="J24" s="539">
        <f t="shared" si="1"/>
        <v>3.9720936587908047</v>
      </c>
      <c r="K24" s="540">
        <f t="shared" si="113"/>
        <v>0</v>
      </c>
      <c r="L24" s="538"/>
      <c r="M24" s="539">
        <f t="shared" si="2"/>
        <v>0</v>
      </c>
      <c r="N24" s="540">
        <f t="shared" si="114"/>
        <v>0</v>
      </c>
      <c r="O24" s="538">
        <v>9.0000000000000284</v>
      </c>
      <c r="P24" s="539">
        <f t="shared" si="3"/>
        <v>0.15372002459520442</v>
      </c>
      <c r="Q24" s="540">
        <f t="shared" si="115"/>
        <v>0</v>
      </c>
      <c r="R24" s="538"/>
      <c r="S24" s="539">
        <f t="shared" si="4"/>
        <v>0</v>
      </c>
      <c r="T24" s="540">
        <f t="shared" si="116"/>
        <v>0</v>
      </c>
      <c r="U24" s="538">
        <v>7.6875000000000142</v>
      </c>
      <c r="V24" s="539">
        <f t="shared" si="5"/>
        <v>0.13130252100840359</v>
      </c>
      <c r="W24" s="540">
        <f t="shared" si="117"/>
        <v>0</v>
      </c>
      <c r="X24" s="538"/>
      <c r="Y24" s="539">
        <f t="shared" si="6"/>
        <v>0</v>
      </c>
      <c r="Z24" s="540">
        <f t="shared" si="118"/>
        <v>0</v>
      </c>
      <c r="AA24" s="538"/>
      <c r="AB24" s="539">
        <f t="shared" si="7"/>
        <v>0</v>
      </c>
      <c r="AC24" s="540">
        <f t="shared" si="119"/>
        <v>0</v>
      </c>
      <c r="AD24" s="538"/>
      <c r="AE24" s="539">
        <f t="shared" si="8"/>
        <v>0</v>
      </c>
      <c r="AF24" s="540">
        <f t="shared" si="120"/>
        <v>0</v>
      </c>
      <c r="AG24" s="538"/>
      <c r="AH24" s="539">
        <f t="shared" si="9"/>
        <v>0</v>
      </c>
      <c r="AI24" s="540">
        <f t="shared" si="121"/>
        <v>0</v>
      </c>
      <c r="AJ24" s="538">
        <v>0</v>
      </c>
      <c r="AK24" s="539">
        <f t="shared" si="10"/>
        <v>0</v>
      </c>
      <c r="AL24" s="540">
        <f t="shared" si="122"/>
        <v>0</v>
      </c>
      <c r="AM24" s="538">
        <v>0</v>
      </c>
      <c r="AN24" s="539">
        <f t="shared" si="11"/>
        <v>0</v>
      </c>
      <c r="AO24" s="540">
        <f t="shared" si="123"/>
        <v>0</v>
      </c>
      <c r="AP24" s="538">
        <v>51.265822784810098</v>
      </c>
      <c r="AQ24" s="539">
        <f t="shared" si="12"/>
        <v>0.87562039326381935</v>
      </c>
      <c r="AR24" s="540">
        <f t="shared" si="124"/>
        <v>0</v>
      </c>
      <c r="AS24" s="538"/>
      <c r="AT24" s="539">
        <f t="shared" si="13"/>
        <v>0</v>
      </c>
      <c r="AU24" s="540">
        <f t="shared" si="125"/>
        <v>0</v>
      </c>
      <c r="AV24" s="538">
        <v>2.7749999999999915</v>
      </c>
      <c r="AW24" s="539">
        <f t="shared" si="14"/>
        <v>4.739700758352107E-2</v>
      </c>
      <c r="AX24" s="540">
        <f t="shared" si="126"/>
        <v>0</v>
      </c>
      <c r="AY24" s="538">
        <v>60.666666666666686</v>
      </c>
      <c r="AZ24" s="539">
        <f t="shared" si="15"/>
        <v>1.0361868324565602</v>
      </c>
      <c r="BA24" s="540">
        <f t="shared" si="127"/>
        <v>0</v>
      </c>
      <c r="BB24" s="538">
        <v>0</v>
      </c>
      <c r="BC24" s="539">
        <f t="shared" si="16"/>
        <v>0</v>
      </c>
      <c r="BD24" s="540">
        <f t="shared" si="128"/>
        <v>0</v>
      </c>
      <c r="BE24" s="538"/>
      <c r="BF24" s="539">
        <f t="shared" si="17"/>
        <v>0</v>
      </c>
      <c r="BG24" s="540">
        <f t="shared" si="129"/>
        <v>0</v>
      </c>
      <c r="BH24" s="538"/>
      <c r="BI24" s="539">
        <f t="shared" si="18"/>
        <v>0</v>
      </c>
      <c r="BJ24" s="540">
        <f t="shared" si="130"/>
        <v>0</v>
      </c>
      <c r="BK24" s="538"/>
      <c r="BL24" s="539">
        <f t="shared" si="19"/>
        <v>0</v>
      </c>
      <c r="BM24" s="540">
        <f t="shared" si="131"/>
        <v>0</v>
      </c>
      <c r="BN24" s="538">
        <v>7.5925925925925926</v>
      </c>
      <c r="BO24" s="539">
        <f t="shared" si="20"/>
        <v>0.12968150223052183</v>
      </c>
      <c r="BP24" s="540">
        <f t="shared" si="132"/>
        <v>0</v>
      </c>
      <c r="BQ24" s="538"/>
      <c r="BR24" s="539">
        <f t="shared" si="21"/>
        <v>0</v>
      </c>
      <c r="BS24" s="540">
        <f t="shared" si="133"/>
        <v>0</v>
      </c>
      <c r="BT24" s="538"/>
      <c r="BU24" s="539">
        <f t="shared" si="22"/>
        <v>0</v>
      </c>
      <c r="BV24" s="540">
        <f t="shared" si="134"/>
        <v>0</v>
      </c>
      <c r="BW24" s="538">
        <v>0</v>
      </c>
      <c r="BX24" s="539">
        <f t="shared" si="23"/>
        <v>0</v>
      </c>
      <c r="BY24" s="540">
        <f t="shared" si="135"/>
        <v>0</v>
      </c>
      <c r="BZ24" s="538"/>
      <c r="CA24" s="539">
        <f t="shared" si="24"/>
        <v>0</v>
      </c>
      <c r="CB24" s="540">
        <f t="shared" si="136"/>
        <v>0</v>
      </c>
      <c r="CC24" s="538">
        <v>0</v>
      </c>
      <c r="CD24" s="539">
        <f t="shared" si="25"/>
        <v>0</v>
      </c>
      <c r="CE24" s="540">
        <f t="shared" si="137"/>
        <v>0</v>
      </c>
      <c r="CF24" s="538">
        <v>0.10000000000000003</v>
      </c>
      <c r="CG24" s="539">
        <f t="shared" si="26"/>
        <v>1.7080002732800443E-3</v>
      </c>
      <c r="CH24" s="540">
        <f t="shared" si="138"/>
        <v>0</v>
      </c>
      <c r="CI24" s="538"/>
      <c r="CJ24" s="539">
        <f t="shared" si="27"/>
        <v>0</v>
      </c>
      <c r="CK24" s="540">
        <f t="shared" si="139"/>
        <v>0</v>
      </c>
      <c r="CL24" s="538"/>
      <c r="CM24" s="539">
        <f t="shared" si="28"/>
        <v>0</v>
      </c>
      <c r="CN24" s="540">
        <f t="shared" si="140"/>
        <v>0</v>
      </c>
      <c r="CO24" s="538"/>
      <c r="CP24" s="539">
        <f t="shared" si="29"/>
        <v>0</v>
      </c>
      <c r="CQ24" s="540">
        <f t="shared" si="141"/>
        <v>0</v>
      </c>
      <c r="CR24" s="538"/>
      <c r="CS24" s="539">
        <f t="shared" si="30"/>
        <v>0</v>
      </c>
      <c r="CT24" s="540">
        <f t="shared" si="142"/>
        <v>0</v>
      </c>
      <c r="CU24" s="538"/>
      <c r="CV24" s="539">
        <f t="shared" si="31"/>
        <v>0</v>
      </c>
      <c r="CW24" s="540">
        <f t="shared" si="143"/>
        <v>0</v>
      </c>
      <c r="CX24" s="538"/>
      <c r="CY24" s="539">
        <f t="shared" si="32"/>
        <v>0</v>
      </c>
      <c r="CZ24" s="540">
        <f t="shared" si="144"/>
        <v>0</v>
      </c>
      <c r="DA24" s="538"/>
      <c r="DB24" s="539">
        <f t="shared" si="33"/>
        <v>0</v>
      </c>
      <c r="DC24" s="540">
        <f t="shared" si="145"/>
        <v>0</v>
      </c>
      <c r="DD24" s="538"/>
      <c r="DE24" s="539">
        <f t="shared" si="34"/>
        <v>0</v>
      </c>
      <c r="DF24" s="540">
        <f t="shared" si="146"/>
        <v>0</v>
      </c>
      <c r="DG24" s="538">
        <v>0</v>
      </c>
      <c r="DH24" s="539">
        <f t="shared" si="35"/>
        <v>0</v>
      </c>
      <c r="DI24" s="540">
        <f t="shared" si="203"/>
        <v>0</v>
      </c>
      <c r="DJ24" s="538"/>
      <c r="DK24" s="539">
        <f t="shared" si="36"/>
        <v>0</v>
      </c>
      <c r="DL24" s="540">
        <f t="shared" si="147"/>
        <v>0</v>
      </c>
      <c r="DM24" s="538"/>
      <c r="DN24" s="539">
        <f t="shared" si="37"/>
        <v>0</v>
      </c>
      <c r="DO24" s="540">
        <f t="shared" si="148"/>
        <v>0</v>
      </c>
      <c r="DP24" s="538"/>
      <c r="DQ24" s="539">
        <f t="shared" si="38"/>
        <v>0</v>
      </c>
      <c r="DR24" s="540">
        <f t="shared" si="149"/>
        <v>0</v>
      </c>
      <c r="DS24" s="538"/>
      <c r="DT24" s="539">
        <f t="shared" si="39"/>
        <v>0</v>
      </c>
      <c r="DU24" s="540">
        <f t="shared" si="150"/>
        <v>0</v>
      </c>
      <c r="DV24" s="538"/>
      <c r="DW24" s="539">
        <f t="shared" si="40"/>
        <v>0</v>
      </c>
      <c r="DX24" s="540">
        <f t="shared" si="151"/>
        <v>0</v>
      </c>
      <c r="DY24" s="538"/>
      <c r="DZ24" s="539">
        <f t="shared" si="41"/>
        <v>0</v>
      </c>
      <c r="EA24" s="540">
        <f t="shared" si="152"/>
        <v>0</v>
      </c>
      <c r="EB24" s="538">
        <v>29.069767441860449</v>
      </c>
      <c r="EC24" s="539">
        <f t="shared" si="42"/>
        <v>0.49651170734884964</v>
      </c>
      <c r="ED24" s="540">
        <f t="shared" si="153"/>
        <v>0</v>
      </c>
      <c r="EE24" s="538">
        <v>0</v>
      </c>
      <c r="EF24" s="539">
        <f t="shared" si="43"/>
        <v>0</v>
      </c>
      <c r="EG24" s="540">
        <f t="shared" si="154"/>
        <v>0</v>
      </c>
      <c r="EH24" s="538"/>
      <c r="EI24" s="539">
        <f t="shared" si="44"/>
        <v>0</v>
      </c>
      <c r="EJ24" s="540">
        <f t="shared" si="155"/>
        <v>0</v>
      </c>
      <c r="EK24" s="538"/>
      <c r="EL24" s="539">
        <f t="shared" si="45"/>
        <v>0</v>
      </c>
      <c r="EM24" s="540">
        <f t="shared" si="156"/>
        <v>0</v>
      </c>
      <c r="EN24" s="538"/>
      <c r="EO24" s="539">
        <f t="shared" si="46"/>
        <v>0</v>
      </c>
      <c r="EP24" s="540">
        <f t="shared" si="157"/>
        <v>0</v>
      </c>
      <c r="EQ24" s="538"/>
      <c r="ER24" s="539">
        <f t="shared" si="47"/>
        <v>0</v>
      </c>
      <c r="ES24" s="540">
        <f t="shared" si="158"/>
        <v>0</v>
      </c>
      <c r="ET24" s="538"/>
      <c r="EU24" s="539">
        <f t="shared" si="48"/>
        <v>0</v>
      </c>
      <c r="EV24" s="540">
        <f t="shared" si="159"/>
        <v>0</v>
      </c>
      <c r="EW24" s="538"/>
      <c r="EX24" s="539">
        <f t="shared" si="49"/>
        <v>0</v>
      </c>
      <c r="EY24" s="540">
        <f t="shared" si="160"/>
        <v>0</v>
      </c>
      <c r="EZ24" s="538"/>
      <c r="FA24" s="539">
        <f t="shared" si="50"/>
        <v>0</v>
      </c>
      <c r="FB24" s="540">
        <f t="shared" si="161"/>
        <v>0</v>
      </c>
      <c r="FC24" s="538"/>
      <c r="FD24" s="539">
        <f t="shared" si="51"/>
        <v>0</v>
      </c>
      <c r="FE24" s="540">
        <f t="shared" si="162"/>
        <v>0</v>
      </c>
      <c r="FF24" s="538"/>
      <c r="FG24" s="539">
        <f t="shared" si="52"/>
        <v>0</v>
      </c>
      <c r="FH24" s="540">
        <f t="shared" si="163"/>
        <v>0</v>
      </c>
      <c r="FI24" s="538"/>
      <c r="FJ24" s="539">
        <f t="shared" si="53"/>
        <v>0</v>
      </c>
      <c r="FK24" s="540">
        <f t="shared" si="164"/>
        <v>0</v>
      </c>
      <c r="FL24" s="538"/>
      <c r="FM24" s="539">
        <f t="shared" si="54"/>
        <v>0</v>
      </c>
      <c r="FN24" s="540">
        <f t="shared" si="165"/>
        <v>0</v>
      </c>
      <c r="FO24" s="538"/>
      <c r="FP24" s="539">
        <f t="shared" si="55"/>
        <v>0</v>
      </c>
      <c r="FQ24" s="540">
        <f t="shared" si="166"/>
        <v>0</v>
      </c>
      <c r="FR24" s="538"/>
      <c r="FS24" s="539">
        <f t="shared" si="56"/>
        <v>0</v>
      </c>
      <c r="FT24" s="540">
        <f t="shared" si="167"/>
        <v>0</v>
      </c>
      <c r="FU24" s="538"/>
      <c r="FV24" s="539">
        <f t="shared" si="57"/>
        <v>0</v>
      </c>
      <c r="FW24" s="540">
        <f t="shared" si="168"/>
        <v>0</v>
      </c>
      <c r="FX24" s="538"/>
      <c r="FY24" s="539">
        <f t="shared" si="58"/>
        <v>0</v>
      </c>
      <c r="FZ24" s="540">
        <f t="shared" si="169"/>
        <v>0</v>
      </c>
      <c r="GA24" s="538"/>
      <c r="GB24" s="539">
        <f t="shared" si="59"/>
        <v>0</v>
      </c>
      <c r="GC24" s="540">
        <f t="shared" si="170"/>
        <v>0</v>
      </c>
      <c r="GD24" s="538"/>
      <c r="GE24" s="539">
        <f t="shared" si="60"/>
        <v>0</v>
      </c>
      <c r="GF24" s="540">
        <f t="shared" si="171"/>
        <v>0</v>
      </c>
      <c r="GG24" s="538"/>
      <c r="GH24" s="539">
        <f t="shared" si="61"/>
        <v>0</v>
      </c>
      <c r="GI24" s="540">
        <f t="shared" si="172"/>
        <v>0</v>
      </c>
      <c r="GJ24" s="538"/>
      <c r="GK24" s="539">
        <f t="shared" si="62"/>
        <v>0</v>
      </c>
      <c r="GL24" s="540">
        <f t="shared" si="173"/>
        <v>0</v>
      </c>
      <c r="GM24" s="538"/>
      <c r="GN24" s="539">
        <f t="shared" si="63"/>
        <v>0</v>
      </c>
      <c r="GO24" s="540">
        <f t="shared" si="174"/>
        <v>0</v>
      </c>
      <c r="GP24" s="538"/>
      <c r="GQ24" s="539">
        <f t="shared" si="64"/>
        <v>0</v>
      </c>
      <c r="GR24" s="540">
        <f t="shared" si="175"/>
        <v>0</v>
      </c>
      <c r="GS24" s="538"/>
      <c r="GT24" s="539">
        <f t="shared" si="65"/>
        <v>0</v>
      </c>
      <c r="GU24" s="540">
        <f t="shared" si="176"/>
        <v>0</v>
      </c>
      <c r="GV24" s="538"/>
      <c r="GW24" s="539">
        <f t="shared" si="66"/>
        <v>0</v>
      </c>
      <c r="GX24" s="540">
        <f t="shared" si="177"/>
        <v>0</v>
      </c>
      <c r="GY24" s="538"/>
      <c r="GZ24" s="539">
        <f t="shared" si="67"/>
        <v>0</v>
      </c>
      <c r="HA24" s="540">
        <f t="shared" si="178"/>
        <v>0</v>
      </c>
      <c r="HB24" s="538"/>
      <c r="HC24" s="539">
        <f t="shared" si="68"/>
        <v>0</v>
      </c>
      <c r="HD24" s="540">
        <f t="shared" si="179"/>
        <v>0</v>
      </c>
      <c r="HE24" s="538"/>
      <c r="HF24" s="539">
        <f t="shared" si="69"/>
        <v>0</v>
      </c>
      <c r="HG24" s="540">
        <f t="shared" si="180"/>
        <v>0</v>
      </c>
      <c r="HH24" s="538"/>
      <c r="HI24" s="539">
        <f t="shared" si="70"/>
        <v>0</v>
      </c>
      <c r="HJ24" s="540">
        <f t="shared" si="181"/>
        <v>0</v>
      </c>
      <c r="HK24" s="538"/>
      <c r="HL24" s="539">
        <f t="shared" si="71"/>
        <v>0</v>
      </c>
      <c r="HM24" s="540">
        <f t="shared" si="182"/>
        <v>0</v>
      </c>
      <c r="HN24" s="538"/>
      <c r="HO24" s="539">
        <f t="shared" si="72"/>
        <v>0</v>
      </c>
      <c r="HP24" s="540">
        <f t="shared" si="183"/>
        <v>0</v>
      </c>
      <c r="HQ24" s="538"/>
      <c r="HR24" s="539">
        <f t="shared" si="73"/>
        <v>0</v>
      </c>
      <c r="HS24" s="540">
        <f t="shared" si="184"/>
        <v>0</v>
      </c>
      <c r="HT24" s="538"/>
      <c r="HU24" s="539">
        <f t="shared" si="74"/>
        <v>0</v>
      </c>
      <c r="HV24" s="540">
        <f t="shared" si="185"/>
        <v>0</v>
      </c>
      <c r="HW24" s="538"/>
      <c r="HX24" s="539">
        <f t="shared" si="75"/>
        <v>0</v>
      </c>
      <c r="HY24" s="540">
        <f t="shared" si="186"/>
        <v>0</v>
      </c>
      <c r="HZ24" s="538"/>
      <c r="IA24" s="539">
        <f t="shared" si="76"/>
        <v>0</v>
      </c>
      <c r="IB24" s="540">
        <f t="shared" si="187"/>
        <v>0</v>
      </c>
      <c r="IC24" s="538"/>
      <c r="ID24" s="539">
        <f t="shared" si="77"/>
        <v>0</v>
      </c>
      <c r="IE24" s="540">
        <f t="shared" si="188"/>
        <v>0</v>
      </c>
      <c r="IF24" s="538"/>
      <c r="IG24" s="539">
        <f t="shared" si="78"/>
        <v>0</v>
      </c>
      <c r="IH24" s="540">
        <f t="shared" si="189"/>
        <v>0</v>
      </c>
      <c r="II24" s="538"/>
      <c r="IJ24" s="539">
        <f t="shared" si="79"/>
        <v>0</v>
      </c>
      <c r="IK24" s="540">
        <f t="shared" si="190"/>
        <v>0</v>
      </c>
      <c r="IL24" s="538"/>
      <c r="IM24" s="539">
        <f t="shared" si="80"/>
        <v>0</v>
      </c>
      <c r="IN24" s="540">
        <f t="shared" si="191"/>
        <v>0</v>
      </c>
      <c r="IO24" s="538"/>
      <c r="IP24" s="539">
        <f t="shared" si="81"/>
        <v>0</v>
      </c>
      <c r="IQ24" s="540">
        <f t="shared" si="192"/>
        <v>0</v>
      </c>
      <c r="IR24" s="538"/>
      <c r="IS24" s="539">
        <f t="shared" si="82"/>
        <v>0</v>
      </c>
      <c r="IT24" s="540">
        <f t="shared" si="193"/>
        <v>0</v>
      </c>
      <c r="IU24" s="538"/>
      <c r="IV24" s="539">
        <f t="shared" si="83"/>
        <v>0</v>
      </c>
      <c r="IW24" s="540">
        <f t="shared" si="194"/>
        <v>0</v>
      </c>
      <c r="IX24" s="538"/>
      <c r="IY24" s="539">
        <f t="shared" si="84"/>
        <v>0</v>
      </c>
      <c r="IZ24" s="540">
        <f t="shared" si="195"/>
        <v>0</v>
      </c>
      <c r="JA24" s="538"/>
      <c r="JB24" s="539">
        <f t="shared" si="85"/>
        <v>0</v>
      </c>
      <c r="JC24" s="540">
        <f t="shared" si="196"/>
        <v>0</v>
      </c>
      <c r="JD24" s="538"/>
      <c r="JE24" s="539">
        <f t="shared" si="86"/>
        <v>0</v>
      </c>
      <c r="JF24" s="540">
        <f t="shared" si="197"/>
        <v>0</v>
      </c>
      <c r="JG24" s="538"/>
      <c r="JH24" s="539">
        <f t="shared" si="87"/>
        <v>0</v>
      </c>
      <c r="JI24" s="540">
        <f t="shared" si="198"/>
        <v>0</v>
      </c>
      <c r="JJ24" s="538"/>
      <c r="JK24" s="540" t="str">
        <f t="shared" si="88"/>
        <v>0</v>
      </c>
      <c r="JL24" s="540" t="str">
        <f t="shared" si="89"/>
        <v>0</v>
      </c>
      <c r="JM24" s="538"/>
      <c r="JN24" s="540" t="str">
        <f t="shared" si="90"/>
        <v>0</v>
      </c>
      <c r="JO24" s="540" t="str">
        <f t="shared" si="91"/>
        <v>0</v>
      </c>
      <c r="JP24" s="538"/>
      <c r="JQ24" s="540" t="str">
        <f t="shared" si="92"/>
        <v>0</v>
      </c>
      <c r="JR24" s="540" t="str">
        <f t="shared" si="93"/>
        <v>0</v>
      </c>
      <c r="JS24" s="538"/>
      <c r="JT24" s="540" t="str">
        <f t="shared" si="94"/>
        <v>0</v>
      </c>
      <c r="JU24" s="540" t="str">
        <f t="shared" si="95"/>
        <v>0</v>
      </c>
      <c r="JV24" s="538"/>
      <c r="JW24" s="540" t="str">
        <f t="shared" si="96"/>
        <v>0</v>
      </c>
      <c r="JX24" s="540" t="str">
        <f t="shared" si="97"/>
        <v>0</v>
      </c>
      <c r="JY24" s="538"/>
      <c r="JZ24" s="540" t="str">
        <f t="shared" si="98"/>
        <v>0</v>
      </c>
      <c r="KA24" s="540" t="str">
        <f t="shared" si="99"/>
        <v>0</v>
      </c>
      <c r="KB24" s="538"/>
      <c r="KC24" s="540" t="str">
        <f t="shared" si="100"/>
        <v>0</v>
      </c>
      <c r="KD24" s="540" t="str">
        <f t="shared" si="101"/>
        <v>0</v>
      </c>
      <c r="KE24" s="538"/>
      <c r="KF24" s="540" t="str">
        <f t="shared" si="102"/>
        <v>0</v>
      </c>
      <c r="KG24" s="540" t="str">
        <f t="shared" si="103"/>
        <v>0</v>
      </c>
      <c r="KH24" s="538"/>
      <c r="KI24" s="540" t="str">
        <f t="shared" si="104"/>
        <v>0</v>
      </c>
      <c r="KJ24" s="540" t="str">
        <f t="shared" si="105"/>
        <v>0</v>
      </c>
      <c r="KK24" s="538"/>
      <c r="KL24" s="540" t="str">
        <f t="shared" si="106"/>
        <v>0</v>
      </c>
      <c r="KM24" s="540" t="str">
        <f t="shared" si="107"/>
        <v>0</v>
      </c>
      <c r="KN24" s="538"/>
      <c r="KO24" s="540" t="str">
        <f t="shared" si="108"/>
        <v>0</v>
      </c>
      <c r="KP24" s="540" t="str">
        <f t="shared" si="109"/>
        <v>0</v>
      </c>
      <c r="KQ24" s="538"/>
      <c r="KR24" s="540" t="str">
        <f t="shared" si="110"/>
        <v>0</v>
      </c>
      <c r="KS24" s="540" t="str">
        <f t="shared" si="111"/>
        <v>0</v>
      </c>
      <c r="KT24" s="540">
        <f t="shared" si="201"/>
        <v>0</v>
      </c>
      <c r="KU24" s="540">
        <f t="shared" si="202"/>
        <v>0</v>
      </c>
      <c r="KV24" s="275">
        <f t="shared" si="199"/>
        <v>400.71548902081395</v>
      </c>
    </row>
    <row r="25" spans="1:309" ht="15" customHeight="1">
      <c r="A25" s="277">
        <f t="shared" si="200"/>
        <v>46008</v>
      </c>
      <c r="B25" s="278" t="str">
        <f>+Report1!B25</f>
        <v>Facial</v>
      </c>
      <c r="C25" s="420" t="str">
        <f>+Report1!C25</f>
        <v>13</v>
      </c>
      <c r="D25" s="279">
        <f>+Report1!P25</f>
        <v>61.677000000000007</v>
      </c>
      <c r="E25" s="280">
        <f>+Report1!R25</f>
        <v>56.588000000000001</v>
      </c>
      <c r="F25" s="538">
        <v>0</v>
      </c>
      <c r="G25" s="539">
        <f t="shared" si="0"/>
        <v>0</v>
      </c>
      <c r="H25" s="540">
        <f t="shared" si="112"/>
        <v>0</v>
      </c>
      <c r="I25" s="538">
        <v>220.93023255813944</v>
      </c>
      <c r="J25" s="539">
        <f t="shared" si="1"/>
        <v>3.9041887424566948</v>
      </c>
      <c r="K25" s="540">
        <f t="shared" si="113"/>
        <v>0</v>
      </c>
      <c r="L25" s="538"/>
      <c r="M25" s="539">
        <f t="shared" si="2"/>
        <v>0</v>
      </c>
      <c r="N25" s="540">
        <f t="shared" si="114"/>
        <v>0</v>
      </c>
      <c r="O25" s="538">
        <v>8.9999999999999716</v>
      </c>
      <c r="P25" s="539">
        <f t="shared" si="3"/>
        <v>0.15904432035060387</v>
      </c>
      <c r="Q25" s="540">
        <f t="shared" si="115"/>
        <v>0</v>
      </c>
      <c r="R25" s="538"/>
      <c r="S25" s="539">
        <f t="shared" si="4"/>
        <v>0</v>
      </c>
      <c r="T25" s="540">
        <f t="shared" si="116"/>
        <v>0</v>
      </c>
      <c r="U25" s="538">
        <v>7.6874999999999432</v>
      </c>
      <c r="V25" s="539">
        <f t="shared" si="5"/>
        <v>0.13585035696614023</v>
      </c>
      <c r="W25" s="540">
        <f t="shared" si="117"/>
        <v>0</v>
      </c>
      <c r="X25" s="538"/>
      <c r="Y25" s="539">
        <f t="shared" si="6"/>
        <v>0</v>
      </c>
      <c r="Z25" s="540">
        <f t="shared" si="118"/>
        <v>0</v>
      </c>
      <c r="AA25" s="538"/>
      <c r="AB25" s="539">
        <f t="shared" si="7"/>
        <v>0</v>
      </c>
      <c r="AC25" s="540">
        <f t="shared" si="119"/>
        <v>0</v>
      </c>
      <c r="AD25" s="538"/>
      <c r="AE25" s="539">
        <f t="shared" si="8"/>
        <v>0</v>
      </c>
      <c r="AF25" s="540">
        <f t="shared" si="120"/>
        <v>0</v>
      </c>
      <c r="AG25" s="538"/>
      <c r="AH25" s="539">
        <f t="shared" si="9"/>
        <v>0</v>
      </c>
      <c r="AI25" s="540">
        <f t="shared" si="121"/>
        <v>0</v>
      </c>
      <c r="AJ25" s="538">
        <v>0</v>
      </c>
      <c r="AK25" s="539">
        <f t="shared" si="10"/>
        <v>0</v>
      </c>
      <c r="AL25" s="540">
        <f t="shared" si="122"/>
        <v>0</v>
      </c>
      <c r="AM25" s="538">
        <v>0</v>
      </c>
      <c r="AN25" s="539">
        <f t="shared" si="11"/>
        <v>0</v>
      </c>
      <c r="AO25" s="540">
        <f t="shared" si="123"/>
        <v>0</v>
      </c>
      <c r="AP25" s="538">
        <v>42.721518987341767</v>
      </c>
      <c r="AQ25" s="539">
        <f t="shared" si="12"/>
        <v>0.75495721685413453</v>
      </c>
      <c r="AR25" s="540">
        <f t="shared" si="124"/>
        <v>0</v>
      </c>
      <c r="AS25" s="538"/>
      <c r="AT25" s="539">
        <f t="shared" si="13"/>
        <v>0</v>
      </c>
      <c r="AU25" s="540">
        <f t="shared" si="125"/>
        <v>0</v>
      </c>
      <c r="AV25" s="538">
        <v>5.5500000000000043</v>
      </c>
      <c r="AW25" s="539">
        <f t="shared" si="14"/>
        <v>9.8077330882872765E-2</v>
      </c>
      <c r="AX25" s="540">
        <f t="shared" si="126"/>
        <v>0</v>
      </c>
      <c r="AY25" s="538">
        <v>53.666666666666657</v>
      </c>
      <c r="AZ25" s="539">
        <f t="shared" si="15"/>
        <v>0.9483753917202703</v>
      </c>
      <c r="BA25" s="540">
        <f t="shared" si="127"/>
        <v>0</v>
      </c>
      <c r="BB25" s="538">
        <v>0</v>
      </c>
      <c r="BC25" s="539">
        <f t="shared" si="16"/>
        <v>0</v>
      </c>
      <c r="BD25" s="540">
        <f t="shared" si="128"/>
        <v>0</v>
      </c>
      <c r="BE25" s="538"/>
      <c r="BF25" s="539">
        <f t="shared" si="17"/>
        <v>0</v>
      </c>
      <c r="BG25" s="540">
        <f t="shared" si="129"/>
        <v>0</v>
      </c>
      <c r="BH25" s="538"/>
      <c r="BI25" s="539">
        <f t="shared" si="18"/>
        <v>0</v>
      </c>
      <c r="BJ25" s="540">
        <f t="shared" si="130"/>
        <v>0</v>
      </c>
      <c r="BK25" s="538"/>
      <c r="BL25" s="539">
        <f t="shared" si="19"/>
        <v>0</v>
      </c>
      <c r="BM25" s="540">
        <f t="shared" si="131"/>
        <v>0</v>
      </c>
      <c r="BN25" s="538">
        <v>5.0617283950616923</v>
      </c>
      <c r="BO25" s="539">
        <f t="shared" si="20"/>
        <v>8.9448794710215815E-2</v>
      </c>
      <c r="BP25" s="540">
        <f t="shared" si="132"/>
        <v>0</v>
      </c>
      <c r="BQ25" s="538"/>
      <c r="BR25" s="539">
        <f t="shared" si="21"/>
        <v>0</v>
      </c>
      <c r="BS25" s="540">
        <f t="shared" si="133"/>
        <v>0</v>
      </c>
      <c r="BT25" s="538"/>
      <c r="BU25" s="539">
        <f t="shared" si="22"/>
        <v>0</v>
      </c>
      <c r="BV25" s="540">
        <f t="shared" si="134"/>
        <v>0</v>
      </c>
      <c r="BW25" s="538">
        <v>0</v>
      </c>
      <c r="BX25" s="539">
        <f t="shared" si="23"/>
        <v>0</v>
      </c>
      <c r="BY25" s="540">
        <f t="shared" si="135"/>
        <v>0</v>
      </c>
      <c r="BZ25" s="538"/>
      <c r="CA25" s="539">
        <f t="shared" si="24"/>
        <v>0</v>
      </c>
      <c r="CB25" s="540">
        <f t="shared" si="136"/>
        <v>0</v>
      </c>
      <c r="CC25" s="538">
        <v>0</v>
      </c>
      <c r="CD25" s="539">
        <f t="shared" si="25"/>
        <v>0</v>
      </c>
      <c r="CE25" s="540">
        <f t="shared" si="137"/>
        <v>0</v>
      </c>
      <c r="CF25" s="538">
        <v>9.9999999999999978E-2</v>
      </c>
      <c r="CG25" s="539">
        <f t="shared" si="26"/>
        <v>1.7671591150067148E-3</v>
      </c>
      <c r="CH25" s="540">
        <f t="shared" si="138"/>
        <v>0</v>
      </c>
      <c r="CI25" s="538"/>
      <c r="CJ25" s="539">
        <f t="shared" si="27"/>
        <v>0</v>
      </c>
      <c r="CK25" s="540">
        <f t="shared" si="139"/>
        <v>0</v>
      </c>
      <c r="CL25" s="538"/>
      <c r="CM25" s="539">
        <f t="shared" si="28"/>
        <v>0</v>
      </c>
      <c r="CN25" s="540">
        <f t="shared" si="140"/>
        <v>0</v>
      </c>
      <c r="CO25" s="538"/>
      <c r="CP25" s="539">
        <f t="shared" si="29"/>
        <v>0</v>
      </c>
      <c r="CQ25" s="540">
        <f t="shared" si="141"/>
        <v>0</v>
      </c>
      <c r="CR25" s="538"/>
      <c r="CS25" s="539">
        <f t="shared" si="30"/>
        <v>0</v>
      </c>
      <c r="CT25" s="540">
        <f t="shared" si="142"/>
        <v>0</v>
      </c>
      <c r="CU25" s="538"/>
      <c r="CV25" s="539">
        <f t="shared" si="31"/>
        <v>0</v>
      </c>
      <c r="CW25" s="540">
        <f t="shared" si="143"/>
        <v>0</v>
      </c>
      <c r="CX25" s="538"/>
      <c r="CY25" s="539">
        <f t="shared" si="32"/>
        <v>0</v>
      </c>
      <c r="CZ25" s="540">
        <f t="shared" si="144"/>
        <v>0</v>
      </c>
      <c r="DA25" s="538"/>
      <c r="DB25" s="539">
        <f t="shared" si="33"/>
        <v>0</v>
      </c>
      <c r="DC25" s="540">
        <f t="shared" si="145"/>
        <v>0</v>
      </c>
      <c r="DD25" s="538"/>
      <c r="DE25" s="539">
        <f t="shared" si="34"/>
        <v>0</v>
      </c>
      <c r="DF25" s="540">
        <f t="shared" si="146"/>
        <v>0</v>
      </c>
      <c r="DG25" s="538">
        <v>0</v>
      </c>
      <c r="DH25" s="539">
        <f t="shared" si="35"/>
        <v>0</v>
      </c>
      <c r="DI25" s="540">
        <f t="shared" si="203"/>
        <v>0</v>
      </c>
      <c r="DJ25" s="538"/>
      <c r="DK25" s="539">
        <f t="shared" si="36"/>
        <v>0</v>
      </c>
      <c r="DL25" s="540">
        <f t="shared" si="147"/>
        <v>0</v>
      </c>
      <c r="DM25" s="538"/>
      <c r="DN25" s="539">
        <f t="shared" si="37"/>
        <v>0</v>
      </c>
      <c r="DO25" s="540">
        <f t="shared" si="148"/>
        <v>0</v>
      </c>
      <c r="DP25" s="538"/>
      <c r="DQ25" s="539">
        <f t="shared" si="38"/>
        <v>0</v>
      </c>
      <c r="DR25" s="540">
        <f t="shared" si="149"/>
        <v>0</v>
      </c>
      <c r="DS25" s="538"/>
      <c r="DT25" s="539">
        <f t="shared" si="39"/>
        <v>0</v>
      </c>
      <c r="DU25" s="540">
        <f t="shared" si="150"/>
        <v>0</v>
      </c>
      <c r="DV25" s="538"/>
      <c r="DW25" s="539">
        <f t="shared" si="40"/>
        <v>0</v>
      </c>
      <c r="DX25" s="540">
        <f t="shared" si="151"/>
        <v>0</v>
      </c>
      <c r="DY25" s="538"/>
      <c r="DZ25" s="539">
        <f t="shared" si="41"/>
        <v>0</v>
      </c>
      <c r="EA25" s="540">
        <f t="shared" si="152"/>
        <v>0</v>
      </c>
      <c r="EB25" s="538">
        <v>29.069767441860506</v>
      </c>
      <c r="EC25" s="539">
        <f t="shared" si="42"/>
        <v>0.5137090450600923</v>
      </c>
      <c r="ED25" s="540">
        <f t="shared" si="153"/>
        <v>0</v>
      </c>
      <c r="EE25" s="538">
        <v>0</v>
      </c>
      <c r="EF25" s="539">
        <f t="shared" si="43"/>
        <v>0</v>
      </c>
      <c r="EG25" s="540">
        <f t="shared" si="154"/>
        <v>0</v>
      </c>
      <c r="EH25" s="538"/>
      <c r="EI25" s="539">
        <f t="shared" si="44"/>
        <v>0</v>
      </c>
      <c r="EJ25" s="540">
        <f t="shared" si="155"/>
        <v>0</v>
      </c>
      <c r="EK25" s="538"/>
      <c r="EL25" s="539">
        <f t="shared" si="45"/>
        <v>0</v>
      </c>
      <c r="EM25" s="540">
        <f t="shared" si="156"/>
        <v>0</v>
      </c>
      <c r="EN25" s="538"/>
      <c r="EO25" s="539">
        <f t="shared" si="46"/>
        <v>0</v>
      </c>
      <c r="EP25" s="540">
        <f t="shared" si="157"/>
        <v>0</v>
      </c>
      <c r="EQ25" s="538"/>
      <c r="ER25" s="539">
        <f t="shared" si="47"/>
        <v>0</v>
      </c>
      <c r="ES25" s="540">
        <f t="shared" si="158"/>
        <v>0</v>
      </c>
      <c r="ET25" s="538"/>
      <c r="EU25" s="539">
        <f t="shared" si="48"/>
        <v>0</v>
      </c>
      <c r="EV25" s="540">
        <f t="shared" si="159"/>
        <v>0</v>
      </c>
      <c r="EW25" s="538"/>
      <c r="EX25" s="539">
        <f t="shared" si="49"/>
        <v>0</v>
      </c>
      <c r="EY25" s="540">
        <f t="shared" si="160"/>
        <v>0</v>
      </c>
      <c r="EZ25" s="538"/>
      <c r="FA25" s="539">
        <f t="shared" si="50"/>
        <v>0</v>
      </c>
      <c r="FB25" s="540">
        <f t="shared" si="161"/>
        <v>0</v>
      </c>
      <c r="FC25" s="538"/>
      <c r="FD25" s="539">
        <f t="shared" si="51"/>
        <v>0</v>
      </c>
      <c r="FE25" s="540">
        <f t="shared" si="162"/>
        <v>0</v>
      </c>
      <c r="FF25" s="538"/>
      <c r="FG25" s="539">
        <f t="shared" si="52"/>
        <v>0</v>
      </c>
      <c r="FH25" s="540">
        <f t="shared" si="163"/>
        <v>0</v>
      </c>
      <c r="FI25" s="538"/>
      <c r="FJ25" s="539">
        <f t="shared" si="53"/>
        <v>0</v>
      </c>
      <c r="FK25" s="540">
        <f t="shared" si="164"/>
        <v>0</v>
      </c>
      <c r="FL25" s="538"/>
      <c r="FM25" s="539">
        <f t="shared" si="54"/>
        <v>0</v>
      </c>
      <c r="FN25" s="540">
        <f t="shared" si="165"/>
        <v>0</v>
      </c>
      <c r="FO25" s="538"/>
      <c r="FP25" s="539">
        <f t="shared" si="55"/>
        <v>0</v>
      </c>
      <c r="FQ25" s="540">
        <f t="shared" si="166"/>
        <v>0</v>
      </c>
      <c r="FR25" s="538"/>
      <c r="FS25" s="539">
        <f t="shared" si="56"/>
        <v>0</v>
      </c>
      <c r="FT25" s="540">
        <f t="shared" si="167"/>
        <v>0</v>
      </c>
      <c r="FU25" s="538"/>
      <c r="FV25" s="539">
        <f t="shared" si="57"/>
        <v>0</v>
      </c>
      <c r="FW25" s="540">
        <f t="shared" si="168"/>
        <v>0</v>
      </c>
      <c r="FX25" s="538"/>
      <c r="FY25" s="539">
        <f t="shared" si="58"/>
        <v>0</v>
      </c>
      <c r="FZ25" s="540">
        <f t="shared" si="169"/>
        <v>0</v>
      </c>
      <c r="GA25" s="538"/>
      <c r="GB25" s="539">
        <f t="shared" si="59"/>
        <v>0</v>
      </c>
      <c r="GC25" s="540">
        <f t="shared" si="170"/>
        <v>0</v>
      </c>
      <c r="GD25" s="538"/>
      <c r="GE25" s="539">
        <f t="shared" si="60"/>
        <v>0</v>
      </c>
      <c r="GF25" s="540">
        <f t="shared" si="171"/>
        <v>0</v>
      </c>
      <c r="GG25" s="538"/>
      <c r="GH25" s="539">
        <f t="shared" si="61"/>
        <v>0</v>
      </c>
      <c r="GI25" s="540">
        <f t="shared" si="172"/>
        <v>0</v>
      </c>
      <c r="GJ25" s="538"/>
      <c r="GK25" s="539">
        <f t="shared" si="62"/>
        <v>0</v>
      </c>
      <c r="GL25" s="540">
        <f t="shared" si="173"/>
        <v>0</v>
      </c>
      <c r="GM25" s="538"/>
      <c r="GN25" s="539">
        <f t="shared" si="63"/>
        <v>0</v>
      </c>
      <c r="GO25" s="540">
        <f t="shared" si="174"/>
        <v>0</v>
      </c>
      <c r="GP25" s="538"/>
      <c r="GQ25" s="539">
        <f t="shared" si="64"/>
        <v>0</v>
      </c>
      <c r="GR25" s="540">
        <f t="shared" si="175"/>
        <v>0</v>
      </c>
      <c r="GS25" s="538"/>
      <c r="GT25" s="539">
        <f t="shared" si="65"/>
        <v>0</v>
      </c>
      <c r="GU25" s="540">
        <f t="shared" si="176"/>
        <v>0</v>
      </c>
      <c r="GV25" s="538"/>
      <c r="GW25" s="539">
        <f t="shared" si="66"/>
        <v>0</v>
      </c>
      <c r="GX25" s="540">
        <f t="shared" si="177"/>
        <v>0</v>
      </c>
      <c r="GY25" s="538"/>
      <c r="GZ25" s="539">
        <f t="shared" si="67"/>
        <v>0</v>
      </c>
      <c r="HA25" s="540">
        <f t="shared" si="178"/>
        <v>0</v>
      </c>
      <c r="HB25" s="538"/>
      <c r="HC25" s="539">
        <f t="shared" si="68"/>
        <v>0</v>
      </c>
      <c r="HD25" s="540">
        <f t="shared" si="179"/>
        <v>0</v>
      </c>
      <c r="HE25" s="538"/>
      <c r="HF25" s="539">
        <f t="shared" si="69"/>
        <v>0</v>
      </c>
      <c r="HG25" s="540">
        <f t="shared" si="180"/>
        <v>0</v>
      </c>
      <c r="HH25" s="538"/>
      <c r="HI25" s="539">
        <f t="shared" si="70"/>
        <v>0</v>
      </c>
      <c r="HJ25" s="540">
        <f t="shared" si="181"/>
        <v>0</v>
      </c>
      <c r="HK25" s="538"/>
      <c r="HL25" s="539">
        <f t="shared" si="71"/>
        <v>0</v>
      </c>
      <c r="HM25" s="540">
        <f t="shared" si="182"/>
        <v>0</v>
      </c>
      <c r="HN25" s="538"/>
      <c r="HO25" s="539">
        <f t="shared" si="72"/>
        <v>0</v>
      </c>
      <c r="HP25" s="540">
        <f t="shared" si="183"/>
        <v>0</v>
      </c>
      <c r="HQ25" s="538"/>
      <c r="HR25" s="539">
        <f t="shared" si="73"/>
        <v>0</v>
      </c>
      <c r="HS25" s="540">
        <f t="shared" si="184"/>
        <v>0</v>
      </c>
      <c r="HT25" s="538"/>
      <c r="HU25" s="539">
        <f t="shared" si="74"/>
        <v>0</v>
      </c>
      <c r="HV25" s="540">
        <f t="shared" si="185"/>
        <v>0</v>
      </c>
      <c r="HW25" s="538"/>
      <c r="HX25" s="539">
        <f t="shared" si="75"/>
        <v>0</v>
      </c>
      <c r="HY25" s="540">
        <f t="shared" si="186"/>
        <v>0</v>
      </c>
      <c r="HZ25" s="538"/>
      <c r="IA25" s="539">
        <f t="shared" si="76"/>
        <v>0</v>
      </c>
      <c r="IB25" s="540">
        <f t="shared" si="187"/>
        <v>0</v>
      </c>
      <c r="IC25" s="538"/>
      <c r="ID25" s="539">
        <f t="shared" si="77"/>
        <v>0</v>
      </c>
      <c r="IE25" s="540">
        <f t="shared" si="188"/>
        <v>0</v>
      </c>
      <c r="IF25" s="538"/>
      <c r="IG25" s="539">
        <f t="shared" si="78"/>
        <v>0</v>
      </c>
      <c r="IH25" s="540">
        <f t="shared" si="189"/>
        <v>0</v>
      </c>
      <c r="II25" s="538"/>
      <c r="IJ25" s="539">
        <f t="shared" si="79"/>
        <v>0</v>
      </c>
      <c r="IK25" s="540">
        <f t="shared" si="190"/>
        <v>0</v>
      </c>
      <c r="IL25" s="538"/>
      <c r="IM25" s="539">
        <f t="shared" si="80"/>
        <v>0</v>
      </c>
      <c r="IN25" s="540">
        <f t="shared" si="191"/>
        <v>0</v>
      </c>
      <c r="IO25" s="538"/>
      <c r="IP25" s="539">
        <f t="shared" si="81"/>
        <v>0</v>
      </c>
      <c r="IQ25" s="540">
        <f t="shared" si="192"/>
        <v>0</v>
      </c>
      <c r="IR25" s="538"/>
      <c r="IS25" s="539">
        <f t="shared" si="82"/>
        <v>0</v>
      </c>
      <c r="IT25" s="540">
        <f t="shared" si="193"/>
        <v>0</v>
      </c>
      <c r="IU25" s="538"/>
      <c r="IV25" s="539">
        <f t="shared" si="83"/>
        <v>0</v>
      </c>
      <c r="IW25" s="540">
        <f t="shared" si="194"/>
        <v>0</v>
      </c>
      <c r="IX25" s="538"/>
      <c r="IY25" s="539">
        <f t="shared" si="84"/>
        <v>0</v>
      </c>
      <c r="IZ25" s="540">
        <f t="shared" si="195"/>
        <v>0</v>
      </c>
      <c r="JA25" s="538"/>
      <c r="JB25" s="539">
        <f t="shared" si="85"/>
        <v>0</v>
      </c>
      <c r="JC25" s="540">
        <f t="shared" si="196"/>
        <v>0</v>
      </c>
      <c r="JD25" s="538"/>
      <c r="JE25" s="539">
        <f t="shared" si="86"/>
        <v>0</v>
      </c>
      <c r="JF25" s="540">
        <f t="shared" si="197"/>
        <v>0</v>
      </c>
      <c r="JG25" s="538"/>
      <c r="JH25" s="539">
        <f t="shared" si="87"/>
        <v>0</v>
      </c>
      <c r="JI25" s="540">
        <f t="shared" si="198"/>
        <v>0</v>
      </c>
      <c r="JJ25" s="538"/>
      <c r="JK25" s="540" t="str">
        <f t="shared" si="88"/>
        <v>0</v>
      </c>
      <c r="JL25" s="540" t="str">
        <f t="shared" si="89"/>
        <v>0</v>
      </c>
      <c r="JM25" s="538"/>
      <c r="JN25" s="540" t="str">
        <f t="shared" si="90"/>
        <v>0</v>
      </c>
      <c r="JO25" s="540" t="str">
        <f t="shared" si="91"/>
        <v>0</v>
      </c>
      <c r="JP25" s="538"/>
      <c r="JQ25" s="540" t="str">
        <f t="shared" si="92"/>
        <v>0</v>
      </c>
      <c r="JR25" s="540" t="str">
        <f t="shared" si="93"/>
        <v>0</v>
      </c>
      <c r="JS25" s="538"/>
      <c r="JT25" s="540" t="str">
        <f t="shared" si="94"/>
        <v>0</v>
      </c>
      <c r="JU25" s="540" t="str">
        <f t="shared" si="95"/>
        <v>0</v>
      </c>
      <c r="JV25" s="538"/>
      <c r="JW25" s="540" t="str">
        <f t="shared" si="96"/>
        <v>0</v>
      </c>
      <c r="JX25" s="540" t="str">
        <f t="shared" si="97"/>
        <v>0</v>
      </c>
      <c r="JY25" s="538"/>
      <c r="JZ25" s="540" t="str">
        <f t="shared" si="98"/>
        <v>0</v>
      </c>
      <c r="KA25" s="540" t="str">
        <f t="shared" si="99"/>
        <v>0</v>
      </c>
      <c r="KB25" s="538"/>
      <c r="KC25" s="540" t="str">
        <f t="shared" si="100"/>
        <v>0</v>
      </c>
      <c r="KD25" s="540" t="str">
        <f t="shared" si="101"/>
        <v>0</v>
      </c>
      <c r="KE25" s="538"/>
      <c r="KF25" s="540" t="str">
        <f t="shared" si="102"/>
        <v>0</v>
      </c>
      <c r="KG25" s="540" t="str">
        <f t="shared" si="103"/>
        <v>0</v>
      </c>
      <c r="KH25" s="538"/>
      <c r="KI25" s="540" t="str">
        <f t="shared" si="104"/>
        <v>0</v>
      </c>
      <c r="KJ25" s="540" t="str">
        <f t="shared" si="105"/>
        <v>0</v>
      </c>
      <c r="KK25" s="538"/>
      <c r="KL25" s="540" t="str">
        <f t="shared" si="106"/>
        <v>0</v>
      </c>
      <c r="KM25" s="540" t="str">
        <f t="shared" si="107"/>
        <v>0</v>
      </c>
      <c r="KN25" s="538"/>
      <c r="KO25" s="540" t="str">
        <f t="shared" si="108"/>
        <v>0</v>
      </c>
      <c r="KP25" s="540" t="str">
        <f t="shared" si="109"/>
        <v>0</v>
      </c>
      <c r="KQ25" s="538"/>
      <c r="KR25" s="540" t="str">
        <f t="shared" si="110"/>
        <v>0</v>
      </c>
      <c r="KS25" s="540" t="str">
        <f t="shared" si="111"/>
        <v>0</v>
      </c>
      <c r="KT25" s="540">
        <f t="shared" si="201"/>
        <v>0</v>
      </c>
      <c r="KU25" s="540">
        <f t="shared" si="202"/>
        <v>0</v>
      </c>
      <c r="KV25" s="275">
        <f t="shared" si="199"/>
        <v>373.78741404907004</v>
      </c>
    </row>
    <row r="26" spans="1:309" ht="15" customHeight="1">
      <c r="A26" s="277">
        <f t="shared" si="200"/>
        <v>46009</v>
      </c>
      <c r="B26" s="278" t="str">
        <f>+Report1!B26</f>
        <v>Facial/MG</v>
      </c>
      <c r="C26" s="420" t="str">
        <f>+Report1!C26</f>
        <v>13/14</v>
      </c>
      <c r="D26" s="279">
        <f>+Report1!P26</f>
        <v>61.581000000000003</v>
      </c>
      <c r="E26" s="280">
        <f>+Report1!R26</f>
        <v>59.009</v>
      </c>
      <c r="F26" s="538">
        <v>0</v>
      </c>
      <c r="G26" s="539">
        <f t="shared" si="0"/>
        <v>0</v>
      </c>
      <c r="H26" s="540">
        <f t="shared" si="112"/>
        <v>0</v>
      </c>
      <c r="I26" s="538">
        <v>302.32558139534888</v>
      </c>
      <c r="J26" s="539">
        <f t="shared" si="1"/>
        <v>5.1233808638571894</v>
      </c>
      <c r="K26" s="540">
        <f t="shared" si="113"/>
        <v>0</v>
      </c>
      <c r="L26" s="538"/>
      <c r="M26" s="539">
        <f t="shared" si="2"/>
        <v>0</v>
      </c>
      <c r="N26" s="540">
        <f t="shared" si="114"/>
        <v>0</v>
      </c>
      <c r="O26" s="538">
        <v>9</v>
      </c>
      <c r="P26" s="539">
        <f t="shared" si="3"/>
        <v>0.15251910725482554</v>
      </c>
      <c r="Q26" s="540">
        <f t="shared" si="115"/>
        <v>0</v>
      </c>
      <c r="R26" s="538"/>
      <c r="S26" s="539">
        <f t="shared" si="4"/>
        <v>0</v>
      </c>
      <c r="T26" s="540">
        <f t="shared" si="116"/>
        <v>0</v>
      </c>
      <c r="U26" s="538">
        <v>7.6875</v>
      </c>
      <c r="V26" s="539">
        <f t="shared" si="5"/>
        <v>0.13027673744683013</v>
      </c>
      <c r="W26" s="540">
        <f t="shared" si="117"/>
        <v>0</v>
      </c>
      <c r="X26" s="538"/>
      <c r="Y26" s="539">
        <f t="shared" si="6"/>
        <v>0</v>
      </c>
      <c r="Z26" s="540">
        <f t="shared" si="118"/>
        <v>0</v>
      </c>
      <c r="AA26" s="538"/>
      <c r="AB26" s="539">
        <f t="shared" si="7"/>
        <v>0</v>
      </c>
      <c r="AC26" s="540">
        <f t="shared" si="119"/>
        <v>0</v>
      </c>
      <c r="AD26" s="538"/>
      <c r="AE26" s="539">
        <f t="shared" si="8"/>
        <v>0</v>
      </c>
      <c r="AF26" s="540">
        <f t="shared" si="120"/>
        <v>0</v>
      </c>
      <c r="AG26" s="538"/>
      <c r="AH26" s="539">
        <f t="shared" si="9"/>
        <v>0</v>
      </c>
      <c r="AI26" s="540">
        <f t="shared" si="121"/>
        <v>0</v>
      </c>
      <c r="AJ26" s="538">
        <v>0</v>
      </c>
      <c r="AK26" s="539">
        <f t="shared" si="10"/>
        <v>0</v>
      </c>
      <c r="AL26" s="540">
        <f t="shared" si="122"/>
        <v>0</v>
      </c>
      <c r="AM26" s="538">
        <v>0</v>
      </c>
      <c r="AN26" s="539">
        <f t="shared" si="11"/>
        <v>0</v>
      </c>
      <c r="AO26" s="540">
        <f t="shared" si="123"/>
        <v>0</v>
      </c>
      <c r="AP26" s="538">
        <v>56.962025316455708</v>
      </c>
      <c r="AQ26" s="539">
        <f t="shared" si="12"/>
        <v>0.96531080541028835</v>
      </c>
      <c r="AR26" s="540">
        <f t="shared" si="124"/>
        <v>0</v>
      </c>
      <c r="AS26" s="538"/>
      <c r="AT26" s="539">
        <f t="shared" si="13"/>
        <v>0</v>
      </c>
      <c r="AU26" s="540">
        <f t="shared" si="125"/>
        <v>0</v>
      </c>
      <c r="AV26" s="538">
        <v>5.5500000000000043</v>
      </c>
      <c r="AW26" s="539">
        <f t="shared" si="14"/>
        <v>9.4053449473809156E-2</v>
      </c>
      <c r="AX26" s="540">
        <f t="shared" si="126"/>
        <v>0</v>
      </c>
      <c r="AY26" s="538">
        <v>42</v>
      </c>
      <c r="AZ26" s="539">
        <f t="shared" si="15"/>
        <v>0.7117558338558525</v>
      </c>
      <c r="BA26" s="540">
        <f t="shared" si="127"/>
        <v>0</v>
      </c>
      <c r="BB26" s="538">
        <v>0</v>
      </c>
      <c r="BC26" s="539">
        <f t="shared" si="16"/>
        <v>0</v>
      </c>
      <c r="BD26" s="540">
        <f t="shared" si="128"/>
        <v>0</v>
      </c>
      <c r="BE26" s="538"/>
      <c r="BF26" s="539">
        <f t="shared" si="17"/>
        <v>0</v>
      </c>
      <c r="BG26" s="540">
        <f t="shared" si="129"/>
        <v>0</v>
      </c>
      <c r="BH26" s="538"/>
      <c r="BI26" s="539">
        <f t="shared" si="18"/>
        <v>0</v>
      </c>
      <c r="BJ26" s="540">
        <f t="shared" si="130"/>
        <v>0</v>
      </c>
      <c r="BK26" s="538"/>
      <c r="BL26" s="539">
        <f t="shared" si="19"/>
        <v>0</v>
      </c>
      <c r="BM26" s="540">
        <f t="shared" si="131"/>
        <v>0</v>
      </c>
      <c r="BN26" s="538">
        <v>10.12345679012347</v>
      </c>
      <c r="BO26" s="539">
        <f t="shared" si="20"/>
        <v>0.17155784355138148</v>
      </c>
      <c r="BP26" s="540">
        <f t="shared" si="132"/>
        <v>0</v>
      </c>
      <c r="BQ26" s="538"/>
      <c r="BR26" s="539">
        <f t="shared" si="21"/>
        <v>0</v>
      </c>
      <c r="BS26" s="540">
        <f t="shared" si="133"/>
        <v>0</v>
      </c>
      <c r="BT26" s="538"/>
      <c r="BU26" s="539">
        <f t="shared" si="22"/>
        <v>0</v>
      </c>
      <c r="BV26" s="540">
        <f t="shared" si="134"/>
        <v>0</v>
      </c>
      <c r="BW26" s="538">
        <v>0</v>
      </c>
      <c r="BX26" s="539">
        <f t="shared" si="23"/>
        <v>0</v>
      </c>
      <c r="BY26" s="540">
        <f t="shared" si="135"/>
        <v>0</v>
      </c>
      <c r="BZ26" s="538"/>
      <c r="CA26" s="539">
        <f t="shared" si="24"/>
        <v>0</v>
      </c>
      <c r="CB26" s="540">
        <f t="shared" si="136"/>
        <v>0</v>
      </c>
      <c r="CC26" s="538">
        <v>0</v>
      </c>
      <c r="CD26" s="539">
        <f t="shared" si="25"/>
        <v>0</v>
      </c>
      <c r="CE26" s="540">
        <f t="shared" si="137"/>
        <v>0</v>
      </c>
      <c r="CF26" s="538">
        <v>9.9999999999999867E-2</v>
      </c>
      <c r="CG26" s="539">
        <f t="shared" si="26"/>
        <v>1.694656747275837E-3</v>
      </c>
      <c r="CH26" s="540">
        <f t="shared" si="138"/>
        <v>0</v>
      </c>
      <c r="CI26" s="538"/>
      <c r="CJ26" s="539">
        <f t="shared" si="27"/>
        <v>0</v>
      </c>
      <c r="CK26" s="540">
        <f t="shared" si="139"/>
        <v>0</v>
      </c>
      <c r="CL26" s="538"/>
      <c r="CM26" s="539">
        <f t="shared" si="28"/>
        <v>0</v>
      </c>
      <c r="CN26" s="540">
        <f t="shared" si="140"/>
        <v>0</v>
      </c>
      <c r="CO26" s="538"/>
      <c r="CP26" s="539">
        <f t="shared" si="29"/>
        <v>0</v>
      </c>
      <c r="CQ26" s="540">
        <f t="shared" si="141"/>
        <v>0</v>
      </c>
      <c r="CR26" s="538"/>
      <c r="CS26" s="539">
        <f t="shared" si="30"/>
        <v>0</v>
      </c>
      <c r="CT26" s="540">
        <f t="shared" si="142"/>
        <v>0</v>
      </c>
      <c r="CU26" s="538"/>
      <c r="CV26" s="539">
        <f t="shared" si="31"/>
        <v>0</v>
      </c>
      <c r="CW26" s="540">
        <f t="shared" si="143"/>
        <v>0</v>
      </c>
      <c r="CX26" s="538"/>
      <c r="CY26" s="539">
        <f t="shared" si="32"/>
        <v>0</v>
      </c>
      <c r="CZ26" s="540">
        <f t="shared" si="144"/>
        <v>0</v>
      </c>
      <c r="DA26" s="538"/>
      <c r="DB26" s="539">
        <f t="shared" si="33"/>
        <v>0</v>
      </c>
      <c r="DC26" s="540">
        <f t="shared" si="145"/>
        <v>0</v>
      </c>
      <c r="DD26" s="538"/>
      <c r="DE26" s="539">
        <f t="shared" si="34"/>
        <v>0</v>
      </c>
      <c r="DF26" s="540">
        <f t="shared" si="146"/>
        <v>0</v>
      </c>
      <c r="DG26" s="538">
        <v>0</v>
      </c>
      <c r="DH26" s="539">
        <f t="shared" si="35"/>
        <v>0</v>
      </c>
      <c r="DI26" s="540">
        <f t="shared" si="203"/>
        <v>0</v>
      </c>
      <c r="DJ26" s="538"/>
      <c r="DK26" s="539">
        <f t="shared" si="36"/>
        <v>0</v>
      </c>
      <c r="DL26" s="540">
        <f t="shared" si="147"/>
        <v>0</v>
      </c>
      <c r="DM26" s="538"/>
      <c r="DN26" s="539">
        <f t="shared" si="37"/>
        <v>0</v>
      </c>
      <c r="DO26" s="540">
        <f t="shared" si="148"/>
        <v>0</v>
      </c>
      <c r="DP26" s="538"/>
      <c r="DQ26" s="539">
        <f t="shared" si="38"/>
        <v>0</v>
      </c>
      <c r="DR26" s="540">
        <f t="shared" si="149"/>
        <v>0</v>
      </c>
      <c r="DS26" s="538"/>
      <c r="DT26" s="539">
        <f t="shared" si="39"/>
        <v>0</v>
      </c>
      <c r="DU26" s="540">
        <f t="shared" si="150"/>
        <v>0</v>
      </c>
      <c r="DV26" s="538"/>
      <c r="DW26" s="539">
        <f t="shared" si="40"/>
        <v>0</v>
      </c>
      <c r="DX26" s="540">
        <f t="shared" si="151"/>
        <v>0</v>
      </c>
      <c r="DY26" s="538"/>
      <c r="DZ26" s="539">
        <f t="shared" si="41"/>
        <v>0</v>
      </c>
      <c r="EA26" s="540">
        <f t="shared" si="152"/>
        <v>0</v>
      </c>
      <c r="EB26" s="538">
        <v>29.069767441860449</v>
      </c>
      <c r="EC26" s="539">
        <f t="shared" si="42"/>
        <v>0.49263277537088324</v>
      </c>
      <c r="ED26" s="540">
        <f t="shared" si="153"/>
        <v>0</v>
      </c>
      <c r="EE26" s="538">
        <v>0</v>
      </c>
      <c r="EF26" s="539">
        <f t="shared" si="43"/>
        <v>0</v>
      </c>
      <c r="EG26" s="540">
        <f t="shared" si="154"/>
        <v>0</v>
      </c>
      <c r="EH26" s="538"/>
      <c r="EI26" s="539">
        <f t="shared" si="44"/>
        <v>0</v>
      </c>
      <c r="EJ26" s="540">
        <f t="shared" si="155"/>
        <v>0</v>
      </c>
      <c r="EK26" s="538"/>
      <c r="EL26" s="539">
        <f t="shared" si="45"/>
        <v>0</v>
      </c>
      <c r="EM26" s="540">
        <f t="shared" si="156"/>
        <v>0</v>
      </c>
      <c r="EN26" s="538"/>
      <c r="EO26" s="539">
        <f t="shared" si="46"/>
        <v>0</v>
      </c>
      <c r="EP26" s="540">
        <f t="shared" si="157"/>
        <v>0</v>
      </c>
      <c r="EQ26" s="538"/>
      <c r="ER26" s="539">
        <f t="shared" si="47"/>
        <v>0</v>
      </c>
      <c r="ES26" s="540">
        <f t="shared" si="158"/>
        <v>0</v>
      </c>
      <c r="ET26" s="538"/>
      <c r="EU26" s="539">
        <f t="shared" si="48"/>
        <v>0</v>
      </c>
      <c r="EV26" s="540">
        <f t="shared" si="159"/>
        <v>0</v>
      </c>
      <c r="EW26" s="538"/>
      <c r="EX26" s="539">
        <f t="shared" si="49"/>
        <v>0</v>
      </c>
      <c r="EY26" s="540">
        <f t="shared" si="160"/>
        <v>0</v>
      </c>
      <c r="EZ26" s="538"/>
      <c r="FA26" s="539">
        <f t="shared" si="50"/>
        <v>0</v>
      </c>
      <c r="FB26" s="540">
        <f t="shared" si="161"/>
        <v>0</v>
      </c>
      <c r="FC26" s="538"/>
      <c r="FD26" s="539">
        <f t="shared" si="51"/>
        <v>0</v>
      </c>
      <c r="FE26" s="540">
        <f t="shared" si="162"/>
        <v>0</v>
      </c>
      <c r="FF26" s="538"/>
      <c r="FG26" s="539">
        <f t="shared" si="52"/>
        <v>0</v>
      </c>
      <c r="FH26" s="540">
        <f t="shared" si="163"/>
        <v>0</v>
      </c>
      <c r="FI26" s="538"/>
      <c r="FJ26" s="539">
        <f t="shared" si="53"/>
        <v>0</v>
      </c>
      <c r="FK26" s="540">
        <f t="shared" si="164"/>
        <v>0</v>
      </c>
      <c r="FL26" s="538"/>
      <c r="FM26" s="539">
        <f t="shared" si="54"/>
        <v>0</v>
      </c>
      <c r="FN26" s="540">
        <f t="shared" si="165"/>
        <v>0</v>
      </c>
      <c r="FO26" s="538"/>
      <c r="FP26" s="539">
        <f t="shared" si="55"/>
        <v>0</v>
      </c>
      <c r="FQ26" s="540">
        <f t="shared" si="166"/>
        <v>0</v>
      </c>
      <c r="FR26" s="538"/>
      <c r="FS26" s="539">
        <f t="shared" si="56"/>
        <v>0</v>
      </c>
      <c r="FT26" s="540">
        <f t="shared" si="167"/>
        <v>0</v>
      </c>
      <c r="FU26" s="538"/>
      <c r="FV26" s="539">
        <f t="shared" si="57"/>
        <v>0</v>
      </c>
      <c r="FW26" s="540">
        <f t="shared" si="168"/>
        <v>0</v>
      </c>
      <c r="FX26" s="538"/>
      <c r="FY26" s="539">
        <f t="shared" si="58"/>
        <v>0</v>
      </c>
      <c r="FZ26" s="540">
        <f t="shared" si="169"/>
        <v>0</v>
      </c>
      <c r="GA26" s="538"/>
      <c r="GB26" s="539">
        <f t="shared" si="59"/>
        <v>0</v>
      </c>
      <c r="GC26" s="540">
        <f t="shared" si="170"/>
        <v>0</v>
      </c>
      <c r="GD26" s="538"/>
      <c r="GE26" s="539">
        <f t="shared" si="60"/>
        <v>0</v>
      </c>
      <c r="GF26" s="540">
        <f t="shared" si="171"/>
        <v>0</v>
      </c>
      <c r="GG26" s="538"/>
      <c r="GH26" s="539">
        <f t="shared" si="61"/>
        <v>0</v>
      </c>
      <c r="GI26" s="540">
        <f t="shared" si="172"/>
        <v>0</v>
      </c>
      <c r="GJ26" s="538"/>
      <c r="GK26" s="539">
        <f t="shared" si="62"/>
        <v>0</v>
      </c>
      <c r="GL26" s="540">
        <f t="shared" si="173"/>
        <v>0</v>
      </c>
      <c r="GM26" s="538"/>
      <c r="GN26" s="539">
        <f t="shared" si="63"/>
        <v>0</v>
      </c>
      <c r="GO26" s="540">
        <f t="shared" si="174"/>
        <v>0</v>
      </c>
      <c r="GP26" s="538"/>
      <c r="GQ26" s="539">
        <f t="shared" si="64"/>
        <v>0</v>
      </c>
      <c r="GR26" s="540">
        <f t="shared" si="175"/>
        <v>0</v>
      </c>
      <c r="GS26" s="538"/>
      <c r="GT26" s="539">
        <f t="shared" si="65"/>
        <v>0</v>
      </c>
      <c r="GU26" s="540">
        <f t="shared" si="176"/>
        <v>0</v>
      </c>
      <c r="GV26" s="538"/>
      <c r="GW26" s="539">
        <f t="shared" si="66"/>
        <v>0</v>
      </c>
      <c r="GX26" s="540">
        <f t="shared" si="177"/>
        <v>0</v>
      </c>
      <c r="GY26" s="538"/>
      <c r="GZ26" s="539">
        <f t="shared" si="67"/>
        <v>0</v>
      </c>
      <c r="HA26" s="540">
        <f t="shared" si="178"/>
        <v>0</v>
      </c>
      <c r="HB26" s="538"/>
      <c r="HC26" s="539">
        <f t="shared" si="68"/>
        <v>0</v>
      </c>
      <c r="HD26" s="540">
        <f t="shared" si="179"/>
        <v>0</v>
      </c>
      <c r="HE26" s="538"/>
      <c r="HF26" s="539">
        <f t="shared" si="69"/>
        <v>0</v>
      </c>
      <c r="HG26" s="540">
        <f t="shared" si="180"/>
        <v>0</v>
      </c>
      <c r="HH26" s="538"/>
      <c r="HI26" s="539">
        <f t="shared" si="70"/>
        <v>0</v>
      </c>
      <c r="HJ26" s="540">
        <f t="shared" si="181"/>
        <v>0</v>
      </c>
      <c r="HK26" s="538"/>
      <c r="HL26" s="539">
        <f t="shared" si="71"/>
        <v>0</v>
      </c>
      <c r="HM26" s="540">
        <f t="shared" si="182"/>
        <v>0</v>
      </c>
      <c r="HN26" s="538"/>
      <c r="HO26" s="539">
        <f t="shared" si="72"/>
        <v>0</v>
      </c>
      <c r="HP26" s="540">
        <f t="shared" si="183"/>
        <v>0</v>
      </c>
      <c r="HQ26" s="538"/>
      <c r="HR26" s="539">
        <f t="shared" si="73"/>
        <v>0</v>
      </c>
      <c r="HS26" s="540">
        <f t="shared" si="184"/>
        <v>0</v>
      </c>
      <c r="HT26" s="538"/>
      <c r="HU26" s="539">
        <f t="shared" si="74"/>
        <v>0</v>
      </c>
      <c r="HV26" s="540">
        <f t="shared" si="185"/>
        <v>0</v>
      </c>
      <c r="HW26" s="538"/>
      <c r="HX26" s="539">
        <f t="shared" si="75"/>
        <v>0</v>
      </c>
      <c r="HY26" s="540">
        <f t="shared" si="186"/>
        <v>0</v>
      </c>
      <c r="HZ26" s="538"/>
      <c r="IA26" s="539">
        <f t="shared" si="76"/>
        <v>0</v>
      </c>
      <c r="IB26" s="540">
        <f t="shared" si="187"/>
        <v>0</v>
      </c>
      <c r="IC26" s="538"/>
      <c r="ID26" s="539">
        <f t="shared" si="77"/>
        <v>0</v>
      </c>
      <c r="IE26" s="540">
        <f t="shared" si="188"/>
        <v>0</v>
      </c>
      <c r="IF26" s="538"/>
      <c r="IG26" s="539">
        <f t="shared" si="78"/>
        <v>0</v>
      </c>
      <c r="IH26" s="540">
        <f t="shared" si="189"/>
        <v>0</v>
      </c>
      <c r="II26" s="538"/>
      <c r="IJ26" s="539">
        <f t="shared" si="79"/>
        <v>0</v>
      </c>
      <c r="IK26" s="540">
        <f t="shared" si="190"/>
        <v>0</v>
      </c>
      <c r="IL26" s="538"/>
      <c r="IM26" s="539">
        <f t="shared" si="80"/>
        <v>0</v>
      </c>
      <c r="IN26" s="540">
        <f t="shared" si="191"/>
        <v>0</v>
      </c>
      <c r="IO26" s="538"/>
      <c r="IP26" s="539">
        <f t="shared" si="81"/>
        <v>0</v>
      </c>
      <c r="IQ26" s="540">
        <f t="shared" si="192"/>
        <v>0</v>
      </c>
      <c r="IR26" s="538"/>
      <c r="IS26" s="539">
        <f t="shared" si="82"/>
        <v>0</v>
      </c>
      <c r="IT26" s="540">
        <f t="shared" si="193"/>
        <v>0</v>
      </c>
      <c r="IU26" s="538"/>
      <c r="IV26" s="539">
        <f t="shared" si="83"/>
        <v>0</v>
      </c>
      <c r="IW26" s="540">
        <f t="shared" si="194"/>
        <v>0</v>
      </c>
      <c r="IX26" s="538"/>
      <c r="IY26" s="539">
        <f t="shared" si="84"/>
        <v>0</v>
      </c>
      <c r="IZ26" s="540">
        <f t="shared" si="195"/>
        <v>0</v>
      </c>
      <c r="JA26" s="538"/>
      <c r="JB26" s="539">
        <f t="shared" si="85"/>
        <v>0</v>
      </c>
      <c r="JC26" s="540">
        <f t="shared" si="196"/>
        <v>0</v>
      </c>
      <c r="JD26" s="538"/>
      <c r="JE26" s="539">
        <f t="shared" si="86"/>
        <v>0</v>
      </c>
      <c r="JF26" s="540">
        <f t="shared" si="197"/>
        <v>0</v>
      </c>
      <c r="JG26" s="538"/>
      <c r="JH26" s="539">
        <f t="shared" si="87"/>
        <v>0</v>
      </c>
      <c r="JI26" s="540">
        <f t="shared" si="198"/>
        <v>0</v>
      </c>
      <c r="JJ26" s="538"/>
      <c r="JK26" s="540" t="str">
        <f t="shared" si="88"/>
        <v>0</v>
      </c>
      <c r="JL26" s="540" t="str">
        <f t="shared" si="89"/>
        <v>0</v>
      </c>
      <c r="JM26" s="538"/>
      <c r="JN26" s="540" t="str">
        <f t="shared" si="90"/>
        <v>0</v>
      </c>
      <c r="JO26" s="540" t="str">
        <f t="shared" si="91"/>
        <v>0</v>
      </c>
      <c r="JP26" s="538"/>
      <c r="JQ26" s="540" t="str">
        <f t="shared" si="92"/>
        <v>0</v>
      </c>
      <c r="JR26" s="540" t="str">
        <f t="shared" si="93"/>
        <v>0</v>
      </c>
      <c r="JS26" s="538"/>
      <c r="JT26" s="540" t="str">
        <f t="shared" si="94"/>
        <v>0</v>
      </c>
      <c r="JU26" s="540" t="str">
        <f t="shared" si="95"/>
        <v>0</v>
      </c>
      <c r="JV26" s="538"/>
      <c r="JW26" s="540" t="str">
        <f t="shared" si="96"/>
        <v>0</v>
      </c>
      <c r="JX26" s="540" t="str">
        <f t="shared" si="97"/>
        <v>0</v>
      </c>
      <c r="JY26" s="538"/>
      <c r="JZ26" s="540" t="str">
        <f t="shared" si="98"/>
        <v>0</v>
      </c>
      <c r="KA26" s="540" t="str">
        <f t="shared" si="99"/>
        <v>0</v>
      </c>
      <c r="KB26" s="538"/>
      <c r="KC26" s="540" t="str">
        <f t="shared" si="100"/>
        <v>0</v>
      </c>
      <c r="KD26" s="540" t="str">
        <f t="shared" si="101"/>
        <v>0</v>
      </c>
      <c r="KE26" s="538"/>
      <c r="KF26" s="540" t="str">
        <f t="shared" si="102"/>
        <v>0</v>
      </c>
      <c r="KG26" s="540" t="str">
        <f t="shared" si="103"/>
        <v>0</v>
      </c>
      <c r="KH26" s="538"/>
      <c r="KI26" s="540" t="str">
        <f t="shared" si="104"/>
        <v>0</v>
      </c>
      <c r="KJ26" s="540" t="str">
        <f t="shared" si="105"/>
        <v>0</v>
      </c>
      <c r="KK26" s="538"/>
      <c r="KL26" s="540" t="str">
        <f t="shared" si="106"/>
        <v>0</v>
      </c>
      <c r="KM26" s="540" t="str">
        <f t="shared" si="107"/>
        <v>0</v>
      </c>
      <c r="KN26" s="538"/>
      <c r="KO26" s="540" t="str">
        <f t="shared" si="108"/>
        <v>0</v>
      </c>
      <c r="KP26" s="540" t="str">
        <f t="shared" si="109"/>
        <v>0</v>
      </c>
      <c r="KQ26" s="538"/>
      <c r="KR26" s="540" t="str">
        <f t="shared" si="110"/>
        <v>0</v>
      </c>
      <c r="KS26" s="540" t="str">
        <f t="shared" si="111"/>
        <v>0</v>
      </c>
      <c r="KT26" s="540">
        <f t="shared" si="201"/>
        <v>0</v>
      </c>
      <c r="KU26" s="540">
        <f t="shared" si="202"/>
        <v>0</v>
      </c>
      <c r="KV26" s="275">
        <f t="shared" si="199"/>
        <v>462.81833094378851</v>
      </c>
    </row>
    <row r="27" spans="1:309" ht="15" customHeight="1">
      <c r="A27" s="277">
        <f t="shared" si="200"/>
        <v>46010</v>
      </c>
      <c r="B27" s="278" t="str">
        <f>+Report1!B27</f>
        <v>MG</v>
      </c>
      <c r="C27" s="420" t="str">
        <f>+Report1!C27</f>
        <v>14/16,5/17</v>
      </c>
      <c r="D27" s="279">
        <f>+Report1!P27</f>
        <v>69.900000000000006</v>
      </c>
      <c r="E27" s="280">
        <f>+Report1!R27</f>
        <v>59.405000000000001</v>
      </c>
      <c r="F27" s="538">
        <v>255.80998604651154</v>
      </c>
      <c r="G27" s="539">
        <f t="shared" si="0"/>
        <v>4.3062029466629328</v>
      </c>
      <c r="H27" s="540">
        <f t="shared" si="112"/>
        <v>0</v>
      </c>
      <c r="I27" s="538">
        <v>755.81395348837214</v>
      </c>
      <c r="J27" s="539">
        <f t="shared" si="1"/>
        <v>12.723069665657304</v>
      </c>
      <c r="K27" s="540">
        <f t="shared" si="113"/>
        <v>0</v>
      </c>
      <c r="L27" s="538"/>
      <c r="M27" s="539">
        <f t="shared" si="2"/>
        <v>0</v>
      </c>
      <c r="N27" s="540">
        <f t="shared" si="114"/>
        <v>0</v>
      </c>
      <c r="O27" s="538">
        <v>9</v>
      </c>
      <c r="P27" s="539">
        <f t="shared" si="3"/>
        <v>0.1515023987879808</v>
      </c>
      <c r="Q27" s="540">
        <f t="shared" si="115"/>
        <v>0</v>
      </c>
      <c r="R27" s="538"/>
      <c r="S27" s="539">
        <f t="shared" si="4"/>
        <v>0</v>
      </c>
      <c r="T27" s="540">
        <f t="shared" si="116"/>
        <v>0</v>
      </c>
      <c r="U27" s="538">
        <v>10.250000000000057</v>
      </c>
      <c r="V27" s="539">
        <f t="shared" si="5"/>
        <v>0.17254439861964577</v>
      </c>
      <c r="W27" s="540">
        <f t="shared" si="117"/>
        <v>0</v>
      </c>
      <c r="X27" s="538"/>
      <c r="Y27" s="539">
        <f t="shared" si="6"/>
        <v>0</v>
      </c>
      <c r="Z27" s="540">
        <f t="shared" si="118"/>
        <v>0</v>
      </c>
      <c r="AA27" s="538"/>
      <c r="AB27" s="539">
        <f t="shared" si="7"/>
        <v>0</v>
      </c>
      <c r="AC27" s="540">
        <f t="shared" si="119"/>
        <v>0</v>
      </c>
      <c r="AD27" s="538"/>
      <c r="AE27" s="539">
        <f t="shared" si="8"/>
        <v>0</v>
      </c>
      <c r="AF27" s="540">
        <f t="shared" si="120"/>
        <v>0</v>
      </c>
      <c r="AG27" s="538"/>
      <c r="AH27" s="539">
        <f t="shared" si="9"/>
        <v>0</v>
      </c>
      <c r="AI27" s="540">
        <f t="shared" si="121"/>
        <v>0</v>
      </c>
      <c r="AJ27" s="538">
        <v>0</v>
      </c>
      <c r="AK27" s="539">
        <f t="shared" si="10"/>
        <v>0</v>
      </c>
      <c r="AL27" s="540">
        <f t="shared" si="122"/>
        <v>0</v>
      </c>
      <c r="AM27" s="538">
        <v>0</v>
      </c>
      <c r="AN27" s="539">
        <f t="shared" si="11"/>
        <v>0</v>
      </c>
      <c r="AO27" s="540">
        <f t="shared" si="123"/>
        <v>0</v>
      </c>
      <c r="AP27" s="538">
        <v>0</v>
      </c>
      <c r="AQ27" s="539">
        <f t="shared" si="12"/>
        <v>0</v>
      </c>
      <c r="AR27" s="540">
        <f t="shared" si="124"/>
        <v>0</v>
      </c>
      <c r="AS27" s="538"/>
      <c r="AT27" s="539">
        <f t="shared" si="13"/>
        <v>0</v>
      </c>
      <c r="AU27" s="540">
        <f t="shared" si="125"/>
        <v>0</v>
      </c>
      <c r="AV27" s="538">
        <v>19.424999999999955</v>
      </c>
      <c r="AW27" s="539">
        <f t="shared" si="14"/>
        <v>0.32699267738405779</v>
      </c>
      <c r="AX27" s="540">
        <f t="shared" si="126"/>
        <v>0</v>
      </c>
      <c r="AY27" s="538">
        <v>79.333333333333314</v>
      </c>
      <c r="AZ27" s="539">
        <f t="shared" si="15"/>
        <v>1.335465589316275</v>
      </c>
      <c r="BA27" s="540">
        <f t="shared" si="127"/>
        <v>0</v>
      </c>
      <c r="BB27" s="538">
        <v>0</v>
      </c>
      <c r="BC27" s="539">
        <f t="shared" si="16"/>
        <v>0</v>
      </c>
      <c r="BD27" s="540">
        <f t="shared" si="128"/>
        <v>0</v>
      </c>
      <c r="BE27" s="538"/>
      <c r="BF27" s="539">
        <f t="shared" si="17"/>
        <v>0</v>
      </c>
      <c r="BG27" s="540">
        <f t="shared" si="129"/>
        <v>0</v>
      </c>
      <c r="BH27" s="538"/>
      <c r="BI27" s="539">
        <f t="shared" si="18"/>
        <v>0</v>
      </c>
      <c r="BJ27" s="540">
        <f t="shared" si="130"/>
        <v>0</v>
      </c>
      <c r="BK27" s="538"/>
      <c r="BL27" s="539">
        <f t="shared" si="19"/>
        <v>0</v>
      </c>
      <c r="BM27" s="540">
        <f t="shared" si="131"/>
        <v>0</v>
      </c>
      <c r="BN27" s="538">
        <v>10.12345679012347</v>
      </c>
      <c r="BO27" s="539">
        <f t="shared" si="20"/>
        <v>0.17041422085890867</v>
      </c>
      <c r="BP27" s="540">
        <f t="shared" si="132"/>
        <v>0</v>
      </c>
      <c r="BQ27" s="538"/>
      <c r="BR27" s="539">
        <f t="shared" si="21"/>
        <v>0</v>
      </c>
      <c r="BS27" s="540">
        <f t="shared" si="133"/>
        <v>0</v>
      </c>
      <c r="BT27" s="538"/>
      <c r="BU27" s="539">
        <f t="shared" si="22"/>
        <v>0</v>
      </c>
      <c r="BV27" s="540">
        <f t="shared" si="134"/>
        <v>0</v>
      </c>
      <c r="BW27" s="538">
        <v>0</v>
      </c>
      <c r="BX27" s="539">
        <f t="shared" si="23"/>
        <v>0</v>
      </c>
      <c r="BY27" s="540">
        <f t="shared" si="135"/>
        <v>0</v>
      </c>
      <c r="BZ27" s="538"/>
      <c r="CA27" s="539">
        <f t="shared" si="24"/>
        <v>0</v>
      </c>
      <c r="CB27" s="540">
        <f t="shared" si="136"/>
        <v>0</v>
      </c>
      <c r="CC27" s="538">
        <v>6.25</v>
      </c>
      <c r="CD27" s="539">
        <f t="shared" si="25"/>
        <v>0.10520999915832001</v>
      </c>
      <c r="CE27" s="540">
        <f t="shared" si="137"/>
        <v>0</v>
      </c>
      <c r="CF27" s="538">
        <v>0.10000000000000009</v>
      </c>
      <c r="CG27" s="539">
        <f t="shared" si="26"/>
        <v>1.6833599865331216E-3</v>
      </c>
      <c r="CH27" s="540">
        <f t="shared" si="138"/>
        <v>0</v>
      </c>
      <c r="CI27" s="538"/>
      <c r="CJ27" s="539">
        <f t="shared" si="27"/>
        <v>0</v>
      </c>
      <c r="CK27" s="540">
        <f t="shared" si="139"/>
        <v>0</v>
      </c>
      <c r="CL27" s="538"/>
      <c r="CM27" s="539">
        <f t="shared" si="28"/>
        <v>0</v>
      </c>
      <c r="CN27" s="540">
        <f t="shared" si="140"/>
        <v>0</v>
      </c>
      <c r="CO27" s="538"/>
      <c r="CP27" s="539">
        <f t="shared" si="29"/>
        <v>0</v>
      </c>
      <c r="CQ27" s="540">
        <f t="shared" si="141"/>
        <v>0</v>
      </c>
      <c r="CR27" s="538"/>
      <c r="CS27" s="539">
        <f t="shared" si="30"/>
        <v>0</v>
      </c>
      <c r="CT27" s="540">
        <f t="shared" si="142"/>
        <v>0</v>
      </c>
      <c r="CU27" s="538"/>
      <c r="CV27" s="539">
        <f t="shared" si="31"/>
        <v>0</v>
      </c>
      <c r="CW27" s="540">
        <f t="shared" si="143"/>
        <v>0</v>
      </c>
      <c r="CX27" s="538"/>
      <c r="CY27" s="539">
        <f t="shared" si="32"/>
        <v>0</v>
      </c>
      <c r="CZ27" s="540">
        <f t="shared" si="144"/>
        <v>0</v>
      </c>
      <c r="DA27" s="538"/>
      <c r="DB27" s="539">
        <f t="shared" si="33"/>
        <v>0</v>
      </c>
      <c r="DC27" s="540">
        <f t="shared" si="145"/>
        <v>0</v>
      </c>
      <c r="DD27" s="538"/>
      <c r="DE27" s="539">
        <f t="shared" si="34"/>
        <v>0</v>
      </c>
      <c r="DF27" s="540">
        <f t="shared" si="146"/>
        <v>0</v>
      </c>
      <c r="DG27" s="538">
        <v>0</v>
      </c>
      <c r="DH27" s="539">
        <f t="shared" si="35"/>
        <v>0</v>
      </c>
      <c r="DI27" s="540">
        <f t="shared" si="203"/>
        <v>0</v>
      </c>
      <c r="DJ27" s="538"/>
      <c r="DK27" s="539">
        <f t="shared" si="36"/>
        <v>0</v>
      </c>
      <c r="DL27" s="540">
        <f t="shared" si="147"/>
        <v>0</v>
      </c>
      <c r="DM27" s="538"/>
      <c r="DN27" s="539">
        <f t="shared" si="37"/>
        <v>0</v>
      </c>
      <c r="DO27" s="540">
        <f t="shared" si="148"/>
        <v>0</v>
      </c>
      <c r="DP27" s="538"/>
      <c r="DQ27" s="539">
        <f t="shared" si="38"/>
        <v>0</v>
      </c>
      <c r="DR27" s="540">
        <f t="shared" si="149"/>
        <v>0</v>
      </c>
      <c r="DS27" s="538"/>
      <c r="DT27" s="539">
        <f t="shared" si="39"/>
        <v>0</v>
      </c>
      <c r="DU27" s="540">
        <f t="shared" si="150"/>
        <v>0</v>
      </c>
      <c r="DV27" s="538"/>
      <c r="DW27" s="539">
        <f t="shared" si="40"/>
        <v>0</v>
      </c>
      <c r="DX27" s="540">
        <f t="shared" si="151"/>
        <v>0</v>
      </c>
      <c r="DY27" s="538"/>
      <c r="DZ27" s="539">
        <f t="shared" si="41"/>
        <v>0</v>
      </c>
      <c r="EA27" s="540">
        <f t="shared" si="152"/>
        <v>0</v>
      </c>
      <c r="EB27" s="538">
        <v>29.069767441860506</v>
      </c>
      <c r="EC27" s="539">
        <f t="shared" si="42"/>
        <v>0.48934883329451234</v>
      </c>
      <c r="ED27" s="540">
        <f t="shared" si="153"/>
        <v>0</v>
      </c>
      <c r="EE27" s="538">
        <v>0</v>
      </c>
      <c r="EF27" s="539">
        <f t="shared" si="43"/>
        <v>0</v>
      </c>
      <c r="EG27" s="540">
        <f t="shared" si="154"/>
        <v>0</v>
      </c>
      <c r="EH27" s="538"/>
      <c r="EI27" s="539">
        <f t="shared" si="44"/>
        <v>0</v>
      </c>
      <c r="EJ27" s="540">
        <f t="shared" si="155"/>
        <v>0</v>
      </c>
      <c r="EK27" s="538"/>
      <c r="EL27" s="539">
        <f t="shared" si="45"/>
        <v>0</v>
      </c>
      <c r="EM27" s="540">
        <f t="shared" si="156"/>
        <v>0</v>
      </c>
      <c r="EN27" s="538"/>
      <c r="EO27" s="539">
        <f t="shared" si="46"/>
        <v>0</v>
      </c>
      <c r="EP27" s="540">
        <f t="shared" si="157"/>
        <v>0</v>
      </c>
      <c r="EQ27" s="538"/>
      <c r="ER27" s="539">
        <f t="shared" si="47"/>
        <v>0</v>
      </c>
      <c r="ES27" s="540">
        <f t="shared" si="158"/>
        <v>0</v>
      </c>
      <c r="ET27" s="538"/>
      <c r="EU27" s="539">
        <f t="shared" si="48"/>
        <v>0</v>
      </c>
      <c r="EV27" s="540">
        <f t="shared" si="159"/>
        <v>0</v>
      </c>
      <c r="EW27" s="538"/>
      <c r="EX27" s="539">
        <f t="shared" si="49"/>
        <v>0</v>
      </c>
      <c r="EY27" s="540">
        <f t="shared" si="160"/>
        <v>0</v>
      </c>
      <c r="EZ27" s="538"/>
      <c r="FA27" s="539">
        <f t="shared" si="50"/>
        <v>0</v>
      </c>
      <c r="FB27" s="540">
        <f t="shared" si="161"/>
        <v>0</v>
      </c>
      <c r="FC27" s="538"/>
      <c r="FD27" s="539">
        <f t="shared" si="51"/>
        <v>0</v>
      </c>
      <c r="FE27" s="540">
        <f t="shared" si="162"/>
        <v>0</v>
      </c>
      <c r="FF27" s="538"/>
      <c r="FG27" s="539">
        <f t="shared" si="52"/>
        <v>0</v>
      </c>
      <c r="FH27" s="540">
        <f t="shared" si="163"/>
        <v>0</v>
      </c>
      <c r="FI27" s="538"/>
      <c r="FJ27" s="539">
        <f t="shared" si="53"/>
        <v>0</v>
      </c>
      <c r="FK27" s="540">
        <f t="shared" si="164"/>
        <v>0</v>
      </c>
      <c r="FL27" s="538"/>
      <c r="FM27" s="539">
        <f t="shared" si="54"/>
        <v>0</v>
      </c>
      <c r="FN27" s="540">
        <f t="shared" si="165"/>
        <v>0</v>
      </c>
      <c r="FO27" s="538"/>
      <c r="FP27" s="539">
        <f t="shared" si="55"/>
        <v>0</v>
      </c>
      <c r="FQ27" s="540">
        <f t="shared" si="166"/>
        <v>0</v>
      </c>
      <c r="FR27" s="538"/>
      <c r="FS27" s="539">
        <f t="shared" si="56"/>
        <v>0</v>
      </c>
      <c r="FT27" s="540">
        <f t="shared" si="167"/>
        <v>0</v>
      </c>
      <c r="FU27" s="538"/>
      <c r="FV27" s="539">
        <f t="shared" si="57"/>
        <v>0</v>
      </c>
      <c r="FW27" s="540">
        <f t="shared" si="168"/>
        <v>0</v>
      </c>
      <c r="FX27" s="538"/>
      <c r="FY27" s="539">
        <f t="shared" si="58"/>
        <v>0</v>
      </c>
      <c r="FZ27" s="540">
        <f t="shared" si="169"/>
        <v>0</v>
      </c>
      <c r="GA27" s="538"/>
      <c r="GB27" s="539">
        <f t="shared" si="59"/>
        <v>0</v>
      </c>
      <c r="GC27" s="540">
        <f t="shared" si="170"/>
        <v>0</v>
      </c>
      <c r="GD27" s="538"/>
      <c r="GE27" s="539">
        <f t="shared" si="60"/>
        <v>0</v>
      </c>
      <c r="GF27" s="540">
        <f t="shared" si="171"/>
        <v>0</v>
      </c>
      <c r="GG27" s="538"/>
      <c r="GH27" s="539">
        <f t="shared" si="61"/>
        <v>0</v>
      </c>
      <c r="GI27" s="540">
        <f t="shared" si="172"/>
        <v>0</v>
      </c>
      <c r="GJ27" s="538"/>
      <c r="GK27" s="539">
        <f t="shared" si="62"/>
        <v>0</v>
      </c>
      <c r="GL27" s="540">
        <f t="shared" si="173"/>
        <v>0</v>
      </c>
      <c r="GM27" s="538"/>
      <c r="GN27" s="539">
        <f t="shared" si="63"/>
        <v>0</v>
      </c>
      <c r="GO27" s="540">
        <f t="shared" si="174"/>
        <v>0</v>
      </c>
      <c r="GP27" s="538"/>
      <c r="GQ27" s="539">
        <f t="shared" si="64"/>
        <v>0</v>
      </c>
      <c r="GR27" s="540">
        <f t="shared" si="175"/>
        <v>0</v>
      </c>
      <c r="GS27" s="538"/>
      <c r="GT27" s="539">
        <f t="shared" si="65"/>
        <v>0</v>
      </c>
      <c r="GU27" s="540">
        <f t="shared" si="176"/>
        <v>0</v>
      </c>
      <c r="GV27" s="538"/>
      <c r="GW27" s="539">
        <f t="shared" si="66"/>
        <v>0</v>
      </c>
      <c r="GX27" s="540">
        <f t="shared" si="177"/>
        <v>0</v>
      </c>
      <c r="GY27" s="538"/>
      <c r="GZ27" s="539">
        <f t="shared" si="67"/>
        <v>0</v>
      </c>
      <c r="HA27" s="540">
        <f t="shared" si="178"/>
        <v>0</v>
      </c>
      <c r="HB27" s="538"/>
      <c r="HC27" s="539">
        <f t="shared" si="68"/>
        <v>0</v>
      </c>
      <c r="HD27" s="540">
        <f t="shared" si="179"/>
        <v>0</v>
      </c>
      <c r="HE27" s="538"/>
      <c r="HF27" s="539">
        <f t="shared" si="69"/>
        <v>0</v>
      </c>
      <c r="HG27" s="540">
        <f t="shared" si="180"/>
        <v>0</v>
      </c>
      <c r="HH27" s="538"/>
      <c r="HI27" s="539">
        <f t="shared" si="70"/>
        <v>0</v>
      </c>
      <c r="HJ27" s="540">
        <f t="shared" si="181"/>
        <v>0</v>
      </c>
      <c r="HK27" s="538"/>
      <c r="HL27" s="539">
        <f t="shared" si="71"/>
        <v>0</v>
      </c>
      <c r="HM27" s="540">
        <f t="shared" si="182"/>
        <v>0</v>
      </c>
      <c r="HN27" s="538"/>
      <c r="HO27" s="539">
        <f t="shared" si="72"/>
        <v>0</v>
      </c>
      <c r="HP27" s="540">
        <f t="shared" si="183"/>
        <v>0</v>
      </c>
      <c r="HQ27" s="538"/>
      <c r="HR27" s="539">
        <f t="shared" si="73"/>
        <v>0</v>
      </c>
      <c r="HS27" s="540">
        <f t="shared" si="184"/>
        <v>0</v>
      </c>
      <c r="HT27" s="538"/>
      <c r="HU27" s="539">
        <f t="shared" si="74"/>
        <v>0</v>
      </c>
      <c r="HV27" s="540">
        <f t="shared" si="185"/>
        <v>0</v>
      </c>
      <c r="HW27" s="538"/>
      <c r="HX27" s="539">
        <f t="shared" si="75"/>
        <v>0</v>
      </c>
      <c r="HY27" s="540">
        <f t="shared" si="186"/>
        <v>0</v>
      </c>
      <c r="HZ27" s="538"/>
      <c r="IA27" s="539">
        <f t="shared" si="76"/>
        <v>0</v>
      </c>
      <c r="IB27" s="540">
        <f t="shared" si="187"/>
        <v>0</v>
      </c>
      <c r="IC27" s="538"/>
      <c r="ID27" s="539">
        <f t="shared" si="77"/>
        <v>0</v>
      </c>
      <c r="IE27" s="540">
        <f t="shared" si="188"/>
        <v>0</v>
      </c>
      <c r="IF27" s="538"/>
      <c r="IG27" s="539">
        <f t="shared" si="78"/>
        <v>0</v>
      </c>
      <c r="IH27" s="540">
        <f t="shared" si="189"/>
        <v>0</v>
      </c>
      <c r="II27" s="538"/>
      <c r="IJ27" s="539">
        <f t="shared" si="79"/>
        <v>0</v>
      </c>
      <c r="IK27" s="540">
        <f t="shared" si="190"/>
        <v>0</v>
      </c>
      <c r="IL27" s="538"/>
      <c r="IM27" s="539">
        <f t="shared" si="80"/>
        <v>0</v>
      </c>
      <c r="IN27" s="540">
        <f t="shared" si="191"/>
        <v>0</v>
      </c>
      <c r="IO27" s="538"/>
      <c r="IP27" s="539">
        <f t="shared" si="81"/>
        <v>0</v>
      </c>
      <c r="IQ27" s="540">
        <f t="shared" si="192"/>
        <v>0</v>
      </c>
      <c r="IR27" s="538"/>
      <c r="IS27" s="539">
        <f t="shared" si="82"/>
        <v>0</v>
      </c>
      <c r="IT27" s="540">
        <f t="shared" si="193"/>
        <v>0</v>
      </c>
      <c r="IU27" s="538"/>
      <c r="IV27" s="539">
        <f t="shared" si="83"/>
        <v>0</v>
      </c>
      <c r="IW27" s="540">
        <f t="shared" si="194"/>
        <v>0</v>
      </c>
      <c r="IX27" s="538"/>
      <c r="IY27" s="539">
        <f t="shared" si="84"/>
        <v>0</v>
      </c>
      <c r="IZ27" s="540">
        <f t="shared" si="195"/>
        <v>0</v>
      </c>
      <c r="JA27" s="538"/>
      <c r="JB27" s="539">
        <f t="shared" si="85"/>
        <v>0</v>
      </c>
      <c r="JC27" s="540">
        <f t="shared" si="196"/>
        <v>0</v>
      </c>
      <c r="JD27" s="538"/>
      <c r="JE27" s="539">
        <f t="shared" si="86"/>
        <v>0</v>
      </c>
      <c r="JF27" s="540">
        <f t="shared" si="197"/>
        <v>0</v>
      </c>
      <c r="JG27" s="538"/>
      <c r="JH27" s="539">
        <f t="shared" si="87"/>
        <v>0</v>
      </c>
      <c r="JI27" s="540">
        <f t="shared" si="198"/>
        <v>0</v>
      </c>
      <c r="JJ27" s="538"/>
      <c r="JK27" s="540" t="str">
        <f t="shared" si="88"/>
        <v>0</v>
      </c>
      <c r="JL27" s="540" t="str">
        <f t="shared" si="89"/>
        <v>0</v>
      </c>
      <c r="JM27" s="538"/>
      <c r="JN27" s="540" t="str">
        <f t="shared" si="90"/>
        <v>0</v>
      </c>
      <c r="JO27" s="540" t="str">
        <f t="shared" si="91"/>
        <v>0</v>
      </c>
      <c r="JP27" s="538"/>
      <c r="JQ27" s="540" t="str">
        <f t="shared" si="92"/>
        <v>0</v>
      </c>
      <c r="JR27" s="540" t="str">
        <f t="shared" si="93"/>
        <v>0</v>
      </c>
      <c r="JS27" s="538"/>
      <c r="JT27" s="540" t="str">
        <f t="shared" si="94"/>
        <v>0</v>
      </c>
      <c r="JU27" s="540" t="str">
        <f t="shared" si="95"/>
        <v>0</v>
      </c>
      <c r="JV27" s="538"/>
      <c r="JW27" s="540" t="str">
        <f t="shared" si="96"/>
        <v>0</v>
      </c>
      <c r="JX27" s="540" t="str">
        <f t="shared" si="97"/>
        <v>0</v>
      </c>
      <c r="JY27" s="538"/>
      <c r="JZ27" s="540" t="str">
        <f t="shared" si="98"/>
        <v>0</v>
      </c>
      <c r="KA27" s="540" t="str">
        <f t="shared" si="99"/>
        <v>0</v>
      </c>
      <c r="KB27" s="538"/>
      <c r="KC27" s="540" t="str">
        <f t="shared" si="100"/>
        <v>0</v>
      </c>
      <c r="KD27" s="540" t="str">
        <f t="shared" si="101"/>
        <v>0</v>
      </c>
      <c r="KE27" s="538"/>
      <c r="KF27" s="540" t="str">
        <f t="shared" si="102"/>
        <v>0</v>
      </c>
      <c r="KG27" s="540" t="str">
        <f t="shared" si="103"/>
        <v>0</v>
      </c>
      <c r="KH27" s="538"/>
      <c r="KI27" s="540" t="str">
        <f t="shared" si="104"/>
        <v>0</v>
      </c>
      <c r="KJ27" s="540" t="str">
        <f t="shared" si="105"/>
        <v>0</v>
      </c>
      <c r="KK27" s="538"/>
      <c r="KL27" s="540" t="str">
        <f t="shared" si="106"/>
        <v>0</v>
      </c>
      <c r="KM27" s="540" t="str">
        <f t="shared" si="107"/>
        <v>0</v>
      </c>
      <c r="KN27" s="538"/>
      <c r="KO27" s="540" t="str">
        <f t="shared" si="108"/>
        <v>0</v>
      </c>
      <c r="KP27" s="540" t="str">
        <f t="shared" si="109"/>
        <v>0</v>
      </c>
      <c r="KQ27" s="538"/>
      <c r="KR27" s="540" t="str">
        <f t="shared" si="110"/>
        <v>0</v>
      </c>
      <c r="KS27" s="540" t="str">
        <f t="shared" si="111"/>
        <v>0</v>
      </c>
      <c r="KT27" s="540">
        <f t="shared" si="201"/>
        <v>0</v>
      </c>
      <c r="KU27" s="540">
        <f t="shared" si="202"/>
        <v>0</v>
      </c>
      <c r="KV27" s="275">
        <f t="shared" si="199"/>
        <v>1175.1754971002008</v>
      </c>
    </row>
    <row r="28" spans="1:309" ht="15" customHeight="1">
      <c r="A28" s="277">
        <f t="shared" si="200"/>
        <v>46011</v>
      </c>
      <c r="B28" s="278" t="str">
        <f>+Report1!B28</f>
        <v>MG</v>
      </c>
      <c r="C28" s="420" t="str">
        <f>+Report1!C28</f>
        <v>17/16,5</v>
      </c>
      <c r="D28" s="279">
        <f>+Report1!P28</f>
        <v>72.647999999999996</v>
      </c>
      <c r="E28" s="280">
        <f>+Report1!R28</f>
        <v>68.040999999999997</v>
      </c>
      <c r="F28" s="538">
        <v>203.48837209302326</v>
      </c>
      <c r="G28" s="539">
        <f t="shared" si="0"/>
        <v>2.9906728603786434</v>
      </c>
      <c r="H28" s="540">
        <f t="shared" si="112"/>
        <v>0</v>
      </c>
      <c r="I28" s="538">
        <v>779.06976744186045</v>
      </c>
      <c r="J28" s="539">
        <f t="shared" si="1"/>
        <v>11.450004665449663</v>
      </c>
      <c r="K28" s="540">
        <f t="shared" si="113"/>
        <v>0</v>
      </c>
      <c r="L28" s="538"/>
      <c r="M28" s="539">
        <f t="shared" si="2"/>
        <v>0</v>
      </c>
      <c r="N28" s="540">
        <f t="shared" si="114"/>
        <v>0</v>
      </c>
      <c r="O28" s="538">
        <v>10.500000000000007</v>
      </c>
      <c r="P28" s="539">
        <f t="shared" si="3"/>
        <v>0.15431871959553808</v>
      </c>
      <c r="Q28" s="540">
        <f t="shared" si="115"/>
        <v>0</v>
      </c>
      <c r="R28" s="538"/>
      <c r="S28" s="539">
        <f t="shared" si="4"/>
        <v>0</v>
      </c>
      <c r="T28" s="540">
        <f t="shared" si="116"/>
        <v>0</v>
      </c>
      <c r="U28" s="538">
        <v>11.53125</v>
      </c>
      <c r="V28" s="539">
        <f t="shared" si="5"/>
        <v>0.16947502241295689</v>
      </c>
      <c r="W28" s="540">
        <f t="shared" si="117"/>
        <v>0</v>
      </c>
      <c r="X28" s="538"/>
      <c r="Y28" s="539">
        <f t="shared" si="6"/>
        <v>0</v>
      </c>
      <c r="Z28" s="540">
        <f t="shared" si="118"/>
        <v>0</v>
      </c>
      <c r="AA28" s="538"/>
      <c r="AB28" s="539">
        <f t="shared" si="7"/>
        <v>0</v>
      </c>
      <c r="AC28" s="540">
        <f t="shared" si="119"/>
        <v>0</v>
      </c>
      <c r="AD28" s="538"/>
      <c r="AE28" s="539">
        <f t="shared" si="8"/>
        <v>0</v>
      </c>
      <c r="AF28" s="540">
        <f t="shared" si="120"/>
        <v>0</v>
      </c>
      <c r="AG28" s="538"/>
      <c r="AH28" s="539">
        <f t="shared" si="9"/>
        <v>0</v>
      </c>
      <c r="AI28" s="540">
        <f t="shared" si="121"/>
        <v>0</v>
      </c>
      <c r="AJ28" s="538">
        <v>0</v>
      </c>
      <c r="AK28" s="539">
        <f t="shared" si="10"/>
        <v>0</v>
      </c>
      <c r="AL28" s="540">
        <f t="shared" si="122"/>
        <v>0</v>
      </c>
      <c r="AM28" s="538">
        <v>0</v>
      </c>
      <c r="AN28" s="539">
        <f t="shared" si="11"/>
        <v>0</v>
      </c>
      <c r="AO28" s="540">
        <f t="shared" si="123"/>
        <v>0</v>
      </c>
      <c r="AP28" s="538">
        <v>0</v>
      </c>
      <c r="AQ28" s="539">
        <f t="shared" si="12"/>
        <v>0</v>
      </c>
      <c r="AR28" s="540">
        <f t="shared" si="124"/>
        <v>0</v>
      </c>
      <c r="AS28" s="538"/>
      <c r="AT28" s="539">
        <f t="shared" si="13"/>
        <v>0</v>
      </c>
      <c r="AU28" s="540">
        <f t="shared" si="125"/>
        <v>0</v>
      </c>
      <c r="AV28" s="538">
        <v>8.3250000000000028</v>
      </c>
      <c r="AW28" s="539">
        <f t="shared" si="14"/>
        <v>0.12235269910789087</v>
      </c>
      <c r="AX28" s="540">
        <f t="shared" si="126"/>
        <v>0</v>
      </c>
      <c r="AY28" s="538">
        <v>79.333333333333343</v>
      </c>
      <c r="AZ28" s="539">
        <f t="shared" si="15"/>
        <v>1.1659636591662872</v>
      </c>
      <c r="BA28" s="540">
        <f t="shared" si="127"/>
        <v>0</v>
      </c>
      <c r="BB28" s="538">
        <v>18.666666666666671</v>
      </c>
      <c r="BC28" s="539">
        <f t="shared" si="16"/>
        <v>0.27434439039206759</v>
      </c>
      <c r="BD28" s="540">
        <f t="shared" si="128"/>
        <v>0</v>
      </c>
      <c r="BE28" s="538"/>
      <c r="BF28" s="539">
        <f t="shared" si="17"/>
        <v>0</v>
      </c>
      <c r="BG28" s="540">
        <f t="shared" si="129"/>
        <v>0</v>
      </c>
      <c r="BH28" s="538"/>
      <c r="BI28" s="539">
        <f t="shared" si="18"/>
        <v>0</v>
      </c>
      <c r="BJ28" s="540">
        <f t="shared" si="130"/>
        <v>0</v>
      </c>
      <c r="BK28" s="538"/>
      <c r="BL28" s="539">
        <f t="shared" si="19"/>
        <v>0</v>
      </c>
      <c r="BM28" s="540">
        <f t="shared" si="131"/>
        <v>0</v>
      </c>
      <c r="BN28" s="538">
        <v>11.388888888888872</v>
      </c>
      <c r="BO28" s="539">
        <f t="shared" si="20"/>
        <v>0.1673827381856362</v>
      </c>
      <c r="BP28" s="540">
        <f t="shared" si="132"/>
        <v>0</v>
      </c>
      <c r="BQ28" s="538"/>
      <c r="BR28" s="539">
        <f t="shared" si="21"/>
        <v>0</v>
      </c>
      <c r="BS28" s="540">
        <f t="shared" si="133"/>
        <v>0</v>
      </c>
      <c r="BT28" s="538"/>
      <c r="BU28" s="539">
        <f t="shared" si="22"/>
        <v>0</v>
      </c>
      <c r="BV28" s="540">
        <f t="shared" si="134"/>
        <v>0</v>
      </c>
      <c r="BW28" s="538">
        <v>0.67999999999999972</v>
      </c>
      <c r="BX28" s="539">
        <f t="shared" si="23"/>
        <v>9.9939742214253131E-3</v>
      </c>
      <c r="BY28" s="540">
        <f t="shared" si="135"/>
        <v>0</v>
      </c>
      <c r="BZ28" s="538"/>
      <c r="CA28" s="539">
        <f t="shared" si="24"/>
        <v>0</v>
      </c>
      <c r="CB28" s="540">
        <f t="shared" si="136"/>
        <v>0</v>
      </c>
      <c r="CC28" s="538">
        <v>6.25</v>
      </c>
      <c r="CD28" s="539">
        <f t="shared" si="25"/>
        <v>9.1856380711629756E-2</v>
      </c>
      <c r="CE28" s="540">
        <f t="shared" si="137"/>
        <v>0</v>
      </c>
      <c r="CF28" s="538">
        <v>9.9999999999999978E-2</v>
      </c>
      <c r="CG28" s="539">
        <f t="shared" si="26"/>
        <v>1.4697020913860758E-3</v>
      </c>
      <c r="CH28" s="540">
        <f t="shared" si="138"/>
        <v>0</v>
      </c>
      <c r="CI28" s="538"/>
      <c r="CJ28" s="539">
        <f t="shared" si="27"/>
        <v>0</v>
      </c>
      <c r="CK28" s="540">
        <f t="shared" si="139"/>
        <v>0</v>
      </c>
      <c r="CL28" s="538"/>
      <c r="CM28" s="539">
        <f t="shared" si="28"/>
        <v>0</v>
      </c>
      <c r="CN28" s="540">
        <f t="shared" si="140"/>
        <v>0</v>
      </c>
      <c r="CO28" s="538"/>
      <c r="CP28" s="539">
        <f t="shared" si="29"/>
        <v>0</v>
      </c>
      <c r="CQ28" s="540">
        <f t="shared" si="141"/>
        <v>0</v>
      </c>
      <c r="CR28" s="538"/>
      <c r="CS28" s="539">
        <f t="shared" si="30"/>
        <v>0</v>
      </c>
      <c r="CT28" s="540">
        <f t="shared" si="142"/>
        <v>0</v>
      </c>
      <c r="CU28" s="538"/>
      <c r="CV28" s="539">
        <f t="shared" si="31"/>
        <v>0</v>
      </c>
      <c r="CW28" s="540">
        <f t="shared" si="143"/>
        <v>0</v>
      </c>
      <c r="CX28" s="538"/>
      <c r="CY28" s="539">
        <f t="shared" si="32"/>
        <v>0</v>
      </c>
      <c r="CZ28" s="540">
        <f t="shared" si="144"/>
        <v>0</v>
      </c>
      <c r="DA28" s="538"/>
      <c r="DB28" s="539">
        <f t="shared" si="33"/>
        <v>0</v>
      </c>
      <c r="DC28" s="540">
        <f t="shared" si="145"/>
        <v>0</v>
      </c>
      <c r="DD28" s="538"/>
      <c r="DE28" s="539">
        <f t="shared" si="34"/>
        <v>0</v>
      </c>
      <c r="DF28" s="540">
        <f t="shared" si="146"/>
        <v>0</v>
      </c>
      <c r="DG28" s="538">
        <v>4.7250000000000014</v>
      </c>
      <c r="DH28" s="539">
        <f t="shared" si="35"/>
        <v>6.9443423817992123E-2</v>
      </c>
      <c r="DI28" s="540">
        <f t="shared" si="203"/>
        <v>0</v>
      </c>
      <c r="DJ28" s="538"/>
      <c r="DK28" s="539">
        <f t="shared" si="36"/>
        <v>0</v>
      </c>
      <c r="DL28" s="540">
        <f t="shared" si="147"/>
        <v>0</v>
      </c>
      <c r="DM28" s="538"/>
      <c r="DN28" s="539">
        <f t="shared" si="37"/>
        <v>0</v>
      </c>
      <c r="DO28" s="540">
        <f t="shared" si="148"/>
        <v>0</v>
      </c>
      <c r="DP28" s="538"/>
      <c r="DQ28" s="539">
        <f t="shared" si="38"/>
        <v>0</v>
      </c>
      <c r="DR28" s="540">
        <f t="shared" si="149"/>
        <v>0</v>
      </c>
      <c r="DS28" s="538"/>
      <c r="DT28" s="539">
        <f t="shared" si="39"/>
        <v>0</v>
      </c>
      <c r="DU28" s="540">
        <f t="shared" si="150"/>
        <v>0</v>
      </c>
      <c r="DV28" s="538"/>
      <c r="DW28" s="539">
        <f t="shared" si="40"/>
        <v>0</v>
      </c>
      <c r="DX28" s="540">
        <f t="shared" si="151"/>
        <v>0</v>
      </c>
      <c r="DY28" s="538"/>
      <c r="DZ28" s="539">
        <f t="shared" si="41"/>
        <v>0</v>
      </c>
      <c r="EA28" s="540">
        <f t="shared" si="152"/>
        <v>0</v>
      </c>
      <c r="EB28" s="538">
        <v>29.069767441860421</v>
      </c>
      <c r="EC28" s="539">
        <f t="shared" si="42"/>
        <v>0.42723898005409122</v>
      </c>
      <c r="ED28" s="540">
        <f t="shared" si="153"/>
        <v>0</v>
      </c>
      <c r="EE28" s="538">
        <v>0</v>
      </c>
      <c r="EF28" s="539">
        <f t="shared" si="43"/>
        <v>0</v>
      </c>
      <c r="EG28" s="540">
        <f t="shared" si="154"/>
        <v>0</v>
      </c>
      <c r="EH28" s="538"/>
      <c r="EI28" s="539">
        <f t="shared" si="44"/>
        <v>0</v>
      </c>
      <c r="EJ28" s="540">
        <f t="shared" si="155"/>
        <v>0</v>
      </c>
      <c r="EK28" s="538"/>
      <c r="EL28" s="539">
        <f t="shared" si="45"/>
        <v>0</v>
      </c>
      <c r="EM28" s="540">
        <f t="shared" si="156"/>
        <v>0</v>
      </c>
      <c r="EN28" s="538"/>
      <c r="EO28" s="539">
        <f t="shared" si="46"/>
        <v>0</v>
      </c>
      <c r="EP28" s="540">
        <f t="shared" si="157"/>
        <v>0</v>
      </c>
      <c r="EQ28" s="538"/>
      <c r="ER28" s="539">
        <f t="shared" si="47"/>
        <v>0</v>
      </c>
      <c r="ES28" s="540">
        <f t="shared" si="158"/>
        <v>0</v>
      </c>
      <c r="ET28" s="538"/>
      <c r="EU28" s="539">
        <f t="shared" si="48"/>
        <v>0</v>
      </c>
      <c r="EV28" s="540">
        <f t="shared" si="159"/>
        <v>0</v>
      </c>
      <c r="EW28" s="538"/>
      <c r="EX28" s="539">
        <f t="shared" si="49"/>
        <v>0</v>
      </c>
      <c r="EY28" s="540">
        <f t="shared" si="160"/>
        <v>0</v>
      </c>
      <c r="EZ28" s="538"/>
      <c r="FA28" s="539">
        <f t="shared" si="50"/>
        <v>0</v>
      </c>
      <c r="FB28" s="540">
        <f t="shared" si="161"/>
        <v>0</v>
      </c>
      <c r="FC28" s="538"/>
      <c r="FD28" s="539">
        <f t="shared" si="51"/>
        <v>0</v>
      </c>
      <c r="FE28" s="540">
        <f t="shared" si="162"/>
        <v>0</v>
      </c>
      <c r="FF28" s="538"/>
      <c r="FG28" s="539">
        <f t="shared" si="52"/>
        <v>0</v>
      </c>
      <c r="FH28" s="540">
        <f t="shared" si="163"/>
        <v>0</v>
      </c>
      <c r="FI28" s="538"/>
      <c r="FJ28" s="539">
        <f t="shared" si="53"/>
        <v>0</v>
      </c>
      <c r="FK28" s="540">
        <f t="shared" si="164"/>
        <v>0</v>
      </c>
      <c r="FL28" s="538"/>
      <c r="FM28" s="539">
        <f t="shared" si="54"/>
        <v>0</v>
      </c>
      <c r="FN28" s="540">
        <f t="shared" si="165"/>
        <v>0</v>
      </c>
      <c r="FO28" s="538"/>
      <c r="FP28" s="539">
        <f t="shared" si="55"/>
        <v>0</v>
      </c>
      <c r="FQ28" s="540">
        <f t="shared" si="166"/>
        <v>0</v>
      </c>
      <c r="FR28" s="538"/>
      <c r="FS28" s="539">
        <f t="shared" si="56"/>
        <v>0</v>
      </c>
      <c r="FT28" s="540">
        <f t="shared" si="167"/>
        <v>0</v>
      </c>
      <c r="FU28" s="538"/>
      <c r="FV28" s="539">
        <f t="shared" si="57"/>
        <v>0</v>
      </c>
      <c r="FW28" s="540">
        <f t="shared" si="168"/>
        <v>0</v>
      </c>
      <c r="FX28" s="538"/>
      <c r="FY28" s="539">
        <f t="shared" si="58"/>
        <v>0</v>
      </c>
      <c r="FZ28" s="540">
        <f t="shared" si="169"/>
        <v>0</v>
      </c>
      <c r="GA28" s="538"/>
      <c r="GB28" s="539">
        <f t="shared" si="59"/>
        <v>0</v>
      </c>
      <c r="GC28" s="540">
        <f t="shared" si="170"/>
        <v>0</v>
      </c>
      <c r="GD28" s="538"/>
      <c r="GE28" s="539">
        <f t="shared" si="60"/>
        <v>0</v>
      </c>
      <c r="GF28" s="540">
        <f t="shared" si="171"/>
        <v>0</v>
      </c>
      <c r="GG28" s="538"/>
      <c r="GH28" s="539">
        <f t="shared" si="61"/>
        <v>0</v>
      </c>
      <c r="GI28" s="540">
        <f t="shared" si="172"/>
        <v>0</v>
      </c>
      <c r="GJ28" s="538"/>
      <c r="GK28" s="539">
        <f t="shared" si="62"/>
        <v>0</v>
      </c>
      <c r="GL28" s="540">
        <f t="shared" si="173"/>
        <v>0</v>
      </c>
      <c r="GM28" s="538"/>
      <c r="GN28" s="539">
        <f t="shared" si="63"/>
        <v>0</v>
      </c>
      <c r="GO28" s="540">
        <f t="shared" si="174"/>
        <v>0</v>
      </c>
      <c r="GP28" s="538"/>
      <c r="GQ28" s="539">
        <f t="shared" si="64"/>
        <v>0</v>
      </c>
      <c r="GR28" s="540">
        <f t="shared" si="175"/>
        <v>0</v>
      </c>
      <c r="GS28" s="538"/>
      <c r="GT28" s="539">
        <f t="shared" si="65"/>
        <v>0</v>
      </c>
      <c r="GU28" s="540">
        <f t="shared" si="176"/>
        <v>0</v>
      </c>
      <c r="GV28" s="538"/>
      <c r="GW28" s="539">
        <f t="shared" si="66"/>
        <v>0</v>
      </c>
      <c r="GX28" s="540">
        <f t="shared" si="177"/>
        <v>0</v>
      </c>
      <c r="GY28" s="538"/>
      <c r="GZ28" s="539">
        <f t="shared" si="67"/>
        <v>0</v>
      </c>
      <c r="HA28" s="540">
        <f t="shared" si="178"/>
        <v>0</v>
      </c>
      <c r="HB28" s="538"/>
      <c r="HC28" s="539">
        <f t="shared" si="68"/>
        <v>0</v>
      </c>
      <c r="HD28" s="540">
        <f t="shared" si="179"/>
        <v>0</v>
      </c>
      <c r="HE28" s="538"/>
      <c r="HF28" s="539">
        <f t="shared" si="69"/>
        <v>0</v>
      </c>
      <c r="HG28" s="540">
        <f t="shared" si="180"/>
        <v>0</v>
      </c>
      <c r="HH28" s="538"/>
      <c r="HI28" s="539">
        <f t="shared" si="70"/>
        <v>0</v>
      </c>
      <c r="HJ28" s="540">
        <f t="shared" si="181"/>
        <v>0</v>
      </c>
      <c r="HK28" s="538"/>
      <c r="HL28" s="539">
        <f t="shared" si="71"/>
        <v>0</v>
      </c>
      <c r="HM28" s="540">
        <f t="shared" si="182"/>
        <v>0</v>
      </c>
      <c r="HN28" s="538"/>
      <c r="HO28" s="539">
        <f t="shared" si="72"/>
        <v>0</v>
      </c>
      <c r="HP28" s="540">
        <f t="shared" si="183"/>
        <v>0</v>
      </c>
      <c r="HQ28" s="538"/>
      <c r="HR28" s="539">
        <f t="shared" si="73"/>
        <v>0</v>
      </c>
      <c r="HS28" s="540">
        <f t="shared" si="184"/>
        <v>0</v>
      </c>
      <c r="HT28" s="538"/>
      <c r="HU28" s="539">
        <f t="shared" si="74"/>
        <v>0</v>
      </c>
      <c r="HV28" s="540">
        <f t="shared" si="185"/>
        <v>0</v>
      </c>
      <c r="HW28" s="538"/>
      <c r="HX28" s="539">
        <f t="shared" si="75"/>
        <v>0</v>
      </c>
      <c r="HY28" s="540">
        <f t="shared" si="186"/>
        <v>0</v>
      </c>
      <c r="HZ28" s="538"/>
      <c r="IA28" s="539">
        <f t="shared" si="76"/>
        <v>0</v>
      </c>
      <c r="IB28" s="540">
        <f t="shared" si="187"/>
        <v>0</v>
      </c>
      <c r="IC28" s="538"/>
      <c r="ID28" s="539">
        <f t="shared" si="77"/>
        <v>0</v>
      </c>
      <c r="IE28" s="540">
        <f t="shared" si="188"/>
        <v>0</v>
      </c>
      <c r="IF28" s="538"/>
      <c r="IG28" s="539">
        <f t="shared" si="78"/>
        <v>0</v>
      </c>
      <c r="IH28" s="540">
        <f t="shared" si="189"/>
        <v>0</v>
      </c>
      <c r="II28" s="538"/>
      <c r="IJ28" s="539">
        <f t="shared" si="79"/>
        <v>0</v>
      </c>
      <c r="IK28" s="540">
        <f t="shared" si="190"/>
        <v>0</v>
      </c>
      <c r="IL28" s="538"/>
      <c r="IM28" s="539">
        <f t="shared" si="80"/>
        <v>0</v>
      </c>
      <c r="IN28" s="540">
        <f t="shared" si="191"/>
        <v>0</v>
      </c>
      <c r="IO28" s="538"/>
      <c r="IP28" s="539">
        <f t="shared" si="81"/>
        <v>0</v>
      </c>
      <c r="IQ28" s="540">
        <f t="shared" si="192"/>
        <v>0</v>
      </c>
      <c r="IR28" s="538"/>
      <c r="IS28" s="539">
        <f t="shared" si="82"/>
        <v>0</v>
      </c>
      <c r="IT28" s="540">
        <f t="shared" si="193"/>
        <v>0</v>
      </c>
      <c r="IU28" s="538"/>
      <c r="IV28" s="539">
        <f t="shared" si="83"/>
        <v>0</v>
      </c>
      <c r="IW28" s="540">
        <f t="shared" si="194"/>
        <v>0</v>
      </c>
      <c r="IX28" s="538"/>
      <c r="IY28" s="539">
        <f t="shared" si="84"/>
        <v>0</v>
      </c>
      <c r="IZ28" s="540">
        <f t="shared" si="195"/>
        <v>0</v>
      </c>
      <c r="JA28" s="538"/>
      <c r="JB28" s="539">
        <f t="shared" si="85"/>
        <v>0</v>
      </c>
      <c r="JC28" s="540">
        <f t="shared" si="196"/>
        <v>0</v>
      </c>
      <c r="JD28" s="538"/>
      <c r="JE28" s="539">
        <f t="shared" si="86"/>
        <v>0</v>
      </c>
      <c r="JF28" s="540">
        <f t="shared" si="197"/>
        <v>0</v>
      </c>
      <c r="JG28" s="538"/>
      <c r="JH28" s="539">
        <f t="shared" si="87"/>
        <v>0</v>
      </c>
      <c r="JI28" s="540">
        <f t="shared" si="198"/>
        <v>0</v>
      </c>
      <c r="JJ28" s="538"/>
      <c r="JK28" s="540" t="str">
        <f t="shared" si="88"/>
        <v>0</v>
      </c>
      <c r="JL28" s="540" t="str">
        <f t="shared" si="89"/>
        <v>0</v>
      </c>
      <c r="JM28" s="538"/>
      <c r="JN28" s="540" t="str">
        <f t="shared" si="90"/>
        <v>0</v>
      </c>
      <c r="JO28" s="540" t="str">
        <f t="shared" si="91"/>
        <v>0</v>
      </c>
      <c r="JP28" s="538"/>
      <c r="JQ28" s="540" t="str">
        <f t="shared" si="92"/>
        <v>0</v>
      </c>
      <c r="JR28" s="540" t="str">
        <f t="shared" si="93"/>
        <v>0</v>
      </c>
      <c r="JS28" s="538"/>
      <c r="JT28" s="540" t="str">
        <f t="shared" si="94"/>
        <v>0</v>
      </c>
      <c r="JU28" s="540" t="str">
        <f t="shared" si="95"/>
        <v>0</v>
      </c>
      <c r="JV28" s="538"/>
      <c r="JW28" s="540" t="str">
        <f t="shared" si="96"/>
        <v>0</v>
      </c>
      <c r="JX28" s="540" t="str">
        <f t="shared" si="97"/>
        <v>0</v>
      </c>
      <c r="JY28" s="538"/>
      <c r="JZ28" s="540" t="str">
        <f t="shared" si="98"/>
        <v>0</v>
      </c>
      <c r="KA28" s="540" t="str">
        <f t="shared" si="99"/>
        <v>0</v>
      </c>
      <c r="KB28" s="538"/>
      <c r="KC28" s="540" t="str">
        <f t="shared" si="100"/>
        <v>0</v>
      </c>
      <c r="KD28" s="540" t="str">
        <f t="shared" si="101"/>
        <v>0</v>
      </c>
      <c r="KE28" s="538"/>
      <c r="KF28" s="540" t="str">
        <f t="shared" si="102"/>
        <v>0</v>
      </c>
      <c r="KG28" s="540" t="str">
        <f t="shared" si="103"/>
        <v>0</v>
      </c>
      <c r="KH28" s="538"/>
      <c r="KI28" s="540" t="str">
        <f t="shared" si="104"/>
        <v>0</v>
      </c>
      <c r="KJ28" s="540" t="str">
        <f t="shared" si="105"/>
        <v>0</v>
      </c>
      <c r="KK28" s="538"/>
      <c r="KL28" s="540" t="str">
        <f t="shared" si="106"/>
        <v>0</v>
      </c>
      <c r="KM28" s="540" t="str">
        <f t="shared" si="107"/>
        <v>0</v>
      </c>
      <c r="KN28" s="538"/>
      <c r="KO28" s="540" t="str">
        <f t="shared" si="108"/>
        <v>0</v>
      </c>
      <c r="KP28" s="540" t="str">
        <f t="shared" si="109"/>
        <v>0</v>
      </c>
      <c r="KQ28" s="538"/>
      <c r="KR28" s="540" t="str">
        <f t="shared" si="110"/>
        <v>0</v>
      </c>
      <c r="KS28" s="540" t="str">
        <f t="shared" si="111"/>
        <v>0</v>
      </c>
      <c r="KT28" s="540">
        <f t="shared" si="201"/>
        <v>0</v>
      </c>
      <c r="KU28" s="540">
        <f t="shared" si="202"/>
        <v>0</v>
      </c>
      <c r="KV28" s="275">
        <f t="shared" si="199"/>
        <v>1163.1280458656331</v>
      </c>
    </row>
    <row r="29" spans="1:309" ht="15" customHeight="1">
      <c r="A29" s="277">
        <f t="shared" si="200"/>
        <v>46012</v>
      </c>
      <c r="B29" s="278" t="str">
        <f>+Report1!B29</f>
        <v>MG</v>
      </c>
      <c r="C29" s="420" t="str">
        <f>+Report1!C29</f>
        <v>17/16,5</v>
      </c>
      <c r="D29" s="279">
        <f>+Report1!P29</f>
        <v>71.75800000000001</v>
      </c>
      <c r="E29" s="280">
        <f>+Report1!R29</f>
        <v>66.168999999999997</v>
      </c>
      <c r="F29" s="538">
        <v>203.48837209302326</v>
      </c>
      <c r="G29" s="539">
        <f t="shared" si="0"/>
        <v>3.0752825657486627</v>
      </c>
      <c r="H29" s="540">
        <f t="shared" si="112"/>
        <v>0</v>
      </c>
      <c r="I29" s="538">
        <v>779.06976744186045</v>
      </c>
      <c r="J29" s="539">
        <f t="shared" si="1"/>
        <v>11.773938966009165</v>
      </c>
      <c r="K29" s="540">
        <f t="shared" si="113"/>
        <v>0</v>
      </c>
      <c r="L29" s="538"/>
      <c r="M29" s="539">
        <f t="shared" si="2"/>
        <v>0</v>
      </c>
      <c r="N29" s="540">
        <f t="shared" si="114"/>
        <v>0</v>
      </c>
      <c r="O29" s="538">
        <v>10.500000000000007</v>
      </c>
      <c r="P29" s="539">
        <f t="shared" si="3"/>
        <v>0.15868458039263111</v>
      </c>
      <c r="Q29" s="540">
        <f t="shared" si="115"/>
        <v>0</v>
      </c>
      <c r="R29" s="538"/>
      <c r="S29" s="539">
        <f t="shared" si="4"/>
        <v>0</v>
      </c>
      <c r="T29" s="540">
        <f t="shared" si="116"/>
        <v>0</v>
      </c>
      <c r="U29" s="538">
        <v>11.53125</v>
      </c>
      <c r="V29" s="539">
        <f t="shared" si="5"/>
        <v>0.17426967310976441</v>
      </c>
      <c r="W29" s="540">
        <f t="shared" si="117"/>
        <v>0</v>
      </c>
      <c r="X29" s="538"/>
      <c r="Y29" s="539">
        <f t="shared" si="6"/>
        <v>0</v>
      </c>
      <c r="Z29" s="540">
        <f t="shared" si="118"/>
        <v>0</v>
      </c>
      <c r="AA29" s="538"/>
      <c r="AB29" s="539">
        <f t="shared" si="7"/>
        <v>0</v>
      </c>
      <c r="AC29" s="540">
        <f t="shared" si="119"/>
        <v>0</v>
      </c>
      <c r="AD29" s="538"/>
      <c r="AE29" s="539">
        <f t="shared" si="8"/>
        <v>0</v>
      </c>
      <c r="AF29" s="540">
        <f t="shared" si="120"/>
        <v>0</v>
      </c>
      <c r="AG29" s="538"/>
      <c r="AH29" s="539">
        <f t="shared" si="9"/>
        <v>0</v>
      </c>
      <c r="AI29" s="540">
        <f t="shared" si="121"/>
        <v>0</v>
      </c>
      <c r="AJ29" s="538">
        <v>0</v>
      </c>
      <c r="AK29" s="539">
        <f t="shared" si="10"/>
        <v>0</v>
      </c>
      <c r="AL29" s="540">
        <f t="shared" si="122"/>
        <v>0</v>
      </c>
      <c r="AM29" s="538">
        <v>0</v>
      </c>
      <c r="AN29" s="539">
        <f t="shared" si="11"/>
        <v>0</v>
      </c>
      <c r="AO29" s="540">
        <f t="shared" si="123"/>
        <v>0</v>
      </c>
      <c r="AP29" s="538">
        <v>0</v>
      </c>
      <c r="AQ29" s="539">
        <f t="shared" si="12"/>
        <v>0</v>
      </c>
      <c r="AR29" s="540">
        <f t="shared" si="124"/>
        <v>0</v>
      </c>
      <c r="AS29" s="538"/>
      <c r="AT29" s="539">
        <f t="shared" si="13"/>
        <v>0</v>
      </c>
      <c r="AU29" s="540">
        <f t="shared" si="125"/>
        <v>0</v>
      </c>
      <c r="AV29" s="538">
        <v>8.3250000000000028</v>
      </c>
      <c r="AW29" s="539">
        <f t="shared" si="14"/>
        <v>0.12581420302558605</v>
      </c>
      <c r="AX29" s="540">
        <f t="shared" si="126"/>
        <v>0</v>
      </c>
      <c r="AY29" s="538">
        <v>79.333333333333343</v>
      </c>
      <c r="AZ29" s="539">
        <f t="shared" si="15"/>
        <v>1.1989501629665456</v>
      </c>
      <c r="BA29" s="540">
        <f t="shared" si="127"/>
        <v>0</v>
      </c>
      <c r="BB29" s="538">
        <v>18.666666666666671</v>
      </c>
      <c r="BC29" s="539">
        <f t="shared" si="16"/>
        <v>0.28210592069801071</v>
      </c>
      <c r="BD29" s="540">
        <f t="shared" si="128"/>
        <v>0</v>
      </c>
      <c r="BE29" s="538"/>
      <c r="BF29" s="539">
        <f t="shared" si="17"/>
        <v>0</v>
      </c>
      <c r="BG29" s="540">
        <f t="shared" si="129"/>
        <v>0</v>
      </c>
      <c r="BH29" s="538"/>
      <c r="BI29" s="539">
        <f t="shared" si="18"/>
        <v>0</v>
      </c>
      <c r="BJ29" s="540">
        <f t="shared" si="130"/>
        <v>0</v>
      </c>
      <c r="BK29" s="538"/>
      <c r="BL29" s="539">
        <f t="shared" si="19"/>
        <v>0</v>
      </c>
      <c r="BM29" s="540">
        <f t="shared" si="131"/>
        <v>0</v>
      </c>
      <c r="BN29" s="538">
        <v>11.388888888888872</v>
      </c>
      <c r="BO29" s="539">
        <f t="shared" si="20"/>
        <v>0.17211819566396458</v>
      </c>
      <c r="BP29" s="540">
        <f t="shared" si="132"/>
        <v>0</v>
      </c>
      <c r="BQ29" s="538"/>
      <c r="BR29" s="539">
        <f t="shared" si="21"/>
        <v>0</v>
      </c>
      <c r="BS29" s="540">
        <f t="shared" si="133"/>
        <v>0</v>
      </c>
      <c r="BT29" s="538"/>
      <c r="BU29" s="539">
        <f t="shared" si="22"/>
        <v>0</v>
      </c>
      <c r="BV29" s="540">
        <f t="shared" si="134"/>
        <v>0</v>
      </c>
      <c r="BW29" s="538">
        <v>0.67999999999999972</v>
      </c>
      <c r="BX29" s="539">
        <f t="shared" si="23"/>
        <v>1.0276715682570384E-2</v>
      </c>
      <c r="BY29" s="540">
        <f t="shared" si="135"/>
        <v>0</v>
      </c>
      <c r="BZ29" s="538"/>
      <c r="CA29" s="539">
        <f t="shared" si="24"/>
        <v>0</v>
      </c>
      <c r="CB29" s="540">
        <f t="shared" si="136"/>
        <v>0</v>
      </c>
      <c r="CC29" s="538">
        <v>6.25</v>
      </c>
      <c r="CD29" s="539">
        <f t="shared" si="25"/>
        <v>9.4455107376566066E-2</v>
      </c>
      <c r="CE29" s="540">
        <f t="shared" si="137"/>
        <v>0</v>
      </c>
      <c r="CF29" s="538">
        <v>9.9999999999999978E-2</v>
      </c>
      <c r="CG29" s="539">
        <f t="shared" si="26"/>
        <v>1.5112817180250567E-3</v>
      </c>
      <c r="CH29" s="540">
        <f t="shared" si="138"/>
        <v>0</v>
      </c>
      <c r="CI29" s="538"/>
      <c r="CJ29" s="539">
        <f t="shared" si="27"/>
        <v>0</v>
      </c>
      <c r="CK29" s="540">
        <f t="shared" si="139"/>
        <v>0</v>
      </c>
      <c r="CL29" s="538"/>
      <c r="CM29" s="539">
        <f t="shared" si="28"/>
        <v>0</v>
      </c>
      <c r="CN29" s="540">
        <f t="shared" si="140"/>
        <v>0</v>
      </c>
      <c r="CO29" s="538"/>
      <c r="CP29" s="539">
        <f t="shared" si="29"/>
        <v>0</v>
      </c>
      <c r="CQ29" s="540">
        <f t="shared" si="141"/>
        <v>0</v>
      </c>
      <c r="CR29" s="538"/>
      <c r="CS29" s="539">
        <f t="shared" si="30"/>
        <v>0</v>
      </c>
      <c r="CT29" s="540">
        <f t="shared" si="142"/>
        <v>0</v>
      </c>
      <c r="CU29" s="538"/>
      <c r="CV29" s="539">
        <f t="shared" si="31"/>
        <v>0</v>
      </c>
      <c r="CW29" s="540">
        <f t="shared" si="143"/>
        <v>0</v>
      </c>
      <c r="CX29" s="538"/>
      <c r="CY29" s="539">
        <f t="shared" si="32"/>
        <v>0</v>
      </c>
      <c r="CZ29" s="540">
        <f t="shared" si="144"/>
        <v>0</v>
      </c>
      <c r="DA29" s="538"/>
      <c r="DB29" s="539">
        <f t="shared" si="33"/>
        <v>0</v>
      </c>
      <c r="DC29" s="540">
        <f t="shared" si="145"/>
        <v>0</v>
      </c>
      <c r="DD29" s="538"/>
      <c r="DE29" s="539">
        <f t="shared" si="34"/>
        <v>0</v>
      </c>
      <c r="DF29" s="540">
        <f t="shared" si="146"/>
        <v>0</v>
      </c>
      <c r="DG29" s="538">
        <v>4.7250000000000014</v>
      </c>
      <c r="DH29" s="539">
        <f t="shared" si="35"/>
        <v>7.1408061176683968E-2</v>
      </c>
      <c r="DI29" s="540">
        <f t="shared" si="203"/>
        <v>0</v>
      </c>
      <c r="DJ29" s="538"/>
      <c r="DK29" s="539">
        <f t="shared" si="36"/>
        <v>0</v>
      </c>
      <c r="DL29" s="540">
        <f t="shared" si="147"/>
        <v>0</v>
      </c>
      <c r="DM29" s="538"/>
      <c r="DN29" s="539">
        <f t="shared" si="37"/>
        <v>0</v>
      </c>
      <c r="DO29" s="540">
        <f t="shared" si="148"/>
        <v>0</v>
      </c>
      <c r="DP29" s="538"/>
      <c r="DQ29" s="539">
        <f t="shared" si="38"/>
        <v>0</v>
      </c>
      <c r="DR29" s="540">
        <f t="shared" si="149"/>
        <v>0</v>
      </c>
      <c r="DS29" s="538"/>
      <c r="DT29" s="539">
        <f t="shared" si="39"/>
        <v>0</v>
      </c>
      <c r="DU29" s="540">
        <f t="shared" si="150"/>
        <v>0</v>
      </c>
      <c r="DV29" s="538"/>
      <c r="DW29" s="539">
        <f t="shared" si="40"/>
        <v>0</v>
      </c>
      <c r="DX29" s="540">
        <f t="shared" si="151"/>
        <v>0</v>
      </c>
      <c r="DY29" s="538"/>
      <c r="DZ29" s="539">
        <f t="shared" si="41"/>
        <v>0</v>
      </c>
      <c r="EA29" s="540">
        <f t="shared" si="152"/>
        <v>0</v>
      </c>
      <c r="EB29" s="538">
        <v>29.069767441860421</v>
      </c>
      <c r="EC29" s="539">
        <f t="shared" si="42"/>
        <v>0.43932608082123686</v>
      </c>
      <c r="ED29" s="540">
        <f t="shared" si="153"/>
        <v>0</v>
      </c>
      <c r="EE29" s="538">
        <v>0</v>
      </c>
      <c r="EF29" s="539">
        <f t="shared" si="43"/>
        <v>0</v>
      </c>
      <c r="EG29" s="540">
        <f t="shared" si="154"/>
        <v>0</v>
      </c>
      <c r="EH29" s="538"/>
      <c r="EI29" s="539">
        <f t="shared" si="44"/>
        <v>0</v>
      </c>
      <c r="EJ29" s="540">
        <f t="shared" si="155"/>
        <v>0</v>
      </c>
      <c r="EK29" s="538"/>
      <c r="EL29" s="539">
        <f t="shared" si="45"/>
        <v>0</v>
      </c>
      <c r="EM29" s="540">
        <f t="shared" si="156"/>
        <v>0</v>
      </c>
      <c r="EN29" s="538"/>
      <c r="EO29" s="539">
        <f t="shared" si="46"/>
        <v>0</v>
      </c>
      <c r="EP29" s="540">
        <f t="shared" si="157"/>
        <v>0</v>
      </c>
      <c r="EQ29" s="538"/>
      <c r="ER29" s="539">
        <f t="shared" si="47"/>
        <v>0</v>
      </c>
      <c r="ES29" s="540">
        <f t="shared" si="158"/>
        <v>0</v>
      </c>
      <c r="ET29" s="538"/>
      <c r="EU29" s="539">
        <f t="shared" si="48"/>
        <v>0</v>
      </c>
      <c r="EV29" s="540">
        <f t="shared" si="159"/>
        <v>0</v>
      </c>
      <c r="EW29" s="538"/>
      <c r="EX29" s="539">
        <f t="shared" si="49"/>
        <v>0</v>
      </c>
      <c r="EY29" s="540">
        <f t="shared" si="160"/>
        <v>0</v>
      </c>
      <c r="EZ29" s="538"/>
      <c r="FA29" s="539">
        <f t="shared" si="50"/>
        <v>0</v>
      </c>
      <c r="FB29" s="540">
        <f t="shared" si="161"/>
        <v>0</v>
      </c>
      <c r="FC29" s="538"/>
      <c r="FD29" s="539">
        <f t="shared" si="51"/>
        <v>0</v>
      </c>
      <c r="FE29" s="540">
        <f t="shared" si="162"/>
        <v>0</v>
      </c>
      <c r="FF29" s="538"/>
      <c r="FG29" s="539">
        <f t="shared" si="52"/>
        <v>0</v>
      </c>
      <c r="FH29" s="540">
        <f t="shared" si="163"/>
        <v>0</v>
      </c>
      <c r="FI29" s="538"/>
      <c r="FJ29" s="539">
        <f t="shared" si="53"/>
        <v>0</v>
      </c>
      <c r="FK29" s="540">
        <f t="shared" si="164"/>
        <v>0</v>
      </c>
      <c r="FL29" s="538"/>
      <c r="FM29" s="539">
        <f t="shared" si="54"/>
        <v>0</v>
      </c>
      <c r="FN29" s="540">
        <f t="shared" si="165"/>
        <v>0</v>
      </c>
      <c r="FO29" s="538"/>
      <c r="FP29" s="539">
        <f t="shared" si="55"/>
        <v>0</v>
      </c>
      <c r="FQ29" s="540">
        <f t="shared" si="166"/>
        <v>0</v>
      </c>
      <c r="FR29" s="538"/>
      <c r="FS29" s="539">
        <f t="shared" si="56"/>
        <v>0</v>
      </c>
      <c r="FT29" s="540">
        <f t="shared" si="167"/>
        <v>0</v>
      </c>
      <c r="FU29" s="538"/>
      <c r="FV29" s="539">
        <f t="shared" si="57"/>
        <v>0</v>
      </c>
      <c r="FW29" s="540">
        <f t="shared" si="168"/>
        <v>0</v>
      </c>
      <c r="FX29" s="538"/>
      <c r="FY29" s="539">
        <f t="shared" si="58"/>
        <v>0</v>
      </c>
      <c r="FZ29" s="540">
        <f t="shared" si="169"/>
        <v>0</v>
      </c>
      <c r="GA29" s="538"/>
      <c r="GB29" s="539">
        <f t="shared" si="59"/>
        <v>0</v>
      </c>
      <c r="GC29" s="540">
        <f t="shared" si="170"/>
        <v>0</v>
      </c>
      <c r="GD29" s="538"/>
      <c r="GE29" s="539">
        <f t="shared" si="60"/>
        <v>0</v>
      </c>
      <c r="GF29" s="540">
        <f t="shared" si="171"/>
        <v>0</v>
      </c>
      <c r="GG29" s="538"/>
      <c r="GH29" s="539">
        <f t="shared" si="61"/>
        <v>0</v>
      </c>
      <c r="GI29" s="540">
        <f t="shared" si="172"/>
        <v>0</v>
      </c>
      <c r="GJ29" s="538"/>
      <c r="GK29" s="539">
        <f t="shared" si="62"/>
        <v>0</v>
      </c>
      <c r="GL29" s="540">
        <f t="shared" si="173"/>
        <v>0</v>
      </c>
      <c r="GM29" s="538"/>
      <c r="GN29" s="539">
        <f t="shared" si="63"/>
        <v>0</v>
      </c>
      <c r="GO29" s="540">
        <f t="shared" si="174"/>
        <v>0</v>
      </c>
      <c r="GP29" s="538"/>
      <c r="GQ29" s="539">
        <f t="shared" si="64"/>
        <v>0</v>
      </c>
      <c r="GR29" s="540">
        <f t="shared" si="175"/>
        <v>0</v>
      </c>
      <c r="GS29" s="538"/>
      <c r="GT29" s="539">
        <f t="shared" si="65"/>
        <v>0</v>
      </c>
      <c r="GU29" s="540">
        <f t="shared" si="176"/>
        <v>0</v>
      </c>
      <c r="GV29" s="538"/>
      <c r="GW29" s="539">
        <f t="shared" si="66"/>
        <v>0</v>
      </c>
      <c r="GX29" s="540">
        <f t="shared" si="177"/>
        <v>0</v>
      </c>
      <c r="GY29" s="538"/>
      <c r="GZ29" s="539">
        <f t="shared" si="67"/>
        <v>0</v>
      </c>
      <c r="HA29" s="540">
        <f t="shared" si="178"/>
        <v>0</v>
      </c>
      <c r="HB29" s="538"/>
      <c r="HC29" s="539">
        <f t="shared" si="68"/>
        <v>0</v>
      </c>
      <c r="HD29" s="540">
        <f t="shared" si="179"/>
        <v>0</v>
      </c>
      <c r="HE29" s="538"/>
      <c r="HF29" s="539">
        <f t="shared" si="69"/>
        <v>0</v>
      </c>
      <c r="HG29" s="540">
        <f t="shared" si="180"/>
        <v>0</v>
      </c>
      <c r="HH29" s="538"/>
      <c r="HI29" s="539">
        <f t="shared" si="70"/>
        <v>0</v>
      </c>
      <c r="HJ29" s="540">
        <f t="shared" si="181"/>
        <v>0</v>
      </c>
      <c r="HK29" s="538"/>
      <c r="HL29" s="539">
        <f t="shared" si="71"/>
        <v>0</v>
      </c>
      <c r="HM29" s="540">
        <f t="shared" si="182"/>
        <v>0</v>
      </c>
      <c r="HN29" s="538"/>
      <c r="HO29" s="539">
        <f t="shared" si="72"/>
        <v>0</v>
      </c>
      <c r="HP29" s="540">
        <f t="shared" si="183"/>
        <v>0</v>
      </c>
      <c r="HQ29" s="538"/>
      <c r="HR29" s="539">
        <f t="shared" si="73"/>
        <v>0</v>
      </c>
      <c r="HS29" s="540">
        <f t="shared" si="184"/>
        <v>0</v>
      </c>
      <c r="HT29" s="538"/>
      <c r="HU29" s="539">
        <f t="shared" si="74"/>
        <v>0</v>
      </c>
      <c r="HV29" s="540">
        <f t="shared" si="185"/>
        <v>0</v>
      </c>
      <c r="HW29" s="538"/>
      <c r="HX29" s="539">
        <f t="shared" si="75"/>
        <v>0</v>
      </c>
      <c r="HY29" s="540">
        <f t="shared" si="186"/>
        <v>0</v>
      </c>
      <c r="HZ29" s="538"/>
      <c r="IA29" s="539">
        <f t="shared" si="76"/>
        <v>0</v>
      </c>
      <c r="IB29" s="540">
        <f t="shared" si="187"/>
        <v>0</v>
      </c>
      <c r="IC29" s="538"/>
      <c r="ID29" s="539">
        <f t="shared" si="77"/>
        <v>0</v>
      </c>
      <c r="IE29" s="540">
        <f t="shared" si="188"/>
        <v>0</v>
      </c>
      <c r="IF29" s="538"/>
      <c r="IG29" s="539">
        <f t="shared" si="78"/>
        <v>0</v>
      </c>
      <c r="IH29" s="540">
        <f t="shared" si="189"/>
        <v>0</v>
      </c>
      <c r="II29" s="538"/>
      <c r="IJ29" s="539">
        <f t="shared" si="79"/>
        <v>0</v>
      </c>
      <c r="IK29" s="540">
        <f t="shared" si="190"/>
        <v>0</v>
      </c>
      <c r="IL29" s="538"/>
      <c r="IM29" s="539">
        <f t="shared" si="80"/>
        <v>0</v>
      </c>
      <c r="IN29" s="540">
        <f t="shared" si="191"/>
        <v>0</v>
      </c>
      <c r="IO29" s="538"/>
      <c r="IP29" s="539">
        <f t="shared" si="81"/>
        <v>0</v>
      </c>
      <c r="IQ29" s="540">
        <f t="shared" si="192"/>
        <v>0</v>
      </c>
      <c r="IR29" s="538"/>
      <c r="IS29" s="539">
        <f t="shared" si="82"/>
        <v>0</v>
      </c>
      <c r="IT29" s="540">
        <f t="shared" si="193"/>
        <v>0</v>
      </c>
      <c r="IU29" s="538"/>
      <c r="IV29" s="539">
        <f t="shared" si="83"/>
        <v>0</v>
      </c>
      <c r="IW29" s="540">
        <f t="shared" si="194"/>
        <v>0</v>
      </c>
      <c r="IX29" s="538"/>
      <c r="IY29" s="539">
        <f t="shared" si="84"/>
        <v>0</v>
      </c>
      <c r="IZ29" s="540">
        <f t="shared" si="195"/>
        <v>0</v>
      </c>
      <c r="JA29" s="538"/>
      <c r="JB29" s="539">
        <f t="shared" si="85"/>
        <v>0</v>
      </c>
      <c r="JC29" s="540">
        <f t="shared" si="196"/>
        <v>0</v>
      </c>
      <c r="JD29" s="538"/>
      <c r="JE29" s="539">
        <f t="shared" si="86"/>
        <v>0</v>
      </c>
      <c r="JF29" s="540">
        <f t="shared" si="197"/>
        <v>0</v>
      </c>
      <c r="JG29" s="538"/>
      <c r="JH29" s="539">
        <f t="shared" si="87"/>
        <v>0</v>
      </c>
      <c r="JI29" s="540">
        <f t="shared" si="198"/>
        <v>0</v>
      </c>
      <c r="JJ29" s="538"/>
      <c r="JK29" s="540" t="str">
        <f t="shared" si="88"/>
        <v>0</v>
      </c>
      <c r="JL29" s="540" t="str">
        <f t="shared" si="89"/>
        <v>0</v>
      </c>
      <c r="JM29" s="538"/>
      <c r="JN29" s="540" t="str">
        <f t="shared" si="90"/>
        <v>0</v>
      </c>
      <c r="JO29" s="540" t="str">
        <f t="shared" si="91"/>
        <v>0</v>
      </c>
      <c r="JP29" s="538"/>
      <c r="JQ29" s="540" t="str">
        <f t="shared" si="92"/>
        <v>0</v>
      </c>
      <c r="JR29" s="540" t="str">
        <f t="shared" si="93"/>
        <v>0</v>
      </c>
      <c r="JS29" s="538"/>
      <c r="JT29" s="540" t="str">
        <f t="shared" si="94"/>
        <v>0</v>
      </c>
      <c r="JU29" s="540" t="str">
        <f t="shared" si="95"/>
        <v>0</v>
      </c>
      <c r="JV29" s="538"/>
      <c r="JW29" s="540" t="str">
        <f t="shared" si="96"/>
        <v>0</v>
      </c>
      <c r="JX29" s="540" t="str">
        <f t="shared" si="97"/>
        <v>0</v>
      </c>
      <c r="JY29" s="538"/>
      <c r="JZ29" s="540" t="str">
        <f t="shared" si="98"/>
        <v>0</v>
      </c>
      <c r="KA29" s="540" t="str">
        <f t="shared" si="99"/>
        <v>0</v>
      </c>
      <c r="KB29" s="538"/>
      <c r="KC29" s="540" t="str">
        <f t="shared" si="100"/>
        <v>0</v>
      </c>
      <c r="KD29" s="540" t="str">
        <f t="shared" si="101"/>
        <v>0</v>
      </c>
      <c r="KE29" s="538"/>
      <c r="KF29" s="540" t="str">
        <f t="shared" si="102"/>
        <v>0</v>
      </c>
      <c r="KG29" s="540" t="str">
        <f t="shared" si="103"/>
        <v>0</v>
      </c>
      <c r="KH29" s="538"/>
      <c r="KI29" s="540" t="str">
        <f t="shared" si="104"/>
        <v>0</v>
      </c>
      <c r="KJ29" s="540" t="str">
        <f t="shared" si="105"/>
        <v>0</v>
      </c>
      <c r="KK29" s="538"/>
      <c r="KL29" s="540" t="str">
        <f t="shared" si="106"/>
        <v>0</v>
      </c>
      <c r="KM29" s="540" t="str">
        <f t="shared" si="107"/>
        <v>0</v>
      </c>
      <c r="KN29" s="538"/>
      <c r="KO29" s="540" t="str">
        <f t="shared" si="108"/>
        <v>0</v>
      </c>
      <c r="KP29" s="540" t="str">
        <f t="shared" si="109"/>
        <v>0</v>
      </c>
      <c r="KQ29" s="538"/>
      <c r="KR29" s="540" t="str">
        <f t="shared" si="110"/>
        <v>0</v>
      </c>
      <c r="KS29" s="540" t="str">
        <f t="shared" si="111"/>
        <v>0</v>
      </c>
      <c r="KT29" s="540">
        <f t="shared" si="201"/>
        <v>0</v>
      </c>
      <c r="KU29" s="540">
        <f t="shared" si="202"/>
        <v>0</v>
      </c>
      <c r="KV29" s="275">
        <f t="shared" si="199"/>
        <v>1163.1280458656331</v>
      </c>
    </row>
    <row r="30" spans="1:309" ht="15" customHeight="1">
      <c r="A30" s="277">
        <f t="shared" si="200"/>
        <v>46013</v>
      </c>
      <c r="B30" s="278" t="str">
        <f>+Report1!B30</f>
        <v>MG</v>
      </c>
      <c r="C30" s="420" t="str">
        <f>+Report1!C30</f>
        <v>16,5</v>
      </c>
      <c r="D30" s="279">
        <f>+Report1!P30</f>
        <v>76.346000000000004</v>
      </c>
      <c r="E30" s="280">
        <f>+Report1!R30</f>
        <v>74.593000000000004</v>
      </c>
      <c r="F30" s="538">
        <v>46.511627906976855</v>
      </c>
      <c r="G30" s="539">
        <f t="shared" si="0"/>
        <v>0.62353877584997053</v>
      </c>
      <c r="H30" s="540">
        <f t="shared" si="112"/>
        <v>0</v>
      </c>
      <c r="I30" s="538">
        <v>616.2790697674418</v>
      </c>
      <c r="J30" s="539">
        <f t="shared" si="1"/>
        <v>8.2618887800120895</v>
      </c>
      <c r="K30" s="540">
        <f t="shared" si="113"/>
        <v>0</v>
      </c>
      <c r="L30" s="538"/>
      <c r="M30" s="539">
        <f t="shared" si="2"/>
        <v>0</v>
      </c>
      <c r="N30" s="540">
        <f t="shared" si="114"/>
        <v>0</v>
      </c>
      <c r="O30" s="538">
        <v>9</v>
      </c>
      <c r="P30" s="539">
        <f t="shared" si="3"/>
        <v>0.12065475312696901</v>
      </c>
      <c r="Q30" s="540">
        <f t="shared" si="115"/>
        <v>0</v>
      </c>
      <c r="R30" s="538"/>
      <c r="S30" s="539">
        <f t="shared" si="4"/>
        <v>0</v>
      </c>
      <c r="T30" s="540">
        <f t="shared" si="116"/>
        <v>0</v>
      </c>
      <c r="U30" s="538">
        <v>10.25</v>
      </c>
      <c r="V30" s="539">
        <f t="shared" si="5"/>
        <v>0.13741235772793692</v>
      </c>
      <c r="W30" s="540">
        <f t="shared" si="117"/>
        <v>0</v>
      </c>
      <c r="X30" s="538"/>
      <c r="Y30" s="539">
        <f t="shared" si="6"/>
        <v>0</v>
      </c>
      <c r="Z30" s="540">
        <f t="shared" si="118"/>
        <v>0</v>
      </c>
      <c r="AA30" s="538"/>
      <c r="AB30" s="539">
        <f t="shared" si="7"/>
        <v>0</v>
      </c>
      <c r="AC30" s="540">
        <f t="shared" si="119"/>
        <v>0</v>
      </c>
      <c r="AD30" s="538"/>
      <c r="AE30" s="539">
        <f t="shared" si="8"/>
        <v>0</v>
      </c>
      <c r="AF30" s="540">
        <f t="shared" si="120"/>
        <v>0</v>
      </c>
      <c r="AG30" s="538"/>
      <c r="AH30" s="539">
        <f t="shared" si="9"/>
        <v>0</v>
      </c>
      <c r="AI30" s="540">
        <f t="shared" si="121"/>
        <v>0</v>
      </c>
      <c r="AJ30" s="538">
        <v>0</v>
      </c>
      <c r="AK30" s="539">
        <f t="shared" si="10"/>
        <v>0</v>
      </c>
      <c r="AL30" s="540">
        <f t="shared" si="122"/>
        <v>0</v>
      </c>
      <c r="AM30" s="538">
        <v>0</v>
      </c>
      <c r="AN30" s="539">
        <f t="shared" si="11"/>
        <v>0</v>
      </c>
      <c r="AO30" s="540">
        <f t="shared" si="123"/>
        <v>0</v>
      </c>
      <c r="AP30" s="538">
        <v>0</v>
      </c>
      <c r="AQ30" s="539">
        <f t="shared" si="12"/>
        <v>0</v>
      </c>
      <c r="AR30" s="540">
        <f t="shared" si="124"/>
        <v>0</v>
      </c>
      <c r="AS30" s="538"/>
      <c r="AT30" s="539">
        <f t="shared" si="13"/>
        <v>0</v>
      </c>
      <c r="AU30" s="540">
        <f t="shared" si="125"/>
        <v>0</v>
      </c>
      <c r="AV30" s="538">
        <v>13.874999999999972</v>
      </c>
      <c r="AW30" s="539">
        <f t="shared" si="14"/>
        <v>0.18600941107074351</v>
      </c>
      <c r="AX30" s="540">
        <f t="shared" si="126"/>
        <v>0</v>
      </c>
      <c r="AY30" s="538">
        <v>9.3333333333333428</v>
      </c>
      <c r="AZ30" s="539">
        <f t="shared" si="15"/>
        <v>0.12512344768722725</v>
      </c>
      <c r="BA30" s="540">
        <f t="shared" si="127"/>
        <v>0</v>
      </c>
      <c r="BB30" s="538">
        <v>58.333333333333314</v>
      </c>
      <c r="BC30" s="539">
        <f t="shared" si="16"/>
        <v>0.78202154804516932</v>
      </c>
      <c r="BD30" s="540">
        <f t="shared" si="128"/>
        <v>0</v>
      </c>
      <c r="BE30" s="538"/>
      <c r="BF30" s="539">
        <f t="shared" si="17"/>
        <v>0</v>
      </c>
      <c r="BG30" s="540">
        <f t="shared" si="129"/>
        <v>0</v>
      </c>
      <c r="BH30" s="538"/>
      <c r="BI30" s="539">
        <f t="shared" si="18"/>
        <v>0</v>
      </c>
      <c r="BJ30" s="540">
        <f t="shared" si="130"/>
        <v>0</v>
      </c>
      <c r="BK30" s="538"/>
      <c r="BL30" s="539">
        <f t="shared" si="19"/>
        <v>0</v>
      </c>
      <c r="BM30" s="540">
        <f t="shared" si="131"/>
        <v>0</v>
      </c>
      <c r="BN30" s="538">
        <v>25.30864197530866</v>
      </c>
      <c r="BO30" s="539">
        <f t="shared" si="20"/>
        <v>0.33928977216774575</v>
      </c>
      <c r="BP30" s="540">
        <f t="shared" si="132"/>
        <v>0</v>
      </c>
      <c r="BQ30" s="538"/>
      <c r="BR30" s="539">
        <f t="shared" si="21"/>
        <v>0</v>
      </c>
      <c r="BS30" s="540">
        <f t="shared" si="133"/>
        <v>0</v>
      </c>
      <c r="BT30" s="538"/>
      <c r="BU30" s="539">
        <f t="shared" si="22"/>
        <v>0</v>
      </c>
      <c r="BV30" s="540">
        <f t="shared" si="134"/>
        <v>0</v>
      </c>
      <c r="BW30" s="538">
        <v>0.67999999999999972</v>
      </c>
      <c r="BX30" s="539">
        <f t="shared" si="23"/>
        <v>9.1161369029265447E-3</v>
      </c>
      <c r="BY30" s="540">
        <f t="shared" si="135"/>
        <v>0</v>
      </c>
      <c r="BZ30" s="538"/>
      <c r="CA30" s="539">
        <f t="shared" si="24"/>
        <v>0</v>
      </c>
      <c r="CB30" s="540">
        <f t="shared" si="136"/>
        <v>0</v>
      </c>
      <c r="CC30" s="538">
        <v>12.5</v>
      </c>
      <c r="CD30" s="539">
        <f t="shared" si="25"/>
        <v>0.16757604600967918</v>
      </c>
      <c r="CE30" s="540">
        <f t="shared" si="137"/>
        <v>0</v>
      </c>
      <c r="CF30" s="538">
        <v>0.10000000000000009</v>
      </c>
      <c r="CG30" s="539">
        <f t="shared" si="26"/>
        <v>1.3406083680774347E-3</v>
      </c>
      <c r="CH30" s="540">
        <f t="shared" si="138"/>
        <v>0</v>
      </c>
      <c r="CI30" s="538"/>
      <c r="CJ30" s="539">
        <f t="shared" si="27"/>
        <v>0</v>
      </c>
      <c r="CK30" s="540">
        <f t="shared" si="139"/>
        <v>0</v>
      </c>
      <c r="CL30" s="538"/>
      <c r="CM30" s="539">
        <f t="shared" si="28"/>
        <v>0</v>
      </c>
      <c r="CN30" s="540">
        <f t="shared" si="140"/>
        <v>0</v>
      </c>
      <c r="CO30" s="538"/>
      <c r="CP30" s="539">
        <f t="shared" si="29"/>
        <v>0</v>
      </c>
      <c r="CQ30" s="540">
        <f t="shared" si="141"/>
        <v>0</v>
      </c>
      <c r="CR30" s="538"/>
      <c r="CS30" s="539">
        <f t="shared" si="30"/>
        <v>0</v>
      </c>
      <c r="CT30" s="540">
        <f t="shared" si="142"/>
        <v>0</v>
      </c>
      <c r="CU30" s="538"/>
      <c r="CV30" s="539">
        <f t="shared" si="31"/>
        <v>0</v>
      </c>
      <c r="CW30" s="540">
        <f t="shared" si="143"/>
        <v>0</v>
      </c>
      <c r="CX30" s="538"/>
      <c r="CY30" s="539">
        <f t="shared" si="32"/>
        <v>0</v>
      </c>
      <c r="CZ30" s="540">
        <f t="shared" si="144"/>
        <v>0</v>
      </c>
      <c r="DA30" s="538"/>
      <c r="DB30" s="539">
        <f t="shared" si="33"/>
        <v>0</v>
      </c>
      <c r="DC30" s="540">
        <f t="shared" si="145"/>
        <v>0</v>
      </c>
      <c r="DD30" s="538"/>
      <c r="DE30" s="539">
        <f t="shared" si="34"/>
        <v>0</v>
      </c>
      <c r="DF30" s="540">
        <f t="shared" si="146"/>
        <v>0</v>
      </c>
      <c r="DG30" s="538">
        <v>4.7250000000000014</v>
      </c>
      <c r="DH30" s="539">
        <f t="shared" si="35"/>
        <v>6.3343745391658754E-2</v>
      </c>
      <c r="DI30" s="540">
        <f t="shared" si="203"/>
        <v>0</v>
      </c>
      <c r="DJ30" s="538"/>
      <c r="DK30" s="539">
        <f t="shared" si="36"/>
        <v>0</v>
      </c>
      <c r="DL30" s="540">
        <f t="shared" si="147"/>
        <v>0</v>
      </c>
      <c r="DM30" s="538"/>
      <c r="DN30" s="539">
        <f t="shared" si="37"/>
        <v>0</v>
      </c>
      <c r="DO30" s="540">
        <f t="shared" si="148"/>
        <v>0</v>
      </c>
      <c r="DP30" s="538"/>
      <c r="DQ30" s="539">
        <f t="shared" si="38"/>
        <v>0</v>
      </c>
      <c r="DR30" s="540">
        <f t="shared" si="149"/>
        <v>0</v>
      </c>
      <c r="DS30" s="538"/>
      <c r="DT30" s="539">
        <f t="shared" si="39"/>
        <v>0</v>
      </c>
      <c r="DU30" s="540">
        <f t="shared" si="150"/>
        <v>0</v>
      </c>
      <c r="DV30" s="538"/>
      <c r="DW30" s="539">
        <f t="shared" si="40"/>
        <v>0</v>
      </c>
      <c r="DX30" s="540">
        <f t="shared" si="151"/>
        <v>0</v>
      </c>
      <c r="DY30" s="538"/>
      <c r="DZ30" s="539">
        <f t="shared" si="41"/>
        <v>0</v>
      </c>
      <c r="EA30" s="540">
        <f t="shared" si="152"/>
        <v>0</v>
      </c>
      <c r="EB30" s="538">
        <v>29.069767441860506</v>
      </c>
      <c r="EC30" s="539">
        <f t="shared" si="42"/>
        <v>0.38971173490623123</v>
      </c>
      <c r="ED30" s="540">
        <f t="shared" si="153"/>
        <v>0</v>
      </c>
      <c r="EE30" s="538">
        <v>0</v>
      </c>
      <c r="EF30" s="539">
        <f t="shared" si="43"/>
        <v>0</v>
      </c>
      <c r="EG30" s="540">
        <f t="shared" si="154"/>
        <v>0</v>
      </c>
      <c r="EH30" s="538"/>
      <c r="EI30" s="539">
        <f t="shared" si="44"/>
        <v>0</v>
      </c>
      <c r="EJ30" s="540">
        <f t="shared" si="155"/>
        <v>0</v>
      </c>
      <c r="EK30" s="538"/>
      <c r="EL30" s="539">
        <f t="shared" si="45"/>
        <v>0</v>
      </c>
      <c r="EM30" s="540">
        <f t="shared" si="156"/>
        <v>0</v>
      </c>
      <c r="EN30" s="538"/>
      <c r="EO30" s="539">
        <f t="shared" si="46"/>
        <v>0</v>
      </c>
      <c r="EP30" s="540">
        <f t="shared" si="157"/>
        <v>0</v>
      </c>
      <c r="EQ30" s="538"/>
      <c r="ER30" s="539">
        <f t="shared" si="47"/>
        <v>0</v>
      </c>
      <c r="ES30" s="540">
        <f t="shared" si="158"/>
        <v>0</v>
      </c>
      <c r="ET30" s="538"/>
      <c r="EU30" s="539">
        <f t="shared" si="48"/>
        <v>0</v>
      </c>
      <c r="EV30" s="540">
        <f t="shared" si="159"/>
        <v>0</v>
      </c>
      <c r="EW30" s="538"/>
      <c r="EX30" s="539">
        <f t="shared" si="49"/>
        <v>0</v>
      </c>
      <c r="EY30" s="540">
        <f t="shared" si="160"/>
        <v>0</v>
      </c>
      <c r="EZ30" s="538"/>
      <c r="FA30" s="539">
        <f t="shared" si="50"/>
        <v>0</v>
      </c>
      <c r="FB30" s="540">
        <f t="shared" si="161"/>
        <v>0</v>
      </c>
      <c r="FC30" s="538"/>
      <c r="FD30" s="539">
        <f t="shared" si="51"/>
        <v>0</v>
      </c>
      <c r="FE30" s="540">
        <f t="shared" si="162"/>
        <v>0</v>
      </c>
      <c r="FF30" s="538"/>
      <c r="FG30" s="539">
        <f t="shared" si="52"/>
        <v>0</v>
      </c>
      <c r="FH30" s="540">
        <f t="shared" si="163"/>
        <v>0</v>
      </c>
      <c r="FI30" s="538"/>
      <c r="FJ30" s="539">
        <f t="shared" si="53"/>
        <v>0</v>
      </c>
      <c r="FK30" s="540">
        <f t="shared" si="164"/>
        <v>0</v>
      </c>
      <c r="FL30" s="538"/>
      <c r="FM30" s="539">
        <f t="shared" si="54"/>
        <v>0</v>
      </c>
      <c r="FN30" s="540">
        <f t="shared" si="165"/>
        <v>0</v>
      </c>
      <c r="FO30" s="538"/>
      <c r="FP30" s="539">
        <f t="shared" si="55"/>
        <v>0</v>
      </c>
      <c r="FQ30" s="540">
        <f t="shared" si="166"/>
        <v>0</v>
      </c>
      <c r="FR30" s="538"/>
      <c r="FS30" s="539">
        <f t="shared" si="56"/>
        <v>0</v>
      </c>
      <c r="FT30" s="540">
        <f t="shared" si="167"/>
        <v>0</v>
      </c>
      <c r="FU30" s="538"/>
      <c r="FV30" s="539">
        <f t="shared" si="57"/>
        <v>0</v>
      </c>
      <c r="FW30" s="540">
        <f t="shared" si="168"/>
        <v>0</v>
      </c>
      <c r="FX30" s="538"/>
      <c r="FY30" s="539">
        <f t="shared" si="58"/>
        <v>0</v>
      </c>
      <c r="FZ30" s="540">
        <f t="shared" si="169"/>
        <v>0</v>
      </c>
      <c r="GA30" s="538"/>
      <c r="GB30" s="539">
        <f t="shared" si="59"/>
        <v>0</v>
      </c>
      <c r="GC30" s="540">
        <f t="shared" si="170"/>
        <v>0</v>
      </c>
      <c r="GD30" s="538"/>
      <c r="GE30" s="539">
        <f t="shared" si="60"/>
        <v>0</v>
      </c>
      <c r="GF30" s="540">
        <f t="shared" si="171"/>
        <v>0</v>
      </c>
      <c r="GG30" s="538"/>
      <c r="GH30" s="539">
        <f t="shared" si="61"/>
        <v>0</v>
      </c>
      <c r="GI30" s="540">
        <f t="shared" si="172"/>
        <v>0</v>
      </c>
      <c r="GJ30" s="538"/>
      <c r="GK30" s="539">
        <f t="shared" si="62"/>
        <v>0</v>
      </c>
      <c r="GL30" s="540">
        <f t="shared" si="173"/>
        <v>0</v>
      </c>
      <c r="GM30" s="538"/>
      <c r="GN30" s="539">
        <f t="shared" si="63"/>
        <v>0</v>
      </c>
      <c r="GO30" s="540">
        <f t="shared" si="174"/>
        <v>0</v>
      </c>
      <c r="GP30" s="538"/>
      <c r="GQ30" s="539">
        <f t="shared" si="64"/>
        <v>0</v>
      </c>
      <c r="GR30" s="540">
        <f t="shared" si="175"/>
        <v>0</v>
      </c>
      <c r="GS30" s="538"/>
      <c r="GT30" s="539">
        <f t="shared" si="65"/>
        <v>0</v>
      </c>
      <c r="GU30" s="540">
        <f t="shared" si="176"/>
        <v>0</v>
      </c>
      <c r="GV30" s="538"/>
      <c r="GW30" s="539">
        <f t="shared" si="66"/>
        <v>0</v>
      </c>
      <c r="GX30" s="540">
        <f t="shared" si="177"/>
        <v>0</v>
      </c>
      <c r="GY30" s="538"/>
      <c r="GZ30" s="539">
        <f t="shared" si="67"/>
        <v>0</v>
      </c>
      <c r="HA30" s="540">
        <f t="shared" si="178"/>
        <v>0</v>
      </c>
      <c r="HB30" s="538"/>
      <c r="HC30" s="539">
        <f t="shared" si="68"/>
        <v>0</v>
      </c>
      <c r="HD30" s="540">
        <f t="shared" si="179"/>
        <v>0</v>
      </c>
      <c r="HE30" s="538"/>
      <c r="HF30" s="539">
        <f t="shared" si="69"/>
        <v>0</v>
      </c>
      <c r="HG30" s="540">
        <f t="shared" si="180"/>
        <v>0</v>
      </c>
      <c r="HH30" s="538"/>
      <c r="HI30" s="539">
        <f t="shared" si="70"/>
        <v>0</v>
      </c>
      <c r="HJ30" s="540">
        <f t="shared" si="181"/>
        <v>0</v>
      </c>
      <c r="HK30" s="538"/>
      <c r="HL30" s="539">
        <f t="shared" si="71"/>
        <v>0</v>
      </c>
      <c r="HM30" s="540">
        <f t="shared" si="182"/>
        <v>0</v>
      </c>
      <c r="HN30" s="538"/>
      <c r="HO30" s="539">
        <f t="shared" si="72"/>
        <v>0</v>
      </c>
      <c r="HP30" s="540">
        <f t="shared" si="183"/>
        <v>0</v>
      </c>
      <c r="HQ30" s="538"/>
      <c r="HR30" s="539">
        <f t="shared" si="73"/>
        <v>0</v>
      </c>
      <c r="HS30" s="540">
        <f t="shared" si="184"/>
        <v>0</v>
      </c>
      <c r="HT30" s="538"/>
      <c r="HU30" s="539">
        <f t="shared" si="74"/>
        <v>0</v>
      </c>
      <c r="HV30" s="540">
        <f t="shared" si="185"/>
        <v>0</v>
      </c>
      <c r="HW30" s="538"/>
      <c r="HX30" s="539">
        <f t="shared" si="75"/>
        <v>0</v>
      </c>
      <c r="HY30" s="540">
        <f t="shared" si="186"/>
        <v>0</v>
      </c>
      <c r="HZ30" s="538"/>
      <c r="IA30" s="539">
        <f t="shared" si="76"/>
        <v>0</v>
      </c>
      <c r="IB30" s="540">
        <f t="shared" si="187"/>
        <v>0</v>
      </c>
      <c r="IC30" s="538"/>
      <c r="ID30" s="539">
        <f t="shared" si="77"/>
        <v>0</v>
      </c>
      <c r="IE30" s="540">
        <f t="shared" si="188"/>
        <v>0</v>
      </c>
      <c r="IF30" s="538"/>
      <c r="IG30" s="539">
        <f t="shared" si="78"/>
        <v>0</v>
      </c>
      <c r="IH30" s="540">
        <f t="shared" si="189"/>
        <v>0</v>
      </c>
      <c r="II30" s="538"/>
      <c r="IJ30" s="539">
        <f t="shared" si="79"/>
        <v>0</v>
      </c>
      <c r="IK30" s="540">
        <f t="shared" si="190"/>
        <v>0</v>
      </c>
      <c r="IL30" s="538"/>
      <c r="IM30" s="539">
        <f t="shared" si="80"/>
        <v>0</v>
      </c>
      <c r="IN30" s="540">
        <f t="shared" si="191"/>
        <v>0</v>
      </c>
      <c r="IO30" s="538"/>
      <c r="IP30" s="539">
        <f t="shared" si="81"/>
        <v>0</v>
      </c>
      <c r="IQ30" s="540">
        <f t="shared" si="192"/>
        <v>0</v>
      </c>
      <c r="IR30" s="538"/>
      <c r="IS30" s="539">
        <f t="shared" si="82"/>
        <v>0</v>
      </c>
      <c r="IT30" s="540">
        <f t="shared" si="193"/>
        <v>0</v>
      </c>
      <c r="IU30" s="538"/>
      <c r="IV30" s="539">
        <f t="shared" si="83"/>
        <v>0</v>
      </c>
      <c r="IW30" s="540">
        <f t="shared" si="194"/>
        <v>0</v>
      </c>
      <c r="IX30" s="538"/>
      <c r="IY30" s="539">
        <f t="shared" si="84"/>
        <v>0</v>
      </c>
      <c r="IZ30" s="540">
        <f t="shared" si="195"/>
        <v>0</v>
      </c>
      <c r="JA30" s="538"/>
      <c r="JB30" s="539">
        <f t="shared" si="85"/>
        <v>0</v>
      </c>
      <c r="JC30" s="540">
        <f t="shared" si="196"/>
        <v>0</v>
      </c>
      <c r="JD30" s="538"/>
      <c r="JE30" s="539">
        <f t="shared" si="86"/>
        <v>0</v>
      </c>
      <c r="JF30" s="540">
        <f t="shared" si="197"/>
        <v>0</v>
      </c>
      <c r="JG30" s="538"/>
      <c r="JH30" s="539">
        <f t="shared" si="87"/>
        <v>0</v>
      </c>
      <c r="JI30" s="540">
        <f t="shared" si="198"/>
        <v>0</v>
      </c>
      <c r="JJ30" s="538"/>
      <c r="JK30" s="540" t="str">
        <f t="shared" si="88"/>
        <v>0</v>
      </c>
      <c r="JL30" s="540" t="str">
        <f t="shared" si="89"/>
        <v>0</v>
      </c>
      <c r="JM30" s="538"/>
      <c r="JN30" s="540" t="str">
        <f t="shared" si="90"/>
        <v>0</v>
      </c>
      <c r="JO30" s="540" t="str">
        <f t="shared" si="91"/>
        <v>0</v>
      </c>
      <c r="JP30" s="538"/>
      <c r="JQ30" s="540" t="str">
        <f t="shared" si="92"/>
        <v>0</v>
      </c>
      <c r="JR30" s="540" t="str">
        <f t="shared" si="93"/>
        <v>0</v>
      </c>
      <c r="JS30" s="538"/>
      <c r="JT30" s="540" t="str">
        <f t="shared" si="94"/>
        <v>0</v>
      </c>
      <c r="JU30" s="540" t="str">
        <f t="shared" si="95"/>
        <v>0</v>
      </c>
      <c r="JV30" s="538"/>
      <c r="JW30" s="540" t="str">
        <f t="shared" si="96"/>
        <v>0</v>
      </c>
      <c r="JX30" s="540" t="str">
        <f t="shared" si="97"/>
        <v>0</v>
      </c>
      <c r="JY30" s="538"/>
      <c r="JZ30" s="540" t="str">
        <f t="shared" si="98"/>
        <v>0</v>
      </c>
      <c r="KA30" s="540" t="str">
        <f t="shared" si="99"/>
        <v>0</v>
      </c>
      <c r="KB30" s="538"/>
      <c r="KC30" s="540" t="str">
        <f t="shared" si="100"/>
        <v>0</v>
      </c>
      <c r="KD30" s="540" t="str">
        <f t="shared" si="101"/>
        <v>0</v>
      </c>
      <c r="KE30" s="538"/>
      <c r="KF30" s="540" t="str">
        <f t="shared" si="102"/>
        <v>0</v>
      </c>
      <c r="KG30" s="540" t="str">
        <f t="shared" si="103"/>
        <v>0</v>
      </c>
      <c r="KH30" s="538"/>
      <c r="KI30" s="540" t="str">
        <f t="shared" si="104"/>
        <v>0</v>
      </c>
      <c r="KJ30" s="540" t="str">
        <f t="shared" si="105"/>
        <v>0</v>
      </c>
      <c r="KK30" s="538"/>
      <c r="KL30" s="540" t="str">
        <f t="shared" si="106"/>
        <v>0</v>
      </c>
      <c r="KM30" s="540" t="str">
        <f t="shared" si="107"/>
        <v>0</v>
      </c>
      <c r="KN30" s="538"/>
      <c r="KO30" s="540" t="str">
        <f t="shared" si="108"/>
        <v>0</v>
      </c>
      <c r="KP30" s="540" t="str">
        <f t="shared" si="109"/>
        <v>0</v>
      </c>
      <c r="KQ30" s="538"/>
      <c r="KR30" s="540" t="str">
        <f t="shared" si="110"/>
        <v>0</v>
      </c>
      <c r="KS30" s="540" t="str">
        <f t="shared" si="111"/>
        <v>0</v>
      </c>
      <c r="KT30" s="540">
        <f t="shared" si="201"/>
        <v>0</v>
      </c>
      <c r="KU30" s="540">
        <f t="shared" si="202"/>
        <v>0</v>
      </c>
      <c r="KV30" s="275">
        <f t="shared" si="199"/>
        <v>835.96577375825461</v>
      </c>
    </row>
    <row r="31" spans="1:309" ht="15" customHeight="1">
      <c r="A31" s="277">
        <f t="shared" si="200"/>
        <v>46014</v>
      </c>
      <c r="B31" s="278" t="str">
        <f>+Report1!B31</f>
        <v>MG</v>
      </c>
      <c r="C31" s="420" t="str">
        <f>+Report1!C31</f>
        <v>16,5/17</v>
      </c>
      <c r="D31" s="279">
        <f>+Report1!P31</f>
        <v>77.738</v>
      </c>
      <c r="E31" s="280">
        <f>+Report1!R31</f>
        <v>80.234999999999999</v>
      </c>
      <c r="F31" s="538">
        <v>0</v>
      </c>
      <c r="G31" s="539">
        <f t="shared" si="0"/>
        <v>0</v>
      </c>
      <c r="H31" s="540">
        <f t="shared" si="112"/>
        <v>0</v>
      </c>
      <c r="I31" s="538">
        <v>686.04651162790697</v>
      </c>
      <c r="J31" s="539">
        <f t="shared" si="1"/>
        <v>8.5504644061557542</v>
      </c>
      <c r="K31" s="540">
        <f t="shared" si="113"/>
        <v>0</v>
      </c>
      <c r="L31" s="538"/>
      <c r="M31" s="539">
        <f t="shared" si="2"/>
        <v>0</v>
      </c>
      <c r="N31" s="540">
        <f t="shared" si="114"/>
        <v>0</v>
      </c>
      <c r="O31" s="538">
        <v>9</v>
      </c>
      <c r="P31" s="539">
        <f t="shared" si="3"/>
        <v>0.11217049915872125</v>
      </c>
      <c r="Q31" s="540">
        <f t="shared" si="115"/>
        <v>0</v>
      </c>
      <c r="R31" s="538"/>
      <c r="S31" s="539">
        <f t="shared" si="4"/>
        <v>0</v>
      </c>
      <c r="T31" s="540">
        <f t="shared" si="116"/>
        <v>0</v>
      </c>
      <c r="U31" s="538">
        <v>10.249999999999972</v>
      </c>
      <c r="V31" s="539">
        <f t="shared" si="5"/>
        <v>0.12774973515298774</v>
      </c>
      <c r="W31" s="540">
        <f t="shared" si="117"/>
        <v>0</v>
      </c>
      <c r="X31" s="538"/>
      <c r="Y31" s="539">
        <f t="shared" si="6"/>
        <v>0</v>
      </c>
      <c r="Z31" s="540">
        <f t="shared" si="118"/>
        <v>0</v>
      </c>
      <c r="AA31" s="538"/>
      <c r="AB31" s="539">
        <f t="shared" si="7"/>
        <v>0</v>
      </c>
      <c r="AC31" s="540">
        <f t="shared" si="119"/>
        <v>0</v>
      </c>
      <c r="AD31" s="538"/>
      <c r="AE31" s="539">
        <f t="shared" si="8"/>
        <v>0</v>
      </c>
      <c r="AF31" s="540">
        <f t="shared" si="120"/>
        <v>0</v>
      </c>
      <c r="AG31" s="538"/>
      <c r="AH31" s="539">
        <f t="shared" si="9"/>
        <v>0</v>
      </c>
      <c r="AI31" s="540">
        <f t="shared" si="121"/>
        <v>0</v>
      </c>
      <c r="AJ31" s="538">
        <v>0</v>
      </c>
      <c r="AK31" s="539">
        <f t="shared" si="10"/>
        <v>0</v>
      </c>
      <c r="AL31" s="540">
        <f t="shared" si="122"/>
        <v>0</v>
      </c>
      <c r="AM31" s="538">
        <v>0</v>
      </c>
      <c r="AN31" s="539">
        <f t="shared" si="11"/>
        <v>0</v>
      </c>
      <c r="AO31" s="540">
        <f t="shared" si="123"/>
        <v>0</v>
      </c>
      <c r="AP31" s="538">
        <v>0</v>
      </c>
      <c r="AQ31" s="539">
        <f t="shared" si="12"/>
        <v>0</v>
      </c>
      <c r="AR31" s="540">
        <f t="shared" si="124"/>
        <v>0</v>
      </c>
      <c r="AS31" s="538"/>
      <c r="AT31" s="539">
        <f t="shared" si="13"/>
        <v>0</v>
      </c>
      <c r="AU31" s="540">
        <f t="shared" si="125"/>
        <v>0</v>
      </c>
      <c r="AV31" s="538">
        <v>11.100000000000023</v>
      </c>
      <c r="AW31" s="539">
        <f t="shared" si="14"/>
        <v>0.13834361562908984</v>
      </c>
      <c r="AX31" s="540">
        <f t="shared" si="126"/>
        <v>0</v>
      </c>
      <c r="AY31" s="538">
        <v>0</v>
      </c>
      <c r="AZ31" s="539">
        <f t="shared" si="15"/>
        <v>0</v>
      </c>
      <c r="BA31" s="540">
        <f t="shared" si="127"/>
        <v>0</v>
      </c>
      <c r="BB31" s="538">
        <v>67.666666666666671</v>
      </c>
      <c r="BC31" s="539">
        <f t="shared" si="16"/>
        <v>0.84335597515631178</v>
      </c>
      <c r="BD31" s="540">
        <f t="shared" si="128"/>
        <v>0</v>
      </c>
      <c r="BE31" s="538"/>
      <c r="BF31" s="539">
        <f t="shared" si="17"/>
        <v>0</v>
      </c>
      <c r="BG31" s="540">
        <f t="shared" si="129"/>
        <v>0</v>
      </c>
      <c r="BH31" s="538"/>
      <c r="BI31" s="539">
        <f t="shared" si="18"/>
        <v>0</v>
      </c>
      <c r="BJ31" s="540">
        <f t="shared" si="130"/>
        <v>0</v>
      </c>
      <c r="BK31" s="538"/>
      <c r="BL31" s="539">
        <f t="shared" si="19"/>
        <v>0</v>
      </c>
      <c r="BM31" s="540">
        <f t="shared" si="131"/>
        <v>0</v>
      </c>
      <c r="BN31" s="538">
        <v>15.18518518518519</v>
      </c>
      <c r="BO31" s="539">
        <f t="shared" si="20"/>
        <v>0.18925886689331578</v>
      </c>
      <c r="BP31" s="540">
        <f t="shared" si="132"/>
        <v>0</v>
      </c>
      <c r="BQ31" s="538"/>
      <c r="BR31" s="539">
        <f t="shared" si="21"/>
        <v>0</v>
      </c>
      <c r="BS31" s="540">
        <f t="shared" si="133"/>
        <v>0</v>
      </c>
      <c r="BT31" s="538"/>
      <c r="BU31" s="539">
        <f t="shared" si="22"/>
        <v>0</v>
      </c>
      <c r="BV31" s="540">
        <f t="shared" si="134"/>
        <v>0</v>
      </c>
      <c r="BW31" s="538">
        <v>0.67999999999999972</v>
      </c>
      <c r="BX31" s="539">
        <f t="shared" si="23"/>
        <v>8.4751043808811589E-3</v>
      </c>
      <c r="BY31" s="540">
        <f t="shared" si="135"/>
        <v>0</v>
      </c>
      <c r="BZ31" s="538"/>
      <c r="CA31" s="539">
        <f t="shared" si="24"/>
        <v>0</v>
      </c>
      <c r="CB31" s="540">
        <f t="shared" si="136"/>
        <v>0</v>
      </c>
      <c r="CC31" s="538">
        <v>10</v>
      </c>
      <c r="CD31" s="539">
        <f t="shared" si="25"/>
        <v>0.12463388795413473</v>
      </c>
      <c r="CE31" s="540">
        <f t="shared" si="137"/>
        <v>0</v>
      </c>
      <c r="CF31" s="538">
        <v>9.9999999999999978E-2</v>
      </c>
      <c r="CG31" s="539">
        <f t="shared" si="26"/>
        <v>1.2463388795413469E-3</v>
      </c>
      <c r="CH31" s="540">
        <f t="shared" si="138"/>
        <v>0</v>
      </c>
      <c r="CI31" s="538"/>
      <c r="CJ31" s="539">
        <f t="shared" si="27"/>
        <v>0</v>
      </c>
      <c r="CK31" s="540">
        <f t="shared" si="139"/>
        <v>0</v>
      </c>
      <c r="CL31" s="538"/>
      <c r="CM31" s="539">
        <f t="shared" si="28"/>
        <v>0</v>
      </c>
      <c r="CN31" s="540">
        <f t="shared" si="140"/>
        <v>0</v>
      </c>
      <c r="CO31" s="538"/>
      <c r="CP31" s="539">
        <f t="shared" si="29"/>
        <v>0</v>
      </c>
      <c r="CQ31" s="540">
        <f t="shared" si="141"/>
        <v>0</v>
      </c>
      <c r="CR31" s="538"/>
      <c r="CS31" s="539">
        <f t="shared" si="30"/>
        <v>0</v>
      </c>
      <c r="CT31" s="540">
        <f t="shared" si="142"/>
        <v>0</v>
      </c>
      <c r="CU31" s="538"/>
      <c r="CV31" s="539">
        <f t="shared" si="31"/>
        <v>0</v>
      </c>
      <c r="CW31" s="540">
        <f t="shared" si="143"/>
        <v>0</v>
      </c>
      <c r="CX31" s="538"/>
      <c r="CY31" s="539">
        <f t="shared" si="32"/>
        <v>0</v>
      </c>
      <c r="CZ31" s="540">
        <f t="shared" si="144"/>
        <v>0</v>
      </c>
      <c r="DA31" s="538"/>
      <c r="DB31" s="539">
        <f t="shared" si="33"/>
        <v>0</v>
      </c>
      <c r="DC31" s="540">
        <f t="shared" si="145"/>
        <v>0</v>
      </c>
      <c r="DD31" s="538"/>
      <c r="DE31" s="539">
        <f t="shared" si="34"/>
        <v>0</v>
      </c>
      <c r="DF31" s="540">
        <f t="shared" si="146"/>
        <v>0</v>
      </c>
      <c r="DG31" s="538">
        <v>4.7250000000000014</v>
      </c>
      <c r="DH31" s="539">
        <f t="shared" si="35"/>
        <v>5.888951205832868E-2</v>
      </c>
      <c r="DI31" s="540">
        <f t="shared" si="203"/>
        <v>0</v>
      </c>
      <c r="DJ31" s="538"/>
      <c r="DK31" s="539">
        <f t="shared" si="36"/>
        <v>0</v>
      </c>
      <c r="DL31" s="540">
        <f t="shared" si="147"/>
        <v>0</v>
      </c>
      <c r="DM31" s="538"/>
      <c r="DN31" s="539">
        <f t="shared" si="37"/>
        <v>0</v>
      </c>
      <c r="DO31" s="540">
        <f t="shared" si="148"/>
        <v>0</v>
      </c>
      <c r="DP31" s="538"/>
      <c r="DQ31" s="539">
        <f t="shared" si="38"/>
        <v>0</v>
      </c>
      <c r="DR31" s="540">
        <f t="shared" si="149"/>
        <v>0</v>
      </c>
      <c r="DS31" s="538"/>
      <c r="DT31" s="539">
        <f t="shared" si="39"/>
        <v>0</v>
      </c>
      <c r="DU31" s="540">
        <f t="shared" si="150"/>
        <v>0</v>
      </c>
      <c r="DV31" s="538"/>
      <c r="DW31" s="539">
        <f t="shared" si="40"/>
        <v>0</v>
      </c>
      <c r="DX31" s="540">
        <f t="shared" si="151"/>
        <v>0</v>
      </c>
      <c r="DY31" s="538"/>
      <c r="DZ31" s="539">
        <f t="shared" si="41"/>
        <v>0</v>
      </c>
      <c r="EA31" s="540">
        <f t="shared" si="152"/>
        <v>0</v>
      </c>
      <c r="EB31" s="538">
        <v>29.069767441860478</v>
      </c>
      <c r="EC31" s="539">
        <f t="shared" si="42"/>
        <v>0.36230781382015925</v>
      </c>
      <c r="ED31" s="540">
        <f t="shared" si="153"/>
        <v>0</v>
      </c>
      <c r="EE31" s="538">
        <v>0</v>
      </c>
      <c r="EF31" s="539">
        <f t="shared" si="43"/>
        <v>0</v>
      </c>
      <c r="EG31" s="540">
        <f t="shared" si="154"/>
        <v>0</v>
      </c>
      <c r="EH31" s="538"/>
      <c r="EI31" s="539">
        <f t="shared" si="44"/>
        <v>0</v>
      </c>
      <c r="EJ31" s="540">
        <f t="shared" si="155"/>
        <v>0</v>
      </c>
      <c r="EK31" s="538"/>
      <c r="EL31" s="539">
        <f t="shared" si="45"/>
        <v>0</v>
      </c>
      <c r="EM31" s="540">
        <f t="shared" si="156"/>
        <v>0</v>
      </c>
      <c r="EN31" s="538"/>
      <c r="EO31" s="539">
        <f t="shared" si="46"/>
        <v>0</v>
      </c>
      <c r="EP31" s="540">
        <f t="shared" si="157"/>
        <v>0</v>
      </c>
      <c r="EQ31" s="538"/>
      <c r="ER31" s="539">
        <f t="shared" si="47"/>
        <v>0</v>
      </c>
      <c r="ES31" s="540">
        <f t="shared" si="158"/>
        <v>0</v>
      </c>
      <c r="ET31" s="538"/>
      <c r="EU31" s="539">
        <f t="shared" si="48"/>
        <v>0</v>
      </c>
      <c r="EV31" s="540">
        <f t="shared" si="159"/>
        <v>0</v>
      </c>
      <c r="EW31" s="538"/>
      <c r="EX31" s="539">
        <f t="shared" si="49"/>
        <v>0</v>
      </c>
      <c r="EY31" s="540">
        <f t="shared" si="160"/>
        <v>0</v>
      </c>
      <c r="EZ31" s="538"/>
      <c r="FA31" s="539">
        <f t="shared" si="50"/>
        <v>0</v>
      </c>
      <c r="FB31" s="540">
        <f t="shared" si="161"/>
        <v>0</v>
      </c>
      <c r="FC31" s="538"/>
      <c r="FD31" s="539">
        <f t="shared" si="51"/>
        <v>0</v>
      </c>
      <c r="FE31" s="540">
        <f t="shared" si="162"/>
        <v>0</v>
      </c>
      <c r="FF31" s="538"/>
      <c r="FG31" s="539">
        <f t="shared" si="52"/>
        <v>0</v>
      </c>
      <c r="FH31" s="540">
        <f t="shared" si="163"/>
        <v>0</v>
      </c>
      <c r="FI31" s="538"/>
      <c r="FJ31" s="539">
        <f t="shared" si="53"/>
        <v>0</v>
      </c>
      <c r="FK31" s="540">
        <f t="shared" si="164"/>
        <v>0</v>
      </c>
      <c r="FL31" s="538"/>
      <c r="FM31" s="539">
        <f t="shared" si="54"/>
        <v>0</v>
      </c>
      <c r="FN31" s="540">
        <f t="shared" si="165"/>
        <v>0</v>
      </c>
      <c r="FO31" s="538"/>
      <c r="FP31" s="539">
        <f t="shared" si="55"/>
        <v>0</v>
      </c>
      <c r="FQ31" s="540">
        <f t="shared" si="166"/>
        <v>0</v>
      </c>
      <c r="FR31" s="538"/>
      <c r="FS31" s="539">
        <f t="shared" si="56"/>
        <v>0</v>
      </c>
      <c r="FT31" s="540">
        <f t="shared" si="167"/>
        <v>0</v>
      </c>
      <c r="FU31" s="538"/>
      <c r="FV31" s="539">
        <f t="shared" si="57"/>
        <v>0</v>
      </c>
      <c r="FW31" s="540">
        <f t="shared" si="168"/>
        <v>0</v>
      </c>
      <c r="FX31" s="538"/>
      <c r="FY31" s="539">
        <f t="shared" si="58"/>
        <v>0</v>
      </c>
      <c r="FZ31" s="540">
        <f t="shared" si="169"/>
        <v>0</v>
      </c>
      <c r="GA31" s="538"/>
      <c r="GB31" s="539">
        <f t="shared" si="59"/>
        <v>0</v>
      </c>
      <c r="GC31" s="540">
        <f t="shared" si="170"/>
        <v>0</v>
      </c>
      <c r="GD31" s="538"/>
      <c r="GE31" s="539">
        <f t="shared" si="60"/>
        <v>0</v>
      </c>
      <c r="GF31" s="540">
        <f t="shared" si="171"/>
        <v>0</v>
      </c>
      <c r="GG31" s="538"/>
      <c r="GH31" s="539">
        <f t="shared" si="61"/>
        <v>0</v>
      </c>
      <c r="GI31" s="540">
        <f t="shared" si="172"/>
        <v>0</v>
      </c>
      <c r="GJ31" s="538"/>
      <c r="GK31" s="539">
        <f t="shared" si="62"/>
        <v>0</v>
      </c>
      <c r="GL31" s="540">
        <f t="shared" si="173"/>
        <v>0</v>
      </c>
      <c r="GM31" s="538"/>
      <c r="GN31" s="539">
        <f t="shared" si="63"/>
        <v>0</v>
      </c>
      <c r="GO31" s="540">
        <f t="shared" si="174"/>
        <v>0</v>
      </c>
      <c r="GP31" s="538"/>
      <c r="GQ31" s="539">
        <f t="shared" si="64"/>
        <v>0</v>
      </c>
      <c r="GR31" s="540">
        <f t="shared" si="175"/>
        <v>0</v>
      </c>
      <c r="GS31" s="538"/>
      <c r="GT31" s="539">
        <f t="shared" si="65"/>
        <v>0</v>
      </c>
      <c r="GU31" s="540">
        <f t="shared" si="176"/>
        <v>0</v>
      </c>
      <c r="GV31" s="538"/>
      <c r="GW31" s="539">
        <f t="shared" si="66"/>
        <v>0</v>
      </c>
      <c r="GX31" s="540">
        <f t="shared" si="177"/>
        <v>0</v>
      </c>
      <c r="GY31" s="538"/>
      <c r="GZ31" s="539">
        <f t="shared" si="67"/>
        <v>0</v>
      </c>
      <c r="HA31" s="540">
        <f t="shared" si="178"/>
        <v>0</v>
      </c>
      <c r="HB31" s="538"/>
      <c r="HC31" s="539">
        <f t="shared" si="68"/>
        <v>0</v>
      </c>
      <c r="HD31" s="540">
        <f t="shared" si="179"/>
        <v>0</v>
      </c>
      <c r="HE31" s="538"/>
      <c r="HF31" s="539">
        <f t="shared" si="69"/>
        <v>0</v>
      </c>
      <c r="HG31" s="540">
        <f t="shared" si="180"/>
        <v>0</v>
      </c>
      <c r="HH31" s="538"/>
      <c r="HI31" s="539">
        <f t="shared" si="70"/>
        <v>0</v>
      </c>
      <c r="HJ31" s="540">
        <f t="shared" si="181"/>
        <v>0</v>
      </c>
      <c r="HK31" s="538"/>
      <c r="HL31" s="539">
        <f t="shared" si="71"/>
        <v>0</v>
      </c>
      <c r="HM31" s="540">
        <f t="shared" si="182"/>
        <v>0</v>
      </c>
      <c r="HN31" s="538"/>
      <c r="HO31" s="539">
        <f t="shared" si="72"/>
        <v>0</v>
      </c>
      <c r="HP31" s="540">
        <f t="shared" si="183"/>
        <v>0</v>
      </c>
      <c r="HQ31" s="538"/>
      <c r="HR31" s="539">
        <f t="shared" si="73"/>
        <v>0</v>
      </c>
      <c r="HS31" s="540">
        <f t="shared" si="184"/>
        <v>0</v>
      </c>
      <c r="HT31" s="538"/>
      <c r="HU31" s="539">
        <f t="shared" si="74"/>
        <v>0</v>
      </c>
      <c r="HV31" s="540">
        <f t="shared" si="185"/>
        <v>0</v>
      </c>
      <c r="HW31" s="538"/>
      <c r="HX31" s="539">
        <f t="shared" si="75"/>
        <v>0</v>
      </c>
      <c r="HY31" s="540">
        <f t="shared" si="186"/>
        <v>0</v>
      </c>
      <c r="HZ31" s="538"/>
      <c r="IA31" s="539">
        <f t="shared" si="76"/>
        <v>0</v>
      </c>
      <c r="IB31" s="540">
        <f t="shared" si="187"/>
        <v>0</v>
      </c>
      <c r="IC31" s="538"/>
      <c r="ID31" s="539">
        <f t="shared" si="77"/>
        <v>0</v>
      </c>
      <c r="IE31" s="540">
        <f t="shared" si="188"/>
        <v>0</v>
      </c>
      <c r="IF31" s="538"/>
      <c r="IG31" s="539">
        <f t="shared" si="78"/>
        <v>0</v>
      </c>
      <c r="IH31" s="540">
        <f t="shared" si="189"/>
        <v>0</v>
      </c>
      <c r="II31" s="538"/>
      <c r="IJ31" s="539">
        <f t="shared" si="79"/>
        <v>0</v>
      </c>
      <c r="IK31" s="540">
        <f t="shared" si="190"/>
        <v>0</v>
      </c>
      <c r="IL31" s="538"/>
      <c r="IM31" s="539">
        <f t="shared" si="80"/>
        <v>0</v>
      </c>
      <c r="IN31" s="540">
        <f t="shared" si="191"/>
        <v>0</v>
      </c>
      <c r="IO31" s="538"/>
      <c r="IP31" s="539">
        <f t="shared" si="81"/>
        <v>0</v>
      </c>
      <c r="IQ31" s="540">
        <f t="shared" si="192"/>
        <v>0</v>
      </c>
      <c r="IR31" s="538"/>
      <c r="IS31" s="539">
        <f t="shared" si="82"/>
        <v>0</v>
      </c>
      <c r="IT31" s="540">
        <f t="shared" si="193"/>
        <v>0</v>
      </c>
      <c r="IU31" s="538"/>
      <c r="IV31" s="539">
        <f t="shared" si="83"/>
        <v>0</v>
      </c>
      <c r="IW31" s="540">
        <f t="shared" si="194"/>
        <v>0</v>
      </c>
      <c r="IX31" s="538"/>
      <c r="IY31" s="539">
        <f t="shared" si="84"/>
        <v>0</v>
      </c>
      <c r="IZ31" s="540">
        <f t="shared" si="195"/>
        <v>0</v>
      </c>
      <c r="JA31" s="538"/>
      <c r="JB31" s="539">
        <f t="shared" si="85"/>
        <v>0</v>
      </c>
      <c r="JC31" s="540">
        <f t="shared" si="196"/>
        <v>0</v>
      </c>
      <c r="JD31" s="538"/>
      <c r="JE31" s="539">
        <f t="shared" si="86"/>
        <v>0</v>
      </c>
      <c r="JF31" s="540">
        <f t="shared" si="197"/>
        <v>0</v>
      </c>
      <c r="JG31" s="538"/>
      <c r="JH31" s="539">
        <f t="shared" si="87"/>
        <v>0</v>
      </c>
      <c r="JI31" s="540">
        <f t="shared" si="198"/>
        <v>0</v>
      </c>
      <c r="JJ31" s="538"/>
      <c r="JK31" s="540" t="str">
        <f t="shared" si="88"/>
        <v>0</v>
      </c>
      <c r="JL31" s="540" t="str">
        <f t="shared" si="89"/>
        <v>0</v>
      </c>
      <c r="JM31" s="538"/>
      <c r="JN31" s="540" t="str">
        <f t="shared" si="90"/>
        <v>0</v>
      </c>
      <c r="JO31" s="540" t="str">
        <f t="shared" si="91"/>
        <v>0</v>
      </c>
      <c r="JP31" s="538"/>
      <c r="JQ31" s="540" t="str">
        <f t="shared" si="92"/>
        <v>0</v>
      </c>
      <c r="JR31" s="540" t="str">
        <f t="shared" si="93"/>
        <v>0</v>
      </c>
      <c r="JS31" s="538"/>
      <c r="JT31" s="540" t="str">
        <f t="shared" si="94"/>
        <v>0</v>
      </c>
      <c r="JU31" s="540" t="str">
        <f t="shared" si="95"/>
        <v>0</v>
      </c>
      <c r="JV31" s="538"/>
      <c r="JW31" s="540" t="str">
        <f t="shared" si="96"/>
        <v>0</v>
      </c>
      <c r="JX31" s="540" t="str">
        <f t="shared" si="97"/>
        <v>0</v>
      </c>
      <c r="JY31" s="538"/>
      <c r="JZ31" s="540" t="str">
        <f t="shared" si="98"/>
        <v>0</v>
      </c>
      <c r="KA31" s="540" t="str">
        <f t="shared" si="99"/>
        <v>0</v>
      </c>
      <c r="KB31" s="538"/>
      <c r="KC31" s="540" t="str">
        <f t="shared" si="100"/>
        <v>0</v>
      </c>
      <c r="KD31" s="540" t="str">
        <f t="shared" si="101"/>
        <v>0</v>
      </c>
      <c r="KE31" s="538"/>
      <c r="KF31" s="540" t="str">
        <f t="shared" si="102"/>
        <v>0</v>
      </c>
      <c r="KG31" s="540" t="str">
        <f t="shared" si="103"/>
        <v>0</v>
      </c>
      <c r="KH31" s="538"/>
      <c r="KI31" s="540" t="str">
        <f t="shared" si="104"/>
        <v>0</v>
      </c>
      <c r="KJ31" s="540" t="str">
        <f t="shared" si="105"/>
        <v>0</v>
      </c>
      <c r="KK31" s="538"/>
      <c r="KL31" s="540" t="str">
        <f t="shared" si="106"/>
        <v>0</v>
      </c>
      <c r="KM31" s="540" t="str">
        <f t="shared" si="107"/>
        <v>0</v>
      </c>
      <c r="KN31" s="538"/>
      <c r="KO31" s="540" t="str">
        <f t="shared" si="108"/>
        <v>0</v>
      </c>
      <c r="KP31" s="540" t="str">
        <f t="shared" si="109"/>
        <v>0</v>
      </c>
      <c r="KQ31" s="538"/>
      <c r="KR31" s="540" t="str">
        <f t="shared" si="110"/>
        <v>0</v>
      </c>
      <c r="KS31" s="540" t="str">
        <f t="shared" si="111"/>
        <v>0</v>
      </c>
      <c r="KT31" s="540">
        <f t="shared" si="201"/>
        <v>0</v>
      </c>
      <c r="KU31" s="540">
        <f t="shared" si="202"/>
        <v>0</v>
      </c>
      <c r="KV31" s="275">
        <f t="shared" si="199"/>
        <v>843.82313092161928</v>
      </c>
    </row>
    <row r="32" spans="1:309" ht="15" customHeight="1">
      <c r="A32" s="277">
        <f t="shared" si="200"/>
        <v>46015</v>
      </c>
      <c r="B32" s="278" t="str">
        <f>+Report1!B32</f>
        <v>MG</v>
      </c>
      <c r="C32" s="420" t="str">
        <f>+Report1!C32</f>
        <v>17</v>
      </c>
      <c r="D32" s="279">
        <f>+Report1!P32</f>
        <v>75.167000000000002</v>
      </c>
      <c r="E32" s="280">
        <f>+Report1!R32</f>
        <v>76.366</v>
      </c>
      <c r="F32" s="538">
        <v>0</v>
      </c>
      <c r="G32" s="539">
        <f t="shared" si="0"/>
        <v>0</v>
      </c>
      <c r="H32" s="540">
        <f t="shared" si="112"/>
        <v>0</v>
      </c>
      <c r="I32" s="538">
        <v>700.26664186046537</v>
      </c>
      <c r="J32" s="539">
        <f t="shared" si="1"/>
        <v>9.1698745758644602</v>
      </c>
      <c r="K32" s="540">
        <f t="shared" si="113"/>
        <v>0</v>
      </c>
      <c r="L32" s="538"/>
      <c r="M32" s="539">
        <f t="shared" si="2"/>
        <v>0</v>
      </c>
      <c r="N32" s="540">
        <f t="shared" si="114"/>
        <v>0</v>
      </c>
      <c r="O32" s="538">
        <v>8.8771999999999593</v>
      </c>
      <c r="P32" s="539">
        <f t="shared" si="3"/>
        <v>0.11624544954560877</v>
      </c>
      <c r="Q32" s="540">
        <f t="shared" si="115"/>
        <v>0</v>
      </c>
      <c r="R32" s="538"/>
      <c r="S32" s="539">
        <f t="shared" si="4"/>
        <v>0</v>
      </c>
      <c r="T32" s="540">
        <f t="shared" si="116"/>
        <v>0</v>
      </c>
      <c r="U32" s="538">
        <v>10.115300000000019</v>
      </c>
      <c r="V32" s="539">
        <f t="shared" si="5"/>
        <v>0.13245816200927138</v>
      </c>
      <c r="W32" s="540">
        <f t="shared" si="117"/>
        <v>0</v>
      </c>
      <c r="X32" s="538"/>
      <c r="Y32" s="539">
        <f t="shared" si="6"/>
        <v>0</v>
      </c>
      <c r="Z32" s="540">
        <f t="shared" si="118"/>
        <v>0</v>
      </c>
      <c r="AA32" s="538"/>
      <c r="AB32" s="539">
        <f t="shared" si="7"/>
        <v>0</v>
      </c>
      <c r="AC32" s="540">
        <f t="shared" si="119"/>
        <v>0</v>
      </c>
      <c r="AD32" s="538"/>
      <c r="AE32" s="539">
        <f t="shared" si="8"/>
        <v>0</v>
      </c>
      <c r="AF32" s="540">
        <f t="shared" si="120"/>
        <v>0</v>
      </c>
      <c r="AG32" s="538"/>
      <c r="AH32" s="539">
        <f t="shared" si="9"/>
        <v>0</v>
      </c>
      <c r="AI32" s="540">
        <f t="shared" si="121"/>
        <v>0</v>
      </c>
      <c r="AJ32" s="538">
        <v>0</v>
      </c>
      <c r="AK32" s="539">
        <f t="shared" si="10"/>
        <v>0</v>
      </c>
      <c r="AL32" s="540">
        <f t="shared" si="122"/>
        <v>0</v>
      </c>
      <c r="AM32" s="538">
        <v>0</v>
      </c>
      <c r="AN32" s="539">
        <f t="shared" si="11"/>
        <v>0</v>
      </c>
      <c r="AO32" s="540">
        <f t="shared" si="123"/>
        <v>0</v>
      </c>
      <c r="AP32" s="538">
        <v>0</v>
      </c>
      <c r="AQ32" s="539">
        <f t="shared" si="12"/>
        <v>0</v>
      </c>
      <c r="AR32" s="540">
        <f t="shared" si="124"/>
        <v>0</v>
      </c>
      <c r="AS32" s="538"/>
      <c r="AT32" s="539">
        <f t="shared" si="13"/>
        <v>0</v>
      </c>
      <c r="AU32" s="540">
        <f t="shared" si="125"/>
        <v>0</v>
      </c>
      <c r="AV32" s="538">
        <v>10.954000000000036</v>
      </c>
      <c r="AW32" s="539">
        <f t="shared" si="14"/>
        <v>0.14344079826100667</v>
      </c>
      <c r="AX32" s="540">
        <f t="shared" si="126"/>
        <v>0</v>
      </c>
      <c r="AY32" s="538">
        <v>0</v>
      </c>
      <c r="AZ32" s="539">
        <f t="shared" si="15"/>
        <v>0</v>
      </c>
      <c r="BA32" s="540">
        <f t="shared" si="127"/>
        <v>0</v>
      </c>
      <c r="BB32" s="538">
        <v>82.924399999999991</v>
      </c>
      <c r="BC32" s="539">
        <f t="shared" si="16"/>
        <v>1.0858811512976978</v>
      </c>
      <c r="BD32" s="540">
        <f t="shared" si="128"/>
        <v>0</v>
      </c>
      <c r="BE32" s="538"/>
      <c r="BF32" s="539">
        <f t="shared" si="17"/>
        <v>0</v>
      </c>
      <c r="BG32" s="540">
        <f t="shared" si="129"/>
        <v>0</v>
      </c>
      <c r="BH32" s="538"/>
      <c r="BI32" s="539">
        <f t="shared" si="18"/>
        <v>0</v>
      </c>
      <c r="BJ32" s="540">
        <f t="shared" si="130"/>
        <v>0</v>
      </c>
      <c r="BK32" s="538"/>
      <c r="BL32" s="539">
        <f t="shared" si="19"/>
        <v>0</v>
      </c>
      <c r="BM32" s="540">
        <f t="shared" si="131"/>
        <v>0</v>
      </c>
      <c r="BN32" s="538">
        <v>17.48764567901236</v>
      </c>
      <c r="BO32" s="539">
        <f t="shared" si="20"/>
        <v>0.22899779586481367</v>
      </c>
      <c r="BP32" s="540">
        <f t="shared" si="132"/>
        <v>0</v>
      </c>
      <c r="BQ32" s="538"/>
      <c r="BR32" s="539">
        <f t="shared" si="21"/>
        <v>0</v>
      </c>
      <c r="BS32" s="540">
        <f t="shared" si="133"/>
        <v>0</v>
      </c>
      <c r="BT32" s="538"/>
      <c r="BU32" s="539">
        <f t="shared" si="22"/>
        <v>0</v>
      </c>
      <c r="BV32" s="540">
        <f t="shared" si="134"/>
        <v>0</v>
      </c>
      <c r="BW32" s="538">
        <v>0.33999999999999986</v>
      </c>
      <c r="BX32" s="539">
        <f t="shared" si="23"/>
        <v>4.4522431448550384E-3</v>
      </c>
      <c r="BY32" s="540">
        <f t="shared" si="135"/>
        <v>0</v>
      </c>
      <c r="BZ32" s="538"/>
      <c r="CA32" s="539">
        <f t="shared" si="24"/>
        <v>0</v>
      </c>
      <c r="CB32" s="540">
        <f t="shared" si="136"/>
        <v>0</v>
      </c>
      <c r="CC32" s="538">
        <v>7.5</v>
      </c>
      <c r="CD32" s="539">
        <f t="shared" si="25"/>
        <v>9.821124584239059E-2</v>
      </c>
      <c r="CE32" s="540">
        <f t="shared" si="137"/>
        <v>0</v>
      </c>
      <c r="CF32" s="538">
        <v>9.9999999999999978E-2</v>
      </c>
      <c r="CG32" s="539">
        <f t="shared" si="26"/>
        <v>1.3094832778985409E-3</v>
      </c>
      <c r="CH32" s="540">
        <f t="shared" si="138"/>
        <v>0</v>
      </c>
      <c r="CI32" s="538"/>
      <c r="CJ32" s="539">
        <f t="shared" si="27"/>
        <v>0</v>
      </c>
      <c r="CK32" s="540">
        <f t="shared" si="139"/>
        <v>0</v>
      </c>
      <c r="CL32" s="538"/>
      <c r="CM32" s="539">
        <f t="shared" si="28"/>
        <v>0</v>
      </c>
      <c r="CN32" s="540">
        <f t="shared" si="140"/>
        <v>0</v>
      </c>
      <c r="CO32" s="538"/>
      <c r="CP32" s="539">
        <f t="shared" si="29"/>
        <v>0</v>
      </c>
      <c r="CQ32" s="540">
        <f t="shared" si="141"/>
        <v>0</v>
      </c>
      <c r="CR32" s="538"/>
      <c r="CS32" s="539">
        <f t="shared" si="30"/>
        <v>0</v>
      </c>
      <c r="CT32" s="540">
        <f t="shared" si="142"/>
        <v>0</v>
      </c>
      <c r="CU32" s="538"/>
      <c r="CV32" s="539">
        <f t="shared" si="31"/>
        <v>0</v>
      </c>
      <c r="CW32" s="540">
        <f t="shared" si="143"/>
        <v>0</v>
      </c>
      <c r="CX32" s="538"/>
      <c r="CY32" s="539">
        <f t="shared" si="32"/>
        <v>0</v>
      </c>
      <c r="CZ32" s="540">
        <f t="shared" si="144"/>
        <v>0</v>
      </c>
      <c r="DA32" s="538"/>
      <c r="DB32" s="539">
        <f t="shared" si="33"/>
        <v>0</v>
      </c>
      <c r="DC32" s="540">
        <f t="shared" si="145"/>
        <v>0</v>
      </c>
      <c r="DD32" s="538"/>
      <c r="DE32" s="539">
        <f t="shared" si="34"/>
        <v>0</v>
      </c>
      <c r="DF32" s="540">
        <f t="shared" si="146"/>
        <v>0</v>
      </c>
      <c r="DG32" s="538">
        <v>4.7249999999999996</v>
      </c>
      <c r="DH32" s="539">
        <f t="shared" si="35"/>
        <v>6.1873084880706072E-2</v>
      </c>
      <c r="DI32" s="540">
        <f t="shared" si="203"/>
        <v>0</v>
      </c>
      <c r="DJ32" s="538"/>
      <c r="DK32" s="539">
        <f t="shared" si="36"/>
        <v>0</v>
      </c>
      <c r="DL32" s="540">
        <f t="shared" si="147"/>
        <v>0</v>
      </c>
      <c r="DM32" s="538"/>
      <c r="DN32" s="539">
        <f t="shared" si="37"/>
        <v>0</v>
      </c>
      <c r="DO32" s="540">
        <f t="shared" si="148"/>
        <v>0</v>
      </c>
      <c r="DP32" s="538"/>
      <c r="DQ32" s="539">
        <f t="shared" si="38"/>
        <v>0</v>
      </c>
      <c r="DR32" s="540">
        <f t="shared" si="149"/>
        <v>0</v>
      </c>
      <c r="DS32" s="538"/>
      <c r="DT32" s="539">
        <f t="shared" si="39"/>
        <v>0</v>
      </c>
      <c r="DU32" s="540">
        <f t="shared" si="150"/>
        <v>0</v>
      </c>
      <c r="DV32" s="538"/>
      <c r="DW32" s="539">
        <f t="shared" si="40"/>
        <v>0</v>
      </c>
      <c r="DX32" s="540">
        <f t="shared" si="151"/>
        <v>0</v>
      </c>
      <c r="DY32" s="538"/>
      <c r="DZ32" s="539">
        <f t="shared" si="41"/>
        <v>0</v>
      </c>
      <c r="EA32" s="540">
        <f t="shared" si="152"/>
        <v>0</v>
      </c>
      <c r="EB32" s="538">
        <v>14.35533953488374</v>
      </c>
      <c r="EC32" s="539">
        <f t="shared" si="42"/>
        <v>0.1879807706948608</v>
      </c>
      <c r="ED32" s="540">
        <f t="shared" si="153"/>
        <v>0</v>
      </c>
      <c r="EE32" s="538">
        <v>0</v>
      </c>
      <c r="EF32" s="539">
        <f t="shared" si="43"/>
        <v>0</v>
      </c>
      <c r="EG32" s="540">
        <f t="shared" si="154"/>
        <v>0</v>
      </c>
      <c r="EH32" s="538"/>
      <c r="EI32" s="539">
        <f t="shared" si="44"/>
        <v>0</v>
      </c>
      <c r="EJ32" s="540">
        <f t="shared" si="155"/>
        <v>0</v>
      </c>
      <c r="EK32" s="538"/>
      <c r="EL32" s="539">
        <f t="shared" si="45"/>
        <v>0</v>
      </c>
      <c r="EM32" s="540">
        <f t="shared" si="156"/>
        <v>0</v>
      </c>
      <c r="EN32" s="538"/>
      <c r="EO32" s="539">
        <f t="shared" si="46"/>
        <v>0</v>
      </c>
      <c r="EP32" s="540">
        <f t="shared" si="157"/>
        <v>0</v>
      </c>
      <c r="EQ32" s="538"/>
      <c r="ER32" s="539">
        <f t="shared" si="47"/>
        <v>0</v>
      </c>
      <c r="ES32" s="540">
        <f t="shared" si="158"/>
        <v>0</v>
      </c>
      <c r="ET32" s="538"/>
      <c r="EU32" s="539">
        <f t="shared" si="48"/>
        <v>0</v>
      </c>
      <c r="EV32" s="540">
        <f t="shared" si="159"/>
        <v>0</v>
      </c>
      <c r="EW32" s="538"/>
      <c r="EX32" s="539">
        <f t="shared" si="49"/>
        <v>0</v>
      </c>
      <c r="EY32" s="540">
        <f t="shared" si="160"/>
        <v>0</v>
      </c>
      <c r="EZ32" s="538"/>
      <c r="FA32" s="539">
        <f t="shared" si="50"/>
        <v>0</v>
      </c>
      <c r="FB32" s="540">
        <f t="shared" si="161"/>
        <v>0</v>
      </c>
      <c r="FC32" s="538"/>
      <c r="FD32" s="539">
        <f t="shared" si="51"/>
        <v>0</v>
      </c>
      <c r="FE32" s="540">
        <f t="shared" si="162"/>
        <v>0</v>
      </c>
      <c r="FF32" s="538"/>
      <c r="FG32" s="539">
        <f t="shared" si="52"/>
        <v>0</v>
      </c>
      <c r="FH32" s="540">
        <f t="shared" si="163"/>
        <v>0</v>
      </c>
      <c r="FI32" s="538"/>
      <c r="FJ32" s="539">
        <f t="shared" si="53"/>
        <v>0</v>
      </c>
      <c r="FK32" s="540">
        <f t="shared" si="164"/>
        <v>0</v>
      </c>
      <c r="FL32" s="538"/>
      <c r="FM32" s="539">
        <f t="shared" si="54"/>
        <v>0</v>
      </c>
      <c r="FN32" s="540">
        <f t="shared" si="165"/>
        <v>0</v>
      </c>
      <c r="FO32" s="538"/>
      <c r="FP32" s="539">
        <f t="shared" si="55"/>
        <v>0</v>
      </c>
      <c r="FQ32" s="540">
        <f t="shared" si="166"/>
        <v>0</v>
      </c>
      <c r="FR32" s="538"/>
      <c r="FS32" s="539">
        <f t="shared" si="56"/>
        <v>0</v>
      </c>
      <c r="FT32" s="540">
        <f t="shared" si="167"/>
        <v>0</v>
      </c>
      <c r="FU32" s="538"/>
      <c r="FV32" s="539">
        <f t="shared" si="57"/>
        <v>0</v>
      </c>
      <c r="FW32" s="540">
        <f t="shared" si="168"/>
        <v>0</v>
      </c>
      <c r="FX32" s="538"/>
      <c r="FY32" s="539">
        <f t="shared" si="58"/>
        <v>0</v>
      </c>
      <c r="FZ32" s="540">
        <f t="shared" si="169"/>
        <v>0</v>
      </c>
      <c r="GA32" s="538"/>
      <c r="GB32" s="539">
        <f t="shared" si="59"/>
        <v>0</v>
      </c>
      <c r="GC32" s="540">
        <f t="shared" si="170"/>
        <v>0</v>
      </c>
      <c r="GD32" s="538"/>
      <c r="GE32" s="539">
        <f t="shared" si="60"/>
        <v>0</v>
      </c>
      <c r="GF32" s="540">
        <f t="shared" si="171"/>
        <v>0</v>
      </c>
      <c r="GG32" s="538"/>
      <c r="GH32" s="539">
        <f t="shared" si="61"/>
        <v>0</v>
      </c>
      <c r="GI32" s="540">
        <f t="shared" si="172"/>
        <v>0</v>
      </c>
      <c r="GJ32" s="538"/>
      <c r="GK32" s="539">
        <f t="shared" si="62"/>
        <v>0</v>
      </c>
      <c r="GL32" s="540">
        <f t="shared" si="173"/>
        <v>0</v>
      </c>
      <c r="GM32" s="538"/>
      <c r="GN32" s="539">
        <f t="shared" si="63"/>
        <v>0</v>
      </c>
      <c r="GO32" s="540">
        <f t="shared" si="174"/>
        <v>0</v>
      </c>
      <c r="GP32" s="538"/>
      <c r="GQ32" s="539">
        <f t="shared" si="64"/>
        <v>0</v>
      </c>
      <c r="GR32" s="540">
        <f t="shared" si="175"/>
        <v>0</v>
      </c>
      <c r="GS32" s="538"/>
      <c r="GT32" s="539">
        <f t="shared" si="65"/>
        <v>0</v>
      </c>
      <c r="GU32" s="540">
        <f t="shared" si="176"/>
        <v>0</v>
      </c>
      <c r="GV32" s="538"/>
      <c r="GW32" s="539">
        <f t="shared" si="66"/>
        <v>0</v>
      </c>
      <c r="GX32" s="540">
        <f t="shared" si="177"/>
        <v>0</v>
      </c>
      <c r="GY32" s="538"/>
      <c r="GZ32" s="539">
        <f t="shared" si="67"/>
        <v>0</v>
      </c>
      <c r="HA32" s="540">
        <f t="shared" si="178"/>
        <v>0</v>
      </c>
      <c r="HB32" s="538"/>
      <c r="HC32" s="539">
        <f t="shared" si="68"/>
        <v>0</v>
      </c>
      <c r="HD32" s="540">
        <f t="shared" si="179"/>
        <v>0</v>
      </c>
      <c r="HE32" s="538"/>
      <c r="HF32" s="539">
        <f t="shared" si="69"/>
        <v>0</v>
      </c>
      <c r="HG32" s="540">
        <f t="shared" si="180"/>
        <v>0</v>
      </c>
      <c r="HH32" s="538"/>
      <c r="HI32" s="539">
        <f t="shared" si="70"/>
        <v>0</v>
      </c>
      <c r="HJ32" s="540">
        <f t="shared" si="181"/>
        <v>0</v>
      </c>
      <c r="HK32" s="538"/>
      <c r="HL32" s="539">
        <f t="shared" si="71"/>
        <v>0</v>
      </c>
      <c r="HM32" s="540">
        <f t="shared" si="182"/>
        <v>0</v>
      </c>
      <c r="HN32" s="538"/>
      <c r="HO32" s="539">
        <f t="shared" si="72"/>
        <v>0</v>
      </c>
      <c r="HP32" s="540">
        <f t="shared" si="183"/>
        <v>0</v>
      </c>
      <c r="HQ32" s="538"/>
      <c r="HR32" s="539">
        <f t="shared" si="73"/>
        <v>0</v>
      </c>
      <c r="HS32" s="540">
        <f t="shared" si="184"/>
        <v>0</v>
      </c>
      <c r="HT32" s="538"/>
      <c r="HU32" s="539">
        <f t="shared" si="74"/>
        <v>0</v>
      </c>
      <c r="HV32" s="540">
        <f t="shared" si="185"/>
        <v>0</v>
      </c>
      <c r="HW32" s="538"/>
      <c r="HX32" s="539">
        <f t="shared" si="75"/>
        <v>0</v>
      </c>
      <c r="HY32" s="540">
        <f t="shared" si="186"/>
        <v>0</v>
      </c>
      <c r="HZ32" s="538"/>
      <c r="IA32" s="539">
        <f t="shared" si="76"/>
        <v>0</v>
      </c>
      <c r="IB32" s="540">
        <f t="shared" si="187"/>
        <v>0</v>
      </c>
      <c r="IC32" s="538"/>
      <c r="ID32" s="539">
        <f t="shared" si="77"/>
        <v>0</v>
      </c>
      <c r="IE32" s="540">
        <f t="shared" si="188"/>
        <v>0</v>
      </c>
      <c r="IF32" s="538"/>
      <c r="IG32" s="539">
        <f t="shared" si="78"/>
        <v>0</v>
      </c>
      <c r="IH32" s="540">
        <f t="shared" si="189"/>
        <v>0</v>
      </c>
      <c r="II32" s="538"/>
      <c r="IJ32" s="539">
        <f t="shared" si="79"/>
        <v>0</v>
      </c>
      <c r="IK32" s="540">
        <f t="shared" si="190"/>
        <v>0</v>
      </c>
      <c r="IL32" s="538"/>
      <c r="IM32" s="539">
        <f t="shared" si="80"/>
        <v>0</v>
      </c>
      <c r="IN32" s="540">
        <f t="shared" si="191"/>
        <v>0</v>
      </c>
      <c r="IO32" s="538"/>
      <c r="IP32" s="539">
        <f t="shared" si="81"/>
        <v>0</v>
      </c>
      <c r="IQ32" s="540">
        <f t="shared" si="192"/>
        <v>0</v>
      </c>
      <c r="IR32" s="538"/>
      <c r="IS32" s="539">
        <f t="shared" si="82"/>
        <v>0</v>
      </c>
      <c r="IT32" s="540">
        <f t="shared" si="193"/>
        <v>0</v>
      </c>
      <c r="IU32" s="538"/>
      <c r="IV32" s="539">
        <f t="shared" si="83"/>
        <v>0</v>
      </c>
      <c r="IW32" s="540">
        <f t="shared" si="194"/>
        <v>0</v>
      </c>
      <c r="IX32" s="538"/>
      <c r="IY32" s="539">
        <f t="shared" si="84"/>
        <v>0</v>
      </c>
      <c r="IZ32" s="540">
        <f t="shared" si="195"/>
        <v>0</v>
      </c>
      <c r="JA32" s="538"/>
      <c r="JB32" s="539">
        <f t="shared" si="85"/>
        <v>0</v>
      </c>
      <c r="JC32" s="540">
        <f t="shared" si="196"/>
        <v>0</v>
      </c>
      <c r="JD32" s="538"/>
      <c r="JE32" s="539">
        <f t="shared" si="86"/>
        <v>0</v>
      </c>
      <c r="JF32" s="540">
        <f t="shared" si="197"/>
        <v>0</v>
      </c>
      <c r="JG32" s="538"/>
      <c r="JH32" s="539">
        <f t="shared" si="87"/>
        <v>0</v>
      </c>
      <c r="JI32" s="540">
        <f t="shared" si="198"/>
        <v>0</v>
      </c>
      <c r="JJ32" s="538"/>
      <c r="JK32" s="540" t="str">
        <f t="shared" si="88"/>
        <v>0</v>
      </c>
      <c r="JL32" s="540" t="str">
        <f t="shared" si="89"/>
        <v>0</v>
      </c>
      <c r="JM32" s="538"/>
      <c r="JN32" s="540" t="str">
        <f t="shared" si="90"/>
        <v>0</v>
      </c>
      <c r="JO32" s="540" t="str">
        <f t="shared" si="91"/>
        <v>0</v>
      </c>
      <c r="JP32" s="538"/>
      <c r="JQ32" s="540" t="str">
        <f t="shared" si="92"/>
        <v>0</v>
      </c>
      <c r="JR32" s="540" t="str">
        <f t="shared" si="93"/>
        <v>0</v>
      </c>
      <c r="JS32" s="538"/>
      <c r="JT32" s="540" t="str">
        <f t="shared" si="94"/>
        <v>0</v>
      </c>
      <c r="JU32" s="540" t="str">
        <f t="shared" si="95"/>
        <v>0</v>
      </c>
      <c r="JV32" s="538"/>
      <c r="JW32" s="540" t="str">
        <f t="shared" si="96"/>
        <v>0</v>
      </c>
      <c r="JX32" s="540" t="str">
        <f t="shared" si="97"/>
        <v>0</v>
      </c>
      <c r="JY32" s="538"/>
      <c r="JZ32" s="540" t="str">
        <f t="shared" si="98"/>
        <v>0</v>
      </c>
      <c r="KA32" s="540" t="str">
        <f t="shared" si="99"/>
        <v>0</v>
      </c>
      <c r="KB32" s="538"/>
      <c r="KC32" s="540" t="str">
        <f t="shared" si="100"/>
        <v>0</v>
      </c>
      <c r="KD32" s="540" t="str">
        <f t="shared" si="101"/>
        <v>0</v>
      </c>
      <c r="KE32" s="538"/>
      <c r="KF32" s="540" t="str">
        <f t="shared" si="102"/>
        <v>0</v>
      </c>
      <c r="KG32" s="540" t="str">
        <f t="shared" si="103"/>
        <v>0</v>
      </c>
      <c r="KH32" s="538"/>
      <c r="KI32" s="540" t="str">
        <f t="shared" si="104"/>
        <v>0</v>
      </c>
      <c r="KJ32" s="540" t="str">
        <f t="shared" si="105"/>
        <v>0</v>
      </c>
      <c r="KK32" s="538"/>
      <c r="KL32" s="540" t="str">
        <f t="shared" si="106"/>
        <v>0</v>
      </c>
      <c r="KM32" s="540" t="str">
        <f t="shared" si="107"/>
        <v>0</v>
      </c>
      <c r="KN32" s="538"/>
      <c r="KO32" s="540" t="str">
        <f t="shared" si="108"/>
        <v>0</v>
      </c>
      <c r="KP32" s="540" t="str">
        <f t="shared" si="109"/>
        <v>0</v>
      </c>
      <c r="KQ32" s="538"/>
      <c r="KR32" s="540" t="str">
        <f t="shared" si="110"/>
        <v>0</v>
      </c>
      <c r="KS32" s="540" t="str">
        <f t="shared" si="111"/>
        <v>0</v>
      </c>
      <c r="KT32" s="540">
        <f t="shared" si="201"/>
        <v>0</v>
      </c>
      <c r="KU32" s="540">
        <f t="shared" si="202"/>
        <v>0</v>
      </c>
      <c r="KV32" s="275">
        <f t="shared" si="199"/>
        <v>857.64552707436167</v>
      </c>
    </row>
    <row r="33" spans="1:308" ht="15" customHeight="1">
      <c r="A33" s="277">
        <f t="shared" si="200"/>
        <v>46016</v>
      </c>
      <c r="B33" s="278" t="str">
        <f>+Report1!B33</f>
        <v>MG</v>
      </c>
      <c r="C33" s="420" t="str">
        <f>+Report1!C33</f>
        <v>17</v>
      </c>
      <c r="D33" s="279">
        <f>+Report1!P33</f>
        <v>77.106000000000009</v>
      </c>
      <c r="E33" s="280">
        <f>+Report1!R33</f>
        <v>77.453999999999994</v>
      </c>
      <c r="F33" s="538">
        <v>0</v>
      </c>
      <c r="G33" s="539">
        <f t="shared" si="0"/>
        <v>0</v>
      </c>
      <c r="H33" s="540">
        <f t="shared" si="112"/>
        <v>0</v>
      </c>
      <c r="I33" s="538">
        <v>718.33499999999981</v>
      </c>
      <c r="J33" s="539">
        <f t="shared" si="1"/>
        <v>9.2743434812921208</v>
      </c>
      <c r="K33" s="540">
        <f t="shared" si="113"/>
        <v>0</v>
      </c>
      <c r="L33" s="538"/>
      <c r="M33" s="539">
        <f t="shared" si="2"/>
        <v>0</v>
      </c>
      <c r="N33" s="540">
        <f t="shared" si="114"/>
        <v>0</v>
      </c>
      <c r="O33" s="538">
        <v>9.1176000000000386</v>
      </c>
      <c r="P33" s="539">
        <f t="shared" si="3"/>
        <v>0.11771632194592971</v>
      </c>
      <c r="Q33" s="540">
        <f t="shared" si="115"/>
        <v>0</v>
      </c>
      <c r="R33" s="538"/>
      <c r="S33" s="539">
        <f t="shared" si="4"/>
        <v>0</v>
      </c>
      <c r="T33" s="540">
        <f t="shared" si="116"/>
        <v>0</v>
      </c>
      <c r="U33" s="538">
        <v>10.382400000000018</v>
      </c>
      <c r="V33" s="539">
        <f t="shared" si="5"/>
        <v>0.13404601440855243</v>
      </c>
      <c r="W33" s="540">
        <f t="shared" si="117"/>
        <v>0</v>
      </c>
      <c r="X33" s="538"/>
      <c r="Y33" s="539">
        <f t="shared" si="6"/>
        <v>0</v>
      </c>
      <c r="Z33" s="540">
        <f t="shared" si="118"/>
        <v>0</v>
      </c>
      <c r="AA33" s="538"/>
      <c r="AB33" s="539">
        <f t="shared" si="7"/>
        <v>0</v>
      </c>
      <c r="AC33" s="540">
        <f t="shared" si="119"/>
        <v>0</v>
      </c>
      <c r="AD33" s="538"/>
      <c r="AE33" s="539">
        <f t="shared" si="8"/>
        <v>0</v>
      </c>
      <c r="AF33" s="540">
        <f t="shared" si="120"/>
        <v>0</v>
      </c>
      <c r="AG33" s="538"/>
      <c r="AH33" s="539">
        <f t="shared" si="9"/>
        <v>0</v>
      </c>
      <c r="AI33" s="540">
        <f t="shared" si="121"/>
        <v>0</v>
      </c>
      <c r="AJ33" s="538">
        <v>0</v>
      </c>
      <c r="AK33" s="539">
        <f t="shared" si="10"/>
        <v>0</v>
      </c>
      <c r="AL33" s="540">
        <f t="shared" si="122"/>
        <v>0</v>
      </c>
      <c r="AM33" s="538">
        <v>0</v>
      </c>
      <c r="AN33" s="539">
        <f t="shared" si="11"/>
        <v>0</v>
      </c>
      <c r="AO33" s="540">
        <f t="shared" si="123"/>
        <v>0</v>
      </c>
      <c r="AP33" s="538">
        <v>0</v>
      </c>
      <c r="AQ33" s="539">
        <f t="shared" si="12"/>
        <v>0</v>
      </c>
      <c r="AR33" s="540">
        <f t="shared" si="124"/>
        <v>0</v>
      </c>
      <c r="AS33" s="538"/>
      <c r="AT33" s="539">
        <f t="shared" si="13"/>
        <v>0</v>
      </c>
      <c r="AU33" s="540">
        <f t="shared" si="125"/>
        <v>0</v>
      </c>
      <c r="AV33" s="538">
        <v>11.247000000000014</v>
      </c>
      <c r="AW33" s="539">
        <f t="shared" si="14"/>
        <v>0.14520876907583877</v>
      </c>
      <c r="AX33" s="540">
        <f t="shared" si="126"/>
        <v>0</v>
      </c>
      <c r="AY33" s="538">
        <v>0</v>
      </c>
      <c r="AZ33" s="539">
        <f t="shared" si="15"/>
        <v>0</v>
      </c>
      <c r="BA33" s="540">
        <f t="shared" si="127"/>
        <v>0</v>
      </c>
      <c r="BB33" s="538">
        <v>85.072400000000002</v>
      </c>
      <c r="BC33" s="539">
        <f t="shared" si="16"/>
        <v>1.0983603170914351</v>
      </c>
      <c r="BD33" s="540">
        <f t="shared" si="128"/>
        <v>0</v>
      </c>
      <c r="BE33" s="538"/>
      <c r="BF33" s="539">
        <f t="shared" si="17"/>
        <v>0</v>
      </c>
      <c r="BG33" s="540">
        <f t="shared" si="129"/>
        <v>0</v>
      </c>
      <c r="BH33" s="538"/>
      <c r="BI33" s="539">
        <f t="shared" si="18"/>
        <v>0</v>
      </c>
      <c r="BJ33" s="540">
        <f t="shared" si="130"/>
        <v>0</v>
      </c>
      <c r="BK33" s="538"/>
      <c r="BL33" s="539">
        <f t="shared" si="19"/>
        <v>0</v>
      </c>
      <c r="BM33" s="540">
        <f t="shared" si="131"/>
        <v>0</v>
      </c>
      <c r="BN33" s="538">
        <v>17.947699999999998</v>
      </c>
      <c r="BO33" s="539">
        <f t="shared" si="20"/>
        <v>0.23172076329176025</v>
      </c>
      <c r="BP33" s="540">
        <f t="shared" si="132"/>
        <v>0</v>
      </c>
      <c r="BQ33" s="538"/>
      <c r="BR33" s="539">
        <f t="shared" si="21"/>
        <v>0</v>
      </c>
      <c r="BS33" s="540">
        <f t="shared" si="133"/>
        <v>0</v>
      </c>
      <c r="BT33" s="538"/>
      <c r="BU33" s="539">
        <f t="shared" si="22"/>
        <v>0</v>
      </c>
      <c r="BV33" s="540">
        <f t="shared" si="134"/>
        <v>0</v>
      </c>
      <c r="BW33" s="538">
        <v>0.33999999999999986</v>
      </c>
      <c r="BX33" s="539">
        <f t="shared" si="23"/>
        <v>4.3897022748986478E-3</v>
      </c>
      <c r="BY33" s="540">
        <f t="shared" si="135"/>
        <v>0</v>
      </c>
      <c r="BZ33" s="538"/>
      <c r="CA33" s="539">
        <f t="shared" si="24"/>
        <v>0</v>
      </c>
      <c r="CB33" s="540">
        <f t="shared" si="136"/>
        <v>0</v>
      </c>
      <c r="CC33" s="538">
        <v>7.5</v>
      </c>
      <c r="CD33" s="539">
        <f t="shared" si="25"/>
        <v>9.6831667828646689E-2</v>
      </c>
      <c r="CE33" s="540">
        <f t="shared" si="137"/>
        <v>0</v>
      </c>
      <c r="CF33" s="538">
        <v>9.9999999999999978E-2</v>
      </c>
      <c r="CG33" s="539">
        <f t="shared" si="26"/>
        <v>1.2910889043819555E-3</v>
      </c>
      <c r="CH33" s="540">
        <f t="shared" si="138"/>
        <v>0</v>
      </c>
      <c r="CI33" s="538"/>
      <c r="CJ33" s="539">
        <f t="shared" si="27"/>
        <v>0</v>
      </c>
      <c r="CK33" s="540">
        <f t="shared" si="139"/>
        <v>0</v>
      </c>
      <c r="CL33" s="538"/>
      <c r="CM33" s="539">
        <f t="shared" si="28"/>
        <v>0</v>
      </c>
      <c r="CN33" s="540">
        <f t="shared" si="140"/>
        <v>0</v>
      </c>
      <c r="CO33" s="538"/>
      <c r="CP33" s="539">
        <f t="shared" si="29"/>
        <v>0</v>
      </c>
      <c r="CQ33" s="540">
        <f t="shared" si="141"/>
        <v>0</v>
      </c>
      <c r="CR33" s="538"/>
      <c r="CS33" s="539">
        <f t="shared" si="30"/>
        <v>0</v>
      </c>
      <c r="CT33" s="540">
        <f t="shared" si="142"/>
        <v>0</v>
      </c>
      <c r="CU33" s="538"/>
      <c r="CV33" s="539">
        <f t="shared" si="31"/>
        <v>0</v>
      </c>
      <c r="CW33" s="540">
        <f t="shared" si="143"/>
        <v>0</v>
      </c>
      <c r="CX33" s="538"/>
      <c r="CY33" s="539">
        <f t="shared" si="32"/>
        <v>0</v>
      </c>
      <c r="CZ33" s="540">
        <f t="shared" si="144"/>
        <v>0</v>
      </c>
      <c r="DA33" s="538"/>
      <c r="DB33" s="539">
        <f t="shared" si="33"/>
        <v>0</v>
      </c>
      <c r="DC33" s="540">
        <f t="shared" si="145"/>
        <v>0</v>
      </c>
      <c r="DD33" s="538"/>
      <c r="DE33" s="539">
        <f t="shared" si="34"/>
        <v>0</v>
      </c>
      <c r="DF33" s="540">
        <f t="shared" si="146"/>
        <v>0</v>
      </c>
      <c r="DG33" s="538">
        <v>4.7249999999999996</v>
      </c>
      <c r="DH33" s="539">
        <f t="shared" si="35"/>
        <v>6.100395073204741E-2</v>
      </c>
      <c r="DI33" s="540">
        <f t="shared" si="203"/>
        <v>0</v>
      </c>
      <c r="DJ33" s="538"/>
      <c r="DK33" s="539">
        <f t="shared" si="36"/>
        <v>0</v>
      </c>
      <c r="DL33" s="540">
        <f t="shared" si="147"/>
        <v>0</v>
      </c>
      <c r="DM33" s="538"/>
      <c r="DN33" s="539">
        <f t="shared" si="37"/>
        <v>0</v>
      </c>
      <c r="DO33" s="540">
        <f t="shared" si="148"/>
        <v>0</v>
      </c>
      <c r="DP33" s="538"/>
      <c r="DQ33" s="539">
        <f t="shared" si="38"/>
        <v>0</v>
      </c>
      <c r="DR33" s="540">
        <f t="shared" si="149"/>
        <v>0</v>
      </c>
      <c r="DS33" s="538"/>
      <c r="DT33" s="539">
        <f t="shared" si="39"/>
        <v>0</v>
      </c>
      <c r="DU33" s="540">
        <f t="shared" si="150"/>
        <v>0</v>
      </c>
      <c r="DV33" s="538"/>
      <c r="DW33" s="539">
        <f t="shared" si="40"/>
        <v>0</v>
      </c>
      <c r="DX33" s="540">
        <f t="shared" si="151"/>
        <v>0</v>
      </c>
      <c r="DY33" s="538"/>
      <c r="DZ33" s="539">
        <f t="shared" si="41"/>
        <v>0</v>
      </c>
      <c r="EA33" s="540">
        <f t="shared" si="152"/>
        <v>0</v>
      </c>
      <c r="EB33" s="538">
        <v>14.718800000000016</v>
      </c>
      <c r="EC33" s="539">
        <f t="shared" si="42"/>
        <v>0.19003279365817152</v>
      </c>
      <c r="ED33" s="540">
        <f t="shared" si="153"/>
        <v>0</v>
      </c>
      <c r="EE33" s="538">
        <v>0</v>
      </c>
      <c r="EF33" s="539">
        <f t="shared" si="43"/>
        <v>0</v>
      </c>
      <c r="EG33" s="540">
        <f t="shared" si="154"/>
        <v>0</v>
      </c>
      <c r="EH33" s="538"/>
      <c r="EI33" s="539">
        <f t="shared" si="44"/>
        <v>0</v>
      </c>
      <c r="EJ33" s="540">
        <f t="shared" si="155"/>
        <v>0</v>
      </c>
      <c r="EK33" s="538"/>
      <c r="EL33" s="539">
        <f t="shared" si="45"/>
        <v>0</v>
      </c>
      <c r="EM33" s="540">
        <f t="shared" si="156"/>
        <v>0</v>
      </c>
      <c r="EN33" s="538"/>
      <c r="EO33" s="539">
        <f t="shared" si="46"/>
        <v>0</v>
      </c>
      <c r="EP33" s="540">
        <f t="shared" si="157"/>
        <v>0</v>
      </c>
      <c r="EQ33" s="538"/>
      <c r="ER33" s="539">
        <f t="shared" si="47"/>
        <v>0</v>
      </c>
      <c r="ES33" s="540">
        <f t="shared" si="158"/>
        <v>0</v>
      </c>
      <c r="ET33" s="538"/>
      <c r="EU33" s="539">
        <f t="shared" si="48"/>
        <v>0</v>
      </c>
      <c r="EV33" s="540">
        <f t="shared" si="159"/>
        <v>0</v>
      </c>
      <c r="EW33" s="538"/>
      <c r="EX33" s="539">
        <f t="shared" si="49"/>
        <v>0</v>
      </c>
      <c r="EY33" s="540">
        <f t="shared" si="160"/>
        <v>0</v>
      </c>
      <c r="EZ33" s="538"/>
      <c r="FA33" s="539">
        <f t="shared" si="50"/>
        <v>0</v>
      </c>
      <c r="FB33" s="540">
        <f t="shared" si="161"/>
        <v>0</v>
      </c>
      <c r="FC33" s="538"/>
      <c r="FD33" s="539">
        <f t="shared" si="51"/>
        <v>0</v>
      </c>
      <c r="FE33" s="540">
        <f t="shared" si="162"/>
        <v>0</v>
      </c>
      <c r="FF33" s="538"/>
      <c r="FG33" s="539">
        <f t="shared" si="52"/>
        <v>0</v>
      </c>
      <c r="FH33" s="540">
        <f t="shared" si="163"/>
        <v>0</v>
      </c>
      <c r="FI33" s="538"/>
      <c r="FJ33" s="539">
        <f t="shared" si="53"/>
        <v>0</v>
      </c>
      <c r="FK33" s="540">
        <f t="shared" si="164"/>
        <v>0</v>
      </c>
      <c r="FL33" s="538"/>
      <c r="FM33" s="539">
        <f t="shared" si="54"/>
        <v>0</v>
      </c>
      <c r="FN33" s="540">
        <f t="shared" si="165"/>
        <v>0</v>
      </c>
      <c r="FO33" s="538"/>
      <c r="FP33" s="539">
        <f t="shared" si="55"/>
        <v>0</v>
      </c>
      <c r="FQ33" s="540">
        <f t="shared" si="166"/>
        <v>0</v>
      </c>
      <c r="FR33" s="538"/>
      <c r="FS33" s="539">
        <f t="shared" si="56"/>
        <v>0</v>
      </c>
      <c r="FT33" s="540">
        <f t="shared" si="167"/>
        <v>0</v>
      </c>
      <c r="FU33" s="538"/>
      <c r="FV33" s="539">
        <f t="shared" si="57"/>
        <v>0</v>
      </c>
      <c r="FW33" s="540">
        <f t="shared" si="168"/>
        <v>0</v>
      </c>
      <c r="FX33" s="538"/>
      <c r="FY33" s="539">
        <f t="shared" si="58"/>
        <v>0</v>
      </c>
      <c r="FZ33" s="540">
        <f t="shared" si="169"/>
        <v>0</v>
      </c>
      <c r="GA33" s="538"/>
      <c r="GB33" s="539">
        <f t="shared" si="59"/>
        <v>0</v>
      </c>
      <c r="GC33" s="540">
        <f t="shared" si="170"/>
        <v>0</v>
      </c>
      <c r="GD33" s="538"/>
      <c r="GE33" s="539">
        <f t="shared" si="60"/>
        <v>0</v>
      </c>
      <c r="GF33" s="540">
        <f t="shared" si="171"/>
        <v>0</v>
      </c>
      <c r="GG33" s="538"/>
      <c r="GH33" s="539">
        <f t="shared" si="61"/>
        <v>0</v>
      </c>
      <c r="GI33" s="540">
        <f t="shared" si="172"/>
        <v>0</v>
      </c>
      <c r="GJ33" s="538"/>
      <c r="GK33" s="539">
        <f t="shared" si="62"/>
        <v>0</v>
      </c>
      <c r="GL33" s="540">
        <f t="shared" si="173"/>
        <v>0</v>
      </c>
      <c r="GM33" s="538"/>
      <c r="GN33" s="539">
        <f t="shared" si="63"/>
        <v>0</v>
      </c>
      <c r="GO33" s="540">
        <f t="shared" si="174"/>
        <v>0</v>
      </c>
      <c r="GP33" s="538"/>
      <c r="GQ33" s="539">
        <f t="shared" si="64"/>
        <v>0</v>
      </c>
      <c r="GR33" s="540">
        <f t="shared" si="175"/>
        <v>0</v>
      </c>
      <c r="GS33" s="538"/>
      <c r="GT33" s="539">
        <f t="shared" si="65"/>
        <v>0</v>
      </c>
      <c r="GU33" s="540">
        <f t="shared" si="176"/>
        <v>0</v>
      </c>
      <c r="GV33" s="538"/>
      <c r="GW33" s="539">
        <f t="shared" si="66"/>
        <v>0</v>
      </c>
      <c r="GX33" s="540">
        <f t="shared" si="177"/>
        <v>0</v>
      </c>
      <c r="GY33" s="538"/>
      <c r="GZ33" s="539">
        <f t="shared" si="67"/>
        <v>0</v>
      </c>
      <c r="HA33" s="540">
        <f t="shared" si="178"/>
        <v>0</v>
      </c>
      <c r="HB33" s="538"/>
      <c r="HC33" s="539">
        <f t="shared" si="68"/>
        <v>0</v>
      </c>
      <c r="HD33" s="540">
        <f t="shared" si="179"/>
        <v>0</v>
      </c>
      <c r="HE33" s="538"/>
      <c r="HF33" s="539">
        <f t="shared" si="69"/>
        <v>0</v>
      </c>
      <c r="HG33" s="540">
        <f t="shared" si="180"/>
        <v>0</v>
      </c>
      <c r="HH33" s="538"/>
      <c r="HI33" s="539">
        <f t="shared" si="70"/>
        <v>0</v>
      </c>
      <c r="HJ33" s="540">
        <f t="shared" si="181"/>
        <v>0</v>
      </c>
      <c r="HK33" s="538"/>
      <c r="HL33" s="539">
        <f t="shared" si="71"/>
        <v>0</v>
      </c>
      <c r="HM33" s="540">
        <f t="shared" si="182"/>
        <v>0</v>
      </c>
      <c r="HN33" s="538"/>
      <c r="HO33" s="539">
        <f t="shared" si="72"/>
        <v>0</v>
      </c>
      <c r="HP33" s="540">
        <f t="shared" si="183"/>
        <v>0</v>
      </c>
      <c r="HQ33" s="538"/>
      <c r="HR33" s="539">
        <f t="shared" si="73"/>
        <v>0</v>
      </c>
      <c r="HS33" s="540">
        <f t="shared" si="184"/>
        <v>0</v>
      </c>
      <c r="HT33" s="538"/>
      <c r="HU33" s="539">
        <f t="shared" si="74"/>
        <v>0</v>
      </c>
      <c r="HV33" s="540">
        <f t="shared" si="185"/>
        <v>0</v>
      </c>
      <c r="HW33" s="538"/>
      <c r="HX33" s="539">
        <f t="shared" si="75"/>
        <v>0</v>
      </c>
      <c r="HY33" s="540">
        <f t="shared" si="186"/>
        <v>0</v>
      </c>
      <c r="HZ33" s="538"/>
      <c r="IA33" s="539">
        <f t="shared" si="76"/>
        <v>0</v>
      </c>
      <c r="IB33" s="540">
        <f t="shared" si="187"/>
        <v>0</v>
      </c>
      <c r="IC33" s="538"/>
      <c r="ID33" s="539">
        <f t="shared" si="77"/>
        <v>0</v>
      </c>
      <c r="IE33" s="540">
        <f t="shared" si="188"/>
        <v>0</v>
      </c>
      <c r="IF33" s="538"/>
      <c r="IG33" s="539">
        <f t="shared" si="78"/>
        <v>0</v>
      </c>
      <c r="IH33" s="540">
        <f t="shared" si="189"/>
        <v>0</v>
      </c>
      <c r="II33" s="538"/>
      <c r="IJ33" s="539">
        <f t="shared" si="79"/>
        <v>0</v>
      </c>
      <c r="IK33" s="540">
        <f t="shared" si="190"/>
        <v>0</v>
      </c>
      <c r="IL33" s="538"/>
      <c r="IM33" s="539">
        <f t="shared" si="80"/>
        <v>0</v>
      </c>
      <c r="IN33" s="540">
        <f t="shared" si="191"/>
        <v>0</v>
      </c>
      <c r="IO33" s="538"/>
      <c r="IP33" s="539">
        <f t="shared" si="81"/>
        <v>0</v>
      </c>
      <c r="IQ33" s="540">
        <f t="shared" si="192"/>
        <v>0</v>
      </c>
      <c r="IR33" s="538"/>
      <c r="IS33" s="539">
        <f t="shared" si="82"/>
        <v>0</v>
      </c>
      <c r="IT33" s="540">
        <f t="shared" si="193"/>
        <v>0</v>
      </c>
      <c r="IU33" s="538"/>
      <c r="IV33" s="539">
        <f t="shared" si="83"/>
        <v>0</v>
      </c>
      <c r="IW33" s="540">
        <f t="shared" si="194"/>
        <v>0</v>
      </c>
      <c r="IX33" s="538"/>
      <c r="IY33" s="539">
        <f t="shared" si="84"/>
        <v>0</v>
      </c>
      <c r="IZ33" s="540">
        <f t="shared" si="195"/>
        <v>0</v>
      </c>
      <c r="JA33" s="538"/>
      <c r="JB33" s="539">
        <f t="shared" si="85"/>
        <v>0</v>
      </c>
      <c r="JC33" s="540">
        <f t="shared" si="196"/>
        <v>0</v>
      </c>
      <c r="JD33" s="538"/>
      <c r="JE33" s="539">
        <f t="shared" si="86"/>
        <v>0</v>
      </c>
      <c r="JF33" s="540">
        <f t="shared" si="197"/>
        <v>0</v>
      </c>
      <c r="JG33" s="538"/>
      <c r="JH33" s="539">
        <f t="shared" si="87"/>
        <v>0</v>
      </c>
      <c r="JI33" s="540">
        <f t="shared" si="198"/>
        <v>0</v>
      </c>
      <c r="JJ33" s="538"/>
      <c r="JK33" s="540" t="str">
        <f t="shared" si="88"/>
        <v>0</v>
      </c>
      <c r="JL33" s="540" t="str">
        <f t="shared" si="89"/>
        <v>0</v>
      </c>
      <c r="JM33" s="538"/>
      <c r="JN33" s="540" t="str">
        <f t="shared" si="90"/>
        <v>0</v>
      </c>
      <c r="JO33" s="540" t="str">
        <f t="shared" si="91"/>
        <v>0</v>
      </c>
      <c r="JP33" s="538"/>
      <c r="JQ33" s="540" t="str">
        <f t="shared" si="92"/>
        <v>0</v>
      </c>
      <c r="JR33" s="540" t="str">
        <f t="shared" si="93"/>
        <v>0</v>
      </c>
      <c r="JS33" s="538"/>
      <c r="JT33" s="540" t="str">
        <f t="shared" si="94"/>
        <v>0</v>
      </c>
      <c r="JU33" s="540" t="str">
        <f t="shared" si="95"/>
        <v>0</v>
      </c>
      <c r="JV33" s="538"/>
      <c r="JW33" s="540" t="str">
        <f t="shared" si="96"/>
        <v>0</v>
      </c>
      <c r="JX33" s="540" t="str">
        <f t="shared" si="97"/>
        <v>0</v>
      </c>
      <c r="JY33" s="538"/>
      <c r="JZ33" s="540" t="str">
        <f t="shared" si="98"/>
        <v>0</v>
      </c>
      <c r="KA33" s="540" t="str">
        <f t="shared" si="99"/>
        <v>0</v>
      </c>
      <c r="KB33" s="538"/>
      <c r="KC33" s="540" t="str">
        <f t="shared" si="100"/>
        <v>0</v>
      </c>
      <c r="KD33" s="540" t="str">
        <f t="shared" si="101"/>
        <v>0</v>
      </c>
      <c r="KE33" s="538"/>
      <c r="KF33" s="540" t="str">
        <f t="shared" si="102"/>
        <v>0</v>
      </c>
      <c r="KG33" s="540" t="str">
        <f t="shared" si="103"/>
        <v>0</v>
      </c>
      <c r="KH33" s="538"/>
      <c r="KI33" s="540" t="str">
        <f t="shared" si="104"/>
        <v>0</v>
      </c>
      <c r="KJ33" s="540" t="str">
        <f t="shared" si="105"/>
        <v>0</v>
      </c>
      <c r="KK33" s="538"/>
      <c r="KL33" s="540" t="str">
        <f t="shared" si="106"/>
        <v>0</v>
      </c>
      <c r="KM33" s="540" t="str">
        <f t="shared" si="107"/>
        <v>0</v>
      </c>
      <c r="KN33" s="538"/>
      <c r="KO33" s="540" t="str">
        <f t="shared" si="108"/>
        <v>0</v>
      </c>
      <c r="KP33" s="540" t="str">
        <f t="shared" si="109"/>
        <v>0</v>
      </c>
      <c r="KQ33" s="538"/>
      <c r="KR33" s="540" t="str">
        <f t="shared" si="110"/>
        <v>0</v>
      </c>
      <c r="KS33" s="540" t="str">
        <f t="shared" si="111"/>
        <v>0</v>
      </c>
      <c r="KT33" s="540">
        <f t="shared" si="201"/>
        <v>0</v>
      </c>
      <c r="KU33" s="540">
        <f t="shared" si="202"/>
        <v>0</v>
      </c>
      <c r="KV33" s="275">
        <f t="shared" si="199"/>
        <v>879.4858999999999</v>
      </c>
    </row>
    <row r="34" spans="1:308" ht="15" customHeight="1">
      <c r="A34" s="277">
        <f t="shared" si="200"/>
        <v>46017</v>
      </c>
      <c r="B34" s="278" t="str">
        <f>+Report1!B34</f>
        <v>MG</v>
      </c>
      <c r="C34" s="420" t="str">
        <f>+Report1!C34</f>
        <v>16/14</v>
      </c>
      <c r="D34" s="279">
        <f>+Report1!P34</f>
        <v>67.623000000000005</v>
      </c>
      <c r="E34" s="280">
        <f>+Report1!R34</f>
        <v>67.463999999999999</v>
      </c>
      <c r="F34" s="538">
        <v>0</v>
      </c>
      <c r="G34" s="539">
        <f t="shared" si="0"/>
        <v>0</v>
      </c>
      <c r="H34" s="540">
        <f t="shared" si="112"/>
        <v>0</v>
      </c>
      <c r="I34" s="538">
        <v>569.77045116279055</v>
      </c>
      <c r="J34" s="539">
        <f t="shared" si="1"/>
        <v>8.4455480132039398</v>
      </c>
      <c r="K34" s="540">
        <f t="shared" si="113"/>
        <v>0</v>
      </c>
      <c r="L34" s="538"/>
      <c r="M34" s="539">
        <f t="shared" si="2"/>
        <v>0</v>
      </c>
      <c r="N34" s="540">
        <f t="shared" si="114"/>
        <v>0</v>
      </c>
      <c r="O34" s="538">
        <v>9.0052000000000589</v>
      </c>
      <c r="P34" s="539">
        <f t="shared" si="3"/>
        <v>0.13348156053599045</v>
      </c>
      <c r="Q34" s="540">
        <f t="shared" si="115"/>
        <v>0</v>
      </c>
      <c r="R34" s="538"/>
      <c r="S34" s="539">
        <f t="shared" si="4"/>
        <v>0</v>
      </c>
      <c r="T34" s="540">
        <f t="shared" si="116"/>
        <v>0</v>
      </c>
      <c r="U34" s="538">
        <v>10.252299999999991</v>
      </c>
      <c r="V34" s="539">
        <f t="shared" si="5"/>
        <v>0.15196697497924808</v>
      </c>
      <c r="W34" s="540">
        <f t="shared" si="117"/>
        <v>0</v>
      </c>
      <c r="X34" s="538"/>
      <c r="Y34" s="539">
        <f t="shared" si="6"/>
        <v>0</v>
      </c>
      <c r="Z34" s="540">
        <f t="shared" si="118"/>
        <v>0</v>
      </c>
      <c r="AA34" s="538"/>
      <c r="AB34" s="539">
        <f t="shared" si="7"/>
        <v>0</v>
      </c>
      <c r="AC34" s="540">
        <f t="shared" si="119"/>
        <v>0</v>
      </c>
      <c r="AD34" s="538"/>
      <c r="AE34" s="539">
        <f t="shared" si="8"/>
        <v>0</v>
      </c>
      <c r="AF34" s="540">
        <f t="shared" si="120"/>
        <v>0</v>
      </c>
      <c r="AG34" s="538"/>
      <c r="AH34" s="539">
        <f t="shared" si="9"/>
        <v>0</v>
      </c>
      <c r="AI34" s="540">
        <f t="shared" si="121"/>
        <v>0</v>
      </c>
      <c r="AJ34" s="538">
        <v>0</v>
      </c>
      <c r="AK34" s="539">
        <f t="shared" si="10"/>
        <v>0</v>
      </c>
      <c r="AL34" s="540">
        <f t="shared" si="122"/>
        <v>0</v>
      </c>
      <c r="AM34" s="538">
        <v>0</v>
      </c>
      <c r="AN34" s="539">
        <f t="shared" si="11"/>
        <v>0</v>
      </c>
      <c r="AO34" s="540">
        <f t="shared" si="123"/>
        <v>0</v>
      </c>
      <c r="AP34" s="538">
        <v>0</v>
      </c>
      <c r="AQ34" s="539">
        <f t="shared" si="12"/>
        <v>0</v>
      </c>
      <c r="AR34" s="540">
        <f t="shared" si="124"/>
        <v>0</v>
      </c>
      <c r="AS34" s="538"/>
      <c r="AT34" s="539">
        <f t="shared" si="13"/>
        <v>0</v>
      </c>
      <c r="AU34" s="540">
        <f t="shared" si="125"/>
        <v>0</v>
      </c>
      <c r="AV34" s="538">
        <v>13.873999999999967</v>
      </c>
      <c r="AW34" s="539">
        <f t="shared" si="14"/>
        <v>0.20565042096525504</v>
      </c>
      <c r="AX34" s="540">
        <f t="shared" si="126"/>
        <v>0</v>
      </c>
      <c r="AY34" s="538">
        <v>0</v>
      </c>
      <c r="AZ34" s="539">
        <f t="shared" si="15"/>
        <v>0</v>
      </c>
      <c r="BA34" s="540">
        <f t="shared" si="127"/>
        <v>0</v>
      </c>
      <c r="BB34" s="538">
        <v>84.003200000000021</v>
      </c>
      <c r="BC34" s="539">
        <f t="shared" si="16"/>
        <v>1.2451559350171948</v>
      </c>
      <c r="BD34" s="540">
        <f t="shared" si="128"/>
        <v>0</v>
      </c>
      <c r="BE34" s="538"/>
      <c r="BF34" s="539">
        <f t="shared" si="17"/>
        <v>0</v>
      </c>
      <c r="BG34" s="540">
        <f t="shared" si="129"/>
        <v>0</v>
      </c>
      <c r="BH34" s="538"/>
      <c r="BI34" s="539">
        <f t="shared" si="18"/>
        <v>0</v>
      </c>
      <c r="BJ34" s="540">
        <f t="shared" si="130"/>
        <v>0</v>
      </c>
      <c r="BK34" s="538"/>
      <c r="BL34" s="539">
        <f t="shared" si="19"/>
        <v>0</v>
      </c>
      <c r="BM34" s="540">
        <f t="shared" si="131"/>
        <v>0</v>
      </c>
      <c r="BN34" s="538">
        <v>12.65107407407406</v>
      </c>
      <c r="BO34" s="539">
        <f t="shared" si="20"/>
        <v>0.18752333205967717</v>
      </c>
      <c r="BP34" s="540">
        <f t="shared" si="132"/>
        <v>0</v>
      </c>
      <c r="BQ34" s="538"/>
      <c r="BR34" s="539">
        <f t="shared" si="21"/>
        <v>0</v>
      </c>
      <c r="BS34" s="540">
        <f t="shared" si="133"/>
        <v>0</v>
      </c>
      <c r="BT34" s="538"/>
      <c r="BU34" s="539">
        <f t="shared" si="22"/>
        <v>0</v>
      </c>
      <c r="BV34" s="540">
        <f t="shared" si="134"/>
        <v>0</v>
      </c>
      <c r="BW34" s="538">
        <v>0.67999999999999972</v>
      </c>
      <c r="BX34" s="539">
        <f t="shared" si="23"/>
        <v>1.0079449780623737E-2</v>
      </c>
      <c r="BY34" s="540">
        <f t="shared" si="135"/>
        <v>0</v>
      </c>
      <c r="BZ34" s="538"/>
      <c r="CA34" s="539">
        <f t="shared" si="24"/>
        <v>0</v>
      </c>
      <c r="CB34" s="540">
        <f t="shared" si="136"/>
        <v>0</v>
      </c>
      <c r="CC34" s="538">
        <v>23.75</v>
      </c>
      <c r="CD34" s="539">
        <f t="shared" si="25"/>
        <v>0.35203960630854975</v>
      </c>
      <c r="CE34" s="540">
        <f t="shared" si="137"/>
        <v>0</v>
      </c>
      <c r="CF34" s="538">
        <v>0.10000000000000003</v>
      </c>
      <c r="CG34" s="539">
        <f t="shared" si="26"/>
        <v>1.4822720265623153E-3</v>
      </c>
      <c r="CH34" s="540">
        <f t="shared" si="138"/>
        <v>0</v>
      </c>
      <c r="CI34" s="538"/>
      <c r="CJ34" s="539">
        <f t="shared" si="27"/>
        <v>0</v>
      </c>
      <c r="CK34" s="540">
        <f t="shared" si="139"/>
        <v>0</v>
      </c>
      <c r="CL34" s="538"/>
      <c r="CM34" s="539">
        <f t="shared" si="28"/>
        <v>0</v>
      </c>
      <c r="CN34" s="540">
        <f t="shared" si="140"/>
        <v>0</v>
      </c>
      <c r="CO34" s="538"/>
      <c r="CP34" s="539">
        <f t="shared" si="29"/>
        <v>0</v>
      </c>
      <c r="CQ34" s="540">
        <f t="shared" si="141"/>
        <v>0</v>
      </c>
      <c r="CR34" s="538"/>
      <c r="CS34" s="539">
        <f t="shared" si="30"/>
        <v>0</v>
      </c>
      <c r="CT34" s="540">
        <f t="shared" si="142"/>
        <v>0</v>
      </c>
      <c r="CU34" s="538"/>
      <c r="CV34" s="539">
        <f t="shared" si="31"/>
        <v>0</v>
      </c>
      <c r="CW34" s="540">
        <f t="shared" si="143"/>
        <v>0</v>
      </c>
      <c r="CX34" s="538"/>
      <c r="CY34" s="539">
        <f t="shared" si="32"/>
        <v>0</v>
      </c>
      <c r="CZ34" s="540">
        <f t="shared" si="144"/>
        <v>0</v>
      </c>
      <c r="DA34" s="538"/>
      <c r="DB34" s="539">
        <f t="shared" si="33"/>
        <v>0</v>
      </c>
      <c r="DC34" s="540">
        <f t="shared" si="145"/>
        <v>0</v>
      </c>
      <c r="DD34" s="538"/>
      <c r="DE34" s="539">
        <f t="shared" si="34"/>
        <v>0</v>
      </c>
      <c r="DF34" s="540">
        <f t="shared" si="146"/>
        <v>0</v>
      </c>
      <c r="DG34" s="538">
        <v>3.4749999999999979</v>
      </c>
      <c r="DH34" s="539">
        <f t="shared" si="35"/>
        <v>5.1508952923040405E-2</v>
      </c>
      <c r="DI34" s="540">
        <f t="shared" si="203"/>
        <v>0</v>
      </c>
      <c r="DJ34" s="538"/>
      <c r="DK34" s="539">
        <f t="shared" si="36"/>
        <v>0</v>
      </c>
      <c r="DL34" s="540">
        <f t="shared" si="147"/>
        <v>0</v>
      </c>
      <c r="DM34" s="538"/>
      <c r="DN34" s="539">
        <f t="shared" si="37"/>
        <v>0</v>
      </c>
      <c r="DO34" s="540">
        <f t="shared" si="148"/>
        <v>0</v>
      </c>
      <c r="DP34" s="538"/>
      <c r="DQ34" s="539">
        <f t="shared" si="38"/>
        <v>0</v>
      </c>
      <c r="DR34" s="540">
        <f t="shared" si="149"/>
        <v>0</v>
      </c>
      <c r="DS34" s="538"/>
      <c r="DT34" s="539">
        <f t="shared" si="39"/>
        <v>0</v>
      </c>
      <c r="DU34" s="540">
        <f t="shared" si="150"/>
        <v>0</v>
      </c>
      <c r="DV34" s="538"/>
      <c r="DW34" s="539">
        <f t="shared" si="40"/>
        <v>0</v>
      </c>
      <c r="DX34" s="540">
        <f t="shared" si="151"/>
        <v>0</v>
      </c>
      <c r="DY34" s="538"/>
      <c r="DZ34" s="539">
        <f t="shared" si="41"/>
        <v>0</v>
      </c>
      <c r="EA34" s="540">
        <f t="shared" si="152"/>
        <v>0</v>
      </c>
      <c r="EB34" s="538">
        <v>37.204930232557899</v>
      </c>
      <c r="EC34" s="539">
        <f t="shared" si="42"/>
        <v>0.55147827333923127</v>
      </c>
      <c r="ED34" s="540">
        <f t="shared" si="153"/>
        <v>0</v>
      </c>
      <c r="EE34" s="538">
        <v>0</v>
      </c>
      <c r="EF34" s="539">
        <f t="shared" si="43"/>
        <v>0</v>
      </c>
      <c r="EG34" s="540">
        <f t="shared" si="154"/>
        <v>0</v>
      </c>
      <c r="EH34" s="538"/>
      <c r="EI34" s="539">
        <f t="shared" si="44"/>
        <v>0</v>
      </c>
      <c r="EJ34" s="540">
        <f t="shared" si="155"/>
        <v>0</v>
      </c>
      <c r="EK34" s="538"/>
      <c r="EL34" s="539">
        <f t="shared" si="45"/>
        <v>0</v>
      </c>
      <c r="EM34" s="540">
        <f t="shared" si="156"/>
        <v>0</v>
      </c>
      <c r="EN34" s="538"/>
      <c r="EO34" s="539">
        <f t="shared" si="46"/>
        <v>0</v>
      </c>
      <c r="EP34" s="540">
        <f t="shared" si="157"/>
        <v>0</v>
      </c>
      <c r="EQ34" s="538"/>
      <c r="ER34" s="539">
        <f t="shared" si="47"/>
        <v>0</v>
      </c>
      <c r="ES34" s="540">
        <f t="shared" si="158"/>
        <v>0</v>
      </c>
      <c r="ET34" s="538"/>
      <c r="EU34" s="539">
        <f t="shared" si="48"/>
        <v>0</v>
      </c>
      <c r="EV34" s="540">
        <f t="shared" si="159"/>
        <v>0</v>
      </c>
      <c r="EW34" s="538"/>
      <c r="EX34" s="539">
        <f t="shared" si="49"/>
        <v>0</v>
      </c>
      <c r="EY34" s="540">
        <f t="shared" si="160"/>
        <v>0</v>
      </c>
      <c r="EZ34" s="538"/>
      <c r="FA34" s="539">
        <f t="shared" si="50"/>
        <v>0</v>
      </c>
      <c r="FB34" s="540">
        <f t="shared" si="161"/>
        <v>0</v>
      </c>
      <c r="FC34" s="538"/>
      <c r="FD34" s="539">
        <f t="shared" si="51"/>
        <v>0</v>
      </c>
      <c r="FE34" s="540">
        <f t="shared" si="162"/>
        <v>0</v>
      </c>
      <c r="FF34" s="538"/>
      <c r="FG34" s="539">
        <f t="shared" si="52"/>
        <v>0</v>
      </c>
      <c r="FH34" s="540">
        <f t="shared" si="163"/>
        <v>0</v>
      </c>
      <c r="FI34" s="538"/>
      <c r="FJ34" s="539">
        <f t="shared" si="53"/>
        <v>0</v>
      </c>
      <c r="FK34" s="540">
        <f t="shared" si="164"/>
        <v>0</v>
      </c>
      <c r="FL34" s="538"/>
      <c r="FM34" s="539">
        <f t="shared" si="54"/>
        <v>0</v>
      </c>
      <c r="FN34" s="540">
        <f t="shared" si="165"/>
        <v>0</v>
      </c>
      <c r="FO34" s="538"/>
      <c r="FP34" s="539">
        <f t="shared" si="55"/>
        <v>0</v>
      </c>
      <c r="FQ34" s="540">
        <f t="shared" si="166"/>
        <v>0</v>
      </c>
      <c r="FR34" s="538"/>
      <c r="FS34" s="539">
        <f t="shared" si="56"/>
        <v>0</v>
      </c>
      <c r="FT34" s="540">
        <f t="shared" si="167"/>
        <v>0</v>
      </c>
      <c r="FU34" s="538"/>
      <c r="FV34" s="539">
        <f t="shared" si="57"/>
        <v>0</v>
      </c>
      <c r="FW34" s="540">
        <f t="shared" si="168"/>
        <v>0</v>
      </c>
      <c r="FX34" s="538"/>
      <c r="FY34" s="539">
        <f t="shared" si="58"/>
        <v>0</v>
      </c>
      <c r="FZ34" s="540">
        <f t="shared" si="169"/>
        <v>0</v>
      </c>
      <c r="GA34" s="538"/>
      <c r="GB34" s="539">
        <f t="shared" si="59"/>
        <v>0</v>
      </c>
      <c r="GC34" s="540">
        <f t="shared" si="170"/>
        <v>0</v>
      </c>
      <c r="GD34" s="538"/>
      <c r="GE34" s="539">
        <f t="shared" si="60"/>
        <v>0</v>
      </c>
      <c r="GF34" s="540">
        <f t="shared" si="171"/>
        <v>0</v>
      </c>
      <c r="GG34" s="538"/>
      <c r="GH34" s="539">
        <f t="shared" si="61"/>
        <v>0</v>
      </c>
      <c r="GI34" s="540">
        <f t="shared" si="172"/>
        <v>0</v>
      </c>
      <c r="GJ34" s="538"/>
      <c r="GK34" s="539">
        <f t="shared" si="62"/>
        <v>0</v>
      </c>
      <c r="GL34" s="540">
        <f t="shared" si="173"/>
        <v>0</v>
      </c>
      <c r="GM34" s="538"/>
      <c r="GN34" s="539">
        <f t="shared" si="63"/>
        <v>0</v>
      </c>
      <c r="GO34" s="540">
        <f t="shared" si="174"/>
        <v>0</v>
      </c>
      <c r="GP34" s="538"/>
      <c r="GQ34" s="539">
        <f t="shared" si="64"/>
        <v>0</v>
      </c>
      <c r="GR34" s="540">
        <f t="shared" si="175"/>
        <v>0</v>
      </c>
      <c r="GS34" s="538"/>
      <c r="GT34" s="539">
        <f t="shared" si="65"/>
        <v>0</v>
      </c>
      <c r="GU34" s="540">
        <f t="shared" si="176"/>
        <v>0</v>
      </c>
      <c r="GV34" s="538"/>
      <c r="GW34" s="539">
        <f t="shared" si="66"/>
        <v>0</v>
      </c>
      <c r="GX34" s="540">
        <f t="shared" si="177"/>
        <v>0</v>
      </c>
      <c r="GY34" s="538"/>
      <c r="GZ34" s="539">
        <f t="shared" si="67"/>
        <v>0</v>
      </c>
      <c r="HA34" s="540">
        <f t="shared" si="178"/>
        <v>0</v>
      </c>
      <c r="HB34" s="538"/>
      <c r="HC34" s="539">
        <f t="shared" si="68"/>
        <v>0</v>
      </c>
      <c r="HD34" s="540">
        <f t="shared" si="179"/>
        <v>0</v>
      </c>
      <c r="HE34" s="538"/>
      <c r="HF34" s="539">
        <f t="shared" si="69"/>
        <v>0</v>
      </c>
      <c r="HG34" s="540">
        <f t="shared" si="180"/>
        <v>0</v>
      </c>
      <c r="HH34" s="538"/>
      <c r="HI34" s="539">
        <f t="shared" si="70"/>
        <v>0</v>
      </c>
      <c r="HJ34" s="540">
        <f t="shared" si="181"/>
        <v>0</v>
      </c>
      <c r="HK34" s="538"/>
      <c r="HL34" s="539">
        <f t="shared" si="71"/>
        <v>0</v>
      </c>
      <c r="HM34" s="540">
        <f t="shared" si="182"/>
        <v>0</v>
      </c>
      <c r="HN34" s="538"/>
      <c r="HO34" s="539">
        <f t="shared" si="72"/>
        <v>0</v>
      </c>
      <c r="HP34" s="540">
        <f t="shared" si="183"/>
        <v>0</v>
      </c>
      <c r="HQ34" s="538"/>
      <c r="HR34" s="539">
        <f t="shared" si="73"/>
        <v>0</v>
      </c>
      <c r="HS34" s="540">
        <f t="shared" si="184"/>
        <v>0</v>
      </c>
      <c r="HT34" s="538"/>
      <c r="HU34" s="539">
        <f t="shared" si="74"/>
        <v>0</v>
      </c>
      <c r="HV34" s="540">
        <f t="shared" si="185"/>
        <v>0</v>
      </c>
      <c r="HW34" s="538"/>
      <c r="HX34" s="539">
        <f t="shared" si="75"/>
        <v>0</v>
      </c>
      <c r="HY34" s="540">
        <f t="shared" si="186"/>
        <v>0</v>
      </c>
      <c r="HZ34" s="538"/>
      <c r="IA34" s="539">
        <f t="shared" si="76"/>
        <v>0</v>
      </c>
      <c r="IB34" s="540">
        <f t="shared" si="187"/>
        <v>0</v>
      </c>
      <c r="IC34" s="538"/>
      <c r="ID34" s="539">
        <f t="shared" si="77"/>
        <v>0</v>
      </c>
      <c r="IE34" s="540">
        <f t="shared" si="188"/>
        <v>0</v>
      </c>
      <c r="IF34" s="538"/>
      <c r="IG34" s="539">
        <f t="shared" si="78"/>
        <v>0</v>
      </c>
      <c r="IH34" s="540">
        <f t="shared" si="189"/>
        <v>0</v>
      </c>
      <c r="II34" s="538"/>
      <c r="IJ34" s="539">
        <f t="shared" si="79"/>
        <v>0</v>
      </c>
      <c r="IK34" s="540">
        <f t="shared" si="190"/>
        <v>0</v>
      </c>
      <c r="IL34" s="538"/>
      <c r="IM34" s="539">
        <f t="shared" si="80"/>
        <v>0</v>
      </c>
      <c r="IN34" s="540">
        <f t="shared" si="191"/>
        <v>0</v>
      </c>
      <c r="IO34" s="538"/>
      <c r="IP34" s="539">
        <f t="shared" si="81"/>
        <v>0</v>
      </c>
      <c r="IQ34" s="540">
        <f t="shared" si="192"/>
        <v>0</v>
      </c>
      <c r="IR34" s="538"/>
      <c r="IS34" s="539">
        <f t="shared" si="82"/>
        <v>0</v>
      </c>
      <c r="IT34" s="540">
        <f t="shared" si="193"/>
        <v>0</v>
      </c>
      <c r="IU34" s="538"/>
      <c r="IV34" s="539">
        <f t="shared" si="83"/>
        <v>0</v>
      </c>
      <c r="IW34" s="540">
        <f t="shared" si="194"/>
        <v>0</v>
      </c>
      <c r="IX34" s="538"/>
      <c r="IY34" s="539">
        <f t="shared" si="84"/>
        <v>0</v>
      </c>
      <c r="IZ34" s="540">
        <f t="shared" si="195"/>
        <v>0</v>
      </c>
      <c r="JA34" s="538"/>
      <c r="JB34" s="539">
        <f t="shared" si="85"/>
        <v>0</v>
      </c>
      <c r="JC34" s="540">
        <f t="shared" si="196"/>
        <v>0</v>
      </c>
      <c r="JD34" s="538"/>
      <c r="JE34" s="539">
        <f t="shared" si="86"/>
        <v>0</v>
      </c>
      <c r="JF34" s="540">
        <f t="shared" si="197"/>
        <v>0</v>
      </c>
      <c r="JG34" s="538"/>
      <c r="JH34" s="539">
        <f t="shared" si="87"/>
        <v>0</v>
      </c>
      <c r="JI34" s="540">
        <f t="shared" si="198"/>
        <v>0</v>
      </c>
      <c r="JJ34" s="538"/>
      <c r="JK34" s="540" t="str">
        <f t="shared" si="88"/>
        <v>0</v>
      </c>
      <c r="JL34" s="540" t="str">
        <f t="shared" si="89"/>
        <v>0</v>
      </c>
      <c r="JM34" s="538"/>
      <c r="JN34" s="540" t="str">
        <f t="shared" si="90"/>
        <v>0</v>
      </c>
      <c r="JO34" s="540" t="str">
        <f t="shared" si="91"/>
        <v>0</v>
      </c>
      <c r="JP34" s="538"/>
      <c r="JQ34" s="540" t="str">
        <f t="shared" si="92"/>
        <v>0</v>
      </c>
      <c r="JR34" s="540" t="str">
        <f t="shared" si="93"/>
        <v>0</v>
      </c>
      <c r="JS34" s="538"/>
      <c r="JT34" s="540" t="str">
        <f t="shared" si="94"/>
        <v>0</v>
      </c>
      <c r="JU34" s="540" t="str">
        <f t="shared" si="95"/>
        <v>0</v>
      </c>
      <c r="JV34" s="538"/>
      <c r="JW34" s="540" t="str">
        <f t="shared" si="96"/>
        <v>0</v>
      </c>
      <c r="JX34" s="540" t="str">
        <f t="shared" si="97"/>
        <v>0</v>
      </c>
      <c r="JY34" s="538"/>
      <c r="JZ34" s="540" t="str">
        <f t="shared" si="98"/>
        <v>0</v>
      </c>
      <c r="KA34" s="540" t="str">
        <f t="shared" si="99"/>
        <v>0</v>
      </c>
      <c r="KB34" s="538"/>
      <c r="KC34" s="540" t="str">
        <f t="shared" si="100"/>
        <v>0</v>
      </c>
      <c r="KD34" s="540" t="str">
        <f t="shared" si="101"/>
        <v>0</v>
      </c>
      <c r="KE34" s="538"/>
      <c r="KF34" s="540" t="str">
        <f t="shared" si="102"/>
        <v>0</v>
      </c>
      <c r="KG34" s="540" t="str">
        <f t="shared" si="103"/>
        <v>0</v>
      </c>
      <c r="KH34" s="538"/>
      <c r="KI34" s="540" t="str">
        <f t="shared" si="104"/>
        <v>0</v>
      </c>
      <c r="KJ34" s="540" t="str">
        <f t="shared" si="105"/>
        <v>0</v>
      </c>
      <c r="KK34" s="538"/>
      <c r="KL34" s="540" t="str">
        <f t="shared" si="106"/>
        <v>0</v>
      </c>
      <c r="KM34" s="540" t="str">
        <f t="shared" si="107"/>
        <v>0</v>
      </c>
      <c r="KN34" s="538"/>
      <c r="KO34" s="540" t="str">
        <f t="shared" si="108"/>
        <v>0</v>
      </c>
      <c r="KP34" s="540" t="str">
        <f t="shared" si="109"/>
        <v>0</v>
      </c>
      <c r="KQ34" s="538"/>
      <c r="KR34" s="540" t="str">
        <f t="shared" si="110"/>
        <v>0</v>
      </c>
      <c r="KS34" s="540" t="str">
        <f t="shared" si="111"/>
        <v>0</v>
      </c>
      <c r="KT34" s="540">
        <f t="shared" si="201"/>
        <v>0</v>
      </c>
      <c r="KU34" s="540">
        <f t="shared" si="202"/>
        <v>0</v>
      </c>
      <c r="KV34" s="275">
        <f t="shared" si="199"/>
        <v>764.76615546942242</v>
      </c>
    </row>
    <row r="35" spans="1:308" ht="15" customHeight="1">
      <c r="A35" s="277">
        <f t="shared" si="200"/>
        <v>46018</v>
      </c>
      <c r="B35" s="278" t="str">
        <f>+Report1!B35</f>
        <v>MG</v>
      </c>
      <c r="C35" s="420" t="str">
        <f>+Report1!C35</f>
        <v>14</v>
      </c>
      <c r="D35" s="279">
        <f>+Report1!P35</f>
        <v>59.222999999999999</v>
      </c>
      <c r="E35" s="280">
        <f>+Report1!R35</f>
        <v>57.66</v>
      </c>
      <c r="F35" s="538">
        <v>0</v>
      </c>
      <c r="G35" s="539">
        <f t="shared" si="0"/>
        <v>0</v>
      </c>
      <c r="H35" s="540">
        <f t="shared" si="112"/>
        <v>0</v>
      </c>
      <c r="I35" s="538">
        <v>588.07454883720948</v>
      </c>
      <c r="J35" s="539">
        <f t="shared" si="1"/>
        <v>10.199003621873214</v>
      </c>
      <c r="K35" s="540">
        <f t="shared" si="113"/>
        <v>0</v>
      </c>
      <c r="L35" s="538"/>
      <c r="M35" s="539">
        <f t="shared" si="2"/>
        <v>0</v>
      </c>
      <c r="N35" s="540">
        <f t="shared" si="114"/>
        <v>0</v>
      </c>
      <c r="O35" s="538">
        <v>8.7543999999999755</v>
      </c>
      <c r="P35" s="539">
        <f t="shared" si="3"/>
        <v>0.15182795698924689</v>
      </c>
      <c r="Q35" s="540">
        <f t="shared" si="115"/>
        <v>0</v>
      </c>
      <c r="R35" s="538"/>
      <c r="S35" s="539">
        <f t="shared" si="4"/>
        <v>0</v>
      </c>
      <c r="T35" s="540">
        <f t="shared" si="116"/>
        <v>0</v>
      </c>
      <c r="U35" s="538">
        <v>4.9916999999999803</v>
      </c>
      <c r="V35" s="539">
        <f t="shared" si="5"/>
        <v>8.6571279916753049E-2</v>
      </c>
      <c r="W35" s="540">
        <f t="shared" si="117"/>
        <v>0</v>
      </c>
      <c r="X35" s="538"/>
      <c r="Y35" s="539">
        <f t="shared" si="6"/>
        <v>0</v>
      </c>
      <c r="Z35" s="540">
        <f t="shared" si="118"/>
        <v>0</v>
      </c>
      <c r="AA35" s="538"/>
      <c r="AB35" s="539">
        <f t="shared" si="7"/>
        <v>0</v>
      </c>
      <c r="AC35" s="540">
        <f t="shared" si="119"/>
        <v>0</v>
      </c>
      <c r="AD35" s="538"/>
      <c r="AE35" s="539">
        <f t="shared" si="8"/>
        <v>0</v>
      </c>
      <c r="AF35" s="540">
        <f t="shared" si="120"/>
        <v>0</v>
      </c>
      <c r="AG35" s="538"/>
      <c r="AH35" s="539">
        <f t="shared" si="9"/>
        <v>0</v>
      </c>
      <c r="AI35" s="540">
        <f t="shared" si="121"/>
        <v>0</v>
      </c>
      <c r="AJ35" s="538">
        <v>0</v>
      </c>
      <c r="AK35" s="539">
        <f t="shared" si="10"/>
        <v>0</v>
      </c>
      <c r="AL35" s="540">
        <f t="shared" si="122"/>
        <v>0</v>
      </c>
      <c r="AM35" s="538">
        <v>0</v>
      </c>
      <c r="AN35" s="539">
        <f t="shared" si="11"/>
        <v>0</v>
      </c>
      <c r="AO35" s="540">
        <f t="shared" si="123"/>
        <v>0</v>
      </c>
      <c r="AP35" s="538">
        <v>0</v>
      </c>
      <c r="AQ35" s="539">
        <f t="shared" si="12"/>
        <v>0</v>
      </c>
      <c r="AR35" s="540">
        <f t="shared" si="124"/>
        <v>0</v>
      </c>
      <c r="AS35" s="538"/>
      <c r="AT35" s="539">
        <f t="shared" si="13"/>
        <v>0</v>
      </c>
      <c r="AU35" s="540">
        <f t="shared" si="125"/>
        <v>0</v>
      </c>
      <c r="AV35" s="538">
        <v>10.793500000000023</v>
      </c>
      <c r="AW35" s="539">
        <f t="shared" si="14"/>
        <v>0.18719216094346208</v>
      </c>
      <c r="AX35" s="540">
        <f t="shared" si="126"/>
        <v>0</v>
      </c>
      <c r="AY35" s="538">
        <v>0</v>
      </c>
      <c r="AZ35" s="539">
        <f t="shared" si="15"/>
        <v>0</v>
      </c>
      <c r="BA35" s="540">
        <f t="shared" si="127"/>
        <v>0</v>
      </c>
      <c r="BB35" s="538">
        <v>52.962799999999959</v>
      </c>
      <c r="BC35" s="539">
        <f t="shared" si="16"/>
        <v>0.91853624696496639</v>
      </c>
      <c r="BD35" s="540">
        <f t="shared" si="128"/>
        <v>0</v>
      </c>
      <c r="BE35" s="538"/>
      <c r="BF35" s="539">
        <f t="shared" si="17"/>
        <v>0</v>
      </c>
      <c r="BG35" s="540">
        <f t="shared" si="129"/>
        <v>0</v>
      </c>
      <c r="BH35" s="538"/>
      <c r="BI35" s="539">
        <f t="shared" si="18"/>
        <v>0</v>
      </c>
      <c r="BJ35" s="540">
        <f t="shared" si="130"/>
        <v>0</v>
      </c>
      <c r="BK35" s="538"/>
      <c r="BL35" s="539">
        <f t="shared" si="19"/>
        <v>0</v>
      </c>
      <c r="BM35" s="540">
        <f t="shared" si="131"/>
        <v>0</v>
      </c>
      <c r="BN35" s="538">
        <v>13.538225925925943</v>
      </c>
      <c r="BO35" s="539">
        <f t="shared" si="20"/>
        <v>0.23479406739379022</v>
      </c>
      <c r="BP35" s="540">
        <f t="shared" si="132"/>
        <v>0</v>
      </c>
      <c r="BQ35" s="538"/>
      <c r="BR35" s="539">
        <f t="shared" si="21"/>
        <v>0</v>
      </c>
      <c r="BS35" s="540">
        <f t="shared" si="133"/>
        <v>0</v>
      </c>
      <c r="BT35" s="538"/>
      <c r="BU35" s="539">
        <f t="shared" si="22"/>
        <v>0</v>
      </c>
      <c r="BV35" s="540">
        <f t="shared" si="134"/>
        <v>0</v>
      </c>
      <c r="BW35" s="538">
        <v>0.33999999999999986</v>
      </c>
      <c r="BX35" s="539">
        <f t="shared" si="23"/>
        <v>5.896635449184875E-3</v>
      </c>
      <c r="BY35" s="540">
        <f t="shared" si="135"/>
        <v>0</v>
      </c>
      <c r="BZ35" s="538"/>
      <c r="CA35" s="539">
        <f t="shared" si="24"/>
        <v>0</v>
      </c>
      <c r="CB35" s="540">
        <f t="shared" si="136"/>
        <v>0</v>
      </c>
      <c r="CC35" s="538">
        <v>0.625</v>
      </c>
      <c r="CD35" s="539">
        <f t="shared" si="25"/>
        <v>1.0839403399236907E-2</v>
      </c>
      <c r="CE35" s="540">
        <f t="shared" si="137"/>
        <v>0</v>
      </c>
      <c r="CF35" s="538">
        <v>9.9999999999999992E-2</v>
      </c>
      <c r="CG35" s="539">
        <f t="shared" si="26"/>
        <v>1.7343045438779048E-3</v>
      </c>
      <c r="CH35" s="540">
        <f t="shared" si="138"/>
        <v>0</v>
      </c>
      <c r="CI35" s="538"/>
      <c r="CJ35" s="539">
        <f t="shared" si="27"/>
        <v>0</v>
      </c>
      <c r="CK35" s="540">
        <f t="shared" si="139"/>
        <v>0</v>
      </c>
      <c r="CL35" s="538"/>
      <c r="CM35" s="539">
        <f t="shared" si="28"/>
        <v>0</v>
      </c>
      <c r="CN35" s="540">
        <f t="shared" si="140"/>
        <v>0</v>
      </c>
      <c r="CO35" s="538"/>
      <c r="CP35" s="539">
        <f t="shared" si="29"/>
        <v>0</v>
      </c>
      <c r="CQ35" s="540">
        <f t="shared" si="141"/>
        <v>0</v>
      </c>
      <c r="CR35" s="538"/>
      <c r="CS35" s="539">
        <f t="shared" si="30"/>
        <v>0</v>
      </c>
      <c r="CT35" s="540">
        <f t="shared" si="142"/>
        <v>0</v>
      </c>
      <c r="CU35" s="538"/>
      <c r="CV35" s="539">
        <f t="shared" si="31"/>
        <v>0</v>
      </c>
      <c r="CW35" s="540">
        <f t="shared" si="143"/>
        <v>0</v>
      </c>
      <c r="CX35" s="538"/>
      <c r="CY35" s="539">
        <f t="shared" si="32"/>
        <v>0</v>
      </c>
      <c r="CZ35" s="540">
        <f t="shared" si="144"/>
        <v>0</v>
      </c>
      <c r="DA35" s="538"/>
      <c r="DB35" s="539">
        <f t="shared" si="33"/>
        <v>0</v>
      </c>
      <c r="DC35" s="540">
        <f t="shared" si="145"/>
        <v>0</v>
      </c>
      <c r="DD35" s="538"/>
      <c r="DE35" s="539">
        <f t="shared" si="34"/>
        <v>0</v>
      </c>
      <c r="DF35" s="540">
        <f t="shared" si="146"/>
        <v>0</v>
      </c>
      <c r="DG35" s="538">
        <v>4.2000000000000011</v>
      </c>
      <c r="DH35" s="539">
        <f t="shared" si="35"/>
        <v>7.2840790842872025E-2</v>
      </c>
      <c r="DI35" s="540">
        <f t="shared" si="203"/>
        <v>0</v>
      </c>
      <c r="DJ35" s="538"/>
      <c r="DK35" s="539">
        <f t="shared" si="36"/>
        <v>0</v>
      </c>
      <c r="DL35" s="540">
        <f t="shared" si="147"/>
        <v>0</v>
      </c>
      <c r="DM35" s="538"/>
      <c r="DN35" s="539">
        <f t="shared" si="37"/>
        <v>0</v>
      </c>
      <c r="DO35" s="540">
        <f t="shared" si="148"/>
        <v>0</v>
      </c>
      <c r="DP35" s="538"/>
      <c r="DQ35" s="539">
        <f t="shared" si="38"/>
        <v>0</v>
      </c>
      <c r="DR35" s="540">
        <f t="shared" si="149"/>
        <v>0</v>
      </c>
      <c r="DS35" s="538"/>
      <c r="DT35" s="539">
        <f t="shared" si="39"/>
        <v>0</v>
      </c>
      <c r="DU35" s="540">
        <f t="shared" si="150"/>
        <v>0</v>
      </c>
      <c r="DV35" s="538"/>
      <c r="DW35" s="539">
        <f t="shared" si="40"/>
        <v>0</v>
      </c>
      <c r="DX35" s="540">
        <f t="shared" si="151"/>
        <v>0</v>
      </c>
      <c r="DY35" s="538"/>
      <c r="DZ35" s="539">
        <f t="shared" si="41"/>
        <v>0</v>
      </c>
      <c r="EA35" s="540">
        <f t="shared" si="152"/>
        <v>0</v>
      </c>
      <c r="EB35" s="538">
        <v>28.26946976744216</v>
      </c>
      <c r="EC35" s="539">
        <f t="shared" si="42"/>
        <v>0.49027869870694002</v>
      </c>
      <c r="ED35" s="540">
        <f t="shared" si="153"/>
        <v>0</v>
      </c>
      <c r="EE35" s="538">
        <v>0.5</v>
      </c>
      <c r="EF35" s="539">
        <f t="shared" si="43"/>
        <v>8.6715227193895246E-3</v>
      </c>
      <c r="EG35" s="540">
        <f t="shared" si="154"/>
        <v>0</v>
      </c>
      <c r="EH35" s="538"/>
      <c r="EI35" s="539">
        <f t="shared" si="44"/>
        <v>0</v>
      </c>
      <c r="EJ35" s="540">
        <f t="shared" si="155"/>
        <v>0</v>
      </c>
      <c r="EK35" s="538"/>
      <c r="EL35" s="539">
        <f t="shared" si="45"/>
        <v>0</v>
      </c>
      <c r="EM35" s="540">
        <f t="shared" si="156"/>
        <v>0</v>
      </c>
      <c r="EN35" s="538"/>
      <c r="EO35" s="539">
        <f t="shared" si="46"/>
        <v>0</v>
      </c>
      <c r="EP35" s="540">
        <f t="shared" si="157"/>
        <v>0</v>
      </c>
      <c r="EQ35" s="538"/>
      <c r="ER35" s="539">
        <f t="shared" si="47"/>
        <v>0</v>
      </c>
      <c r="ES35" s="540">
        <f t="shared" si="158"/>
        <v>0</v>
      </c>
      <c r="ET35" s="538"/>
      <c r="EU35" s="539">
        <f t="shared" si="48"/>
        <v>0</v>
      </c>
      <c r="EV35" s="540">
        <f t="shared" si="159"/>
        <v>0</v>
      </c>
      <c r="EW35" s="538"/>
      <c r="EX35" s="539">
        <f t="shared" si="49"/>
        <v>0</v>
      </c>
      <c r="EY35" s="540">
        <f t="shared" si="160"/>
        <v>0</v>
      </c>
      <c r="EZ35" s="538"/>
      <c r="FA35" s="539">
        <f t="shared" si="50"/>
        <v>0</v>
      </c>
      <c r="FB35" s="540">
        <f t="shared" si="161"/>
        <v>0</v>
      </c>
      <c r="FC35" s="538"/>
      <c r="FD35" s="539">
        <f t="shared" si="51"/>
        <v>0</v>
      </c>
      <c r="FE35" s="540">
        <f t="shared" si="162"/>
        <v>0</v>
      </c>
      <c r="FF35" s="538"/>
      <c r="FG35" s="539">
        <f t="shared" si="52"/>
        <v>0</v>
      </c>
      <c r="FH35" s="540">
        <f t="shared" si="163"/>
        <v>0</v>
      </c>
      <c r="FI35" s="538"/>
      <c r="FJ35" s="539">
        <f t="shared" si="53"/>
        <v>0</v>
      </c>
      <c r="FK35" s="540">
        <f t="shared" si="164"/>
        <v>0</v>
      </c>
      <c r="FL35" s="538"/>
      <c r="FM35" s="539">
        <f t="shared" si="54"/>
        <v>0</v>
      </c>
      <c r="FN35" s="540">
        <f t="shared" si="165"/>
        <v>0</v>
      </c>
      <c r="FO35" s="538"/>
      <c r="FP35" s="539">
        <f t="shared" si="55"/>
        <v>0</v>
      </c>
      <c r="FQ35" s="540">
        <f t="shared" si="166"/>
        <v>0</v>
      </c>
      <c r="FR35" s="538"/>
      <c r="FS35" s="539">
        <f t="shared" si="56"/>
        <v>0</v>
      </c>
      <c r="FT35" s="540">
        <f t="shared" si="167"/>
        <v>0</v>
      </c>
      <c r="FU35" s="538"/>
      <c r="FV35" s="539">
        <f t="shared" si="57"/>
        <v>0</v>
      </c>
      <c r="FW35" s="540">
        <f t="shared" si="168"/>
        <v>0</v>
      </c>
      <c r="FX35" s="538"/>
      <c r="FY35" s="539">
        <f t="shared" si="58"/>
        <v>0</v>
      </c>
      <c r="FZ35" s="540">
        <f t="shared" si="169"/>
        <v>0</v>
      </c>
      <c r="GA35" s="538"/>
      <c r="GB35" s="539">
        <f t="shared" si="59"/>
        <v>0</v>
      </c>
      <c r="GC35" s="540">
        <f t="shared" si="170"/>
        <v>0</v>
      </c>
      <c r="GD35" s="538"/>
      <c r="GE35" s="539">
        <f t="shared" si="60"/>
        <v>0</v>
      </c>
      <c r="GF35" s="540">
        <f t="shared" si="171"/>
        <v>0</v>
      </c>
      <c r="GG35" s="538"/>
      <c r="GH35" s="539">
        <f t="shared" si="61"/>
        <v>0</v>
      </c>
      <c r="GI35" s="540">
        <f t="shared" si="172"/>
        <v>0</v>
      </c>
      <c r="GJ35" s="538"/>
      <c r="GK35" s="539">
        <f t="shared" si="62"/>
        <v>0</v>
      </c>
      <c r="GL35" s="540">
        <f t="shared" si="173"/>
        <v>0</v>
      </c>
      <c r="GM35" s="538"/>
      <c r="GN35" s="539">
        <f t="shared" si="63"/>
        <v>0</v>
      </c>
      <c r="GO35" s="540">
        <f t="shared" si="174"/>
        <v>0</v>
      </c>
      <c r="GP35" s="538"/>
      <c r="GQ35" s="539">
        <f t="shared" si="64"/>
        <v>0</v>
      </c>
      <c r="GR35" s="540">
        <f t="shared" si="175"/>
        <v>0</v>
      </c>
      <c r="GS35" s="538"/>
      <c r="GT35" s="539">
        <f t="shared" si="65"/>
        <v>0</v>
      </c>
      <c r="GU35" s="540">
        <f t="shared" si="176"/>
        <v>0</v>
      </c>
      <c r="GV35" s="538"/>
      <c r="GW35" s="539">
        <f t="shared" si="66"/>
        <v>0</v>
      </c>
      <c r="GX35" s="540">
        <f t="shared" si="177"/>
        <v>0</v>
      </c>
      <c r="GY35" s="538"/>
      <c r="GZ35" s="539">
        <f t="shared" si="67"/>
        <v>0</v>
      </c>
      <c r="HA35" s="540">
        <f t="shared" si="178"/>
        <v>0</v>
      </c>
      <c r="HB35" s="538"/>
      <c r="HC35" s="539">
        <f t="shared" si="68"/>
        <v>0</v>
      </c>
      <c r="HD35" s="540">
        <f t="shared" si="179"/>
        <v>0</v>
      </c>
      <c r="HE35" s="538"/>
      <c r="HF35" s="539">
        <f t="shared" si="69"/>
        <v>0</v>
      </c>
      <c r="HG35" s="540">
        <f t="shared" si="180"/>
        <v>0</v>
      </c>
      <c r="HH35" s="538"/>
      <c r="HI35" s="539">
        <f t="shared" si="70"/>
        <v>0</v>
      </c>
      <c r="HJ35" s="540">
        <f t="shared" si="181"/>
        <v>0</v>
      </c>
      <c r="HK35" s="538"/>
      <c r="HL35" s="539">
        <f t="shared" si="71"/>
        <v>0</v>
      </c>
      <c r="HM35" s="540">
        <f t="shared" si="182"/>
        <v>0</v>
      </c>
      <c r="HN35" s="538"/>
      <c r="HO35" s="539">
        <f t="shared" si="72"/>
        <v>0</v>
      </c>
      <c r="HP35" s="540">
        <f t="shared" si="183"/>
        <v>0</v>
      </c>
      <c r="HQ35" s="538"/>
      <c r="HR35" s="539">
        <f t="shared" si="73"/>
        <v>0</v>
      </c>
      <c r="HS35" s="540">
        <f t="shared" si="184"/>
        <v>0</v>
      </c>
      <c r="HT35" s="538"/>
      <c r="HU35" s="539">
        <f t="shared" si="74"/>
        <v>0</v>
      </c>
      <c r="HV35" s="540">
        <f t="shared" si="185"/>
        <v>0</v>
      </c>
      <c r="HW35" s="538"/>
      <c r="HX35" s="539">
        <f t="shared" si="75"/>
        <v>0</v>
      </c>
      <c r="HY35" s="540">
        <f t="shared" si="186"/>
        <v>0</v>
      </c>
      <c r="HZ35" s="538"/>
      <c r="IA35" s="539">
        <f t="shared" si="76"/>
        <v>0</v>
      </c>
      <c r="IB35" s="540">
        <f t="shared" si="187"/>
        <v>0</v>
      </c>
      <c r="IC35" s="538"/>
      <c r="ID35" s="539">
        <f t="shared" si="77"/>
        <v>0</v>
      </c>
      <c r="IE35" s="540">
        <f t="shared" si="188"/>
        <v>0</v>
      </c>
      <c r="IF35" s="538"/>
      <c r="IG35" s="539">
        <f t="shared" si="78"/>
        <v>0</v>
      </c>
      <c r="IH35" s="540">
        <f t="shared" si="189"/>
        <v>0</v>
      </c>
      <c r="II35" s="538"/>
      <c r="IJ35" s="539">
        <f t="shared" si="79"/>
        <v>0</v>
      </c>
      <c r="IK35" s="540">
        <f t="shared" si="190"/>
        <v>0</v>
      </c>
      <c r="IL35" s="538"/>
      <c r="IM35" s="539">
        <f t="shared" si="80"/>
        <v>0</v>
      </c>
      <c r="IN35" s="540">
        <f t="shared" si="191"/>
        <v>0</v>
      </c>
      <c r="IO35" s="538"/>
      <c r="IP35" s="539">
        <f t="shared" si="81"/>
        <v>0</v>
      </c>
      <c r="IQ35" s="540">
        <f t="shared" si="192"/>
        <v>0</v>
      </c>
      <c r="IR35" s="538"/>
      <c r="IS35" s="539">
        <f t="shared" si="82"/>
        <v>0</v>
      </c>
      <c r="IT35" s="540">
        <f t="shared" si="193"/>
        <v>0</v>
      </c>
      <c r="IU35" s="538"/>
      <c r="IV35" s="539">
        <f t="shared" si="83"/>
        <v>0</v>
      </c>
      <c r="IW35" s="540">
        <f t="shared" si="194"/>
        <v>0</v>
      </c>
      <c r="IX35" s="538"/>
      <c r="IY35" s="539">
        <f t="shared" si="84"/>
        <v>0</v>
      </c>
      <c r="IZ35" s="540">
        <f t="shared" si="195"/>
        <v>0</v>
      </c>
      <c r="JA35" s="538"/>
      <c r="JB35" s="539">
        <f t="shared" si="85"/>
        <v>0</v>
      </c>
      <c r="JC35" s="540">
        <f t="shared" si="196"/>
        <v>0</v>
      </c>
      <c r="JD35" s="538"/>
      <c r="JE35" s="539">
        <f t="shared" si="86"/>
        <v>0</v>
      </c>
      <c r="JF35" s="540">
        <f t="shared" si="197"/>
        <v>0</v>
      </c>
      <c r="JG35" s="538"/>
      <c r="JH35" s="539">
        <f t="shared" si="87"/>
        <v>0</v>
      </c>
      <c r="JI35" s="540">
        <f t="shared" si="198"/>
        <v>0</v>
      </c>
      <c r="JJ35" s="538"/>
      <c r="JK35" s="540" t="str">
        <f t="shared" si="88"/>
        <v>0</v>
      </c>
      <c r="JL35" s="540" t="str">
        <f t="shared" si="89"/>
        <v>0</v>
      </c>
      <c r="JM35" s="538"/>
      <c r="JN35" s="540" t="str">
        <f t="shared" si="90"/>
        <v>0</v>
      </c>
      <c r="JO35" s="540" t="str">
        <f t="shared" si="91"/>
        <v>0</v>
      </c>
      <c r="JP35" s="538"/>
      <c r="JQ35" s="540" t="str">
        <f t="shared" si="92"/>
        <v>0</v>
      </c>
      <c r="JR35" s="540" t="str">
        <f t="shared" si="93"/>
        <v>0</v>
      </c>
      <c r="JS35" s="538"/>
      <c r="JT35" s="540" t="str">
        <f t="shared" si="94"/>
        <v>0</v>
      </c>
      <c r="JU35" s="540" t="str">
        <f t="shared" si="95"/>
        <v>0</v>
      </c>
      <c r="JV35" s="538"/>
      <c r="JW35" s="540" t="str">
        <f t="shared" si="96"/>
        <v>0</v>
      </c>
      <c r="JX35" s="540" t="str">
        <f t="shared" si="97"/>
        <v>0</v>
      </c>
      <c r="JY35" s="538"/>
      <c r="JZ35" s="540" t="str">
        <f t="shared" si="98"/>
        <v>0</v>
      </c>
      <c r="KA35" s="540" t="str">
        <f t="shared" si="99"/>
        <v>0</v>
      </c>
      <c r="KB35" s="538"/>
      <c r="KC35" s="540" t="str">
        <f t="shared" si="100"/>
        <v>0</v>
      </c>
      <c r="KD35" s="540" t="str">
        <f t="shared" si="101"/>
        <v>0</v>
      </c>
      <c r="KE35" s="538"/>
      <c r="KF35" s="540" t="str">
        <f t="shared" si="102"/>
        <v>0</v>
      </c>
      <c r="KG35" s="540" t="str">
        <f t="shared" si="103"/>
        <v>0</v>
      </c>
      <c r="KH35" s="538"/>
      <c r="KI35" s="540" t="str">
        <f t="shared" si="104"/>
        <v>0</v>
      </c>
      <c r="KJ35" s="540" t="str">
        <f t="shared" si="105"/>
        <v>0</v>
      </c>
      <c r="KK35" s="538"/>
      <c r="KL35" s="540" t="str">
        <f t="shared" si="106"/>
        <v>0</v>
      </c>
      <c r="KM35" s="540" t="str">
        <f t="shared" si="107"/>
        <v>0</v>
      </c>
      <c r="KN35" s="538"/>
      <c r="KO35" s="540" t="str">
        <f t="shared" si="108"/>
        <v>0</v>
      </c>
      <c r="KP35" s="540" t="str">
        <f t="shared" si="109"/>
        <v>0</v>
      </c>
      <c r="KQ35" s="538"/>
      <c r="KR35" s="540" t="str">
        <f t="shared" si="110"/>
        <v>0</v>
      </c>
      <c r="KS35" s="540" t="str">
        <f t="shared" si="111"/>
        <v>0</v>
      </c>
      <c r="KT35" s="540">
        <f t="shared" si="201"/>
        <v>0</v>
      </c>
      <c r="KU35" s="540">
        <f t="shared" si="202"/>
        <v>0</v>
      </c>
      <c r="KV35" s="275">
        <f t="shared" si="199"/>
        <v>713.1496445305778</v>
      </c>
    </row>
    <row r="36" spans="1:308" ht="15" customHeight="1">
      <c r="A36" s="277">
        <f t="shared" si="200"/>
        <v>46019</v>
      </c>
      <c r="B36" s="278" t="str">
        <f>+Report1!B36</f>
        <v>MG</v>
      </c>
      <c r="C36" s="420" t="str">
        <f>+Report1!C36</f>
        <v>14</v>
      </c>
      <c r="D36" s="279">
        <f>+Report1!P36</f>
        <v>62.563000000000002</v>
      </c>
      <c r="E36" s="280">
        <f>+Report1!R36</f>
        <v>67.025000000000006</v>
      </c>
      <c r="F36" s="538">
        <v>0</v>
      </c>
      <c r="G36" s="539">
        <f t="shared" si="0"/>
        <v>0</v>
      </c>
      <c r="H36" s="540">
        <f t="shared" si="112"/>
        <v>0</v>
      </c>
      <c r="I36" s="538">
        <v>621.23099999999999</v>
      </c>
      <c r="J36" s="539">
        <f t="shared" si="1"/>
        <v>9.2686460276016405</v>
      </c>
      <c r="K36" s="540">
        <f t="shared" si="113"/>
        <v>0</v>
      </c>
      <c r="L36" s="538"/>
      <c r="M36" s="539">
        <f t="shared" si="2"/>
        <v>0</v>
      </c>
      <c r="N36" s="540">
        <f t="shared" si="114"/>
        <v>0</v>
      </c>
      <c r="O36" s="538">
        <v>9.2452000000000112</v>
      </c>
      <c r="P36" s="539">
        <f t="shared" si="3"/>
        <v>0.13793659082431944</v>
      </c>
      <c r="Q36" s="540">
        <f t="shared" si="115"/>
        <v>0</v>
      </c>
      <c r="R36" s="538"/>
      <c r="S36" s="539">
        <f t="shared" si="4"/>
        <v>0</v>
      </c>
      <c r="T36" s="540">
        <f t="shared" si="116"/>
        <v>0</v>
      </c>
      <c r="U36" s="538">
        <v>5.2633000000000152</v>
      </c>
      <c r="V36" s="539">
        <f t="shared" si="5"/>
        <v>7.8527415143603355E-2</v>
      </c>
      <c r="W36" s="540">
        <f t="shared" si="117"/>
        <v>0</v>
      </c>
      <c r="X36" s="538"/>
      <c r="Y36" s="539">
        <f t="shared" si="6"/>
        <v>0</v>
      </c>
      <c r="Z36" s="540">
        <f t="shared" si="118"/>
        <v>0</v>
      </c>
      <c r="AA36" s="538"/>
      <c r="AB36" s="539">
        <f t="shared" si="7"/>
        <v>0</v>
      </c>
      <c r="AC36" s="540">
        <f t="shared" si="119"/>
        <v>0</v>
      </c>
      <c r="AD36" s="538"/>
      <c r="AE36" s="539">
        <f t="shared" si="8"/>
        <v>0</v>
      </c>
      <c r="AF36" s="540">
        <f t="shared" si="120"/>
        <v>0</v>
      </c>
      <c r="AG36" s="538"/>
      <c r="AH36" s="539">
        <f t="shared" si="9"/>
        <v>0</v>
      </c>
      <c r="AI36" s="540">
        <f t="shared" si="121"/>
        <v>0</v>
      </c>
      <c r="AJ36" s="538">
        <v>0</v>
      </c>
      <c r="AK36" s="539">
        <f t="shared" si="10"/>
        <v>0</v>
      </c>
      <c r="AL36" s="540">
        <f t="shared" si="122"/>
        <v>0</v>
      </c>
      <c r="AM36" s="538">
        <v>0</v>
      </c>
      <c r="AN36" s="539">
        <f t="shared" si="11"/>
        <v>0</v>
      </c>
      <c r="AO36" s="540">
        <f t="shared" si="123"/>
        <v>0</v>
      </c>
      <c r="AP36" s="538">
        <v>0</v>
      </c>
      <c r="AQ36" s="539">
        <f t="shared" si="12"/>
        <v>0</v>
      </c>
      <c r="AR36" s="540">
        <f t="shared" si="124"/>
        <v>0</v>
      </c>
      <c r="AS36" s="538"/>
      <c r="AT36" s="539">
        <f t="shared" si="13"/>
        <v>0</v>
      </c>
      <c r="AU36" s="540">
        <f t="shared" si="125"/>
        <v>0</v>
      </c>
      <c r="AV36" s="538">
        <v>11.407999999999987</v>
      </c>
      <c r="AW36" s="539">
        <f t="shared" si="14"/>
        <v>0.17020514733308445</v>
      </c>
      <c r="AX36" s="540">
        <f t="shared" si="126"/>
        <v>0</v>
      </c>
      <c r="AY36" s="538">
        <v>0</v>
      </c>
      <c r="AZ36" s="539">
        <f t="shared" si="15"/>
        <v>0</v>
      </c>
      <c r="BA36" s="540">
        <f t="shared" si="127"/>
        <v>0</v>
      </c>
      <c r="BB36" s="538">
        <v>85.100000000000009</v>
      </c>
      <c r="BC36" s="539">
        <f t="shared" si="16"/>
        <v>1.2696754942185753</v>
      </c>
      <c r="BD36" s="540">
        <f t="shared" si="128"/>
        <v>0</v>
      </c>
      <c r="BE36" s="538"/>
      <c r="BF36" s="539">
        <f t="shared" si="17"/>
        <v>0</v>
      </c>
      <c r="BG36" s="540">
        <f t="shared" si="129"/>
        <v>0</v>
      </c>
      <c r="BH36" s="538"/>
      <c r="BI36" s="539">
        <f t="shared" si="18"/>
        <v>0</v>
      </c>
      <c r="BJ36" s="540">
        <f t="shared" si="130"/>
        <v>0</v>
      </c>
      <c r="BK36" s="538"/>
      <c r="BL36" s="539">
        <f t="shared" si="19"/>
        <v>0</v>
      </c>
      <c r="BM36" s="540">
        <f t="shared" si="131"/>
        <v>0</v>
      </c>
      <c r="BN36" s="538">
        <v>14.301599999999993</v>
      </c>
      <c r="BO36" s="539">
        <f t="shared" si="20"/>
        <v>0.21337709809772462</v>
      </c>
      <c r="BP36" s="540">
        <f t="shared" si="132"/>
        <v>0</v>
      </c>
      <c r="BQ36" s="538"/>
      <c r="BR36" s="539">
        <f t="shared" si="21"/>
        <v>0</v>
      </c>
      <c r="BS36" s="540">
        <f t="shared" si="133"/>
        <v>0</v>
      </c>
      <c r="BT36" s="538"/>
      <c r="BU36" s="539">
        <f t="shared" si="22"/>
        <v>0</v>
      </c>
      <c r="BV36" s="540">
        <f t="shared" si="134"/>
        <v>0</v>
      </c>
      <c r="BW36" s="538">
        <v>0.33999999999999986</v>
      </c>
      <c r="BX36" s="539">
        <f t="shared" si="23"/>
        <v>5.0727340544572891E-3</v>
      </c>
      <c r="BY36" s="540">
        <f t="shared" si="135"/>
        <v>0</v>
      </c>
      <c r="BZ36" s="538"/>
      <c r="CA36" s="539">
        <f t="shared" si="24"/>
        <v>0</v>
      </c>
      <c r="CB36" s="540">
        <f t="shared" si="136"/>
        <v>0</v>
      </c>
      <c r="CC36" s="538">
        <v>0.625</v>
      </c>
      <c r="CD36" s="539">
        <f t="shared" si="25"/>
        <v>9.3248787765759043E-3</v>
      </c>
      <c r="CE36" s="540">
        <f t="shared" si="137"/>
        <v>0</v>
      </c>
      <c r="CF36" s="538">
        <v>9.9999999999999992E-2</v>
      </c>
      <c r="CG36" s="539">
        <f t="shared" si="26"/>
        <v>1.4919806042521444E-3</v>
      </c>
      <c r="CH36" s="540">
        <f t="shared" si="138"/>
        <v>0</v>
      </c>
      <c r="CI36" s="538"/>
      <c r="CJ36" s="539">
        <f t="shared" si="27"/>
        <v>0</v>
      </c>
      <c r="CK36" s="540">
        <f t="shared" si="139"/>
        <v>0</v>
      </c>
      <c r="CL36" s="538"/>
      <c r="CM36" s="539">
        <f t="shared" si="28"/>
        <v>0</v>
      </c>
      <c r="CN36" s="540">
        <f t="shared" si="140"/>
        <v>0</v>
      </c>
      <c r="CO36" s="538"/>
      <c r="CP36" s="539">
        <f t="shared" si="29"/>
        <v>0</v>
      </c>
      <c r="CQ36" s="540">
        <f t="shared" si="141"/>
        <v>0</v>
      </c>
      <c r="CR36" s="538"/>
      <c r="CS36" s="539">
        <f t="shared" si="30"/>
        <v>0</v>
      </c>
      <c r="CT36" s="540">
        <f t="shared" si="142"/>
        <v>0</v>
      </c>
      <c r="CU36" s="538"/>
      <c r="CV36" s="539">
        <f t="shared" si="31"/>
        <v>0</v>
      </c>
      <c r="CW36" s="540">
        <f t="shared" si="143"/>
        <v>0</v>
      </c>
      <c r="CX36" s="538"/>
      <c r="CY36" s="539">
        <f t="shared" si="32"/>
        <v>0</v>
      </c>
      <c r="CZ36" s="540">
        <f t="shared" si="144"/>
        <v>0</v>
      </c>
      <c r="DA36" s="538"/>
      <c r="DB36" s="539">
        <f t="shared" si="33"/>
        <v>0</v>
      </c>
      <c r="DC36" s="540">
        <f t="shared" si="145"/>
        <v>0</v>
      </c>
      <c r="DD36" s="538"/>
      <c r="DE36" s="539">
        <f t="shared" si="34"/>
        <v>0</v>
      </c>
      <c r="DF36" s="540">
        <f t="shared" si="146"/>
        <v>0</v>
      </c>
      <c r="DG36" s="538">
        <v>4.2000000000000011</v>
      </c>
      <c r="DH36" s="539">
        <f t="shared" si="35"/>
        <v>6.2663185378590086E-2</v>
      </c>
      <c r="DI36" s="540">
        <f t="shared" si="203"/>
        <v>0</v>
      </c>
      <c r="DJ36" s="538"/>
      <c r="DK36" s="539">
        <f t="shared" si="36"/>
        <v>0</v>
      </c>
      <c r="DL36" s="540">
        <f t="shared" si="147"/>
        <v>0</v>
      </c>
      <c r="DM36" s="538"/>
      <c r="DN36" s="539">
        <f t="shared" si="37"/>
        <v>0</v>
      </c>
      <c r="DO36" s="540">
        <f t="shared" si="148"/>
        <v>0</v>
      </c>
      <c r="DP36" s="538"/>
      <c r="DQ36" s="539">
        <f t="shared" si="38"/>
        <v>0</v>
      </c>
      <c r="DR36" s="540">
        <f t="shared" si="149"/>
        <v>0</v>
      </c>
      <c r="DS36" s="538"/>
      <c r="DT36" s="539">
        <f t="shared" si="39"/>
        <v>0</v>
      </c>
      <c r="DU36" s="540">
        <f t="shared" si="150"/>
        <v>0</v>
      </c>
      <c r="DV36" s="538"/>
      <c r="DW36" s="539">
        <f t="shared" si="40"/>
        <v>0</v>
      </c>
      <c r="DX36" s="540">
        <f t="shared" si="151"/>
        <v>0</v>
      </c>
      <c r="DY36" s="538"/>
      <c r="DZ36" s="539">
        <f t="shared" si="41"/>
        <v>0</v>
      </c>
      <c r="EA36" s="540">
        <f t="shared" si="152"/>
        <v>0</v>
      </c>
      <c r="EB36" s="538">
        <v>29.871599999999717</v>
      </c>
      <c r="EC36" s="539">
        <f t="shared" si="42"/>
        <v>0.4456784781797794</v>
      </c>
      <c r="ED36" s="540">
        <f t="shared" si="153"/>
        <v>0</v>
      </c>
      <c r="EE36" s="538">
        <v>0</v>
      </c>
      <c r="EF36" s="539">
        <f t="shared" si="43"/>
        <v>0</v>
      </c>
      <c r="EG36" s="540">
        <f t="shared" si="154"/>
        <v>0</v>
      </c>
      <c r="EH36" s="538"/>
      <c r="EI36" s="539">
        <f t="shared" si="44"/>
        <v>0</v>
      </c>
      <c r="EJ36" s="540">
        <f t="shared" si="155"/>
        <v>0</v>
      </c>
      <c r="EK36" s="538"/>
      <c r="EL36" s="539">
        <f t="shared" si="45"/>
        <v>0</v>
      </c>
      <c r="EM36" s="540">
        <f t="shared" si="156"/>
        <v>0</v>
      </c>
      <c r="EN36" s="538"/>
      <c r="EO36" s="539">
        <f t="shared" si="46"/>
        <v>0</v>
      </c>
      <c r="EP36" s="540">
        <f t="shared" si="157"/>
        <v>0</v>
      </c>
      <c r="EQ36" s="538"/>
      <c r="ER36" s="539">
        <f t="shared" si="47"/>
        <v>0</v>
      </c>
      <c r="ES36" s="540">
        <f t="shared" si="158"/>
        <v>0</v>
      </c>
      <c r="ET36" s="538"/>
      <c r="EU36" s="539">
        <f t="shared" si="48"/>
        <v>0</v>
      </c>
      <c r="EV36" s="540">
        <f t="shared" si="159"/>
        <v>0</v>
      </c>
      <c r="EW36" s="538"/>
      <c r="EX36" s="539">
        <f t="shared" si="49"/>
        <v>0</v>
      </c>
      <c r="EY36" s="540">
        <f t="shared" si="160"/>
        <v>0</v>
      </c>
      <c r="EZ36" s="538"/>
      <c r="FA36" s="539">
        <f t="shared" si="50"/>
        <v>0</v>
      </c>
      <c r="FB36" s="540">
        <f t="shared" si="161"/>
        <v>0</v>
      </c>
      <c r="FC36" s="538"/>
      <c r="FD36" s="539">
        <f t="shared" si="51"/>
        <v>0</v>
      </c>
      <c r="FE36" s="540">
        <f t="shared" si="162"/>
        <v>0</v>
      </c>
      <c r="FF36" s="538"/>
      <c r="FG36" s="539">
        <f t="shared" si="52"/>
        <v>0</v>
      </c>
      <c r="FH36" s="540">
        <f t="shared" si="163"/>
        <v>0</v>
      </c>
      <c r="FI36" s="538"/>
      <c r="FJ36" s="539">
        <f t="shared" si="53"/>
        <v>0</v>
      </c>
      <c r="FK36" s="540">
        <f t="shared" si="164"/>
        <v>0</v>
      </c>
      <c r="FL36" s="538"/>
      <c r="FM36" s="539">
        <f t="shared" si="54"/>
        <v>0</v>
      </c>
      <c r="FN36" s="540">
        <f t="shared" si="165"/>
        <v>0</v>
      </c>
      <c r="FO36" s="538"/>
      <c r="FP36" s="539">
        <f t="shared" si="55"/>
        <v>0</v>
      </c>
      <c r="FQ36" s="540">
        <f t="shared" si="166"/>
        <v>0</v>
      </c>
      <c r="FR36" s="538"/>
      <c r="FS36" s="539">
        <f t="shared" si="56"/>
        <v>0</v>
      </c>
      <c r="FT36" s="540">
        <f t="shared" si="167"/>
        <v>0</v>
      </c>
      <c r="FU36" s="538"/>
      <c r="FV36" s="539">
        <f t="shared" si="57"/>
        <v>0</v>
      </c>
      <c r="FW36" s="540">
        <f t="shared" si="168"/>
        <v>0</v>
      </c>
      <c r="FX36" s="538"/>
      <c r="FY36" s="539">
        <f t="shared" si="58"/>
        <v>0</v>
      </c>
      <c r="FZ36" s="540">
        <f t="shared" si="169"/>
        <v>0</v>
      </c>
      <c r="GA36" s="538"/>
      <c r="GB36" s="539">
        <f t="shared" si="59"/>
        <v>0</v>
      </c>
      <c r="GC36" s="540">
        <f t="shared" si="170"/>
        <v>0</v>
      </c>
      <c r="GD36" s="538"/>
      <c r="GE36" s="539">
        <f t="shared" si="60"/>
        <v>0</v>
      </c>
      <c r="GF36" s="540">
        <f t="shared" si="171"/>
        <v>0</v>
      </c>
      <c r="GG36" s="538"/>
      <c r="GH36" s="539">
        <f t="shared" si="61"/>
        <v>0</v>
      </c>
      <c r="GI36" s="540">
        <f t="shared" si="172"/>
        <v>0</v>
      </c>
      <c r="GJ36" s="538"/>
      <c r="GK36" s="539">
        <f t="shared" si="62"/>
        <v>0</v>
      </c>
      <c r="GL36" s="540">
        <f t="shared" si="173"/>
        <v>0</v>
      </c>
      <c r="GM36" s="538"/>
      <c r="GN36" s="539">
        <f t="shared" si="63"/>
        <v>0</v>
      </c>
      <c r="GO36" s="540">
        <f t="shared" si="174"/>
        <v>0</v>
      </c>
      <c r="GP36" s="538"/>
      <c r="GQ36" s="539">
        <f t="shared" si="64"/>
        <v>0</v>
      </c>
      <c r="GR36" s="540">
        <f t="shared" si="175"/>
        <v>0</v>
      </c>
      <c r="GS36" s="538"/>
      <c r="GT36" s="539">
        <f t="shared" si="65"/>
        <v>0</v>
      </c>
      <c r="GU36" s="540">
        <f t="shared" si="176"/>
        <v>0</v>
      </c>
      <c r="GV36" s="538"/>
      <c r="GW36" s="539">
        <f t="shared" si="66"/>
        <v>0</v>
      </c>
      <c r="GX36" s="540">
        <f t="shared" si="177"/>
        <v>0</v>
      </c>
      <c r="GY36" s="538"/>
      <c r="GZ36" s="539">
        <f t="shared" si="67"/>
        <v>0</v>
      </c>
      <c r="HA36" s="540">
        <f t="shared" si="178"/>
        <v>0</v>
      </c>
      <c r="HB36" s="538"/>
      <c r="HC36" s="539">
        <f t="shared" si="68"/>
        <v>0</v>
      </c>
      <c r="HD36" s="540">
        <f t="shared" si="179"/>
        <v>0</v>
      </c>
      <c r="HE36" s="538"/>
      <c r="HF36" s="539">
        <f t="shared" si="69"/>
        <v>0</v>
      </c>
      <c r="HG36" s="540">
        <f t="shared" si="180"/>
        <v>0</v>
      </c>
      <c r="HH36" s="538"/>
      <c r="HI36" s="539">
        <f t="shared" si="70"/>
        <v>0</v>
      </c>
      <c r="HJ36" s="540">
        <f t="shared" si="181"/>
        <v>0</v>
      </c>
      <c r="HK36" s="538"/>
      <c r="HL36" s="539">
        <f t="shared" si="71"/>
        <v>0</v>
      </c>
      <c r="HM36" s="540">
        <f t="shared" si="182"/>
        <v>0</v>
      </c>
      <c r="HN36" s="538"/>
      <c r="HO36" s="539">
        <f t="shared" si="72"/>
        <v>0</v>
      </c>
      <c r="HP36" s="540">
        <f t="shared" si="183"/>
        <v>0</v>
      </c>
      <c r="HQ36" s="538"/>
      <c r="HR36" s="539">
        <f t="shared" si="73"/>
        <v>0</v>
      </c>
      <c r="HS36" s="540">
        <f t="shared" si="184"/>
        <v>0</v>
      </c>
      <c r="HT36" s="538"/>
      <c r="HU36" s="539">
        <f t="shared" si="74"/>
        <v>0</v>
      </c>
      <c r="HV36" s="540">
        <f t="shared" si="185"/>
        <v>0</v>
      </c>
      <c r="HW36" s="538"/>
      <c r="HX36" s="539">
        <f t="shared" si="75"/>
        <v>0</v>
      </c>
      <c r="HY36" s="540">
        <f t="shared" si="186"/>
        <v>0</v>
      </c>
      <c r="HZ36" s="538"/>
      <c r="IA36" s="539">
        <f t="shared" si="76"/>
        <v>0</v>
      </c>
      <c r="IB36" s="540">
        <f t="shared" si="187"/>
        <v>0</v>
      </c>
      <c r="IC36" s="538"/>
      <c r="ID36" s="539">
        <f t="shared" si="77"/>
        <v>0</v>
      </c>
      <c r="IE36" s="540">
        <f t="shared" si="188"/>
        <v>0</v>
      </c>
      <c r="IF36" s="538"/>
      <c r="IG36" s="539">
        <f t="shared" si="78"/>
        <v>0</v>
      </c>
      <c r="IH36" s="540">
        <f t="shared" si="189"/>
        <v>0</v>
      </c>
      <c r="II36" s="538"/>
      <c r="IJ36" s="539">
        <f t="shared" si="79"/>
        <v>0</v>
      </c>
      <c r="IK36" s="540">
        <f t="shared" si="190"/>
        <v>0</v>
      </c>
      <c r="IL36" s="538"/>
      <c r="IM36" s="539">
        <f t="shared" si="80"/>
        <v>0</v>
      </c>
      <c r="IN36" s="540">
        <f t="shared" si="191"/>
        <v>0</v>
      </c>
      <c r="IO36" s="538"/>
      <c r="IP36" s="539">
        <f t="shared" si="81"/>
        <v>0</v>
      </c>
      <c r="IQ36" s="540">
        <f t="shared" si="192"/>
        <v>0</v>
      </c>
      <c r="IR36" s="538"/>
      <c r="IS36" s="539">
        <f t="shared" si="82"/>
        <v>0</v>
      </c>
      <c r="IT36" s="540">
        <f t="shared" si="193"/>
        <v>0</v>
      </c>
      <c r="IU36" s="538"/>
      <c r="IV36" s="539">
        <f t="shared" si="83"/>
        <v>0</v>
      </c>
      <c r="IW36" s="540">
        <f t="shared" si="194"/>
        <v>0</v>
      </c>
      <c r="IX36" s="538"/>
      <c r="IY36" s="539">
        <f t="shared" si="84"/>
        <v>0</v>
      </c>
      <c r="IZ36" s="540">
        <f t="shared" si="195"/>
        <v>0</v>
      </c>
      <c r="JA36" s="538"/>
      <c r="JB36" s="539">
        <f t="shared" si="85"/>
        <v>0</v>
      </c>
      <c r="JC36" s="540">
        <f t="shared" si="196"/>
        <v>0</v>
      </c>
      <c r="JD36" s="538"/>
      <c r="JE36" s="539">
        <f t="shared" si="86"/>
        <v>0</v>
      </c>
      <c r="JF36" s="540">
        <f t="shared" si="197"/>
        <v>0</v>
      </c>
      <c r="JG36" s="538"/>
      <c r="JH36" s="539">
        <f t="shared" si="87"/>
        <v>0</v>
      </c>
      <c r="JI36" s="540">
        <f t="shared" si="198"/>
        <v>0</v>
      </c>
      <c r="JJ36" s="538"/>
      <c r="JK36" s="540" t="str">
        <f t="shared" si="88"/>
        <v>0</v>
      </c>
      <c r="JL36" s="540" t="str">
        <f t="shared" si="89"/>
        <v>0</v>
      </c>
      <c r="JM36" s="538"/>
      <c r="JN36" s="540" t="str">
        <f t="shared" si="90"/>
        <v>0</v>
      </c>
      <c r="JO36" s="540" t="str">
        <f t="shared" si="91"/>
        <v>0</v>
      </c>
      <c r="JP36" s="538"/>
      <c r="JQ36" s="540" t="str">
        <f t="shared" si="92"/>
        <v>0</v>
      </c>
      <c r="JR36" s="540" t="str">
        <f t="shared" si="93"/>
        <v>0</v>
      </c>
      <c r="JS36" s="538"/>
      <c r="JT36" s="540" t="str">
        <f t="shared" si="94"/>
        <v>0</v>
      </c>
      <c r="JU36" s="540" t="str">
        <f t="shared" si="95"/>
        <v>0</v>
      </c>
      <c r="JV36" s="538"/>
      <c r="JW36" s="540" t="str">
        <f t="shared" si="96"/>
        <v>0</v>
      </c>
      <c r="JX36" s="540" t="str">
        <f t="shared" si="97"/>
        <v>0</v>
      </c>
      <c r="JY36" s="538"/>
      <c r="JZ36" s="540" t="str">
        <f t="shared" si="98"/>
        <v>0</v>
      </c>
      <c r="KA36" s="540" t="str">
        <f t="shared" si="99"/>
        <v>0</v>
      </c>
      <c r="KB36" s="538"/>
      <c r="KC36" s="540" t="str">
        <f t="shared" si="100"/>
        <v>0</v>
      </c>
      <c r="KD36" s="540" t="str">
        <f t="shared" si="101"/>
        <v>0</v>
      </c>
      <c r="KE36" s="538"/>
      <c r="KF36" s="540" t="str">
        <f t="shared" si="102"/>
        <v>0</v>
      </c>
      <c r="KG36" s="540" t="str">
        <f t="shared" si="103"/>
        <v>0</v>
      </c>
      <c r="KH36" s="538"/>
      <c r="KI36" s="540" t="str">
        <f t="shared" si="104"/>
        <v>0</v>
      </c>
      <c r="KJ36" s="540" t="str">
        <f t="shared" si="105"/>
        <v>0</v>
      </c>
      <c r="KK36" s="538"/>
      <c r="KL36" s="540" t="str">
        <f t="shared" si="106"/>
        <v>0</v>
      </c>
      <c r="KM36" s="540" t="str">
        <f t="shared" si="107"/>
        <v>0</v>
      </c>
      <c r="KN36" s="538"/>
      <c r="KO36" s="540" t="str">
        <f t="shared" si="108"/>
        <v>0</v>
      </c>
      <c r="KP36" s="540" t="str">
        <f t="shared" si="109"/>
        <v>0</v>
      </c>
      <c r="KQ36" s="538"/>
      <c r="KR36" s="540" t="str">
        <f t="shared" si="110"/>
        <v>0</v>
      </c>
      <c r="KS36" s="540" t="str">
        <f t="shared" si="111"/>
        <v>0</v>
      </c>
      <c r="KT36" s="540">
        <f t="shared" si="201"/>
        <v>0</v>
      </c>
      <c r="KU36" s="540">
        <f t="shared" si="202"/>
        <v>0</v>
      </c>
      <c r="KV36" s="275">
        <f t="shared" si="199"/>
        <v>781.6857</v>
      </c>
    </row>
    <row r="37" spans="1:308" ht="15" customHeight="1">
      <c r="A37" s="277">
        <f t="shared" si="200"/>
        <v>46020</v>
      </c>
      <c r="B37" s="278" t="str">
        <f>+Report1!B37</f>
        <v>MG</v>
      </c>
      <c r="C37" s="420" t="str">
        <f>+Report1!C37</f>
        <v>14/17</v>
      </c>
      <c r="D37" s="279">
        <f>+Report1!P37</f>
        <v>73.109999999999985</v>
      </c>
      <c r="E37" s="280">
        <f>+Report1!R37</f>
        <v>65.84</v>
      </c>
      <c r="F37" s="538">
        <v>0</v>
      </c>
      <c r="G37" s="539">
        <f t="shared" si="0"/>
        <v>0</v>
      </c>
      <c r="H37" s="540">
        <f t="shared" si="112"/>
        <v>0</v>
      </c>
      <c r="I37" s="538">
        <v>674.41538139534873</v>
      </c>
      <c r="J37" s="539">
        <f t="shared" si="1"/>
        <v>10.243246983525951</v>
      </c>
      <c r="K37" s="540">
        <f t="shared" si="113"/>
        <v>0</v>
      </c>
      <c r="L37" s="538"/>
      <c r="M37" s="539">
        <f t="shared" si="2"/>
        <v>0</v>
      </c>
      <c r="N37" s="540">
        <f t="shared" si="114"/>
        <v>0</v>
      </c>
      <c r="O37" s="538">
        <v>9.0003999999999564</v>
      </c>
      <c r="P37" s="539">
        <f t="shared" si="3"/>
        <v>0.13670109356014515</v>
      </c>
      <c r="Q37" s="540">
        <f t="shared" si="115"/>
        <v>0</v>
      </c>
      <c r="R37" s="538"/>
      <c r="S37" s="539">
        <f t="shared" si="4"/>
        <v>0</v>
      </c>
      <c r="T37" s="540">
        <f t="shared" si="116"/>
        <v>0</v>
      </c>
      <c r="U37" s="538">
        <v>10.244999999999976</v>
      </c>
      <c r="V37" s="539">
        <f t="shared" si="5"/>
        <v>0.15560449574726573</v>
      </c>
      <c r="W37" s="540">
        <f t="shared" si="117"/>
        <v>0</v>
      </c>
      <c r="X37" s="538"/>
      <c r="Y37" s="539">
        <f t="shared" si="6"/>
        <v>0</v>
      </c>
      <c r="Z37" s="540">
        <f t="shared" si="118"/>
        <v>0</v>
      </c>
      <c r="AA37" s="538"/>
      <c r="AB37" s="539">
        <f t="shared" si="7"/>
        <v>0</v>
      </c>
      <c r="AC37" s="540">
        <f t="shared" si="119"/>
        <v>0</v>
      </c>
      <c r="AD37" s="538"/>
      <c r="AE37" s="539">
        <f t="shared" si="8"/>
        <v>0</v>
      </c>
      <c r="AF37" s="540">
        <f t="shared" si="120"/>
        <v>0</v>
      </c>
      <c r="AG37" s="538"/>
      <c r="AH37" s="539">
        <f t="shared" si="9"/>
        <v>0</v>
      </c>
      <c r="AI37" s="540">
        <f t="shared" si="121"/>
        <v>0</v>
      </c>
      <c r="AJ37" s="538">
        <v>0</v>
      </c>
      <c r="AK37" s="539">
        <f t="shared" si="10"/>
        <v>0</v>
      </c>
      <c r="AL37" s="540">
        <f t="shared" si="122"/>
        <v>0</v>
      </c>
      <c r="AM37" s="538">
        <v>0</v>
      </c>
      <c r="AN37" s="539">
        <f t="shared" si="11"/>
        <v>0</v>
      </c>
      <c r="AO37" s="540">
        <f t="shared" si="123"/>
        <v>0</v>
      </c>
      <c r="AP37" s="538">
        <v>0</v>
      </c>
      <c r="AQ37" s="539">
        <f t="shared" si="12"/>
        <v>0</v>
      </c>
      <c r="AR37" s="540">
        <f t="shared" si="124"/>
        <v>0</v>
      </c>
      <c r="AS37" s="538"/>
      <c r="AT37" s="539">
        <f t="shared" si="13"/>
        <v>0</v>
      </c>
      <c r="AU37" s="540">
        <f t="shared" si="125"/>
        <v>0</v>
      </c>
      <c r="AV37" s="538">
        <v>8.3234999999999957</v>
      </c>
      <c r="AW37" s="539">
        <f t="shared" si="14"/>
        <v>0.1264201093560145</v>
      </c>
      <c r="AX37" s="540">
        <f t="shared" si="126"/>
        <v>0</v>
      </c>
      <c r="AY37" s="538">
        <v>0</v>
      </c>
      <c r="AZ37" s="539">
        <f t="shared" si="15"/>
        <v>0</v>
      </c>
      <c r="BA37" s="540">
        <f t="shared" si="127"/>
        <v>0</v>
      </c>
      <c r="BB37" s="538">
        <v>92.937200000000018</v>
      </c>
      <c r="BC37" s="539">
        <f t="shared" si="16"/>
        <v>1.4115613608748483</v>
      </c>
      <c r="BD37" s="540">
        <f t="shared" si="128"/>
        <v>0</v>
      </c>
      <c r="BE37" s="538"/>
      <c r="BF37" s="539">
        <f t="shared" si="17"/>
        <v>0</v>
      </c>
      <c r="BG37" s="540">
        <f t="shared" si="129"/>
        <v>0</v>
      </c>
      <c r="BH37" s="538"/>
      <c r="BI37" s="539">
        <f t="shared" si="18"/>
        <v>0</v>
      </c>
      <c r="BJ37" s="540">
        <f t="shared" si="130"/>
        <v>0</v>
      </c>
      <c r="BK37" s="538"/>
      <c r="BL37" s="539">
        <f t="shared" si="19"/>
        <v>0</v>
      </c>
      <c r="BM37" s="540">
        <f t="shared" si="131"/>
        <v>0</v>
      </c>
      <c r="BN37" s="538">
        <v>15.184865432098768</v>
      </c>
      <c r="BO37" s="539">
        <f t="shared" si="20"/>
        <v>0.23063282855557057</v>
      </c>
      <c r="BP37" s="540">
        <f t="shared" si="132"/>
        <v>0</v>
      </c>
      <c r="BQ37" s="538"/>
      <c r="BR37" s="539">
        <f t="shared" si="21"/>
        <v>0</v>
      </c>
      <c r="BS37" s="540">
        <f t="shared" si="133"/>
        <v>0</v>
      </c>
      <c r="BT37" s="538"/>
      <c r="BU37" s="539">
        <f t="shared" si="22"/>
        <v>0</v>
      </c>
      <c r="BV37" s="540">
        <f t="shared" si="134"/>
        <v>0</v>
      </c>
      <c r="BW37" s="538">
        <v>0.67999999999999972</v>
      </c>
      <c r="BX37" s="539">
        <f t="shared" si="23"/>
        <v>1.0328068043742401E-2</v>
      </c>
      <c r="BY37" s="540">
        <f t="shared" si="135"/>
        <v>0</v>
      </c>
      <c r="BZ37" s="538"/>
      <c r="CA37" s="539">
        <f t="shared" si="24"/>
        <v>0</v>
      </c>
      <c r="CB37" s="540">
        <f t="shared" si="136"/>
        <v>0</v>
      </c>
      <c r="CC37" s="538">
        <v>0</v>
      </c>
      <c r="CD37" s="539">
        <f t="shared" si="25"/>
        <v>0</v>
      </c>
      <c r="CE37" s="540">
        <f t="shared" si="137"/>
        <v>0</v>
      </c>
      <c r="CF37" s="538">
        <v>0.10000000000000009</v>
      </c>
      <c r="CG37" s="539">
        <f t="shared" si="26"/>
        <v>1.5188335358444728E-3</v>
      </c>
      <c r="CH37" s="540">
        <f t="shared" si="138"/>
        <v>0</v>
      </c>
      <c r="CI37" s="538"/>
      <c r="CJ37" s="539">
        <f t="shared" si="27"/>
        <v>0</v>
      </c>
      <c r="CK37" s="540">
        <f t="shared" si="139"/>
        <v>0</v>
      </c>
      <c r="CL37" s="538"/>
      <c r="CM37" s="539">
        <f t="shared" si="28"/>
        <v>0</v>
      </c>
      <c r="CN37" s="540">
        <f t="shared" si="140"/>
        <v>0</v>
      </c>
      <c r="CO37" s="538"/>
      <c r="CP37" s="539">
        <f t="shared" si="29"/>
        <v>0</v>
      </c>
      <c r="CQ37" s="540">
        <f t="shared" si="141"/>
        <v>0</v>
      </c>
      <c r="CR37" s="538"/>
      <c r="CS37" s="539">
        <f t="shared" si="30"/>
        <v>0</v>
      </c>
      <c r="CT37" s="540">
        <f t="shared" si="142"/>
        <v>0</v>
      </c>
      <c r="CU37" s="538"/>
      <c r="CV37" s="539">
        <f t="shared" si="31"/>
        <v>0</v>
      </c>
      <c r="CW37" s="540">
        <f t="shared" si="143"/>
        <v>0</v>
      </c>
      <c r="CX37" s="538"/>
      <c r="CY37" s="539">
        <f t="shared" si="32"/>
        <v>0</v>
      </c>
      <c r="CZ37" s="540">
        <f t="shared" si="144"/>
        <v>0</v>
      </c>
      <c r="DA37" s="538"/>
      <c r="DB37" s="539">
        <f t="shared" si="33"/>
        <v>0</v>
      </c>
      <c r="DC37" s="540">
        <f t="shared" si="145"/>
        <v>0</v>
      </c>
      <c r="DD37" s="538"/>
      <c r="DE37" s="539">
        <f t="shared" si="34"/>
        <v>0</v>
      </c>
      <c r="DF37" s="540">
        <f t="shared" si="146"/>
        <v>0</v>
      </c>
      <c r="DG37" s="538">
        <v>4.7249999999999996</v>
      </c>
      <c r="DH37" s="539">
        <f t="shared" si="35"/>
        <v>7.1764884568651266E-2</v>
      </c>
      <c r="DI37" s="540">
        <f t="shared" si="203"/>
        <v>0</v>
      </c>
      <c r="DJ37" s="538"/>
      <c r="DK37" s="539">
        <f t="shared" si="36"/>
        <v>0</v>
      </c>
      <c r="DL37" s="540">
        <f t="shared" si="147"/>
        <v>0</v>
      </c>
      <c r="DM37" s="538"/>
      <c r="DN37" s="539">
        <f t="shared" si="37"/>
        <v>0</v>
      </c>
      <c r="DO37" s="540">
        <f t="shared" si="148"/>
        <v>0</v>
      </c>
      <c r="DP37" s="538"/>
      <c r="DQ37" s="539">
        <f t="shared" si="38"/>
        <v>0</v>
      </c>
      <c r="DR37" s="540">
        <f t="shared" si="149"/>
        <v>0</v>
      </c>
      <c r="DS37" s="538"/>
      <c r="DT37" s="539">
        <f t="shared" si="39"/>
        <v>0</v>
      </c>
      <c r="DU37" s="540">
        <f t="shared" si="150"/>
        <v>0</v>
      </c>
      <c r="DV37" s="538"/>
      <c r="DW37" s="539">
        <f t="shared" si="40"/>
        <v>0</v>
      </c>
      <c r="DX37" s="540">
        <f t="shared" si="151"/>
        <v>0</v>
      </c>
      <c r="DY37" s="538"/>
      <c r="DZ37" s="539">
        <f t="shared" si="41"/>
        <v>0</v>
      </c>
      <c r="EA37" s="540">
        <f t="shared" si="152"/>
        <v>0</v>
      </c>
      <c r="EB37" s="538">
        <v>14.533348837209132</v>
      </c>
      <c r="EC37" s="539">
        <f t="shared" si="42"/>
        <v>0.22073737602079482</v>
      </c>
      <c r="ED37" s="540">
        <f t="shared" si="153"/>
        <v>0</v>
      </c>
      <c r="EE37" s="538">
        <v>1</v>
      </c>
      <c r="EF37" s="539">
        <f t="shared" si="43"/>
        <v>1.5188335358444714E-2</v>
      </c>
      <c r="EG37" s="540">
        <f t="shared" si="154"/>
        <v>0</v>
      </c>
      <c r="EH37" s="538"/>
      <c r="EI37" s="539">
        <f t="shared" si="44"/>
        <v>0</v>
      </c>
      <c r="EJ37" s="540">
        <f t="shared" si="155"/>
        <v>0</v>
      </c>
      <c r="EK37" s="538"/>
      <c r="EL37" s="539">
        <f t="shared" si="45"/>
        <v>0</v>
      </c>
      <c r="EM37" s="540">
        <f t="shared" si="156"/>
        <v>0</v>
      </c>
      <c r="EN37" s="538"/>
      <c r="EO37" s="539">
        <f t="shared" si="46"/>
        <v>0</v>
      </c>
      <c r="EP37" s="540">
        <f t="shared" si="157"/>
        <v>0</v>
      </c>
      <c r="EQ37" s="538"/>
      <c r="ER37" s="539">
        <f t="shared" si="47"/>
        <v>0</v>
      </c>
      <c r="ES37" s="540">
        <f t="shared" si="158"/>
        <v>0</v>
      </c>
      <c r="ET37" s="538"/>
      <c r="EU37" s="539">
        <f t="shared" si="48"/>
        <v>0</v>
      </c>
      <c r="EV37" s="540">
        <f t="shared" si="159"/>
        <v>0</v>
      </c>
      <c r="EW37" s="538"/>
      <c r="EX37" s="539">
        <f t="shared" si="49"/>
        <v>0</v>
      </c>
      <c r="EY37" s="540">
        <f t="shared" si="160"/>
        <v>0</v>
      </c>
      <c r="EZ37" s="538"/>
      <c r="FA37" s="539">
        <f t="shared" si="50"/>
        <v>0</v>
      </c>
      <c r="FB37" s="540">
        <f t="shared" si="161"/>
        <v>0</v>
      </c>
      <c r="FC37" s="538"/>
      <c r="FD37" s="539">
        <f t="shared" si="51"/>
        <v>0</v>
      </c>
      <c r="FE37" s="540">
        <f t="shared" si="162"/>
        <v>0</v>
      </c>
      <c r="FF37" s="538"/>
      <c r="FG37" s="539">
        <f t="shared" si="52"/>
        <v>0</v>
      </c>
      <c r="FH37" s="540">
        <f t="shared" si="163"/>
        <v>0</v>
      </c>
      <c r="FI37" s="538"/>
      <c r="FJ37" s="539">
        <f t="shared" si="53"/>
        <v>0</v>
      </c>
      <c r="FK37" s="540">
        <f t="shared" si="164"/>
        <v>0</v>
      </c>
      <c r="FL37" s="538"/>
      <c r="FM37" s="539">
        <f t="shared" si="54"/>
        <v>0</v>
      </c>
      <c r="FN37" s="540">
        <f t="shared" si="165"/>
        <v>0</v>
      </c>
      <c r="FO37" s="538"/>
      <c r="FP37" s="539">
        <f t="shared" si="55"/>
        <v>0</v>
      </c>
      <c r="FQ37" s="540">
        <f t="shared" si="166"/>
        <v>0</v>
      </c>
      <c r="FR37" s="538"/>
      <c r="FS37" s="539">
        <f t="shared" si="56"/>
        <v>0</v>
      </c>
      <c r="FT37" s="540">
        <f t="shared" si="167"/>
        <v>0</v>
      </c>
      <c r="FU37" s="538"/>
      <c r="FV37" s="539">
        <f t="shared" si="57"/>
        <v>0</v>
      </c>
      <c r="FW37" s="540">
        <f t="shared" si="168"/>
        <v>0</v>
      </c>
      <c r="FX37" s="538"/>
      <c r="FY37" s="539">
        <f t="shared" si="58"/>
        <v>0</v>
      </c>
      <c r="FZ37" s="540">
        <f t="shared" si="169"/>
        <v>0</v>
      </c>
      <c r="GA37" s="538"/>
      <c r="GB37" s="539">
        <f t="shared" si="59"/>
        <v>0</v>
      </c>
      <c r="GC37" s="540">
        <f t="shared" si="170"/>
        <v>0</v>
      </c>
      <c r="GD37" s="538"/>
      <c r="GE37" s="539">
        <f t="shared" si="60"/>
        <v>0</v>
      </c>
      <c r="GF37" s="540">
        <f t="shared" si="171"/>
        <v>0</v>
      </c>
      <c r="GG37" s="538"/>
      <c r="GH37" s="539">
        <f t="shared" si="61"/>
        <v>0</v>
      </c>
      <c r="GI37" s="540">
        <f t="shared" si="172"/>
        <v>0</v>
      </c>
      <c r="GJ37" s="538"/>
      <c r="GK37" s="539">
        <f t="shared" si="62"/>
        <v>0</v>
      </c>
      <c r="GL37" s="540">
        <f t="shared" si="173"/>
        <v>0</v>
      </c>
      <c r="GM37" s="538"/>
      <c r="GN37" s="539">
        <f t="shared" si="63"/>
        <v>0</v>
      </c>
      <c r="GO37" s="540">
        <f t="shared" si="174"/>
        <v>0</v>
      </c>
      <c r="GP37" s="538"/>
      <c r="GQ37" s="539">
        <f t="shared" si="64"/>
        <v>0</v>
      </c>
      <c r="GR37" s="540">
        <f t="shared" si="175"/>
        <v>0</v>
      </c>
      <c r="GS37" s="538"/>
      <c r="GT37" s="539">
        <f t="shared" si="65"/>
        <v>0</v>
      </c>
      <c r="GU37" s="540">
        <f t="shared" si="176"/>
        <v>0</v>
      </c>
      <c r="GV37" s="538"/>
      <c r="GW37" s="539">
        <f t="shared" si="66"/>
        <v>0</v>
      </c>
      <c r="GX37" s="540">
        <f t="shared" si="177"/>
        <v>0</v>
      </c>
      <c r="GY37" s="538"/>
      <c r="GZ37" s="539">
        <f t="shared" si="67"/>
        <v>0</v>
      </c>
      <c r="HA37" s="540">
        <f t="shared" si="178"/>
        <v>0</v>
      </c>
      <c r="HB37" s="538"/>
      <c r="HC37" s="539">
        <f t="shared" si="68"/>
        <v>0</v>
      </c>
      <c r="HD37" s="540">
        <f t="shared" si="179"/>
        <v>0</v>
      </c>
      <c r="HE37" s="538"/>
      <c r="HF37" s="539">
        <f t="shared" si="69"/>
        <v>0</v>
      </c>
      <c r="HG37" s="540">
        <f t="shared" si="180"/>
        <v>0</v>
      </c>
      <c r="HH37" s="538"/>
      <c r="HI37" s="539">
        <f t="shared" si="70"/>
        <v>0</v>
      </c>
      <c r="HJ37" s="540">
        <f t="shared" si="181"/>
        <v>0</v>
      </c>
      <c r="HK37" s="538"/>
      <c r="HL37" s="539">
        <f t="shared" si="71"/>
        <v>0</v>
      </c>
      <c r="HM37" s="540">
        <f t="shared" si="182"/>
        <v>0</v>
      </c>
      <c r="HN37" s="538"/>
      <c r="HO37" s="539">
        <f t="shared" si="72"/>
        <v>0</v>
      </c>
      <c r="HP37" s="540">
        <f t="shared" si="183"/>
        <v>0</v>
      </c>
      <c r="HQ37" s="538"/>
      <c r="HR37" s="539">
        <f t="shared" si="73"/>
        <v>0</v>
      </c>
      <c r="HS37" s="540">
        <f t="shared" si="184"/>
        <v>0</v>
      </c>
      <c r="HT37" s="538"/>
      <c r="HU37" s="539">
        <f t="shared" si="74"/>
        <v>0</v>
      </c>
      <c r="HV37" s="540">
        <f t="shared" si="185"/>
        <v>0</v>
      </c>
      <c r="HW37" s="538"/>
      <c r="HX37" s="539">
        <f t="shared" si="75"/>
        <v>0</v>
      </c>
      <c r="HY37" s="540">
        <f t="shared" si="186"/>
        <v>0</v>
      </c>
      <c r="HZ37" s="538"/>
      <c r="IA37" s="539">
        <f t="shared" si="76"/>
        <v>0</v>
      </c>
      <c r="IB37" s="540">
        <f t="shared" si="187"/>
        <v>0</v>
      </c>
      <c r="IC37" s="538"/>
      <c r="ID37" s="539">
        <f t="shared" si="77"/>
        <v>0</v>
      </c>
      <c r="IE37" s="540">
        <f t="shared" si="188"/>
        <v>0</v>
      </c>
      <c r="IF37" s="538"/>
      <c r="IG37" s="539">
        <f t="shared" si="78"/>
        <v>0</v>
      </c>
      <c r="IH37" s="540">
        <f t="shared" si="189"/>
        <v>0</v>
      </c>
      <c r="II37" s="538"/>
      <c r="IJ37" s="539">
        <f t="shared" si="79"/>
        <v>0</v>
      </c>
      <c r="IK37" s="540">
        <f t="shared" si="190"/>
        <v>0</v>
      </c>
      <c r="IL37" s="538"/>
      <c r="IM37" s="539">
        <f t="shared" si="80"/>
        <v>0</v>
      </c>
      <c r="IN37" s="540">
        <f t="shared" si="191"/>
        <v>0</v>
      </c>
      <c r="IO37" s="538"/>
      <c r="IP37" s="539">
        <f t="shared" si="81"/>
        <v>0</v>
      </c>
      <c r="IQ37" s="540">
        <f t="shared" si="192"/>
        <v>0</v>
      </c>
      <c r="IR37" s="538"/>
      <c r="IS37" s="539">
        <f t="shared" si="82"/>
        <v>0</v>
      </c>
      <c r="IT37" s="540">
        <f t="shared" si="193"/>
        <v>0</v>
      </c>
      <c r="IU37" s="538"/>
      <c r="IV37" s="539">
        <f t="shared" si="83"/>
        <v>0</v>
      </c>
      <c r="IW37" s="540">
        <f t="shared" si="194"/>
        <v>0</v>
      </c>
      <c r="IX37" s="538"/>
      <c r="IY37" s="539">
        <f t="shared" si="84"/>
        <v>0</v>
      </c>
      <c r="IZ37" s="540">
        <f t="shared" si="195"/>
        <v>0</v>
      </c>
      <c r="JA37" s="538"/>
      <c r="JB37" s="539">
        <f t="shared" si="85"/>
        <v>0</v>
      </c>
      <c r="JC37" s="540">
        <f t="shared" si="196"/>
        <v>0</v>
      </c>
      <c r="JD37" s="538"/>
      <c r="JE37" s="539">
        <f t="shared" si="86"/>
        <v>0</v>
      </c>
      <c r="JF37" s="540">
        <f t="shared" si="197"/>
        <v>0</v>
      </c>
      <c r="JG37" s="538"/>
      <c r="JH37" s="539">
        <f t="shared" si="87"/>
        <v>0</v>
      </c>
      <c r="JI37" s="540">
        <f t="shared" si="198"/>
        <v>0</v>
      </c>
      <c r="JJ37" s="538"/>
      <c r="JK37" s="540" t="str">
        <f t="shared" si="88"/>
        <v>0</v>
      </c>
      <c r="JL37" s="540" t="str">
        <f t="shared" si="89"/>
        <v>0</v>
      </c>
      <c r="JM37" s="538"/>
      <c r="JN37" s="540" t="str">
        <f t="shared" si="90"/>
        <v>0</v>
      </c>
      <c r="JO37" s="540" t="str">
        <f t="shared" si="91"/>
        <v>0</v>
      </c>
      <c r="JP37" s="538"/>
      <c r="JQ37" s="540" t="str">
        <f t="shared" si="92"/>
        <v>0</v>
      </c>
      <c r="JR37" s="540" t="str">
        <f t="shared" si="93"/>
        <v>0</v>
      </c>
      <c r="JS37" s="538"/>
      <c r="JT37" s="540" t="str">
        <f t="shared" si="94"/>
        <v>0</v>
      </c>
      <c r="JU37" s="540" t="str">
        <f t="shared" si="95"/>
        <v>0</v>
      </c>
      <c r="JV37" s="538"/>
      <c r="JW37" s="540" t="str">
        <f t="shared" si="96"/>
        <v>0</v>
      </c>
      <c r="JX37" s="540" t="str">
        <f t="shared" si="97"/>
        <v>0</v>
      </c>
      <c r="JY37" s="538"/>
      <c r="JZ37" s="540" t="str">
        <f t="shared" si="98"/>
        <v>0</v>
      </c>
      <c r="KA37" s="540" t="str">
        <f t="shared" si="99"/>
        <v>0</v>
      </c>
      <c r="KB37" s="538"/>
      <c r="KC37" s="540" t="str">
        <f t="shared" si="100"/>
        <v>0</v>
      </c>
      <c r="KD37" s="540" t="str">
        <f t="shared" si="101"/>
        <v>0</v>
      </c>
      <c r="KE37" s="538"/>
      <c r="KF37" s="540" t="str">
        <f t="shared" si="102"/>
        <v>0</v>
      </c>
      <c r="KG37" s="540" t="str">
        <f t="shared" si="103"/>
        <v>0</v>
      </c>
      <c r="KH37" s="538"/>
      <c r="KI37" s="540" t="str">
        <f t="shared" si="104"/>
        <v>0</v>
      </c>
      <c r="KJ37" s="540" t="str">
        <f t="shared" si="105"/>
        <v>0</v>
      </c>
      <c r="KK37" s="538"/>
      <c r="KL37" s="540" t="str">
        <f t="shared" si="106"/>
        <v>0</v>
      </c>
      <c r="KM37" s="540" t="str">
        <f t="shared" si="107"/>
        <v>0</v>
      </c>
      <c r="KN37" s="538"/>
      <c r="KO37" s="540" t="str">
        <f t="shared" si="108"/>
        <v>0</v>
      </c>
      <c r="KP37" s="540" t="str">
        <f t="shared" si="109"/>
        <v>0</v>
      </c>
      <c r="KQ37" s="538"/>
      <c r="KR37" s="540" t="str">
        <f t="shared" si="110"/>
        <v>0</v>
      </c>
      <c r="KS37" s="540" t="str">
        <f t="shared" si="111"/>
        <v>0</v>
      </c>
      <c r="KT37" s="540">
        <f t="shared" si="201"/>
        <v>0</v>
      </c>
      <c r="KU37" s="540">
        <f t="shared" si="202"/>
        <v>0</v>
      </c>
      <c r="KV37" s="275">
        <f t="shared" si="199"/>
        <v>831.14469566465641</v>
      </c>
    </row>
    <row r="38" spans="1:308" ht="15" customHeight="1">
      <c r="A38" s="277">
        <f t="shared" si="200"/>
        <v>46021</v>
      </c>
      <c r="B38" s="278" t="str">
        <f>+Report1!B38</f>
        <v>MG</v>
      </c>
      <c r="C38" s="420" t="str">
        <f>+Report1!C38</f>
        <v>17</v>
      </c>
      <c r="D38" s="279">
        <f>+Report1!P38</f>
        <v>77.390999999999991</v>
      </c>
      <c r="E38" s="280">
        <f>+Report1!R38</f>
        <v>81.028000000000006</v>
      </c>
      <c r="F38" s="538"/>
      <c r="G38" s="539">
        <f t="shared" si="0"/>
        <v>0</v>
      </c>
      <c r="H38" s="540">
        <f t="shared" si="112"/>
        <v>0</v>
      </c>
      <c r="I38" s="538">
        <v>674.41860465116281</v>
      </c>
      <c r="J38" s="539">
        <f t="shared" si="1"/>
        <v>8.3232784303100509</v>
      </c>
      <c r="K38" s="540">
        <f t="shared" si="113"/>
        <v>0</v>
      </c>
      <c r="L38" s="538"/>
      <c r="M38" s="539">
        <f t="shared" si="2"/>
        <v>0</v>
      </c>
      <c r="N38" s="540">
        <f t="shared" si="114"/>
        <v>0</v>
      </c>
      <c r="O38" s="538">
        <v>9</v>
      </c>
      <c r="P38" s="539">
        <f t="shared" si="3"/>
        <v>0.1110727156044824</v>
      </c>
      <c r="Q38" s="540">
        <f t="shared" si="115"/>
        <v>0</v>
      </c>
      <c r="R38" s="538"/>
      <c r="S38" s="539">
        <f t="shared" si="4"/>
        <v>0</v>
      </c>
      <c r="T38" s="540">
        <f t="shared" si="116"/>
        <v>0</v>
      </c>
      <c r="U38" s="538">
        <v>10.250000000000028</v>
      </c>
      <c r="V38" s="539">
        <f t="shared" si="5"/>
        <v>0.12649948166066086</v>
      </c>
      <c r="W38" s="540">
        <f t="shared" si="117"/>
        <v>0</v>
      </c>
      <c r="X38" s="538"/>
      <c r="Y38" s="539">
        <f t="shared" si="6"/>
        <v>0</v>
      </c>
      <c r="Z38" s="540">
        <f t="shared" si="118"/>
        <v>0</v>
      </c>
      <c r="AA38" s="538"/>
      <c r="AB38" s="539">
        <f t="shared" si="7"/>
        <v>0</v>
      </c>
      <c r="AC38" s="540">
        <f t="shared" si="119"/>
        <v>0</v>
      </c>
      <c r="AD38" s="538"/>
      <c r="AE38" s="539">
        <f t="shared" si="8"/>
        <v>0</v>
      </c>
      <c r="AF38" s="540">
        <f t="shared" si="120"/>
        <v>0</v>
      </c>
      <c r="AG38" s="538"/>
      <c r="AH38" s="539">
        <f t="shared" si="9"/>
        <v>0</v>
      </c>
      <c r="AI38" s="540">
        <f t="shared" si="121"/>
        <v>0</v>
      </c>
      <c r="AJ38" s="538">
        <v>0</v>
      </c>
      <c r="AK38" s="539">
        <f t="shared" si="10"/>
        <v>0</v>
      </c>
      <c r="AL38" s="540">
        <f t="shared" si="122"/>
        <v>0</v>
      </c>
      <c r="AM38" s="538">
        <v>0</v>
      </c>
      <c r="AN38" s="539">
        <f t="shared" si="11"/>
        <v>0</v>
      </c>
      <c r="AO38" s="540">
        <f t="shared" si="123"/>
        <v>0</v>
      </c>
      <c r="AP38" s="538">
        <v>0</v>
      </c>
      <c r="AQ38" s="539">
        <f t="shared" si="12"/>
        <v>0</v>
      </c>
      <c r="AR38" s="540">
        <f t="shared" si="124"/>
        <v>0</v>
      </c>
      <c r="AS38" s="538"/>
      <c r="AT38" s="539">
        <f t="shared" si="13"/>
        <v>0</v>
      </c>
      <c r="AU38" s="540">
        <f t="shared" si="125"/>
        <v>0</v>
      </c>
      <c r="AV38" s="538">
        <v>11.09999999999998</v>
      </c>
      <c r="AW38" s="539">
        <f t="shared" si="14"/>
        <v>0.13698968257886138</v>
      </c>
      <c r="AX38" s="540">
        <f t="shared" si="126"/>
        <v>0</v>
      </c>
      <c r="AY38" s="538">
        <v>0</v>
      </c>
      <c r="AZ38" s="539">
        <f t="shared" si="15"/>
        <v>0</v>
      </c>
      <c r="BA38" s="540">
        <f t="shared" si="127"/>
        <v>0</v>
      </c>
      <c r="BB38" s="538">
        <v>86.333333333333343</v>
      </c>
      <c r="BC38" s="539">
        <f t="shared" si="16"/>
        <v>1.0654753089467015</v>
      </c>
      <c r="BD38" s="540">
        <f t="shared" si="128"/>
        <v>0</v>
      </c>
      <c r="BE38" s="538"/>
      <c r="BF38" s="539">
        <f t="shared" si="17"/>
        <v>0</v>
      </c>
      <c r="BG38" s="540">
        <f t="shared" si="129"/>
        <v>0</v>
      </c>
      <c r="BH38" s="538"/>
      <c r="BI38" s="539">
        <f t="shared" si="18"/>
        <v>0</v>
      </c>
      <c r="BJ38" s="540">
        <f t="shared" si="130"/>
        <v>0</v>
      </c>
      <c r="BK38" s="538"/>
      <c r="BL38" s="539">
        <f t="shared" si="19"/>
        <v>0</v>
      </c>
      <c r="BM38" s="540">
        <f t="shared" si="131"/>
        <v>0</v>
      </c>
      <c r="BN38" s="538">
        <v>5.0617283950617278</v>
      </c>
      <c r="BO38" s="539">
        <f t="shared" si="20"/>
        <v>6.2468879832424933E-2</v>
      </c>
      <c r="BP38" s="540">
        <f t="shared" si="132"/>
        <v>0</v>
      </c>
      <c r="BQ38" s="538"/>
      <c r="BR38" s="539">
        <f t="shared" si="21"/>
        <v>0</v>
      </c>
      <c r="BS38" s="540">
        <f t="shared" si="133"/>
        <v>0</v>
      </c>
      <c r="BT38" s="538"/>
      <c r="BU38" s="539">
        <f t="shared" si="22"/>
        <v>0</v>
      </c>
      <c r="BV38" s="540">
        <f t="shared" si="134"/>
        <v>0</v>
      </c>
      <c r="BW38" s="538"/>
      <c r="BX38" s="539">
        <f t="shared" si="23"/>
        <v>0</v>
      </c>
      <c r="BY38" s="540">
        <f t="shared" si="135"/>
        <v>0</v>
      </c>
      <c r="BZ38" s="538"/>
      <c r="CA38" s="539">
        <f t="shared" si="24"/>
        <v>0</v>
      </c>
      <c r="CB38" s="540">
        <f t="shared" si="136"/>
        <v>0</v>
      </c>
      <c r="CC38" s="538">
        <v>12.5</v>
      </c>
      <c r="CD38" s="539">
        <f t="shared" si="25"/>
        <v>0.15426766056178109</v>
      </c>
      <c r="CE38" s="540">
        <f t="shared" si="137"/>
        <v>0</v>
      </c>
      <c r="CF38" s="538">
        <v>9.9999999999999978E-2</v>
      </c>
      <c r="CG38" s="539">
        <f t="shared" si="26"/>
        <v>1.2341412844942485E-3</v>
      </c>
      <c r="CH38" s="540">
        <f t="shared" si="138"/>
        <v>0</v>
      </c>
      <c r="CI38" s="538"/>
      <c r="CJ38" s="539">
        <f t="shared" si="27"/>
        <v>0</v>
      </c>
      <c r="CK38" s="540">
        <f t="shared" si="139"/>
        <v>0</v>
      </c>
      <c r="CL38" s="538"/>
      <c r="CM38" s="539">
        <f t="shared" si="28"/>
        <v>0</v>
      </c>
      <c r="CN38" s="540">
        <f t="shared" si="140"/>
        <v>0</v>
      </c>
      <c r="CO38" s="538"/>
      <c r="CP38" s="539">
        <f t="shared" si="29"/>
        <v>0</v>
      </c>
      <c r="CQ38" s="540">
        <f t="shared" si="141"/>
        <v>0</v>
      </c>
      <c r="CR38" s="538"/>
      <c r="CS38" s="539">
        <f t="shared" si="30"/>
        <v>0</v>
      </c>
      <c r="CT38" s="540">
        <f t="shared" si="142"/>
        <v>0</v>
      </c>
      <c r="CU38" s="538"/>
      <c r="CV38" s="539">
        <f t="shared" si="31"/>
        <v>0</v>
      </c>
      <c r="CW38" s="540">
        <f t="shared" si="143"/>
        <v>0</v>
      </c>
      <c r="CX38" s="538"/>
      <c r="CY38" s="539">
        <f t="shared" si="32"/>
        <v>0</v>
      </c>
      <c r="CZ38" s="540">
        <f t="shared" si="144"/>
        <v>0</v>
      </c>
      <c r="DA38" s="538"/>
      <c r="DB38" s="539">
        <f t="shared" si="33"/>
        <v>0</v>
      </c>
      <c r="DC38" s="540">
        <f t="shared" si="145"/>
        <v>0</v>
      </c>
      <c r="DD38" s="538"/>
      <c r="DE38" s="539">
        <f t="shared" si="34"/>
        <v>0</v>
      </c>
      <c r="DF38" s="540">
        <f t="shared" si="146"/>
        <v>0</v>
      </c>
      <c r="DG38" s="538"/>
      <c r="DH38" s="539">
        <f t="shared" si="35"/>
        <v>0</v>
      </c>
      <c r="DI38" s="540">
        <f t="shared" si="203"/>
        <v>0</v>
      </c>
      <c r="DJ38" s="538"/>
      <c r="DK38" s="539">
        <f t="shared" si="36"/>
        <v>0</v>
      </c>
      <c r="DL38" s="540">
        <f t="shared" si="147"/>
        <v>0</v>
      </c>
      <c r="DM38" s="538"/>
      <c r="DN38" s="539">
        <f t="shared" si="37"/>
        <v>0</v>
      </c>
      <c r="DO38" s="540">
        <f t="shared" si="148"/>
        <v>0</v>
      </c>
      <c r="DP38" s="538"/>
      <c r="DQ38" s="539">
        <f t="shared" si="38"/>
        <v>0</v>
      </c>
      <c r="DR38" s="540">
        <f t="shared" si="149"/>
        <v>0</v>
      </c>
      <c r="DS38" s="538"/>
      <c r="DT38" s="539">
        <f t="shared" si="39"/>
        <v>0</v>
      </c>
      <c r="DU38" s="540">
        <f t="shared" si="150"/>
        <v>0</v>
      </c>
      <c r="DV38" s="538"/>
      <c r="DW38" s="539">
        <f t="shared" si="40"/>
        <v>0</v>
      </c>
      <c r="DX38" s="540">
        <f t="shared" si="151"/>
        <v>0</v>
      </c>
      <c r="DY38" s="538"/>
      <c r="DZ38" s="539">
        <f t="shared" si="41"/>
        <v>0</v>
      </c>
      <c r="EA38" s="540">
        <f t="shared" si="152"/>
        <v>0</v>
      </c>
      <c r="EB38" s="538">
        <v>29.069767441860677</v>
      </c>
      <c r="EC38" s="539">
        <f t="shared" si="42"/>
        <v>0.35876200130647029</v>
      </c>
      <c r="ED38" s="540">
        <f t="shared" si="153"/>
        <v>0</v>
      </c>
      <c r="EE38" s="538">
        <v>1</v>
      </c>
      <c r="EF38" s="539">
        <f t="shared" si="43"/>
        <v>1.2341412844942489E-2</v>
      </c>
      <c r="EG38" s="540">
        <f t="shared" si="154"/>
        <v>0</v>
      </c>
      <c r="EH38" s="538"/>
      <c r="EI38" s="539">
        <f t="shared" si="44"/>
        <v>0</v>
      </c>
      <c r="EJ38" s="540">
        <f t="shared" si="155"/>
        <v>0</v>
      </c>
      <c r="EK38" s="538"/>
      <c r="EL38" s="539">
        <f t="shared" si="45"/>
        <v>0</v>
      </c>
      <c r="EM38" s="540">
        <f t="shared" si="156"/>
        <v>0</v>
      </c>
      <c r="EN38" s="538"/>
      <c r="EO38" s="539">
        <f t="shared" si="46"/>
        <v>0</v>
      </c>
      <c r="EP38" s="540">
        <f t="shared" si="157"/>
        <v>0</v>
      </c>
      <c r="EQ38" s="538"/>
      <c r="ER38" s="539">
        <f t="shared" si="47"/>
        <v>0</v>
      </c>
      <c r="ES38" s="540">
        <f t="shared" si="158"/>
        <v>0</v>
      </c>
      <c r="ET38" s="538"/>
      <c r="EU38" s="539">
        <f t="shared" si="48"/>
        <v>0</v>
      </c>
      <c r="EV38" s="540">
        <f t="shared" si="159"/>
        <v>0</v>
      </c>
      <c r="EW38" s="538"/>
      <c r="EX38" s="539">
        <f t="shared" si="49"/>
        <v>0</v>
      </c>
      <c r="EY38" s="540">
        <f t="shared" si="160"/>
        <v>0</v>
      </c>
      <c r="EZ38" s="538"/>
      <c r="FA38" s="539">
        <f t="shared" si="50"/>
        <v>0</v>
      </c>
      <c r="FB38" s="540">
        <f t="shared" si="161"/>
        <v>0</v>
      </c>
      <c r="FC38" s="538"/>
      <c r="FD38" s="539">
        <f t="shared" si="51"/>
        <v>0</v>
      </c>
      <c r="FE38" s="540">
        <f t="shared" si="162"/>
        <v>0</v>
      </c>
      <c r="FF38" s="538"/>
      <c r="FG38" s="539">
        <f t="shared" si="52"/>
        <v>0</v>
      </c>
      <c r="FH38" s="540">
        <f t="shared" si="163"/>
        <v>0</v>
      </c>
      <c r="FI38" s="538"/>
      <c r="FJ38" s="539">
        <f t="shared" si="53"/>
        <v>0</v>
      </c>
      <c r="FK38" s="540">
        <f t="shared" si="164"/>
        <v>0</v>
      </c>
      <c r="FL38" s="538"/>
      <c r="FM38" s="539">
        <f t="shared" si="54"/>
        <v>0</v>
      </c>
      <c r="FN38" s="540">
        <f t="shared" si="165"/>
        <v>0</v>
      </c>
      <c r="FO38" s="538"/>
      <c r="FP38" s="539">
        <f t="shared" si="55"/>
        <v>0</v>
      </c>
      <c r="FQ38" s="540">
        <f t="shared" si="166"/>
        <v>0</v>
      </c>
      <c r="FR38" s="538"/>
      <c r="FS38" s="539">
        <f t="shared" si="56"/>
        <v>0</v>
      </c>
      <c r="FT38" s="540">
        <f t="shared" si="167"/>
        <v>0</v>
      </c>
      <c r="FU38" s="538"/>
      <c r="FV38" s="539">
        <f t="shared" si="57"/>
        <v>0</v>
      </c>
      <c r="FW38" s="540">
        <f t="shared" si="168"/>
        <v>0</v>
      </c>
      <c r="FX38" s="538"/>
      <c r="FY38" s="539">
        <f t="shared" si="58"/>
        <v>0</v>
      </c>
      <c r="FZ38" s="540">
        <f t="shared" si="169"/>
        <v>0</v>
      </c>
      <c r="GA38" s="538"/>
      <c r="GB38" s="539">
        <f t="shared" si="59"/>
        <v>0</v>
      </c>
      <c r="GC38" s="540">
        <f t="shared" si="170"/>
        <v>0</v>
      </c>
      <c r="GD38" s="538"/>
      <c r="GE38" s="539">
        <f t="shared" si="60"/>
        <v>0</v>
      </c>
      <c r="GF38" s="540">
        <f t="shared" si="171"/>
        <v>0</v>
      </c>
      <c r="GG38" s="538"/>
      <c r="GH38" s="539">
        <f t="shared" si="61"/>
        <v>0</v>
      </c>
      <c r="GI38" s="540">
        <f t="shared" si="172"/>
        <v>0</v>
      </c>
      <c r="GJ38" s="538"/>
      <c r="GK38" s="539">
        <f t="shared" si="62"/>
        <v>0</v>
      </c>
      <c r="GL38" s="540">
        <f t="shared" si="173"/>
        <v>0</v>
      </c>
      <c r="GM38" s="538"/>
      <c r="GN38" s="539">
        <f t="shared" si="63"/>
        <v>0</v>
      </c>
      <c r="GO38" s="540">
        <f t="shared" si="174"/>
        <v>0</v>
      </c>
      <c r="GP38" s="538"/>
      <c r="GQ38" s="539">
        <f t="shared" si="64"/>
        <v>0</v>
      </c>
      <c r="GR38" s="540">
        <f t="shared" si="175"/>
        <v>0</v>
      </c>
      <c r="GS38" s="538"/>
      <c r="GT38" s="539">
        <f t="shared" si="65"/>
        <v>0</v>
      </c>
      <c r="GU38" s="540">
        <f t="shared" si="176"/>
        <v>0</v>
      </c>
      <c r="GV38" s="538"/>
      <c r="GW38" s="539">
        <f t="shared" si="66"/>
        <v>0</v>
      </c>
      <c r="GX38" s="540">
        <f t="shared" si="177"/>
        <v>0</v>
      </c>
      <c r="GY38" s="538"/>
      <c r="GZ38" s="539">
        <f t="shared" si="67"/>
        <v>0</v>
      </c>
      <c r="HA38" s="540">
        <f t="shared" si="178"/>
        <v>0</v>
      </c>
      <c r="HB38" s="538"/>
      <c r="HC38" s="539">
        <f t="shared" si="68"/>
        <v>0</v>
      </c>
      <c r="HD38" s="540">
        <f t="shared" si="179"/>
        <v>0</v>
      </c>
      <c r="HE38" s="538"/>
      <c r="HF38" s="539">
        <f t="shared" si="69"/>
        <v>0</v>
      </c>
      <c r="HG38" s="540">
        <f t="shared" si="180"/>
        <v>0</v>
      </c>
      <c r="HH38" s="538"/>
      <c r="HI38" s="539">
        <f t="shared" si="70"/>
        <v>0</v>
      </c>
      <c r="HJ38" s="540">
        <f t="shared" si="181"/>
        <v>0</v>
      </c>
      <c r="HK38" s="538"/>
      <c r="HL38" s="539">
        <f t="shared" si="71"/>
        <v>0</v>
      </c>
      <c r="HM38" s="540">
        <f t="shared" si="182"/>
        <v>0</v>
      </c>
      <c r="HN38" s="538"/>
      <c r="HO38" s="539">
        <f t="shared" si="72"/>
        <v>0</v>
      </c>
      <c r="HP38" s="540">
        <f t="shared" si="183"/>
        <v>0</v>
      </c>
      <c r="HQ38" s="538"/>
      <c r="HR38" s="539">
        <f t="shared" si="73"/>
        <v>0</v>
      </c>
      <c r="HS38" s="540">
        <f t="shared" si="184"/>
        <v>0</v>
      </c>
      <c r="HT38" s="538"/>
      <c r="HU38" s="539">
        <f t="shared" si="74"/>
        <v>0</v>
      </c>
      <c r="HV38" s="540">
        <f t="shared" si="185"/>
        <v>0</v>
      </c>
      <c r="HW38" s="538"/>
      <c r="HX38" s="539">
        <f t="shared" si="75"/>
        <v>0</v>
      </c>
      <c r="HY38" s="540">
        <f t="shared" si="186"/>
        <v>0</v>
      </c>
      <c r="HZ38" s="538"/>
      <c r="IA38" s="539">
        <f t="shared" si="76"/>
        <v>0</v>
      </c>
      <c r="IB38" s="540">
        <f t="shared" si="187"/>
        <v>0</v>
      </c>
      <c r="IC38" s="538"/>
      <c r="ID38" s="539">
        <f t="shared" si="77"/>
        <v>0</v>
      </c>
      <c r="IE38" s="540">
        <f t="shared" si="188"/>
        <v>0</v>
      </c>
      <c r="IF38" s="538"/>
      <c r="IG38" s="539">
        <f t="shared" si="78"/>
        <v>0</v>
      </c>
      <c r="IH38" s="540">
        <f t="shared" si="189"/>
        <v>0</v>
      </c>
      <c r="II38" s="538"/>
      <c r="IJ38" s="539">
        <f t="shared" si="79"/>
        <v>0</v>
      </c>
      <c r="IK38" s="540">
        <f t="shared" si="190"/>
        <v>0</v>
      </c>
      <c r="IL38" s="538"/>
      <c r="IM38" s="539">
        <f t="shared" si="80"/>
        <v>0</v>
      </c>
      <c r="IN38" s="540">
        <f t="shared" si="191"/>
        <v>0</v>
      </c>
      <c r="IO38" s="538"/>
      <c r="IP38" s="539">
        <f t="shared" si="81"/>
        <v>0</v>
      </c>
      <c r="IQ38" s="540">
        <f t="shared" si="192"/>
        <v>0</v>
      </c>
      <c r="IR38" s="538"/>
      <c r="IS38" s="539">
        <f t="shared" si="82"/>
        <v>0</v>
      </c>
      <c r="IT38" s="540">
        <f t="shared" si="193"/>
        <v>0</v>
      </c>
      <c r="IU38" s="538"/>
      <c r="IV38" s="539">
        <f t="shared" si="83"/>
        <v>0</v>
      </c>
      <c r="IW38" s="540">
        <f t="shared" si="194"/>
        <v>0</v>
      </c>
      <c r="IX38" s="538"/>
      <c r="IY38" s="539">
        <f t="shared" si="84"/>
        <v>0</v>
      </c>
      <c r="IZ38" s="540">
        <f t="shared" si="195"/>
        <v>0</v>
      </c>
      <c r="JA38" s="538"/>
      <c r="JB38" s="539">
        <f t="shared" si="85"/>
        <v>0</v>
      </c>
      <c r="JC38" s="540">
        <f t="shared" si="196"/>
        <v>0</v>
      </c>
      <c r="JD38" s="538"/>
      <c r="JE38" s="539">
        <f t="shared" si="86"/>
        <v>0</v>
      </c>
      <c r="JF38" s="540">
        <f t="shared" si="197"/>
        <v>0</v>
      </c>
      <c r="JG38" s="538"/>
      <c r="JH38" s="539">
        <f t="shared" si="87"/>
        <v>0</v>
      </c>
      <c r="JI38" s="540">
        <f t="shared" si="198"/>
        <v>0</v>
      </c>
      <c r="JJ38" s="538"/>
      <c r="JK38" s="540" t="str">
        <f t="shared" si="88"/>
        <v>0</v>
      </c>
      <c r="JL38" s="540" t="str">
        <f t="shared" si="89"/>
        <v>0</v>
      </c>
      <c r="JM38" s="538"/>
      <c r="JN38" s="540" t="str">
        <f t="shared" si="90"/>
        <v>0</v>
      </c>
      <c r="JO38" s="540" t="str">
        <f t="shared" si="91"/>
        <v>0</v>
      </c>
      <c r="JP38" s="538"/>
      <c r="JQ38" s="540" t="str">
        <f t="shared" si="92"/>
        <v>0</v>
      </c>
      <c r="JR38" s="540" t="str">
        <f t="shared" si="93"/>
        <v>0</v>
      </c>
      <c r="JS38" s="538"/>
      <c r="JT38" s="540" t="str">
        <f t="shared" si="94"/>
        <v>0</v>
      </c>
      <c r="JU38" s="540" t="str">
        <f t="shared" si="95"/>
        <v>0</v>
      </c>
      <c r="JV38" s="538"/>
      <c r="JW38" s="540" t="str">
        <f t="shared" si="96"/>
        <v>0</v>
      </c>
      <c r="JX38" s="540" t="str">
        <f t="shared" si="97"/>
        <v>0</v>
      </c>
      <c r="JY38" s="538"/>
      <c r="JZ38" s="540" t="str">
        <f t="shared" si="98"/>
        <v>0</v>
      </c>
      <c r="KA38" s="540" t="str">
        <f t="shared" si="99"/>
        <v>0</v>
      </c>
      <c r="KB38" s="538"/>
      <c r="KC38" s="540" t="str">
        <f t="shared" si="100"/>
        <v>0</v>
      </c>
      <c r="KD38" s="540" t="str">
        <f t="shared" si="101"/>
        <v>0</v>
      </c>
      <c r="KE38" s="538"/>
      <c r="KF38" s="540" t="str">
        <f t="shared" si="102"/>
        <v>0</v>
      </c>
      <c r="KG38" s="540" t="str">
        <f t="shared" si="103"/>
        <v>0</v>
      </c>
      <c r="KH38" s="538"/>
      <c r="KI38" s="540" t="str">
        <f t="shared" si="104"/>
        <v>0</v>
      </c>
      <c r="KJ38" s="540" t="str">
        <f t="shared" si="105"/>
        <v>0</v>
      </c>
      <c r="KK38" s="538"/>
      <c r="KL38" s="540" t="str">
        <f t="shared" si="106"/>
        <v>0</v>
      </c>
      <c r="KM38" s="540" t="str">
        <f t="shared" si="107"/>
        <v>0</v>
      </c>
      <c r="KN38" s="538"/>
      <c r="KO38" s="540" t="str">
        <f t="shared" si="108"/>
        <v>0</v>
      </c>
      <c r="KP38" s="540" t="str">
        <f t="shared" si="109"/>
        <v>0</v>
      </c>
      <c r="KQ38" s="538"/>
      <c r="KR38" s="540" t="str">
        <f t="shared" si="110"/>
        <v>0</v>
      </c>
      <c r="KS38" s="540" t="str">
        <f t="shared" si="111"/>
        <v>0</v>
      </c>
      <c r="KT38" s="540">
        <f t="shared" si="201"/>
        <v>0</v>
      </c>
      <c r="KU38" s="540">
        <f t="shared" si="202"/>
        <v>0</v>
      </c>
      <c r="KV38" s="275">
        <f t="shared" si="199"/>
        <v>838.83343382141868</v>
      </c>
    </row>
    <row r="39" spans="1:308" ht="15" customHeight="1">
      <c r="A39" s="277">
        <f t="shared" si="200"/>
        <v>46022</v>
      </c>
      <c r="B39" s="278" t="str">
        <f>+Report1!B39</f>
        <v>MG/Facial</v>
      </c>
      <c r="C39" s="420" t="str">
        <f>+Report1!C39</f>
        <v>17/13</v>
      </c>
      <c r="D39" s="279">
        <f>+Report1!P39</f>
        <v>65.738</v>
      </c>
      <c r="E39" s="280">
        <f>+Report1!R39</f>
        <v>70.677000000000007</v>
      </c>
      <c r="F39" s="538"/>
      <c r="G39" s="539">
        <f t="shared" si="0"/>
        <v>0</v>
      </c>
      <c r="H39" s="540">
        <f t="shared" si="112"/>
        <v>0</v>
      </c>
      <c r="I39" s="538">
        <v>453.48837209302337</v>
      </c>
      <c r="J39" s="539">
        <f t="shared" si="1"/>
        <v>6.4163500444702422</v>
      </c>
      <c r="K39" s="540">
        <f t="shared" si="113"/>
        <v>0</v>
      </c>
      <c r="L39" s="538"/>
      <c r="M39" s="539">
        <f t="shared" si="2"/>
        <v>0</v>
      </c>
      <c r="N39" s="540">
        <f t="shared" si="114"/>
        <v>0</v>
      </c>
      <c r="O39" s="538">
        <v>9</v>
      </c>
      <c r="P39" s="539">
        <f t="shared" si="3"/>
        <v>0.12733987011333248</v>
      </c>
      <c r="Q39" s="540">
        <f t="shared" si="115"/>
        <v>0</v>
      </c>
      <c r="R39" s="538"/>
      <c r="S39" s="539">
        <f t="shared" si="4"/>
        <v>0</v>
      </c>
      <c r="T39" s="540">
        <f t="shared" si="116"/>
        <v>0</v>
      </c>
      <c r="U39" s="538">
        <v>10.25</v>
      </c>
      <c r="V39" s="539">
        <f t="shared" si="5"/>
        <v>0.14502596318462865</v>
      </c>
      <c r="W39" s="540">
        <f t="shared" si="117"/>
        <v>0</v>
      </c>
      <c r="X39" s="538"/>
      <c r="Y39" s="539">
        <f t="shared" si="6"/>
        <v>0</v>
      </c>
      <c r="Z39" s="540">
        <f t="shared" si="118"/>
        <v>0</v>
      </c>
      <c r="AA39" s="538"/>
      <c r="AB39" s="539">
        <f t="shared" si="7"/>
        <v>0</v>
      </c>
      <c r="AC39" s="540">
        <f t="shared" si="119"/>
        <v>0</v>
      </c>
      <c r="AD39" s="538"/>
      <c r="AE39" s="539">
        <f t="shared" si="8"/>
        <v>0</v>
      </c>
      <c r="AF39" s="540">
        <f t="shared" si="120"/>
        <v>0</v>
      </c>
      <c r="AG39" s="538"/>
      <c r="AH39" s="539">
        <f t="shared" si="9"/>
        <v>0</v>
      </c>
      <c r="AI39" s="540">
        <f t="shared" si="121"/>
        <v>0</v>
      </c>
      <c r="AJ39" s="538">
        <v>0</v>
      </c>
      <c r="AK39" s="539">
        <f t="shared" si="10"/>
        <v>0</v>
      </c>
      <c r="AL39" s="540">
        <f t="shared" si="122"/>
        <v>0</v>
      </c>
      <c r="AM39" s="538">
        <v>0</v>
      </c>
      <c r="AN39" s="539">
        <f t="shared" si="11"/>
        <v>0</v>
      </c>
      <c r="AO39" s="540">
        <f t="shared" si="123"/>
        <v>0</v>
      </c>
      <c r="AP39" s="538">
        <v>25.632911392405049</v>
      </c>
      <c r="AQ39" s="539">
        <f t="shared" si="12"/>
        <v>0.36267684525949101</v>
      </c>
      <c r="AR39" s="540">
        <f t="shared" si="124"/>
        <v>0</v>
      </c>
      <c r="AS39" s="538"/>
      <c r="AT39" s="539">
        <f t="shared" si="13"/>
        <v>0</v>
      </c>
      <c r="AU39" s="540">
        <f t="shared" si="125"/>
        <v>0</v>
      </c>
      <c r="AV39" s="538">
        <v>11.100000000000009</v>
      </c>
      <c r="AW39" s="539">
        <f t="shared" si="14"/>
        <v>0.15705250647311017</v>
      </c>
      <c r="AX39" s="540">
        <f t="shared" si="126"/>
        <v>0</v>
      </c>
      <c r="AY39" s="538">
        <v>44.333333333333314</v>
      </c>
      <c r="AZ39" s="539">
        <f t="shared" si="15"/>
        <v>0.62726676759530409</v>
      </c>
      <c r="BA39" s="540">
        <f t="shared" si="127"/>
        <v>0</v>
      </c>
      <c r="BB39" s="538">
        <v>44.333333333333329</v>
      </c>
      <c r="BC39" s="539">
        <f t="shared" si="16"/>
        <v>0.62726676759530431</v>
      </c>
      <c r="BD39" s="540">
        <f t="shared" si="128"/>
        <v>0</v>
      </c>
      <c r="BE39" s="538"/>
      <c r="BF39" s="539">
        <f t="shared" si="17"/>
        <v>0</v>
      </c>
      <c r="BG39" s="540">
        <f t="shared" si="129"/>
        <v>0</v>
      </c>
      <c r="BH39" s="538"/>
      <c r="BI39" s="539">
        <f t="shared" si="18"/>
        <v>0</v>
      </c>
      <c r="BJ39" s="540">
        <f t="shared" si="130"/>
        <v>0</v>
      </c>
      <c r="BK39" s="538"/>
      <c r="BL39" s="539">
        <f t="shared" si="19"/>
        <v>0</v>
      </c>
      <c r="BM39" s="540">
        <f t="shared" si="131"/>
        <v>0</v>
      </c>
      <c r="BN39" s="538">
        <v>2.5308641975308603</v>
      </c>
      <c r="BO39" s="539">
        <f t="shared" si="20"/>
        <v>3.5808879798673685E-2</v>
      </c>
      <c r="BP39" s="540">
        <f t="shared" si="132"/>
        <v>0</v>
      </c>
      <c r="BQ39" s="538"/>
      <c r="BR39" s="539">
        <f t="shared" si="21"/>
        <v>0</v>
      </c>
      <c r="BS39" s="540">
        <f t="shared" si="133"/>
        <v>0</v>
      </c>
      <c r="BT39" s="538"/>
      <c r="BU39" s="539">
        <f t="shared" si="22"/>
        <v>0</v>
      </c>
      <c r="BV39" s="540">
        <f t="shared" si="134"/>
        <v>0</v>
      </c>
      <c r="BW39" s="538"/>
      <c r="BX39" s="539">
        <f t="shared" si="23"/>
        <v>0</v>
      </c>
      <c r="BY39" s="540">
        <f t="shared" si="135"/>
        <v>0</v>
      </c>
      <c r="BZ39" s="538"/>
      <c r="CA39" s="539">
        <f t="shared" si="24"/>
        <v>0</v>
      </c>
      <c r="CB39" s="540">
        <f t="shared" si="136"/>
        <v>0</v>
      </c>
      <c r="CC39" s="538">
        <v>6.25</v>
      </c>
      <c r="CD39" s="539">
        <f t="shared" si="25"/>
        <v>8.8430465356480886E-2</v>
      </c>
      <c r="CE39" s="540">
        <f t="shared" si="137"/>
        <v>0</v>
      </c>
      <c r="CF39" s="538">
        <v>9.9999999999999978E-2</v>
      </c>
      <c r="CG39" s="539">
        <f t="shared" si="26"/>
        <v>1.4148874457036939E-3</v>
      </c>
      <c r="CH39" s="540">
        <f t="shared" si="138"/>
        <v>0</v>
      </c>
      <c r="CI39" s="538"/>
      <c r="CJ39" s="539">
        <f t="shared" si="27"/>
        <v>0</v>
      </c>
      <c r="CK39" s="540">
        <f t="shared" si="139"/>
        <v>0</v>
      </c>
      <c r="CL39" s="538"/>
      <c r="CM39" s="539">
        <f t="shared" si="28"/>
        <v>0</v>
      </c>
      <c r="CN39" s="540">
        <f t="shared" si="140"/>
        <v>0</v>
      </c>
      <c r="CO39" s="538"/>
      <c r="CP39" s="539">
        <f t="shared" si="29"/>
        <v>0</v>
      </c>
      <c r="CQ39" s="540">
        <f t="shared" si="141"/>
        <v>0</v>
      </c>
      <c r="CR39" s="538"/>
      <c r="CS39" s="539">
        <f t="shared" si="30"/>
        <v>0</v>
      </c>
      <c r="CT39" s="540">
        <f t="shared" si="142"/>
        <v>0</v>
      </c>
      <c r="CU39" s="538"/>
      <c r="CV39" s="539">
        <f t="shared" si="31"/>
        <v>0</v>
      </c>
      <c r="CW39" s="540">
        <f t="shared" si="143"/>
        <v>0</v>
      </c>
      <c r="CX39" s="538"/>
      <c r="CY39" s="539">
        <f t="shared" si="32"/>
        <v>0</v>
      </c>
      <c r="CZ39" s="540">
        <f t="shared" si="144"/>
        <v>0</v>
      </c>
      <c r="DA39" s="538"/>
      <c r="DB39" s="539">
        <f t="shared" si="33"/>
        <v>0</v>
      </c>
      <c r="DC39" s="540">
        <f t="shared" si="145"/>
        <v>0</v>
      </c>
      <c r="DD39" s="538"/>
      <c r="DE39" s="539">
        <f t="shared" si="34"/>
        <v>0</v>
      </c>
      <c r="DF39" s="540">
        <f t="shared" si="146"/>
        <v>0</v>
      </c>
      <c r="DG39" s="538"/>
      <c r="DH39" s="539">
        <f t="shared" si="35"/>
        <v>0</v>
      </c>
      <c r="DI39" s="540">
        <f t="shared" si="203"/>
        <v>0</v>
      </c>
      <c r="DJ39" s="538"/>
      <c r="DK39" s="539">
        <f t="shared" si="36"/>
        <v>0</v>
      </c>
      <c r="DL39" s="540">
        <f t="shared" si="147"/>
        <v>0</v>
      </c>
      <c r="DM39" s="538"/>
      <c r="DN39" s="539">
        <f t="shared" si="37"/>
        <v>0</v>
      </c>
      <c r="DO39" s="540">
        <f t="shared" si="148"/>
        <v>0</v>
      </c>
      <c r="DP39" s="538"/>
      <c r="DQ39" s="539">
        <f t="shared" si="38"/>
        <v>0</v>
      </c>
      <c r="DR39" s="540">
        <f t="shared" si="149"/>
        <v>0</v>
      </c>
      <c r="DS39" s="538"/>
      <c r="DT39" s="539">
        <f t="shared" si="39"/>
        <v>0</v>
      </c>
      <c r="DU39" s="540">
        <f t="shared" si="150"/>
        <v>0</v>
      </c>
      <c r="DV39" s="538"/>
      <c r="DW39" s="539">
        <f t="shared" si="40"/>
        <v>0</v>
      </c>
      <c r="DX39" s="540">
        <f t="shared" si="151"/>
        <v>0</v>
      </c>
      <c r="DY39" s="538"/>
      <c r="DZ39" s="539">
        <f t="shared" si="41"/>
        <v>0</v>
      </c>
      <c r="EA39" s="540">
        <f t="shared" si="152"/>
        <v>0</v>
      </c>
      <c r="EB39" s="538">
        <v>14.534883720930338</v>
      </c>
      <c r="EC39" s="539">
        <f t="shared" si="42"/>
        <v>0.20565224501507332</v>
      </c>
      <c r="ED39" s="540">
        <f t="shared" si="153"/>
        <v>0</v>
      </c>
      <c r="EE39" s="538">
        <v>1</v>
      </c>
      <c r="EF39" s="539">
        <f t="shared" si="43"/>
        <v>1.4148874457036942E-2</v>
      </c>
      <c r="EG39" s="540">
        <f t="shared" si="154"/>
        <v>0</v>
      </c>
      <c r="EH39" s="538"/>
      <c r="EI39" s="539">
        <f t="shared" si="44"/>
        <v>0</v>
      </c>
      <c r="EJ39" s="540">
        <f t="shared" si="155"/>
        <v>0</v>
      </c>
      <c r="EK39" s="538"/>
      <c r="EL39" s="539">
        <f t="shared" si="45"/>
        <v>0</v>
      </c>
      <c r="EM39" s="540">
        <f t="shared" si="156"/>
        <v>0</v>
      </c>
      <c r="EN39" s="538"/>
      <c r="EO39" s="539">
        <f t="shared" si="46"/>
        <v>0</v>
      </c>
      <c r="EP39" s="540">
        <f t="shared" si="157"/>
        <v>0</v>
      </c>
      <c r="EQ39" s="538"/>
      <c r="ER39" s="539">
        <f t="shared" si="47"/>
        <v>0</v>
      </c>
      <c r="ES39" s="540">
        <f t="shared" si="158"/>
        <v>0</v>
      </c>
      <c r="ET39" s="538"/>
      <c r="EU39" s="539">
        <f t="shared" si="48"/>
        <v>0</v>
      </c>
      <c r="EV39" s="540">
        <f t="shared" si="159"/>
        <v>0</v>
      </c>
      <c r="EW39" s="538"/>
      <c r="EX39" s="539">
        <f t="shared" si="49"/>
        <v>0</v>
      </c>
      <c r="EY39" s="540">
        <f t="shared" si="160"/>
        <v>0</v>
      </c>
      <c r="EZ39" s="538"/>
      <c r="FA39" s="539">
        <f t="shared" si="50"/>
        <v>0</v>
      </c>
      <c r="FB39" s="540">
        <f t="shared" si="161"/>
        <v>0</v>
      </c>
      <c r="FC39" s="538"/>
      <c r="FD39" s="539">
        <f t="shared" si="51"/>
        <v>0</v>
      </c>
      <c r="FE39" s="540">
        <f t="shared" si="162"/>
        <v>0</v>
      </c>
      <c r="FF39" s="538"/>
      <c r="FG39" s="539">
        <f t="shared" si="52"/>
        <v>0</v>
      </c>
      <c r="FH39" s="540">
        <f t="shared" si="163"/>
        <v>0</v>
      </c>
      <c r="FI39" s="538"/>
      <c r="FJ39" s="539">
        <f t="shared" si="53"/>
        <v>0</v>
      </c>
      <c r="FK39" s="540">
        <f t="shared" si="164"/>
        <v>0</v>
      </c>
      <c r="FL39" s="538"/>
      <c r="FM39" s="539">
        <f t="shared" si="54"/>
        <v>0</v>
      </c>
      <c r="FN39" s="540">
        <f t="shared" si="165"/>
        <v>0</v>
      </c>
      <c r="FO39" s="538"/>
      <c r="FP39" s="539">
        <f t="shared" si="55"/>
        <v>0</v>
      </c>
      <c r="FQ39" s="540">
        <f t="shared" si="166"/>
        <v>0</v>
      </c>
      <c r="FR39" s="538"/>
      <c r="FS39" s="539">
        <f t="shared" si="56"/>
        <v>0</v>
      </c>
      <c r="FT39" s="540">
        <f t="shared" si="167"/>
        <v>0</v>
      </c>
      <c r="FU39" s="538"/>
      <c r="FV39" s="539">
        <f t="shared" si="57"/>
        <v>0</v>
      </c>
      <c r="FW39" s="540">
        <f t="shared" si="168"/>
        <v>0</v>
      </c>
      <c r="FX39" s="538"/>
      <c r="FY39" s="539">
        <f t="shared" si="58"/>
        <v>0</v>
      </c>
      <c r="FZ39" s="540">
        <f t="shared" si="169"/>
        <v>0</v>
      </c>
      <c r="GA39" s="538"/>
      <c r="GB39" s="539">
        <f t="shared" si="59"/>
        <v>0</v>
      </c>
      <c r="GC39" s="540">
        <f t="shared" si="170"/>
        <v>0</v>
      </c>
      <c r="GD39" s="538"/>
      <c r="GE39" s="539">
        <f t="shared" si="60"/>
        <v>0</v>
      </c>
      <c r="GF39" s="540">
        <f t="shared" si="171"/>
        <v>0</v>
      </c>
      <c r="GG39" s="538"/>
      <c r="GH39" s="539">
        <f t="shared" si="61"/>
        <v>0</v>
      </c>
      <c r="GI39" s="540">
        <f t="shared" si="172"/>
        <v>0</v>
      </c>
      <c r="GJ39" s="538"/>
      <c r="GK39" s="539">
        <f t="shared" si="62"/>
        <v>0</v>
      </c>
      <c r="GL39" s="540">
        <f t="shared" si="173"/>
        <v>0</v>
      </c>
      <c r="GM39" s="538"/>
      <c r="GN39" s="539">
        <f t="shared" si="63"/>
        <v>0</v>
      </c>
      <c r="GO39" s="540">
        <f t="shared" si="174"/>
        <v>0</v>
      </c>
      <c r="GP39" s="538"/>
      <c r="GQ39" s="539">
        <f t="shared" si="64"/>
        <v>0</v>
      </c>
      <c r="GR39" s="540">
        <f t="shared" si="175"/>
        <v>0</v>
      </c>
      <c r="GS39" s="538"/>
      <c r="GT39" s="539">
        <f t="shared" si="65"/>
        <v>0</v>
      </c>
      <c r="GU39" s="540">
        <f t="shared" si="176"/>
        <v>0</v>
      </c>
      <c r="GV39" s="538"/>
      <c r="GW39" s="539">
        <f t="shared" si="66"/>
        <v>0</v>
      </c>
      <c r="GX39" s="540">
        <f t="shared" si="177"/>
        <v>0</v>
      </c>
      <c r="GY39" s="538"/>
      <c r="GZ39" s="539">
        <f t="shared" si="67"/>
        <v>0</v>
      </c>
      <c r="HA39" s="540">
        <f t="shared" si="178"/>
        <v>0</v>
      </c>
      <c r="HB39" s="538"/>
      <c r="HC39" s="539">
        <f t="shared" si="68"/>
        <v>0</v>
      </c>
      <c r="HD39" s="540">
        <f t="shared" si="179"/>
        <v>0</v>
      </c>
      <c r="HE39" s="538"/>
      <c r="HF39" s="539">
        <f t="shared" si="69"/>
        <v>0</v>
      </c>
      <c r="HG39" s="540">
        <f t="shared" si="180"/>
        <v>0</v>
      </c>
      <c r="HH39" s="538"/>
      <c r="HI39" s="539">
        <f t="shared" si="70"/>
        <v>0</v>
      </c>
      <c r="HJ39" s="540">
        <f t="shared" si="181"/>
        <v>0</v>
      </c>
      <c r="HK39" s="538"/>
      <c r="HL39" s="539">
        <f t="shared" si="71"/>
        <v>0</v>
      </c>
      <c r="HM39" s="540">
        <f t="shared" si="182"/>
        <v>0</v>
      </c>
      <c r="HN39" s="538"/>
      <c r="HO39" s="539">
        <f t="shared" si="72"/>
        <v>0</v>
      </c>
      <c r="HP39" s="540">
        <f t="shared" si="183"/>
        <v>0</v>
      </c>
      <c r="HQ39" s="538"/>
      <c r="HR39" s="539">
        <f t="shared" si="73"/>
        <v>0</v>
      </c>
      <c r="HS39" s="540">
        <f t="shared" si="184"/>
        <v>0</v>
      </c>
      <c r="HT39" s="538"/>
      <c r="HU39" s="539">
        <f t="shared" si="74"/>
        <v>0</v>
      </c>
      <c r="HV39" s="540">
        <f t="shared" si="185"/>
        <v>0</v>
      </c>
      <c r="HW39" s="538"/>
      <c r="HX39" s="539">
        <f t="shared" si="75"/>
        <v>0</v>
      </c>
      <c r="HY39" s="540">
        <f t="shared" si="186"/>
        <v>0</v>
      </c>
      <c r="HZ39" s="538"/>
      <c r="IA39" s="539">
        <f t="shared" si="76"/>
        <v>0</v>
      </c>
      <c r="IB39" s="540">
        <f t="shared" si="187"/>
        <v>0</v>
      </c>
      <c r="IC39" s="538"/>
      <c r="ID39" s="539">
        <f t="shared" si="77"/>
        <v>0</v>
      </c>
      <c r="IE39" s="540">
        <f t="shared" si="188"/>
        <v>0</v>
      </c>
      <c r="IF39" s="538"/>
      <c r="IG39" s="539">
        <f t="shared" si="78"/>
        <v>0</v>
      </c>
      <c r="IH39" s="540">
        <f t="shared" si="189"/>
        <v>0</v>
      </c>
      <c r="II39" s="538"/>
      <c r="IJ39" s="539">
        <f t="shared" si="79"/>
        <v>0</v>
      </c>
      <c r="IK39" s="540">
        <f t="shared" si="190"/>
        <v>0</v>
      </c>
      <c r="IL39" s="538"/>
      <c r="IM39" s="539">
        <f t="shared" si="80"/>
        <v>0</v>
      </c>
      <c r="IN39" s="540">
        <f t="shared" si="191"/>
        <v>0</v>
      </c>
      <c r="IO39" s="538"/>
      <c r="IP39" s="539">
        <f t="shared" si="81"/>
        <v>0</v>
      </c>
      <c r="IQ39" s="540">
        <f t="shared" si="192"/>
        <v>0</v>
      </c>
      <c r="IR39" s="538"/>
      <c r="IS39" s="539">
        <f t="shared" si="82"/>
        <v>0</v>
      </c>
      <c r="IT39" s="540">
        <f t="shared" si="193"/>
        <v>0</v>
      </c>
      <c r="IU39" s="538"/>
      <c r="IV39" s="539">
        <f t="shared" si="83"/>
        <v>0</v>
      </c>
      <c r="IW39" s="540">
        <f t="shared" si="194"/>
        <v>0</v>
      </c>
      <c r="IX39" s="538"/>
      <c r="IY39" s="539">
        <f t="shared" si="84"/>
        <v>0</v>
      </c>
      <c r="IZ39" s="540">
        <f t="shared" si="195"/>
        <v>0</v>
      </c>
      <c r="JA39" s="538"/>
      <c r="JB39" s="539">
        <f t="shared" si="85"/>
        <v>0</v>
      </c>
      <c r="JC39" s="540">
        <f t="shared" si="196"/>
        <v>0</v>
      </c>
      <c r="JD39" s="538"/>
      <c r="JE39" s="539">
        <f t="shared" si="86"/>
        <v>0</v>
      </c>
      <c r="JF39" s="540">
        <f t="shared" si="197"/>
        <v>0</v>
      </c>
      <c r="JG39" s="538"/>
      <c r="JH39" s="539">
        <f t="shared" si="87"/>
        <v>0</v>
      </c>
      <c r="JI39" s="540">
        <f t="shared" si="198"/>
        <v>0</v>
      </c>
      <c r="JJ39" s="538"/>
      <c r="JK39" s="540" t="str">
        <f t="shared" si="88"/>
        <v>0</v>
      </c>
      <c r="JL39" s="540" t="str">
        <f t="shared" si="89"/>
        <v>0</v>
      </c>
      <c r="JM39" s="538"/>
      <c r="JN39" s="540" t="str">
        <f t="shared" si="90"/>
        <v>0</v>
      </c>
      <c r="JO39" s="540" t="str">
        <f t="shared" si="91"/>
        <v>0</v>
      </c>
      <c r="JP39" s="538"/>
      <c r="JQ39" s="540" t="str">
        <f t="shared" si="92"/>
        <v>0</v>
      </c>
      <c r="JR39" s="540" t="str">
        <f t="shared" si="93"/>
        <v>0</v>
      </c>
      <c r="JS39" s="538"/>
      <c r="JT39" s="540" t="str">
        <f t="shared" si="94"/>
        <v>0</v>
      </c>
      <c r="JU39" s="540" t="str">
        <f t="shared" si="95"/>
        <v>0</v>
      </c>
      <c r="JV39" s="538"/>
      <c r="JW39" s="540" t="str">
        <f t="shared" si="96"/>
        <v>0</v>
      </c>
      <c r="JX39" s="540" t="str">
        <f t="shared" si="97"/>
        <v>0</v>
      </c>
      <c r="JY39" s="538"/>
      <c r="JZ39" s="540" t="str">
        <f t="shared" si="98"/>
        <v>0</v>
      </c>
      <c r="KA39" s="540" t="str">
        <f t="shared" si="99"/>
        <v>0</v>
      </c>
      <c r="KB39" s="538"/>
      <c r="KC39" s="540" t="str">
        <f t="shared" si="100"/>
        <v>0</v>
      </c>
      <c r="KD39" s="540" t="str">
        <f t="shared" si="101"/>
        <v>0</v>
      </c>
      <c r="KE39" s="538"/>
      <c r="KF39" s="540" t="str">
        <f t="shared" si="102"/>
        <v>0</v>
      </c>
      <c r="KG39" s="540" t="str">
        <f t="shared" si="103"/>
        <v>0</v>
      </c>
      <c r="KH39" s="538"/>
      <c r="KI39" s="540" t="str">
        <f t="shared" si="104"/>
        <v>0</v>
      </c>
      <c r="KJ39" s="540" t="str">
        <f t="shared" si="105"/>
        <v>0</v>
      </c>
      <c r="KK39" s="538"/>
      <c r="KL39" s="540" t="str">
        <f t="shared" si="106"/>
        <v>0</v>
      </c>
      <c r="KM39" s="540" t="str">
        <f t="shared" si="107"/>
        <v>0</v>
      </c>
      <c r="KN39" s="538"/>
      <c r="KO39" s="540" t="str">
        <f t="shared" si="108"/>
        <v>0</v>
      </c>
      <c r="KP39" s="540" t="str">
        <f t="shared" si="109"/>
        <v>0</v>
      </c>
      <c r="KQ39" s="538"/>
      <c r="KR39" s="540" t="str">
        <f t="shared" si="110"/>
        <v>0</v>
      </c>
      <c r="KS39" s="540" t="str">
        <f t="shared" si="111"/>
        <v>0</v>
      </c>
      <c r="KT39" s="540">
        <f t="shared" si="201"/>
        <v>0</v>
      </c>
      <c r="KU39" s="540">
        <f t="shared" si="202"/>
        <v>0</v>
      </c>
      <c r="KV39" s="275">
        <f t="shared" si="199"/>
        <v>622.55369807055638</v>
      </c>
    </row>
    <row r="40" spans="1:308" ht="15" customHeight="1" thickBot="1">
      <c r="A40" s="282"/>
      <c r="B40" s="283"/>
      <c r="C40" s="284"/>
      <c r="D40" s="284"/>
      <c r="E40" s="280">
        <f>+Report1!R40</f>
        <v>0</v>
      </c>
      <c r="F40" s="538"/>
      <c r="G40" s="539"/>
      <c r="H40" s="540"/>
      <c r="I40" s="538"/>
      <c r="J40" s="539"/>
      <c r="K40" s="540"/>
      <c r="L40" s="538"/>
      <c r="M40" s="539"/>
      <c r="N40" s="540"/>
      <c r="O40" s="538"/>
      <c r="P40" s="539"/>
      <c r="Q40" s="540"/>
      <c r="R40" s="538"/>
      <c r="S40" s="539"/>
      <c r="T40" s="540"/>
      <c r="U40" s="538"/>
      <c r="V40" s="539"/>
      <c r="W40" s="540"/>
      <c r="X40" s="538"/>
      <c r="Y40" s="539"/>
      <c r="Z40" s="540"/>
      <c r="AA40" s="538"/>
      <c r="AB40" s="539"/>
      <c r="AC40" s="540"/>
      <c r="AD40" s="538"/>
      <c r="AE40" s="539"/>
      <c r="AF40" s="540"/>
      <c r="AG40" s="538"/>
      <c r="AH40" s="539"/>
      <c r="AI40" s="540"/>
      <c r="AJ40" s="538"/>
      <c r="AK40" s="539"/>
      <c r="AL40" s="540"/>
      <c r="AM40" s="538"/>
      <c r="AN40" s="539"/>
      <c r="AO40" s="540"/>
      <c r="AP40" s="538"/>
      <c r="AQ40" s="539"/>
      <c r="AR40" s="540"/>
      <c r="AS40" s="538"/>
      <c r="AT40" s="539"/>
      <c r="AU40" s="540"/>
      <c r="AV40" s="538"/>
      <c r="AW40" s="539"/>
      <c r="AX40" s="540"/>
      <c r="AY40" s="538"/>
      <c r="AZ40" s="539"/>
      <c r="BA40" s="540"/>
      <c r="BB40" s="538"/>
      <c r="BC40" s="539"/>
      <c r="BD40" s="540"/>
      <c r="BE40" s="538"/>
      <c r="BF40" s="539"/>
      <c r="BG40" s="540"/>
      <c r="BH40" s="538"/>
      <c r="BI40" s="539"/>
      <c r="BJ40" s="540"/>
      <c r="BK40" s="538"/>
      <c r="BL40" s="539"/>
      <c r="BM40" s="540"/>
      <c r="BN40" s="538"/>
      <c r="BO40" s="539"/>
      <c r="BP40" s="540"/>
      <c r="BQ40" s="538"/>
      <c r="BR40" s="539"/>
      <c r="BS40" s="540"/>
      <c r="BT40" s="538"/>
      <c r="BU40" s="539"/>
      <c r="BV40" s="540"/>
      <c r="BW40" s="538"/>
      <c r="BX40" s="539"/>
      <c r="BY40" s="540"/>
      <c r="BZ40" s="538"/>
      <c r="CA40" s="539"/>
      <c r="CB40" s="540"/>
      <c r="CC40" s="538"/>
      <c r="CD40" s="539"/>
      <c r="CE40" s="540"/>
      <c r="CF40" s="538"/>
      <c r="CG40" s="539"/>
      <c r="CH40" s="540"/>
      <c r="CI40" s="538"/>
      <c r="CJ40" s="539"/>
      <c r="CK40" s="540"/>
      <c r="CL40" s="538"/>
      <c r="CM40" s="539"/>
      <c r="CN40" s="540"/>
      <c r="CO40" s="538"/>
      <c r="CP40" s="539"/>
      <c r="CQ40" s="540"/>
      <c r="CR40" s="538"/>
      <c r="CS40" s="539"/>
      <c r="CT40" s="540"/>
      <c r="CU40" s="538"/>
      <c r="CV40" s="539"/>
      <c r="CW40" s="540"/>
      <c r="CX40" s="538"/>
      <c r="CY40" s="539"/>
      <c r="CZ40" s="540"/>
      <c r="DA40" s="538"/>
      <c r="DB40" s="539"/>
      <c r="DC40" s="540"/>
      <c r="DD40" s="538"/>
      <c r="DE40" s="539"/>
      <c r="DF40" s="540"/>
      <c r="DG40" s="538"/>
      <c r="DH40" s="539"/>
      <c r="DI40" s="540"/>
      <c r="DJ40" s="538"/>
      <c r="DK40" s="539"/>
      <c r="DL40" s="540"/>
      <c r="DM40" s="538"/>
      <c r="DN40" s="539"/>
      <c r="DO40" s="540"/>
      <c r="DP40" s="538"/>
      <c r="DQ40" s="539"/>
      <c r="DR40" s="540"/>
      <c r="DS40" s="538"/>
      <c r="DT40" s="539"/>
      <c r="DU40" s="540"/>
      <c r="DV40" s="538"/>
      <c r="DW40" s="539"/>
      <c r="DX40" s="540"/>
      <c r="DY40" s="538"/>
      <c r="DZ40" s="539"/>
      <c r="EA40" s="540"/>
      <c r="EB40" s="538"/>
      <c r="EC40" s="539"/>
      <c r="ED40" s="540"/>
      <c r="EE40" s="538"/>
      <c r="EF40" s="539"/>
      <c r="EG40" s="540"/>
      <c r="EH40" s="538"/>
      <c r="EI40" s="539"/>
      <c r="EJ40" s="540"/>
      <c r="EK40" s="538"/>
      <c r="EL40" s="539"/>
      <c r="EM40" s="540"/>
      <c r="EN40" s="538"/>
      <c r="EO40" s="539"/>
      <c r="EP40" s="540"/>
      <c r="EQ40" s="538"/>
      <c r="ER40" s="539"/>
      <c r="ES40" s="540"/>
      <c r="ET40" s="538"/>
      <c r="EU40" s="539"/>
      <c r="EV40" s="540"/>
      <c r="EW40" s="538"/>
      <c r="EX40" s="539"/>
      <c r="EY40" s="540"/>
      <c r="EZ40" s="538"/>
      <c r="FA40" s="539"/>
      <c r="FB40" s="540"/>
      <c r="FC40" s="538"/>
      <c r="FD40" s="539"/>
      <c r="FE40" s="540"/>
      <c r="FF40" s="538"/>
      <c r="FG40" s="539"/>
      <c r="FH40" s="540"/>
      <c r="FI40" s="538"/>
      <c r="FJ40" s="539"/>
      <c r="FK40" s="540"/>
      <c r="FL40" s="538"/>
      <c r="FM40" s="539"/>
      <c r="FN40" s="540"/>
      <c r="FO40" s="538"/>
      <c r="FP40" s="539"/>
      <c r="FQ40" s="540"/>
      <c r="FR40" s="538"/>
      <c r="FS40" s="539"/>
      <c r="FT40" s="540"/>
      <c r="FU40" s="538"/>
      <c r="FV40" s="539"/>
      <c r="FW40" s="540"/>
      <c r="FX40" s="538"/>
      <c r="FY40" s="539"/>
      <c r="FZ40" s="540"/>
      <c r="GA40" s="538"/>
      <c r="GB40" s="539"/>
      <c r="GC40" s="540"/>
      <c r="GD40" s="538"/>
      <c r="GE40" s="539"/>
      <c r="GF40" s="540"/>
      <c r="GG40" s="538"/>
      <c r="GH40" s="539"/>
      <c r="GI40" s="540"/>
      <c r="GJ40" s="538"/>
      <c r="GK40" s="539"/>
      <c r="GL40" s="540"/>
      <c r="GM40" s="538"/>
      <c r="GN40" s="539"/>
      <c r="GO40" s="540"/>
      <c r="GP40" s="538"/>
      <c r="GQ40" s="539"/>
      <c r="GR40" s="540"/>
      <c r="GS40" s="538"/>
      <c r="GT40" s="539"/>
      <c r="GU40" s="540"/>
      <c r="GV40" s="538"/>
      <c r="GW40" s="539"/>
      <c r="GX40" s="540"/>
      <c r="GY40" s="538"/>
      <c r="GZ40" s="539"/>
      <c r="HA40" s="540"/>
      <c r="HB40" s="538"/>
      <c r="HC40" s="539"/>
      <c r="HD40" s="540"/>
      <c r="HE40" s="538"/>
      <c r="HF40" s="539"/>
      <c r="HG40" s="540"/>
      <c r="HH40" s="538"/>
      <c r="HI40" s="539"/>
      <c r="HJ40" s="540"/>
      <c r="HK40" s="538"/>
      <c r="HL40" s="539"/>
      <c r="HM40" s="540"/>
      <c r="HN40" s="538"/>
      <c r="HO40" s="539"/>
      <c r="HP40" s="540"/>
      <c r="HQ40" s="538"/>
      <c r="HR40" s="539"/>
      <c r="HS40" s="540"/>
      <c r="HT40" s="538"/>
      <c r="HU40" s="539"/>
      <c r="HV40" s="540"/>
      <c r="HW40" s="538"/>
      <c r="HX40" s="539"/>
      <c r="HY40" s="540"/>
      <c r="HZ40" s="538"/>
      <c r="IA40" s="539"/>
      <c r="IB40" s="540"/>
      <c r="IC40" s="538"/>
      <c r="ID40" s="539"/>
      <c r="IE40" s="540"/>
      <c r="IF40" s="538"/>
      <c r="IG40" s="539"/>
      <c r="IH40" s="540"/>
      <c r="II40" s="538"/>
      <c r="IJ40" s="539"/>
      <c r="IK40" s="540"/>
      <c r="IL40" s="538"/>
      <c r="IM40" s="539"/>
      <c r="IN40" s="540"/>
      <c r="IO40" s="538"/>
      <c r="IP40" s="539"/>
      <c r="IQ40" s="540"/>
      <c r="IR40" s="538"/>
      <c r="IS40" s="539"/>
      <c r="IT40" s="540"/>
      <c r="IU40" s="538"/>
      <c r="IV40" s="539"/>
      <c r="IW40" s="540"/>
      <c r="IX40" s="538"/>
      <c r="IY40" s="539"/>
      <c r="IZ40" s="540"/>
      <c r="JA40" s="538"/>
      <c r="JB40" s="539"/>
      <c r="JC40" s="540"/>
      <c r="JD40" s="538"/>
      <c r="JE40" s="539"/>
      <c r="JF40" s="540"/>
      <c r="JG40" s="538"/>
      <c r="JH40" s="539"/>
      <c r="JI40" s="540"/>
      <c r="JJ40" s="538"/>
      <c r="JK40" s="540"/>
      <c r="JL40" s="540"/>
      <c r="JM40" s="538"/>
      <c r="JN40" s="540"/>
      <c r="JO40" s="540"/>
      <c r="JP40" s="538"/>
      <c r="JQ40" s="540"/>
      <c r="JR40" s="540"/>
      <c r="JS40" s="538"/>
      <c r="JT40" s="540"/>
      <c r="JU40" s="540"/>
      <c r="JV40" s="538"/>
      <c r="JW40" s="540"/>
      <c r="JX40" s="540"/>
      <c r="JY40" s="538"/>
      <c r="JZ40" s="540"/>
      <c r="KA40" s="540"/>
      <c r="KB40" s="538"/>
      <c r="KC40" s="540"/>
      <c r="KD40" s="540"/>
      <c r="KE40" s="538"/>
      <c r="KF40" s="540"/>
      <c r="KG40" s="540"/>
      <c r="KH40" s="538"/>
      <c r="KI40" s="540"/>
      <c r="KJ40" s="540"/>
      <c r="KK40" s="538"/>
      <c r="KL40" s="540"/>
      <c r="KM40" s="540"/>
      <c r="KN40" s="538"/>
      <c r="KO40" s="540"/>
      <c r="KP40" s="540"/>
      <c r="KQ40" s="538"/>
      <c r="KR40" s="540"/>
      <c r="KS40" s="540"/>
      <c r="KT40" s="540"/>
      <c r="KU40" s="540"/>
      <c r="KV40" s="275"/>
    </row>
    <row r="41" spans="1:308" s="281" customFormat="1" ht="15" customHeight="1" thickTop="1" thickBot="1">
      <c r="A41" s="957" t="s">
        <v>28</v>
      </c>
      <c r="B41" s="958"/>
      <c r="C41" s="959"/>
      <c r="D41" s="285">
        <f>SUM(D9:D40)</f>
        <v>2009.4762220100004</v>
      </c>
      <c r="E41" s="285">
        <f>SUM(E9:E40)</f>
        <v>1959.0759999999998</v>
      </c>
      <c r="F41" s="535">
        <f>SUM(F9:F39)</f>
        <v>2744.1860465116288</v>
      </c>
      <c r="G41" s="535">
        <f>IFERROR((F41/$L$41),0)</f>
        <v>0</v>
      </c>
      <c r="H41" s="535">
        <f>IFERROR(((F41*H$8)/$L$41),0)</f>
        <v>0</v>
      </c>
      <c r="I41" s="535">
        <f>SUM(I9:I39)</f>
        <v>17058.138358139538</v>
      </c>
      <c r="J41" s="535">
        <f>IFERROR((I41/$L$41),0)</f>
        <v>0</v>
      </c>
      <c r="K41" s="535">
        <f>IFERROR(((I41*K$8)/$L$41),0)</f>
        <v>0</v>
      </c>
      <c r="L41" s="535">
        <f>SUM(L9:L39)</f>
        <v>0</v>
      </c>
      <c r="M41" s="535">
        <f>IFERROR((L41/$L$41),0)</f>
        <v>0</v>
      </c>
      <c r="N41" s="535">
        <f>IFERROR(((L41*N$8)/$L$41),0)</f>
        <v>0</v>
      </c>
      <c r="O41" s="535">
        <f>SUM(O9:O39)</f>
        <v>287.99639999999999</v>
      </c>
      <c r="P41" s="535">
        <f>IFERROR((O41/$L$41),0)</f>
        <v>0</v>
      </c>
      <c r="Q41" s="535">
        <f>IFERROR(((O41*Q$8)/$L$41),0)</f>
        <v>0</v>
      </c>
      <c r="R41" s="535">
        <f>SUM(R9:R39)</f>
        <v>0</v>
      </c>
      <c r="S41" s="535">
        <f>IFERROR((R41/$L$41),0)</f>
        <v>0</v>
      </c>
      <c r="T41" s="535">
        <f>IFERROR(((R41*T$8)/$L$41),0)</f>
        <v>0</v>
      </c>
      <c r="U41" s="535">
        <f>SUM(U9:U39)</f>
        <v>233.19060000000002</v>
      </c>
      <c r="V41" s="535">
        <f>IFERROR((U41/$L$41),0)</f>
        <v>0</v>
      </c>
      <c r="W41" s="535">
        <f>IFERROR(((U41*W$8)/$L$41),0)</f>
        <v>0</v>
      </c>
      <c r="X41" s="535">
        <f>SUM(X9:X39)</f>
        <v>0</v>
      </c>
      <c r="Y41" s="535">
        <f>IFERROR((X41/$L$41),0)</f>
        <v>0</v>
      </c>
      <c r="Z41" s="535">
        <f>IFERROR(((X41*Z$8)/$L$41),0)</f>
        <v>0</v>
      </c>
      <c r="AA41" s="535">
        <f>SUM(AA9:AA39)</f>
        <v>0</v>
      </c>
      <c r="AB41" s="535">
        <f>IFERROR((AA41/$L$41),0)</f>
        <v>0</v>
      </c>
      <c r="AC41" s="535">
        <f>IFERROR(((AA41*AC$8)/$L$41),0)</f>
        <v>0</v>
      </c>
      <c r="AD41" s="535">
        <f>SUM(AD9:AD39)</f>
        <v>0</v>
      </c>
      <c r="AE41" s="535">
        <f>IFERROR((AD41/$L$41),0)</f>
        <v>0</v>
      </c>
      <c r="AF41" s="535">
        <f>IFERROR(((AD41*AF$8)/$L$41),0)</f>
        <v>0</v>
      </c>
      <c r="AG41" s="535">
        <f>SUM(AG9:AG39)</f>
        <v>0</v>
      </c>
      <c r="AH41" s="535">
        <f>IFERROR((AG41/$L$41),0)</f>
        <v>0</v>
      </c>
      <c r="AI41" s="535">
        <f>IFERROR(((AG41*AI$8)/$L$41),0)</f>
        <v>0</v>
      </c>
      <c r="AJ41" s="535">
        <f>SUM(AJ9:AJ39)</f>
        <v>141.00380000000001</v>
      </c>
      <c r="AK41" s="535">
        <f>IFERROR((AJ41/$L$41),0)</f>
        <v>0</v>
      </c>
      <c r="AL41" s="535">
        <f>IFERROR(((AJ41*AL$8)/$L$41),0)</f>
        <v>0</v>
      </c>
      <c r="AM41" s="535">
        <f>SUM(AM9:AM39)</f>
        <v>160.31849230769228</v>
      </c>
      <c r="AN41" s="535">
        <f>IFERROR((AM41/$L$41),0)</f>
        <v>0</v>
      </c>
      <c r="AO41" s="535">
        <f>IFERROR(((AM41*AO$8)/$L$41),0)</f>
        <v>0</v>
      </c>
      <c r="AP41" s="535">
        <f>SUM(AP9:AP39)</f>
        <v>364.55421772151902</v>
      </c>
      <c r="AQ41" s="535">
        <f>IFERROR((AP41/$L$41),0)</f>
        <v>0</v>
      </c>
      <c r="AR41" s="535">
        <f>IFERROR(((AP41*AR$8)/$L$41),0)</f>
        <v>0</v>
      </c>
      <c r="AS41" s="535">
        <f>SUM(AS9:AS39)</f>
        <v>0</v>
      </c>
      <c r="AT41" s="535">
        <f>IFERROR((AS41/$L$41),0)</f>
        <v>0</v>
      </c>
      <c r="AU41" s="535">
        <f>IFERROR(((AS41*AU$8)/$L$41),0)</f>
        <v>0</v>
      </c>
      <c r="AV41" s="535">
        <f>SUM(AV9:AV39)</f>
        <v>252.52349999999996</v>
      </c>
      <c r="AW41" s="535">
        <f>IFERROR((AV41/$L$41),0)</f>
        <v>0</v>
      </c>
      <c r="AX41" s="535">
        <f>IFERROR(((AV41*AX$8)/$L$41),0)</f>
        <v>0</v>
      </c>
      <c r="AY41" s="535">
        <f>SUM(AY9:AY39)</f>
        <v>1369.6687999999995</v>
      </c>
      <c r="AZ41" s="535">
        <f>IFERROR((AY41/$L$41),0)</f>
        <v>0</v>
      </c>
      <c r="BA41" s="535">
        <f>IFERROR(((AY41*BA$8)/$L$41),0)</f>
        <v>0</v>
      </c>
      <c r="BB41" s="535">
        <f>SUM(BB9:BB39)</f>
        <v>777</v>
      </c>
      <c r="BC41" s="535">
        <f>IFERROR((BB41/$L$41),0)</f>
        <v>0</v>
      </c>
      <c r="BD41" s="535">
        <f>IFERROR(((BB41*BD$8)/$L$41),0)</f>
        <v>0</v>
      </c>
      <c r="BE41" s="535">
        <f>SUM(BE9:BE39)</f>
        <v>0</v>
      </c>
      <c r="BF41" s="535">
        <f>IFERROR((BE41/$L$41),0)</f>
        <v>0</v>
      </c>
      <c r="BG41" s="535">
        <f>IFERROR(((BE41*BG$8)/$L$41),0)</f>
        <v>0</v>
      </c>
      <c r="BH41" s="535">
        <f>SUM(BH9:BH39)</f>
        <v>0</v>
      </c>
      <c r="BI41" s="535">
        <f>IFERROR((BH41/$L$41),0)</f>
        <v>0</v>
      </c>
      <c r="BJ41" s="535">
        <f>IFERROR(((BH41*BJ$8)/$L$41),0)</f>
        <v>0</v>
      </c>
      <c r="BK41" s="535">
        <f>SUM(BK9:BK39)</f>
        <v>0</v>
      </c>
      <c r="BL41" s="535">
        <f>IFERROR((BK41/$L$41),0)</f>
        <v>0</v>
      </c>
      <c r="BM41" s="535">
        <f>IFERROR(((BK41*BM$8)/$L$41),0)</f>
        <v>0</v>
      </c>
      <c r="BN41" s="535">
        <f>SUM(BN9:BN39)</f>
        <v>377.09585802469132</v>
      </c>
      <c r="BO41" s="535">
        <f>IFERROR((BN41/$L$41),0)</f>
        <v>0</v>
      </c>
      <c r="BP41" s="535">
        <f>IFERROR(((BN41*BP$8)/$L$41),0)</f>
        <v>0</v>
      </c>
      <c r="BQ41" s="535">
        <f>SUM(BQ9:BQ39)</f>
        <v>0</v>
      </c>
      <c r="BR41" s="535">
        <f>IFERROR((BQ41/$L$41),0)</f>
        <v>0</v>
      </c>
      <c r="BS41" s="535">
        <f>IFERROR(((BQ41*BS$8)/$L$41),0)</f>
        <v>0</v>
      </c>
      <c r="BT41" s="535">
        <f>SUM(BT9:BT39)</f>
        <v>0</v>
      </c>
      <c r="BU41" s="535">
        <f>IFERROR((BT41/$L$41),0)</f>
        <v>0</v>
      </c>
      <c r="BV41" s="535">
        <f>IFERROR(((BT41*BV$8)/$L$41),0)</f>
        <v>0</v>
      </c>
      <c r="BW41" s="535">
        <f>SUM(BW9:BW39)</f>
        <v>8.8399999999999963</v>
      </c>
      <c r="BX41" s="535">
        <f>IFERROR((BW41/$L$41),0)</f>
        <v>0</v>
      </c>
      <c r="BY41" s="535">
        <f>IFERROR(((BW41*BY$8)/$L$41),0)</f>
        <v>0</v>
      </c>
      <c r="BZ41" s="535">
        <f>SUM(BZ9:BZ39)</f>
        <v>0</v>
      </c>
      <c r="CA41" s="535">
        <f>IFERROR((BZ41/$L$41),0)</f>
        <v>0</v>
      </c>
      <c r="CB41" s="535">
        <f>IFERROR(((BZ41*CB$8)/$L$41),0)</f>
        <v>0</v>
      </c>
      <c r="CC41" s="535">
        <f>SUM(CC9:CC39)</f>
        <v>193.75</v>
      </c>
      <c r="CD41" s="535">
        <f>IFERROR((CC41/$L$41),0)</f>
        <v>0</v>
      </c>
      <c r="CE41" s="535">
        <f>IFERROR(((CC41*CE$8)/$L$41),0)</f>
        <v>0</v>
      </c>
      <c r="CF41" s="535">
        <f>SUM(CF9:CF39)</f>
        <v>3.3000000000000012</v>
      </c>
      <c r="CG41" s="535">
        <f>IFERROR((CF41/$L$41),0)</f>
        <v>0</v>
      </c>
      <c r="CH41" s="535">
        <f>IFERROR(((CF41*CH$8)/$L$41),0)</f>
        <v>0</v>
      </c>
      <c r="CI41" s="535">
        <f>SUM(CI9:CI39)</f>
        <v>0</v>
      </c>
      <c r="CJ41" s="535">
        <f>IFERROR((CI41/$L$41),0)</f>
        <v>0</v>
      </c>
      <c r="CK41" s="535">
        <f>IFERROR(((CI41*CK$8)/$L$41),0)</f>
        <v>0</v>
      </c>
      <c r="CL41" s="535">
        <f>SUM(CL9:CL39)</f>
        <v>0</v>
      </c>
      <c r="CM41" s="535">
        <f>IFERROR((CL41/$L$41),0)</f>
        <v>0</v>
      </c>
      <c r="CN41" s="535">
        <f>IFERROR(((CL41*CN$8)/$L$41),0)</f>
        <v>0</v>
      </c>
      <c r="CO41" s="535">
        <f>SUM(CO9:CO39)</f>
        <v>0</v>
      </c>
      <c r="CP41" s="535">
        <f>IFERROR((CO41/$L$41),0)</f>
        <v>0</v>
      </c>
      <c r="CQ41" s="535">
        <f>IFERROR(((CO41*CQ$8)/$L$41),0)</f>
        <v>0</v>
      </c>
      <c r="CR41" s="535">
        <f>SUM(CR9:CR39)</f>
        <v>0</v>
      </c>
      <c r="CS41" s="535">
        <f>IFERROR((CR41/$L$41),0)</f>
        <v>0</v>
      </c>
      <c r="CT41" s="535">
        <f>IFERROR(((CR41*CT$8)/$L$41),0)</f>
        <v>0</v>
      </c>
      <c r="CU41" s="535">
        <f>SUM(CU9:CU39)</f>
        <v>0</v>
      </c>
      <c r="CV41" s="535">
        <f>IFERROR((CU41/$L$41),0)</f>
        <v>0</v>
      </c>
      <c r="CW41" s="535">
        <f>IFERROR(((CU41*CW$8)/$L$41),0)</f>
        <v>0</v>
      </c>
      <c r="CX41" s="535">
        <f>SUM(CX9:CX39)</f>
        <v>0</v>
      </c>
      <c r="CY41" s="535">
        <f>IFERROR((CX41/$L$41),0)</f>
        <v>0</v>
      </c>
      <c r="CZ41" s="535">
        <f>IFERROR(((CX41*CZ$8)/$L$41),0)</f>
        <v>0</v>
      </c>
      <c r="DA41" s="535">
        <f>SUM(DA9:DA39)</f>
        <v>0</v>
      </c>
      <c r="DB41" s="535">
        <f>IFERROR((DA41/$L$41),0)</f>
        <v>0</v>
      </c>
      <c r="DC41" s="535">
        <f>IFERROR(((DA41*DC$8)/$L$41),0)</f>
        <v>0</v>
      </c>
      <c r="DD41" s="535">
        <f>SUM(DD9:DD39)</f>
        <v>0</v>
      </c>
      <c r="DE41" s="535">
        <f>IFERROR((DD41/$L$41),0)</f>
        <v>0</v>
      </c>
      <c r="DF41" s="535">
        <f>IFERROR(((DD41*DF$8)/$L$41),0)</f>
        <v>0</v>
      </c>
      <c r="DG41" s="535">
        <f>SUM(DG14:DG39)</f>
        <v>54.400000000000013</v>
      </c>
      <c r="DH41" s="535">
        <f>IFERROR((DG41/$L$41),0)</f>
        <v>0</v>
      </c>
      <c r="DI41" s="535">
        <f>IFERROR(((DG41*DI$8)/$L$41),0)</f>
        <v>0</v>
      </c>
      <c r="DJ41" s="535">
        <f>SUM(DJ9:DJ39)</f>
        <v>0</v>
      </c>
      <c r="DK41" s="535">
        <f>IFERROR((DJ41/$L$41),0)</f>
        <v>0</v>
      </c>
      <c r="DL41" s="535">
        <f>IFERROR(((DJ41*DL$8)/$L$41),0)</f>
        <v>0</v>
      </c>
      <c r="DM41" s="535">
        <f>SUM(DM9:DM39)</f>
        <v>0</v>
      </c>
      <c r="DN41" s="535">
        <f>IFERROR((DM41/$L$41),0)</f>
        <v>0</v>
      </c>
      <c r="DO41" s="535">
        <f>IFERROR(((DM41*DO$8)/$L$41),0)</f>
        <v>0</v>
      </c>
      <c r="DP41" s="535">
        <f>SUM(DP9:DP39)</f>
        <v>0</v>
      </c>
      <c r="DQ41" s="535">
        <f>IFERROR((DP41/$L$41),0)</f>
        <v>0</v>
      </c>
      <c r="DR41" s="535">
        <f>IFERROR(((DP41*DR$8)/$L$41),0)</f>
        <v>0</v>
      </c>
      <c r="DS41" s="535">
        <f>SUM(DS9:DS39)</f>
        <v>0</v>
      </c>
      <c r="DT41" s="535">
        <f>IFERROR((DS41/$L$41),0)</f>
        <v>0</v>
      </c>
      <c r="DU41" s="535">
        <f>IFERROR(((DS41*DU$8)/$L$41),0)</f>
        <v>0</v>
      </c>
      <c r="DV41" s="535">
        <f>SUM(DV9:DV39)</f>
        <v>0</v>
      </c>
      <c r="DW41" s="535">
        <f>IFERROR((DV41/$L$41),0)</f>
        <v>0</v>
      </c>
      <c r="DX41" s="535">
        <f>IFERROR(((DV41*DX$8)/$L$41),0)</f>
        <v>0</v>
      </c>
      <c r="DY41" s="535">
        <f>SUM(DY9:DY39)</f>
        <v>0</v>
      </c>
      <c r="DZ41" s="535">
        <f>IFERROR((DY41/$L$41),0)</f>
        <v>0</v>
      </c>
      <c r="EA41" s="535">
        <f>IFERROR(((DY41*EA$8)/$L$41),0)</f>
        <v>0</v>
      </c>
      <c r="EB41" s="535">
        <f>SUM(EB9:EB39)</f>
        <v>793.02639999999985</v>
      </c>
      <c r="EC41" s="535">
        <f>IFERROR((EB41/$L$41),0)</f>
        <v>0</v>
      </c>
      <c r="ED41" s="535">
        <f>IFERROR(((EB41*ED$8)/$L$41),0)</f>
        <v>0</v>
      </c>
      <c r="EE41" s="535">
        <f>SUM(EE9:EE39)</f>
        <v>4.5</v>
      </c>
      <c r="EF41" s="535">
        <f>IFERROR((EE41/$L$41),0)</f>
        <v>0</v>
      </c>
      <c r="EG41" s="535">
        <f>IFERROR(((EE41*EG$8)/$L$41),0)</f>
        <v>0</v>
      </c>
      <c r="EH41" s="535">
        <f>SUM(EH9:EH39)</f>
        <v>0</v>
      </c>
      <c r="EI41" s="535">
        <f>IFERROR((EH41/$L$41),0)</f>
        <v>0</v>
      </c>
      <c r="EJ41" s="535">
        <f>IFERROR(((EH41*EJ$8)/$L$41),0)</f>
        <v>0</v>
      </c>
      <c r="EK41" s="535">
        <f>SUM(EK9:EK39)</f>
        <v>0</v>
      </c>
      <c r="EL41" s="535">
        <f>IFERROR((EK41/$L$41),0)</f>
        <v>0</v>
      </c>
      <c r="EM41" s="535">
        <f>IFERROR(((EK41*EM$8)/$L$41),0)</f>
        <v>0</v>
      </c>
      <c r="EN41" s="535">
        <f>SUM(EN9:EN39)</f>
        <v>0</v>
      </c>
      <c r="EO41" s="535">
        <f>IFERROR((EN41/$L$41),0)</f>
        <v>0</v>
      </c>
      <c r="EP41" s="535">
        <f>IFERROR(((EN41*EP$8)/$L$41),0)</f>
        <v>0</v>
      </c>
      <c r="EQ41" s="535">
        <f>SUM(EQ9:EQ39)</f>
        <v>0</v>
      </c>
      <c r="ER41" s="535">
        <f>IFERROR((EQ41/$L$41),0)</f>
        <v>0</v>
      </c>
      <c r="ES41" s="535">
        <f>IFERROR(((EQ41*ES$8)/$L$41),0)</f>
        <v>0</v>
      </c>
      <c r="ET41" s="535">
        <f>SUM(ET9:ET39)</f>
        <v>0</v>
      </c>
      <c r="EU41" s="535">
        <f>IFERROR((ET41/$L$41),0)</f>
        <v>0</v>
      </c>
      <c r="EV41" s="535">
        <f>IFERROR(((ET41*EV$8)/$L$41),0)</f>
        <v>0</v>
      </c>
      <c r="EW41" s="535">
        <f>SUM(EW9:EW39)</f>
        <v>0</v>
      </c>
      <c r="EX41" s="535">
        <f>IFERROR((EW41/$L$41),0)</f>
        <v>0</v>
      </c>
      <c r="EY41" s="535">
        <f>IFERROR(((EW41*EY$8)/$L$41),0)</f>
        <v>0</v>
      </c>
      <c r="EZ41" s="535">
        <f>SUM(EZ9:EZ39)</f>
        <v>0</v>
      </c>
      <c r="FA41" s="535">
        <f>IFERROR((EZ41/$L$41),0)</f>
        <v>0</v>
      </c>
      <c r="FB41" s="535">
        <f>IFERROR(((EZ41*FB$8)/$L$41),0)</f>
        <v>0</v>
      </c>
      <c r="FC41" s="535">
        <f>SUM(FC9:FC39)</f>
        <v>0</v>
      </c>
      <c r="FD41" s="535">
        <f>IFERROR((FC41/$L$41),0)</f>
        <v>0</v>
      </c>
      <c r="FE41" s="535">
        <f>IFERROR(((FC41*FE$8)/$L$41),0)</f>
        <v>0</v>
      </c>
      <c r="FF41" s="535">
        <f>SUM(FF9:FF39)</f>
        <v>0</v>
      </c>
      <c r="FG41" s="535">
        <f>IFERROR((FF41/$L$41),0)</f>
        <v>0</v>
      </c>
      <c r="FH41" s="535">
        <f>IFERROR(((FF41*FH$8)/$L$41),0)</f>
        <v>0</v>
      </c>
      <c r="FI41" s="535">
        <f>SUM(FI9:FI39)</f>
        <v>0</v>
      </c>
      <c r="FJ41" s="535">
        <f>IFERROR((FI41/$L$41),0)</f>
        <v>0</v>
      </c>
      <c r="FK41" s="535">
        <f>IFERROR(((FI41*FK$8)/$L$41),0)</f>
        <v>0</v>
      </c>
      <c r="FL41" s="535">
        <f>SUM(FL9:FL39)</f>
        <v>0</v>
      </c>
      <c r="FM41" s="535">
        <f>IFERROR((FL41/$L$41),0)</f>
        <v>0</v>
      </c>
      <c r="FN41" s="535">
        <f>IFERROR(((FL41*FN$8)/$L$41),0)</f>
        <v>0</v>
      </c>
      <c r="FO41" s="535">
        <f>SUM(FO9:FO39)</f>
        <v>0</v>
      </c>
      <c r="FP41" s="535">
        <f>IFERROR((FO41/$L$41),0)</f>
        <v>0</v>
      </c>
      <c r="FQ41" s="535">
        <f>IFERROR(((FO41*FQ$8)/$L$41),0)</f>
        <v>0</v>
      </c>
      <c r="FR41" s="535">
        <f>SUM(FR9:FR39)</f>
        <v>0</v>
      </c>
      <c r="FS41" s="535">
        <f>IFERROR((FR41/$L$41),0)</f>
        <v>0</v>
      </c>
      <c r="FT41" s="535">
        <f>IFERROR(((FR41*FT$8)/$L$41),0)</f>
        <v>0</v>
      </c>
      <c r="FU41" s="535">
        <f>SUM(FU9:FU39)</f>
        <v>0</v>
      </c>
      <c r="FV41" s="535">
        <f>IFERROR((FU41/$L$41),0)</f>
        <v>0</v>
      </c>
      <c r="FW41" s="535">
        <f>IFERROR(((FU41*FW$8)/$L$41),0)</f>
        <v>0</v>
      </c>
      <c r="FX41" s="535">
        <f>SUM(FX9:FX39)</f>
        <v>0</v>
      </c>
      <c r="FY41" s="535">
        <f>IFERROR((FX41/$L$41),0)</f>
        <v>0</v>
      </c>
      <c r="FZ41" s="535">
        <f>IFERROR(((FX41*FZ$8)/$L$41),0)</f>
        <v>0</v>
      </c>
      <c r="GA41" s="535">
        <f>SUM(GA9:GA39)</f>
        <v>0</v>
      </c>
      <c r="GB41" s="535">
        <f>IFERROR((GA41/$L$41),0)</f>
        <v>0</v>
      </c>
      <c r="GC41" s="535">
        <f>IFERROR(((GA41*GC$8)/$L$41),0)</f>
        <v>0</v>
      </c>
      <c r="GD41" s="535">
        <f>SUM(GD9:GD39)</f>
        <v>0</v>
      </c>
      <c r="GE41" s="535">
        <f>IFERROR((GD41/$L$41),0)</f>
        <v>0</v>
      </c>
      <c r="GF41" s="535">
        <f>IFERROR(((GD41*GF$8)/$L$41),0)</f>
        <v>0</v>
      </c>
      <c r="GG41" s="535">
        <f>SUM(GG9:GG39)</f>
        <v>0</v>
      </c>
      <c r="GH41" s="535">
        <f>IFERROR((GG41/$L$41),0)</f>
        <v>0</v>
      </c>
      <c r="GI41" s="535">
        <f>IFERROR(((GG41*GI$8)/$L$41),0)</f>
        <v>0</v>
      </c>
      <c r="GJ41" s="535">
        <f>SUM(GJ9:GJ39)</f>
        <v>0</v>
      </c>
      <c r="GK41" s="535">
        <f>IFERROR((GJ41/$L$41),0)</f>
        <v>0</v>
      </c>
      <c r="GL41" s="535">
        <f>IFERROR(((GJ41*GL$8)/$L$41),0)</f>
        <v>0</v>
      </c>
      <c r="GM41" s="535">
        <f>SUM(GM9:GM39)</f>
        <v>0</v>
      </c>
      <c r="GN41" s="535">
        <f>IFERROR((GM41/$L$41),0)</f>
        <v>0</v>
      </c>
      <c r="GO41" s="535">
        <f>IFERROR(((GM41*GO$8)/$L$41),0)</f>
        <v>0</v>
      </c>
      <c r="GP41" s="535">
        <f>SUM(GP9:GP39)</f>
        <v>0</v>
      </c>
      <c r="GQ41" s="535">
        <f>IFERROR((GP41/$L$41),0)</f>
        <v>0</v>
      </c>
      <c r="GR41" s="535">
        <f>IFERROR(((GP41*GR$8)/$L$41),0)</f>
        <v>0</v>
      </c>
      <c r="GS41" s="535">
        <f>SUM(GS9:GS39)</f>
        <v>0</v>
      </c>
      <c r="GT41" s="535">
        <f>IFERROR((GS41/$L$41),0)</f>
        <v>0</v>
      </c>
      <c r="GU41" s="535">
        <f>IFERROR(((GS41*GU$8)/$L$41),0)</f>
        <v>0</v>
      </c>
      <c r="GV41" s="535">
        <f>SUM(GV9:GV39)</f>
        <v>0</v>
      </c>
      <c r="GW41" s="535">
        <f>IFERROR((GV41/$L$41),0)</f>
        <v>0</v>
      </c>
      <c r="GX41" s="535">
        <f>IFERROR(((GV41*GX$8)/$L$41),0)</f>
        <v>0</v>
      </c>
      <c r="GY41" s="535">
        <f>SUM(GY9:GY39)</f>
        <v>0</v>
      </c>
      <c r="GZ41" s="535">
        <f>IFERROR((GY41/$L$41),0)</f>
        <v>0</v>
      </c>
      <c r="HA41" s="535">
        <f>IFERROR(((GY41*HA$8)/$L$41),0)</f>
        <v>0</v>
      </c>
      <c r="HB41" s="535">
        <f>SUM(HB9:HB39)</f>
        <v>0</v>
      </c>
      <c r="HC41" s="535">
        <f>IFERROR((HB41/$L$41),0)</f>
        <v>0</v>
      </c>
      <c r="HD41" s="535">
        <f>IFERROR(((HB41*HD$8)/$L$41),0)</f>
        <v>0</v>
      </c>
      <c r="HE41" s="535">
        <f>SUM(HE9:HE39)</f>
        <v>0</v>
      </c>
      <c r="HF41" s="535">
        <f>IFERROR((HE41/$L$41),0)</f>
        <v>0</v>
      </c>
      <c r="HG41" s="535">
        <f>IFERROR(((HE41*HG$8)/$L$41),0)</f>
        <v>0</v>
      </c>
      <c r="HH41" s="535">
        <f>SUM(HH9:HH39)</f>
        <v>0</v>
      </c>
      <c r="HI41" s="535">
        <f>IFERROR((HH41/$L$41),0)</f>
        <v>0</v>
      </c>
      <c r="HJ41" s="535">
        <f>IFERROR(((HH41*HJ$8)/$L$41),0)</f>
        <v>0</v>
      </c>
      <c r="HK41" s="535">
        <f>SUM(HK9:HK39)</f>
        <v>0</v>
      </c>
      <c r="HL41" s="535">
        <f>IFERROR((HK41/$L$41),0)</f>
        <v>0</v>
      </c>
      <c r="HM41" s="535">
        <f>IFERROR(((HK41*HM$8)/$L$41),0)</f>
        <v>0</v>
      </c>
      <c r="HN41" s="535">
        <f>SUM(HN9:HN39)</f>
        <v>0</v>
      </c>
      <c r="HO41" s="535">
        <f>IFERROR((HN41/$L$41),0)</f>
        <v>0</v>
      </c>
      <c r="HP41" s="535">
        <f>IFERROR(((HN41*HP$8)/$L$41),0)</f>
        <v>0</v>
      </c>
      <c r="HQ41" s="535">
        <f>SUM(HQ9:HQ39)</f>
        <v>0</v>
      </c>
      <c r="HR41" s="535">
        <f>IFERROR((HQ41/$L$41),0)</f>
        <v>0</v>
      </c>
      <c r="HS41" s="535">
        <f>IFERROR(((HQ41*HS$8)/$L$41),0)</f>
        <v>0</v>
      </c>
      <c r="HT41" s="535">
        <f>SUM(HT9:HT39)</f>
        <v>0</v>
      </c>
      <c r="HU41" s="535">
        <f>IFERROR((HT41/$L$41),0)</f>
        <v>0</v>
      </c>
      <c r="HV41" s="535">
        <f>IFERROR(((HT41*HV$8)/$L$41),0)</f>
        <v>0</v>
      </c>
      <c r="HW41" s="535">
        <f>SUM(HW9:HW39)</f>
        <v>0</v>
      </c>
      <c r="HX41" s="535">
        <f>IFERROR((HW41/$L$41),0)</f>
        <v>0</v>
      </c>
      <c r="HY41" s="535">
        <f>IFERROR(((HW41*HY$8)/$L$41),0)</f>
        <v>0</v>
      </c>
      <c r="HZ41" s="535">
        <f>SUM(HZ9:HZ39)</f>
        <v>0</v>
      </c>
      <c r="IA41" s="535">
        <f>IFERROR((HZ41/$L$41),0)</f>
        <v>0</v>
      </c>
      <c r="IB41" s="535">
        <f>IFERROR(((HZ41*IB$8)/$L$41),0)</f>
        <v>0</v>
      </c>
      <c r="IC41" s="535">
        <f>SUM(IC9:IC39)</f>
        <v>0</v>
      </c>
      <c r="ID41" s="535">
        <f>IFERROR((IC41/$L$41),0)</f>
        <v>0</v>
      </c>
      <c r="IE41" s="535">
        <f>IFERROR(((IC41*IE$8)/$L$41),0)</f>
        <v>0</v>
      </c>
      <c r="IF41" s="535">
        <f>SUM(IF9:IF39)</f>
        <v>0</v>
      </c>
      <c r="IG41" s="535">
        <f>IFERROR((IF41/$L$41),0)</f>
        <v>0</v>
      </c>
      <c r="IH41" s="535">
        <f>IFERROR(((IF41*IH$8)/$L$41),0)</f>
        <v>0</v>
      </c>
      <c r="II41" s="535">
        <f>SUM(II9:II39)</f>
        <v>0</v>
      </c>
      <c r="IJ41" s="535">
        <f>IFERROR((II41/$L$41),0)</f>
        <v>0</v>
      </c>
      <c r="IK41" s="535">
        <f>IFERROR(((II41*IK$8)/$L$41),0)</f>
        <v>0</v>
      </c>
      <c r="IL41" s="535">
        <f>SUM(IL9:IL39)</f>
        <v>0</v>
      </c>
      <c r="IM41" s="535">
        <f>IFERROR((IL41/$L$41),0)</f>
        <v>0</v>
      </c>
      <c r="IN41" s="535">
        <f>IFERROR(((IL41*IN$8)/$L$41),0)</f>
        <v>0</v>
      </c>
      <c r="IO41" s="535">
        <f>SUM(IO9:IO39)</f>
        <v>0</v>
      </c>
      <c r="IP41" s="535">
        <f>IFERROR((IO41/$L$41),0)</f>
        <v>0</v>
      </c>
      <c r="IQ41" s="535">
        <f>IFERROR(((IO41*IQ$8)/$L$41),0)</f>
        <v>0</v>
      </c>
      <c r="IR41" s="535">
        <f>SUM(IR9:IR39)</f>
        <v>0</v>
      </c>
      <c r="IS41" s="535">
        <f>IFERROR((IR41/$L$41),0)</f>
        <v>0</v>
      </c>
      <c r="IT41" s="535">
        <f>IFERROR(((IR41*IT$8)/$L$41),0)</f>
        <v>0</v>
      </c>
      <c r="IU41" s="535">
        <f>SUM(IU9:IU39)</f>
        <v>0</v>
      </c>
      <c r="IV41" s="535">
        <f>IFERROR((IU41/$L$41),0)</f>
        <v>0</v>
      </c>
      <c r="IW41" s="535">
        <f>IFERROR(((IU41*IW$8)/$L$41),0)</f>
        <v>0</v>
      </c>
      <c r="IX41" s="535">
        <f>SUM(IX9:IX39)</f>
        <v>0</v>
      </c>
      <c r="IY41" s="535">
        <f>IFERROR((IX41/$L$41),0)</f>
        <v>0</v>
      </c>
      <c r="IZ41" s="535">
        <f>IFERROR(((IX41*IZ$8)/$L$41),0)</f>
        <v>0</v>
      </c>
      <c r="JA41" s="535">
        <f>SUM(JA9:JA39)</f>
        <v>0</v>
      </c>
      <c r="JB41" s="535">
        <f>IFERROR((JA41/$L$41),0)</f>
        <v>0</v>
      </c>
      <c r="JC41" s="535">
        <f>IFERROR(((JA41*JC$8)/$L$41),0)</f>
        <v>0</v>
      </c>
      <c r="JD41" s="535">
        <f>SUM(JD9:JD39)</f>
        <v>0</v>
      </c>
      <c r="JE41" s="535">
        <f>IFERROR((JD41/$L$41),0)</f>
        <v>0</v>
      </c>
      <c r="JF41" s="535">
        <f>IFERROR(((JD41*JF$8)/$L$41),0)</f>
        <v>0</v>
      </c>
      <c r="JG41" s="535">
        <f>SUM(JG9:JG39)</f>
        <v>0</v>
      </c>
      <c r="JH41" s="535">
        <f>IFERROR((JG41/$L$41),0)</f>
        <v>0</v>
      </c>
      <c r="JI41" s="535">
        <f>IFERROR(((JG41*JI$8)/$L$41),0)</f>
        <v>0</v>
      </c>
      <c r="JJ41" s="535">
        <f>SUM(JJ9:JJ39)</f>
        <v>0</v>
      </c>
      <c r="JK41" s="535">
        <f>IFERROR((JJ41/$L$41),0)</f>
        <v>0</v>
      </c>
      <c r="JL41" s="535">
        <f>IFERROR(((JJ41*JL$8)/$L$41),0)</f>
        <v>0</v>
      </c>
      <c r="JM41" s="535">
        <f>SUM(JM9:JM39)</f>
        <v>0</v>
      </c>
      <c r="JN41" s="535">
        <f>IFERROR((JM41/$L$41),0)</f>
        <v>0</v>
      </c>
      <c r="JO41" s="535">
        <f>IFERROR(((JM41*JO$8)/$L$41),0)</f>
        <v>0</v>
      </c>
      <c r="JP41" s="535">
        <f>SUM(JP9:JP39)</f>
        <v>0</v>
      </c>
      <c r="JQ41" s="535">
        <f>IFERROR((JP41/$L$41),0)</f>
        <v>0</v>
      </c>
      <c r="JR41" s="535">
        <f>IFERROR(((JP41*JR$8)/$L$41),0)</f>
        <v>0</v>
      </c>
      <c r="JS41" s="535">
        <f>SUM(JS9:JS39)</f>
        <v>0</v>
      </c>
      <c r="JT41" s="535">
        <f>IFERROR((JS41/$L$41),0)</f>
        <v>0</v>
      </c>
      <c r="JU41" s="535">
        <f>IFERROR(((JS41*JU$8)/$L$41),0)</f>
        <v>0</v>
      </c>
      <c r="JV41" s="535">
        <f>SUM(JV9:JV39)</f>
        <v>0</v>
      </c>
      <c r="JW41" s="535">
        <f>IFERROR((JV41/$L$41),0)</f>
        <v>0</v>
      </c>
      <c r="JX41" s="535">
        <f>IFERROR(((JV41*JX$8)/$L$41),0)</f>
        <v>0</v>
      </c>
      <c r="JY41" s="535">
        <f>SUM(JY9:JY39)</f>
        <v>0</v>
      </c>
      <c r="JZ41" s="535">
        <f>IFERROR((JY41/$L$41),0)</f>
        <v>0</v>
      </c>
      <c r="KA41" s="535">
        <f>IFERROR(((JY41*KA$8)/$L$41),0)</f>
        <v>0</v>
      </c>
      <c r="KB41" s="535">
        <f>SUM(KB9:KB39)</f>
        <v>0</v>
      </c>
      <c r="KC41" s="535">
        <f>IFERROR((KB41/$L$41),0)</f>
        <v>0</v>
      </c>
      <c r="KD41" s="535">
        <f>IFERROR(((KB41*KD$8)/$L$41),0)</f>
        <v>0</v>
      </c>
      <c r="KE41" s="535">
        <f>SUM(KE9:KE39)</f>
        <v>0</v>
      </c>
      <c r="KF41" s="535">
        <f>IFERROR((KE41/$L$41),0)</f>
        <v>0</v>
      </c>
      <c r="KG41" s="535">
        <f>IFERROR(((KE41*KG$8)/$L$41),0)</f>
        <v>0</v>
      </c>
      <c r="KH41" s="535">
        <f>SUM(KH9:KH39)</f>
        <v>0</v>
      </c>
      <c r="KI41" s="535">
        <f>IFERROR((KH41/$L$41),0)</f>
        <v>0</v>
      </c>
      <c r="KJ41" s="535">
        <f>IFERROR(((KH41*KJ$8)/$L$41),0)</f>
        <v>0</v>
      </c>
      <c r="KK41" s="535">
        <f>SUM(KK9:KK39)</f>
        <v>0</v>
      </c>
      <c r="KL41" s="535">
        <f>IFERROR((KK41/$L$41),0)</f>
        <v>0</v>
      </c>
      <c r="KM41" s="535">
        <f>IFERROR(((KK41*KM$8)/$L$41),0)</f>
        <v>0</v>
      </c>
      <c r="KN41" s="535">
        <f>SUM(KN9:KN39)</f>
        <v>0</v>
      </c>
      <c r="KO41" s="535">
        <f>IFERROR((KN41/$L$41),0)</f>
        <v>0</v>
      </c>
      <c r="KP41" s="535">
        <f>IFERROR(((KN41*KP$8)/$L$41),0)</f>
        <v>0</v>
      </c>
      <c r="KQ41" s="535">
        <f>SUM(KQ9:KQ39)</f>
        <v>0</v>
      </c>
      <c r="KR41" s="535">
        <f>IFERROR((KQ41/$L$41),0)</f>
        <v>0</v>
      </c>
      <c r="KS41" s="535">
        <f>IFERROR(((KQ41*KS$8)/$L$41),0)</f>
        <v>0</v>
      </c>
      <c r="KT41" s="536">
        <f t="shared" si="201"/>
        <v>0</v>
      </c>
      <c r="KU41" s="536">
        <f t="shared" si="202"/>
        <v>0</v>
      </c>
      <c r="KV41" s="275">
        <f t="shared" si="199"/>
        <v>24823.492472705067</v>
      </c>
    </row>
    <row r="43" spans="1:308" ht="15" customHeight="1">
      <c r="A43" s="286" t="s">
        <v>138</v>
      </c>
      <c r="B43" s="287" t="s">
        <v>139</v>
      </c>
      <c r="C43" s="288" t="s">
        <v>153</v>
      </c>
      <c r="D43" s="272"/>
      <c r="E43" s="272"/>
    </row>
    <row r="44" spans="1:308" ht="15" customHeight="1">
      <c r="A44" s="289"/>
      <c r="B44" s="287" t="s">
        <v>140</v>
      </c>
      <c r="C44" s="288" t="s">
        <v>146</v>
      </c>
      <c r="D44" s="272"/>
      <c r="E44" s="272"/>
    </row>
    <row r="45" spans="1:308" ht="15" customHeight="1">
      <c r="A45" s="289"/>
      <c r="B45" s="290" t="s">
        <v>141</v>
      </c>
      <c r="C45" s="288" t="s">
        <v>142</v>
      </c>
      <c r="D45" s="272"/>
      <c r="E45" s="272"/>
    </row>
  </sheetData>
  <mergeCells count="210">
    <mergeCell ref="CL7:CM7"/>
    <mergeCell ref="CO7:CP7"/>
    <mergeCell ref="B6:B8"/>
    <mergeCell ref="AJ7:AK7"/>
    <mergeCell ref="BN7:BO7"/>
    <mergeCell ref="BZ7:CA7"/>
    <mergeCell ref="CC7:CD7"/>
    <mergeCell ref="CF7:CG7"/>
    <mergeCell ref="CI7:CJ7"/>
    <mergeCell ref="AV6:AX6"/>
    <mergeCell ref="AY7:AZ7"/>
    <mergeCell ref="AY6:BA6"/>
    <mergeCell ref="BB6:BD6"/>
    <mergeCell ref="BE6:BG6"/>
    <mergeCell ref="A41:C41"/>
    <mergeCell ref="F7:G7"/>
    <mergeCell ref="C6:C8"/>
    <mergeCell ref="E6:E8"/>
    <mergeCell ref="D6:D8"/>
    <mergeCell ref="A6:A8"/>
    <mergeCell ref="F5:GC5"/>
    <mergeCell ref="GD5:KS5"/>
    <mergeCell ref="KT5:KT8"/>
    <mergeCell ref="CF6:CH6"/>
    <mergeCell ref="CI6:CK6"/>
    <mergeCell ref="BH6:BJ6"/>
    <mergeCell ref="BK6:BM6"/>
    <mergeCell ref="BN6:BP6"/>
    <mergeCell ref="BQ6:BS6"/>
    <mergeCell ref="BT6:BV6"/>
    <mergeCell ref="DA6:DC6"/>
    <mergeCell ref="DD6:DF6"/>
    <mergeCell ref="DG6:DI6"/>
    <mergeCell ref="DJ6:DL6"/>
    <mergeCell ref="DM6:DO6"/>
    <mergeCell ref="CL6:CN6"/>
    <mergeCell ref="CO6:CQ6"/>
    <mergeCell ref="CR6:CT6"/>
    <mergeCell ref="KU5:KU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BT7:BU7"/>
    <mergeCell ref="BK7:BL7"/>
    <mergeCell ref="R7:S7"/>
    <mergeCell ref="U7:V7"/>
    <mergeCell ref="AG7:AH7"/>
    <mergeCell ref="AV7:AW7"/>
    <mergeCell ref="AP6:AR6"/>
    <mergeCell ref="AS6:AU6"/>
    <mergeCell ref="BW6:BY6"/>
    <mergeCell ref="BZ6:CB6"/>
    <mergeCell ref="CC6:CE6"/>
    <mergeCell ref="CU6:CW6"/>
    <mergeCell ref="CX6:CZ6"/>
    <mergeCell ref="EE6:EG6"/>
    <mergeCell ref="EH6:EJ6"/>
    <mergeCell ref="EK6:EM6"/>
    <mergeCell ref="EN6:EP6"/>
    <mergeCell ref="EQ6:ES6"/>
    <mergeCell ref="DP6:DR6"/>
    <mergeCell ref="DS6:DU6"/>
    <mergeCell ref="DV6:DX6"/>
    <mergeCell ref="DY6:EA6"/>
    <mergeCell ref="EB6:ED6"/>
    <mergeCell ref="FI6:FK6"/>
    <mergeCell ref="FL6:FN6"/>
    <mergeCell ref="FO6:FQ6"/>
    <mergeCell ref="FR6:FT6"/>
    <mergeCell ref="FU6:FW6"/>
    <mergeCell ref="ET6:EV6"/>
    <mergeCell ref="EW6:EY6"/>
    <mergeCell ref="EZ6:FB6"/>
    <mergeCell ref="FC6:FE6"/>
    <mergeCell ref="FF6:FH6"/>
    <mergeCell ref="GM6:GO6"/>
    <mergeCell ref="GP6:GR6"/>
    <mergeCell ref="GS6:GU6"/>
    <mergeCell ref="GV6:GX6"/>
    <mergeCell ref="GY6:HA6"/>
    <mergeCell ref="FX6:FZ6"/>
    <mergeCell ref="GA6:GC6"/>
    <mergeCell ref="GD6:GF6"/>
    <mergeCell ref="GG6:GI6"/>
    <mergeCell ref="GJ6:GL6"/>
    <mergeCell ref="HQ6:HS6"/>
    <mergeCell ref="HT6:HV6"/>
    <mergeCell ref="HW6:HY6"/>
    <mergeCell ref="HZ6:IB6"/>
    <mergeCell ref="IC6:IE6"/>
    <mergeCell ref="HB6:HD6"/>
    <mergeCell ref="HE6:HG6"/>
    <mergeCell ref="HH6:HJ6"/>
    <mergeCell ref="HK6:HM6"/>
    <mergeCell ref="HN6:HP6"/>
    <mergeCell ref="JS6:JU6"/>
    <mergeCell ref="JV6:JX6"/>
    <mergeCell ref="IU6:IW6"/>
    <mergeCell ref="IX6:IZ6"/>
    <mergeCell ref="JA6:JC6"/>
    <mergeCell ref="JD6:JF6"/>
    <mergeCell ref="JG6:JI6"/>
    <mergeCell ref="IF6:IH6"/>
    <mergeCell ref="II6:IK6"/>
    <mergeCell ref="IL6:IN6"/>
    <mergeCell ref="IO6:IQ6"/>
    <mergeCell ref="IR6:IT6"/>
    <mergeCell ref="KN6:KP6"/>
    <mergeCell ref="KQ6:KS6"/>
    <mergeCell ref="I7:J7"/>
    <mergeCell ref="L7:M7"/>
    <mergeCell ref="O7:P7"/>
    <mergeCell ref="X7:Y7"/>
    <mergeCell ref="AA7:AB7"/>
    <mergeCell ref="AD7:AE7"/>
    <mergeCell ref="AM7:AN7"/>
    <mergeCell ref="AP7:AQ7"/>
    <mergeCell ref="AS7:AT7"/>
    <mergeCell ref="BB7:BC7"/>
    <mergeCell ref="BE7:BF7"/>
    <mergeCell ref="BH7:BI7"/>
    <mergeCell ref="BQ7:BR7"/>
    <mergeCell ref="BW7:BX7"/>
    <mergeCell ref="JY6:KA6"/>
    <mergeCell ref="KB6:KD6"/>
    <mergeCell ref="KE6:KG6"/>
    <mergeCell ref="KH6:KJ6"/>
    <mergeCell ref="KK6:KM6"/>
    <mergeCell ref="JJ6:JL6"/>
    <mergeCell ref="JM6:JO6"/>
    <mergeCell ref="JP6:JR6"/>
    <mergeCell ref="DG7:DH7"/>
    <mergeCell ref="DJ7:DK7"/>
    <mergeCell ref="DM7:DN7"/>
    <mergeCell ref="DP7:DQ7"/>
    <mergeCell ref="DS7:DT7"/>
    <mergeCell ref="CR7:CS7"/>
    <mergeCell ref="CU7:CV7"/>
    <mergeCell ref="CX7:CY7"/>
    <mergeCell ref="DA7:DB7"/>
    <mergeCell ref="DD7:DE7"/>
    <mergeCell ref="EK7:EL7"/>
    <mergeCell ref="EN7:EO7"/>
    <mergeCell ref="EQ7:ER7"/>
    <mergeCell ref="ET7:EU7"/>
    <mergeCell ref="EW7:EX7"/>
    <mergeCell ref="DV7:DW7"/>
    <mergeCell ref="DY7:DZ7"/>
    <mergeCell ref="EB7:EC7"/>
    <mergeCell ref="EE7:EF7"/>
    <mergeCell ref="EH7:EI7"/>
    <mergeCell ref="FO7:FP7"/>
    <mergeCell ref="FR7:FS7"/>
    <mergeCell ref="FU7:FV7"/>
    <mergeCell ref="FX7:FY7"/>
    <mergeCell ref="GA7:GB7"/>
    <mergeCell ref="EZ7:FA7"/>
    <mergeCell ref="FC7:FD7"/>
    <mergeCell ref="FF7:FG7"/>
    <mergeCell ref="FI7:FJ7"/>
    <mergeCell ref="FL7:FM7"/>
    <mergeCell ref="GS7:GT7"/>
    <mergeCell ref="GV7:GW7"/>
    <mergeCell ref="GY7:GZ7"/>
    <mergeCell ref="HB7:HC7"/>
    <mergeCell ref="HE7:HF7"/>
    <mergeCell ref="GD7:GE7"/>
    <mergeCell ref="GG7:GH7"/>
    <mergeCell ref="GJ7:GK7"/>
    <mergeCell ref="GM7:GN7"/>
    <mergeCell ref="GP7:GQ7"/>
    <mergeCell ref="HW7:HX7"/>
    <mergeCell ref="HZ7:IA7"/>
    <mergeCell ref="IC7:ID7"/>
    <mergeCell ref="IF7:IG7"/>
    <mergeCell ref="II7:IJ7"/>
    <mergeCell ref="HH7:HI7"/>
    <mergeCell ref="HK7:HL7"/>
    <mergeCell ref="HN7:HO7"/>
    <mergeCell ref="HQ7:HR7"/>
    <mergeCell ref="HT7:HU7"/>
    <mergeCell ref="JA7:JB7"/>
    <mergeCell ref="JD7:JE7"/>
    <mergeCell ref="JG7:JH7"/>
    <mergeCell ref="JJ7:JK7"/>
    <mergeCell ref="JM7:JN7"/>
    <mergeCell ref="IL7:IM7"/>
    <mergeCell ref="IO7:IP7"/>
    <mergeCell ref="IR7:IS7"/>
    <mergeCell ref="IU7:IV7"/>
    <mergeCell ref="IX7:IY7"/>
    <mergeCell ref="KE7:KF7"/>
    <mergeCell ref="KH7:KI7"/>
    <mergeCell ref="KK7:KL7"/>
    <mergeCell ref="KN7:KO7"/>
    <mergeCell ref="KQ7:KR7"/>
    <mergeCell ref="JP7:JQ7"/>
    <mergeCell ref="JS7:JT7"/>
    <mergeCell ref="JV7:JW7"/>
    <mergeCell ref="JY7:JZ7"/>
    <mergeCell ref="KB7:KC7"/>
  </mergeCells>
  <phoneticPr fontId="33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selection activeCell="AG4" sqref="AG4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7" width="9.140625" hidden="1" customWidth="1"/>
    <col min="28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7000</v>
      </c>
      <c r="C1">
        <v>8000</v>
      </c>
      <c r="D1">
        <v>7100</v>
      </c>
      <c r="E1">
        <v>7500</v>
      </c>
      <c r="F1">
        <v>8300</v>
      </c>
      <c r="G1">
        <v>8000</v>
      </c>
      <c r="H1">
        <v>8.1</v>
      </c>
      <c r="I1">
        <v>7800</v>
      </c>
      <c r="J1">
        <v>7700</v>
      </c>
      <c r="K1">
        <v>7300</v>
      </c>
      <c r="L1">
        <v>7400</v>
      </c>
      <c r="M1">
        <v>7600</v>
      </c>
      <c r="N1">
        <v>7100</v>
      </c>
      <c r="O1">
        <v>7400</v>
      </c>
      <c r="P1">
        <v>4000</v>
      </c>
      <c r="Q1">
        <v>4500</v>
      </c>
      <c r="R1">
        <v>6800</v>
      </c>
      <c r="S1">
        <v>6200</v>
      </c>
      <c r="T1">
        <v>6800</v>
      </c>
      <c r="U1">
        <v>7400</v>
      </c>
      <c r="V1">
        <v>7500</v>
      </c>
      <c r="W1">
        <v>7500</v>
      </c>
      <c r="X1">
        <v>7000</v>
      </c>
      <c r="Y1">
        <v>7500</v>
      </c>
      <c r="Z1">
        <v>7300</v>
      </c>
      <c r="AA1">
        <v>6000</v>
      </c>
      <c r="AB1">
        <v>8500</v>
      </c>
      <c r="AC1">
        <v>7000</v>
      </c>
      <c r="AD1">
        <v>7500</v>
      </c>
      <c r="AE1">
        <v>8300</v>
      </c>
      <c r="AF1">
        <v>6500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86" t="s">
        <v>280</v>
      </c>
      <c r="AH2" s="487" t="s">
        <v>281</v>
      </c>
      <c r="AI2" s="488" t="s">
        <v>282</v>
      </c>
    </row>
    <row r="3" spans="1:35">
      <c r="A3" s="489" t="s">
        <v>283</v>
      </c>
      <c r="B3" s="6">
        <v>5.9</v>
      </c>
      <c r="C3" s="6">
        <v>17</v>
      </c>
      <c r="D3" s="6">
        <v>16.5</v>
      </c>
      <c r="E3" s="506">
        <v>20.2</v>
      </c>
      <c r="F3" s="6">
        <v>24.2</v>
      </c>
      <c r="G3" s="6">
        <v>20.399999999999999</v>
      </c>
      <c r="H3" s="6">
        <v>17.100000000000001</v>
      </c>
      <c r="I3" s="6">
        <v>6.3</v>
      </c>
      <c r="J3" s="6">
        <v>9.4</v>
      </c>
      <c r="K3" s="6">
        <v>5.5</v>
      </c>
      <c r="L3" s="6">
        <v>4.9000000000000004</v>
      </c>
      <c r="M3" s="6">
        <v>6.6</v>
      </c>
      <c r="N3" s="6">
        <v>13.6</v>
      </c>
      <c r="O3" s="6">
        <v>25</v>
      </c>
      <c r="P3" s="6">
        <v>14.3</v>
      </c>
      <c r="Q3" s="6">
        <v>6.5</v>
      </c>
      <c r="R3" s="6">
        <v>5</v>
      </c>
      <c r="S3" s="6">
        <v>5</v>
      </c>
      <c r="T3" s="6">
        <v>8.9</v>
      </c>
      <c r="U3" s="6">
        <v>9.9</v>
      </c>
      <c r="V3" s="6">
        <v>14</v>
      </c>
      <c r="W3" s="6">
        <v>13</v>
      </c>
      <c r="X3" s="6">
        <v>10</v>
      </c>
      <c r="Y3" s="6">
        <v>8.3000000000000007</v>
      </c>
      <c r="Z3" s="6">
        <v>8.5</v>
      </c>
      <c r="AA3" s="6">
        <v>6.3</v>
      </c>
      <c r="AB3" s="6">
        <v>4.0999999999999996</v>
      </c>
      <c r="AC3" s="6">
        <v>3.7</v>
      </c>
      <c r="AD3" s="6">
        <f>8.4+1.082</f>
        <v>9.4820000000000011</v>
      </c>
      <c r="AE3" s="6">
        <v>6.2</v>
      </c>
      <c r="AF3" s="6">
        <v>3.7</v>
      </c>
      <c r="AG3" s="6">
        <f>+AF3</f>
        <v>3.7</v>
      </c>
      <c r="AH3" s="484">
        <f>+AG3/Efficiency1!$K$153</f>
        <v>1.6788724513339987E-3</v>
      </c>
      <c r="AI3" s="975">
        <f>SUM(AH3:AH4)</f>
        <v>2.4488850323917816E-3</v>
      </c>
    </row>
    <row r="4" spans="1:35">
      <c r="A4" s="489" t="s">
        <v>284</v>
      </c>
      <c r="B4" s="6">
        <v>2.5350000000000001</v>
      </c>
      <c r="C4" s="6">
        <v>2.5350000000000001</v>
      </c>
      <c r="D4" s="6">
        <v>2.8660000000000001</v>
      </c>
      <c r="E4" s="506">
        <v>2.5</v>
      </c>
      <c r="F4" s="6">
        <v>0.98</v>
      </c>
      <c r="G4" s="6">
        <v>0.37</v>
      </c>
      <c r="H4" s="6">
        <v>0</v>
      </c>
      <c r="I4" s="6">
        <v>1.4450000000000001</v>
      </c>
      <c r="J4" s="6">
        <v>1.2529999999999999</v>
      </c>
      <c r="K4" s="6">
        <v>0.82199999999999995</v>
      </c>
      <c r="L4" s="6">
        <v>1.89</v>
      </c>
      <c r="M4" s="6">
        <v>2.0739999999999998</v>
      </c>
      <c r="N4" s="490">
        <v>2.4</v>
      </c>
      <c r="O4" s="490">
        <v>0.90400000000000003</v>
      </c>
      <c r="P4" s="6">
        <v>1.1000000000000001</v>
      </c>
      <c r="Q4" s="6">
        <v>1.1000000000000001</v>
      </c>
      <c r="R4" s="6">
        <v>2</v>
      </c>
      <c r="S4" s="6">
        <v>0</v>
      </c>
      <c r="T4" s="6">
        <v>0.5</v>
      </c>
      <c r="U4" s="6">
        <v>0.44</v>
      </c>
      <c r="V4" s="6">
        <v>1.901</v>
      </c>
      <c r="W4" s="490">
        <v>1.99</v>
      </c>
      <c r="X4" s="6">
        <v>1.1499999999999999</v>
      </c>
      <c r="Y4" s="6">
        <v>1.17</v>
      </c>
      <c r="Z4" s="6">
        <v>0.995</v>
      </c>
      <c r="AA4" s="6">
        <v>0.98899999999999999</v>
      </c>
      <c r="AB4" s="6">
        <v>1.1000000000000001</v>
      </c>
      <c r="AC4" s="6">
        <v>1.6</v>
      </c>
      <c r="AD4" s="6">
        <v>0</v>
      </c>
      <c r="AE4" s="6">
        <v>2.681</v>
      </c>
      <c r="AF4" s="6">
        <v>1.6970000000000001</v>
      </c>
      <c r="AG4" s="6">
        <f>+AF4</f>
        <v>1.6970000000000001</v>
      </c>
      <c r="AH4" s="484">
        <f>+AG4/Efficiency1!$K$153</f>
        <v>7.7001258105778266E-4</v>
      </c>
      <c r="AI4" s="976"/>
    </row>
    <row r="5" spans="1:35">
      <c r="A5" s="491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3"/>
      <c r="O5" s="493"/>
      <c r="P5" s="492"/>
      <c r="Q5" s="492"/>
      <c r="R5" s="492"/>
      <c r="S5" s="492"/>
      <c r="T5" s="492"/>
      <c r="U5" s="492"/>
      <c r="V5" s="492"/>
      <c r="W5" s="493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4"/>
    </row>
    <row r="6" spans="1:35">
      <c r="A6" s="489" t="s">
        <v>285</v>
      </c>
      <c r="B6" s="490">
        <f>1.3+0.388+0.3</f>
        <v>1.9880000000000002</v>
      </c>
      <c r="C6" s="6">
        <f>0.55+0.495+0.3</f>
        <v>1.345</v>
      </c>
      <c r="D6" s="6">
        <f>0.353+0.568+0.75</f>
        <v>1.6709999999999998</v>
      </c>
      <c r="E6" s="6">
        <f>0.408+0.234+0.24</f>
        <v>0.88200000000000001</v>
      </c>
      <c r="F6" s="6">
        <f>0.27+0.1+0.3</f>
        <v>0.66999999999999993</v>
      </c>
      <c r="G6" s="6">
        <f>0.333+0.15+0.15</f>
        <v>0.63300000000000001</v>
      </c>
      <c r="H6" s="6">
        <f>0.216+0.3+0.35</f>
        <v>0.86599999999999999</v>
      </c>
      <c r="I6" s="6">
        <f>0.185+0.1+0.1</f>
        <v>0.38500000000000001</v>
      </c>
      <c r="J6" s="6">
        <f>0.472+1+0.296</f>
        <v>1.768</v>
      </c>
      <c r="K6" s="6">
        <f>0.185+0.2+0.234</f>
        <v>0.61899999999999999</v>
      </c>
      <c r="L6" s="6">
        <f>0.296+0.16+0.194</f>
        <v>0.64999999999999991</v>
      </c>
      <c r="M6" s="6">
        <f>0.092+0.181+0.05+0.1</f>
        <v>0.42300000000000004</v>
      </c>
      <c r="N6" s="6">
        <v>0.23899999999999999</v>
      </c>
      <c r="O6" s="6">
        <f>0.015+0.17+0.2</f>
        <v>0.38500000000000001</v>
      </c>
      <c r="P6" s="6">
        <f>0.12+0.15+0.213</f>
        <v>0.48299999999999998</v>
      </c>
      <c r="Q6" s="6">
        <f>0.1+0.8+0.422</f>
        <v>1.3220000000000001</v>
      </c>
      <c r="R6" s="6">
        <f>0.035+0.228+0.298</f>
        <v>0.56099999999999994</v>
      </c>
      <c r="S6" s="6">
        <f>0.15+0.139+0.368</f>
        <v>0.65700000000000003</v>
      </c>
      <c r="T6" s="6">
        <f>0.35+0.36+0.38</f>
        <v>1.0899999999999999</v>
      </c>
      <c r="U6" s="6">
        <f>0.35+0.361+0.865</f>
        <v>1.5760000000000001</v>
      </c>
      <c r="V6" s="6">
        <f>0.5+0.384+0.3</f>
        <v>1.1839999999999999</v>
      </c>
      <c r="W6" s="490">
        <f>0.4+0.27+0.1</f>
        <v>0.77</v>
      </c>
      <c r="X6" s="6">
        <f>0.15+0.1</f>
        <v>0.25</v>
      </c>
      <c r="Y6" s="6">
        <f>0.1+0.259+0.15</f>
        <v>0.50900000000000001</v>
      </c>
      <c r="Z6" s="490">
        <f>0.282+0.198+0.1</f>
        <v>0.57999999999999996</v>
      </c>
      <c r="AA6" s="6">
        <f>0.277+0.354+0.145</f>
        <v>0.77600000000000002</v>
      </c>
      <c r="AB6" s="6">
        <f>0.475+0.391+0.2</f>
        <v>1.0660000000000001</v>
      </c>
      <c r="AC6" s="6">
        <f>0.265+0.245+0.15</f>
        <v>0.66</v>
      </c>
      <c r="AD6" s="6">
        <f>0.238+0.3+0.2</f>
        <v>0.73799999999999999</v>
      </c>
      <c r="AE6" s="6">
        <f>0.197+0.15+0.15</f>
        <v>0.497</v>
      </c>
      <c r="AF6" s="6">
        <f>0.135+0.15+0.35+0.075+0.1</f>
        <v>0.80999999999999994</v>
      </c>
      <c r="AG6" s="6">
        <f t="shared" ref="AG6:AG37" si="0">+SUM(B6:AF6)</f>
        <v>26.052999999999997</v>
      </c>
      <c r="AH6" s="495">
        <f t="shared" ref="AH6:AH36" si="1">+AG6/$AG$39</f>
        <v>0.35529886672030764</v>
      </c>
    </row>
    <row r="7" spans="1:35">
      <c r="A7" s="489" t="s">
        <v>286</v>
      </c>
      <c r="B7" s="6">
        <f>3.047+2.013+0.282</f>
        <v>5.3420000000000005</v>
      </c>
      <c r="C7" s="6">
        <f>1.647+3.264+0.3</f>
        <v>5.2109999999999994</v>
      </c>
      <c r="D7" s="6">
        <v>0.31</v>
      </c>
      <c r="E7" s="6">
        <f>0.2+0.19</f>
        <v>0.39</v>
      </c>
      <c r="F7" s="6">
        <v>0.13</v>
      </c>
      <c r="G7" s="6">
        <f>0.658+0.11</f>
        <v>0.76800000000000002</v>
      </c>
      <c r="H7" s="490">
        <v>0.30199999999999999</v>
      </c>
      <c r="I7" s="6">
        <v>0.43</v>
      </c>
      <c r="J7" s="6">
        <v>0.28699999999999998</v>
      </c>
      <c r="K7" s="6">
        <f>0.38+0.268</f>
        <v>0.64800000000000002</v>
      </c>
      <c r="L7" s="6">
        <f>0.171+0.515</f>
        <v>0.68600000000000005</v>
      </c>
      <c r="M7" s="6">
        <f>0.058+0.234+0.075</f>
        <v>0.36700000000000005</v>
      </c>
      <c r="N7" s="6">
        <f>0.381+0.936</f>
        <v>1.3170000000000002</v>
      </c>
      <c r="O7" s="6">
        <f>0.81+0.643+0.486</f>
        <v>1.9390000000000001</v>
      </c>
      <c r="P7" s="6">
        <f>0.18+0.164+0.145</f>
        <v>0.48899999999999999</v>
      </c>
      <c r="Q7" s="6">
        <v>1.6</v>
      </c>
      <c r="R7">
        <f>0.83+0.804</f>
        <v>1.6339999999999999</v>
      </c>
      <c r="S7" s="6">
        <f>0.06+0.21</f>
        <v>0.27</v>
      </c>
      <c r="T7" s="6">
        <f>1.491+0.3</f>
        <v>1.7910000000000001</v>
      </c>
      <c r="U7" s="6">
        <f>0.724+0.302</f>
        <v>1.026</v>
      </c>
      <c r="V7" s="6">
        <v>0.3</v>
      </c>
      <c r="W7" s="6">
        <f>0.474+0.43+0.15</f>
        <v>1.0539999999999998</v>
      </c>
      <c r="X7" s="6">
        <f>0.63+1.219+0.18</f>
        <v>2.0290000000000004</v>
      </c>
      <c r="Y7" s="6"/>
      <c r="Z7" s="6"/>
      <c r="AA7" s="6">
        <f>0.6+0.429+0.54</f>
        <v>1.569</v>
      </c>
      <c r="AB7" s="6">
        <f>0.785+0.32</f>
        <v>1.105</v>
      </c>
      <c r="AC7" s="6">
        <v>0.441</v>
      </c>
      <c r="AD7" s="6">
        <v>0.56100000000000005</v>
      </c>
      <c r="AE7" s="6">
        <v>0.71899999999999997</v>
      </c>
      <c r="AF7" s="6">
        <f>0.5+0.05+0.262</f>
        <v>0.81200000000000006</v>
      </c>
      <c r="AG7" s="6">
        <f t="shared" si="0"/>
        <v>33.527000000000001</v>
      </c>
      <c r="AH7" s="484">
        <f t="shared" si="1"/>
        <v>0.45722585132352345</v>
      </c>
    </row>
    <row r="8" spans="1:35">
      <c r="A8" s="496" t="s">
        <v>287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84">
        <f t="shared" si="1"/>
        <v>0</v>
      </c>
    </row>
    <row r="9" spans="1:35">
      <c r="A9" s="489" t="s">
        <v>288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84">
        <f t="shared" si="1"/>
        <v>0</v>
      </c>
    </row>
    <row r="10" spans="1:35">
      <c r="A10" s="489" t="s">
        <v>289</v>
      </c>
      <c r="B10" s="6"/>
      <c r="C10" s="6"/>
      <c r="D10" s="6"/>
      <c r="E10" s="6"/>
      <c r="F10" s="6">
        <v>0.38200000000000001</v>
      </c>
      <c r="G10" s="6"/>
      <c r="H10" s="6"/>
      <c r="I10" s="6"/>
      <c r="J10" s="6"/>
      <c r="K10" s="6"/>
      <c r="L10" s="6">
        <v>0.6</v>
      </c>
      <c r="M10" s="6"/>
      <c r="N10" s="6"/>
      <c r="O10" s="6"/>
      <c r="P10" s="6"/>
      <c r="Q10" s="6"/>
      <c r="R10" s="6"/>
      <c r="S10" s="6"/>
      <c r="T10" s="6">
        <f>1.894+0.803</f>
        <v>2.6970000000000001</v>
      </c>
      <c r="U10" s="6"/>
      <c r="V10" s="6"/>
      <c r="W10" s="6"/>
      <c r="X10" s="6"/>
      <c r="Y10" s="6">
        <v>0.32700000000000001</v>
      </c>
      <c r="Z10" s="6"/>
      <c r="AA10" s="6"/>
      <c r="AB10" s="6"/>
      <c r="AC10" s="6"/>
      <c r="AD10" s="6">
        <v>1.127</v>
      </c>
      <c r="AE10" s="6"/>
      <c r="AF10" s="6"/>
      <c r="AG10" s="6">
        <f t="shared" si="0"/>
        <v>5.133</v>
      </c>
      <c r="AH10" s="484">
        <f t="shared" si="1"/>
        <v>7.0001500129556651E-2</v>
      </c>
    </row>
    <row r="11" spans="1:35">
      <c r="A11" s="489" t="s">
        <v>290</v>
      </c>
      <c r="B11" s="6"/>
      <c r="C11" s="6">
        <v>0.95</v>
      </c>
      <c r="D11" s="6">
        <v>1.216</v>
      </c>
      <c r="E11" s="6"/>
      <c r="F11" s="6"/>
      <c r="G11" s="6"/>
      <c r="H11" s="6"/>
      <c r="I11" s="6"/>
      <c r="J11" s="6"/>
      <c r="K11" s="6"/>
      <c r="L11" s="6"/>
      <c r="M11" s="6"/>
      <c r="N11" s="6">
        <v>0.2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0.155</v>
      </c>
      <c r="AB11" s="6"/>
      <c r="AC11" s="6"/>
      <c r="AD11" s="6"/>
      <c r="AE11" s="6"/>
      <c r="AF11" s="6"/>
      <c r="AG11" s="6">
        <f t="shared" si="0"/>
        <v>2.5209999999999999</v>
      </c>
      <c r="AH11" s="484">
        <f t="shared" si="1"/>
        <v>3.4380241929984859E-2</v>
      </c>
    </row>
    <row r="12" spans="1:35">
      <c r="A12" s="489" t="s">
        <v>291</v>
      </c>
      <c r="B12" s="6"/>
      <c r="C12" s="6"/>
      <c r="D12" s="6"/>
      <c r="E12" s="6">
        <v>0.20100000000000001</v>
      </c>
      <c r="F12" s="6">
        <v>0.46</v>
      </c>
      <c r="G12" s="6"/>
      <c r="H12" s="6">
        <f>0.29+0.304</f>
        <v>0.59399999999999997</v>
      </c>
      <c r="I12" s="6"/>
      <c r="J12" s="6">
        <v>0.91600000000000004</v>
      </c>
      <c r="K12" s="6"/>
      <c r="L12" s="6"/>
      <c r="M12" s="6"/>
      <c r="N12" s="6"/>
      <c r="O12" s="6"/>
      <c r="P12" s="6"/>
      <c r="Q12" s="6"/>
      <c r="R12" s="6">
        <f>0.74+0.257</f>
        <v>0.997</v>
      </c>
      <c r="S12" s="6"/>
      <c r="T12" s="6"/>
      <c r="U12" s="6"/>
      <c r="V12" s="6">
        <v>0.313</v>
      </c>
      <c r="W12" s="6"/>
      <c r="X12" s="6"/>
      <c r="Y12" s="6"/>
      <c r="Z12" s="6"/>
      <c r="AA12" s="6"/>
      <c r="AB12" s="6">
        <v>1.74</v>
      </c>
      <c r="AC12" s="6"/>
      <c r="AD12" s="6">
        <v>0.48</v>
      </c>
      <c r="AE12" s="6">
        <v>0.39200000000000002</v>
      </c>
      <c r="AF12" s="6"/>
      <c r="AG12" s="6">
        <f t="shared" si="0"/>
        <v>6.0930000000000009</v>
      </c>
      <c r="AH12" s="484">
        <f t="shared" si="1"/>
        <v>8.3093539896627447E-2</v>
      </c>
    </row>
    <row r="13" spans="1:35">
      <c r="A13" s="489" t="s">
        <v>262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f t="shared" si="0"/>
        <v>0</v>
      </c>
      <c r="AH13" s="484">
        <f t="shared" si="1"/>
        <v>0</v>
      </c>
    </row>
    <row r="14" spans="1:35">
      <c r="A14" s="489" t="s">
        <v>292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84">
        <f t="shared" si="1"/>
        <v>0</v>
      </c>
    </row>
    <row r="15" spans="1:35">
      <c r="A15" s="489" t="s">
        <v>313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84">
        <f t="shared" si="1"/>
        <v>0</v>
      </c>
    </row>
    <row r="16" spans="1:35">
      <c r="A16" s="489" t="s">
        <v>293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84">
        <f t="shared" si="1"/>
        <v>0</v>
      </c>
    </row>
    <row r="17" spans="1:34">
      <c r="A17" s="489" t="s">
        <v>294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84">
        <f t="shared" si="1"/>
        <v>0</v>
      </c>
    </row>
    <row r="18" spans="1:34">
      <c r="A18" s="489" t="s">
        <v>295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490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0</v>
      </c>
      <c r="AH18" s="484">
        <f t="shared" si="1"/>
        <v>0</v>
      </c>
    </row>
    <row r="19" spans="1:34">
      <c r="A19" s="489" t="s">
        <v>296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0</v>
      </c>
      <c r="AH19" s="484">
        <f t="shared" si="1"/>
        <v>0</v>
      </c>
    </row>
    <row r="20" spans="1:34">
      <c r="A20" s="489" t="s">
        <v>412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84">
        <f t="shared" si="1"/>
        <v>0</v>
      </c>
    </row>
    <row r="21" spans="1:34">
      <c r="A21" s="489" t="s">
        <v>297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84">
        <f t="shared" si="1"/>
        <v>0</v>
      </c>
    </row>
    <row r="22" spans="1:34">
      <c r="A22" s="489" t="s">
        <v>298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84">
        <f t="shared" si="1"/>
        <v>0</v>
      </c>
    </row>
    <row r="23" spans="1:34">
      <c r="A23" s="489" t="s">
        <v>299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84">
        <f t="shared" si="1"/>
        <v>0</v>
      </c>
    </row>
    <row r="24" spans="1:34">
      <c r="A24" s="489" t="s">
        <v>300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84">
        <f t="shared" si="1"/>
        <v>0</v>
      </c>
    </row>
    <row r="25" spans="1:34">
      <c r="A25" s="489" t="s">
        <v>301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84">
        <f t="shared" si="1"/>
        <v>0</v>
      </c>
    </row>
    <row r="26" spans="1:34">
      <c r="A26" s="489" t="s">
        <v>418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84">
        <f t="shared" si="1"/>
        <v>0</v>
      </c>
    </row>
    <row r="27" spans="1:34">
      <c r="A27" s="489" t="s">
        <v>302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84">
        <f t="shared" si="1"/>
        <v>0</v>
      </c>
    </row>
    <row r="28" spans="1:34">
      <c r="A28" s="489" t="s">
        <v>303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84">
        <f t="shared" si="1"/>
        <v>0</v>
      </c>
    </row>
    <row r="29" spans="1:34">
      <c r="A29" s="489" t="s">
        <v>304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84">
        <f t="shared" si="1"/>
        <v>0</v>
      </c>
    </row>
    <row r="30" spans="1:34">
      <c r="A30" s="489" t="s">
        <v>305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84">
        <f t="shared" si="1"/>
        <v>0</v>
      </c>
    </row>
    <row r="31" spans="1:34">
      <c r="A31" s="489" t="s">
        <v>234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84">
        <f t="shared" si="1"/>
        <v>0</v>
      </c>
    </row>
    <row r="32" spans="1:34">
      <c r="A32" s="489" t="s">
        <v>306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84">
        <f t="shared" si="1"/>
        <v>0</v>
      </c>
    </row>
    <row r="33" spans="1:34">
      <c r="A33" s="489" t="s">
        <v>307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0</v>
      </c>
      <c r="AH33" s="484">
        <f t="shared" si="1"/>
        <v>0</v>
      </c>
    </row>
    <row r="34" spans="1:34">
      <c r="A34" s="497" t="s">
        <v>308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84">
        <f t="shared" si="1"/>
        <v>0</v>
      </c>
    </row>
    <row r="35" spans="1:34">
      <c r="A35" s="497" t="s">
        <v>309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84">
        <f t="shared" si="1"/>
        <v>0</v>
      </c>
    </row>
    <row r="36" spans="1:34">
      <c r="A36" s="497" t="s">
        <v>310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84">
        <f t="shared" si="1"/>
        <v>0</v>
      </c>
    </row>
    <row r="37" spans="1:34">
      <c r="A37" s="497" t="s">
        <v>311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84">
        <f>+AG37/$AG$39</f>
        <v>0</v>
      </c>
    </row>
    <row r="38" spans="1:34">
      <c r="A38" s="498" t="s">
        <v>312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99">
        <f>+AG39/Efficiency1!$K$153</f>
        <v>3.3272075740261649E-2</v>
      </c>
    </row>
    <row r="39" spans="1:34">
      <c r="A39" s="497" t="s">
        <v>2</v>
      </c>
      <c r="B39" s="6">
        <f t="shared" ref="B39:AF39" si="2">SUM(B3:B37)</f>
        <v>15.765000000000001</v>
      </c>
      <c r="C39" s="6">
        <f t="shared" si="2"/>
        <v>27.040999999999997</v>
      </c>
      <c r="D39" s="6">
        <f t="shared" si="2"/>
        <v>22.562999999999999</v>
      </c>
      <c r="E39" s="6">
        <f t="shared" si="2"/>
        <v>24.173000000000002</v>
      </c>
      <c r="F39" s="6">
        <f t="shared" si="2"/>
        <v>26.822000000000003</v>
      </c>
      <c r="G39" s="6">
        <f t="shared" si="2"/>
        <v>22.170999999999999</v>
      </c>
      <c r="H39" s="6">
        <f t="shared" si="2"/>
        <v>18.862000000000002</v>
      </c>
      <c r="I39" s="6">
        <f t="shared" si="2"/>
        <v>8.56</v>
      </c>
      <c r="J39" s="6">
        <f t="shared" si="2"/>
        <v>13.624000000000002</v>
      </c>
      <c r="K39" s="6">
        <f t="shared" si="2"/>
        <v>7.5889999999999995</v>
      </c>
      <c r="L39" s="6">
        <f t="shared" si="2"/>
        <v>8.7259999999999991</v>
      </c>
      <c r="M39" s="6">
        <f t="shared" si="2"/>
        <v>9.4640000000000004</v>
      </c>
      <c r="N39" s="6">
        <f t="shared" si="2"/>
        <v>17.756</v>
      </c>
      <c r="O39" s="7">
        <f t="shared" si="2"/>
        <v>28.228000000000002</v>
      </c>
      <c r="P39" s="6">
        <f t="shared" si="2"/>
        <v>16.372</v>
      </c>
      <c r="Q39" s="6">
        <f t="shared" si="2"/>
        <v>10.522</v>
      </c>
      <c r="R39" s="6">
        <f t="shared" si="2"/>
        <v>10.192</v>
      </c>
      <c r="S39" s="6">
        <f t="shared" si="2"/>
        <v>5.9269999999999996</v>
      </c>
      <c r="T39" s="6">
        <f t="shared" si="2"/>
        <v>14.978000000000002</v>
      </c>
      <c r="U39" s="6">
        <f t="shared" si="2"/>
        <v>12.942</v>
      </c>
      <c r="V39" s="6">
        <f t="shared" si="2"/>
        <v>17.698</v>
      </c>
      <c r="W39" s="6">
        <f t="shared" si="2"/>
        <v>16.814</v>
      </c>
      <c r="X39" s="6">
        <f t="shared" si="2"/>
        <v>13.429</v>
      </c>
      <c r="Y39" s="6">
        <f t="shared" si="2"/>
        <v>10.306000000000001</v>
      </c>
      <c r="Z39" s="6">
        <f t="shared" si="2"/>
        <v>10.074999999999999</v>
      </c>
      <c r="AA39" s="6">
        <f t="shared" si="2"/>
        <v>9.7889999999999997</v>
      </c>
      <c r="AB39" s="6">
        <f t="shared" si="2"/>
        <v>9.1109999999999989</v>
      </c>
      <c r="AC39" s="6">
        <f t="shared" si="2"/>
        <v>6.4010000000000007</v>
      </c>
      <c r="AD39" s="6">
        <f t="shared" si="2"/>
        <v>12.388000000000002</v>
      </c>
      <c r="AE39" s="6">
        <f t="shared" si="2"/>
        <v>10.488999999999999</v>
      </c>
      <c r="AF39" s="6">
        <f t="shared" si="2"/>
        <v>7.0190000000000001</v>
      </c>
      <c r="AG39" s="17">
        <f>SUM(AG6:AG38)</f>
        <v>73.326999999999998</v>
      </c>
      <c r="AH39" s="500">
        <f>SUM(AH6:AH37)</f>
        <v>1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3"/>
  <sheetViews>
    <sheetView topLeftCell="F31" workbookViewId="0">
      <selection activeCell="N53" sqref="N53"/>
    </sheetView>
  </sheetViews>
  <sheetFormatPr defaultRowHeight="12.75"/>
  <cols>
    <col min="4" max="4" width="52.42578125" bestFit="1" customWidth="1"/>
    <col min="5" max="5" width="18.85546875" bestFit="1" customWidth="1"/>
    <col min="6" max="6" width="17.28515625" bestFit="1" customWidth="1"/>
    <col min="8" max="8" width="27.7109375" bestFit="1" customWidth="1"/>
    <col min="15" max="15" width="52.42578125" bestFit="1" customWidth="1"/>
    <col min="16" max="16" width="18.85546875" bestFit="1" customWidth="1"/>
    <col min="17" max="17" width="17.28515625" bestFit="1" customWidth="1"/>
    <col min="19" max="19" width="27.7109375" bestFit="1" customWidth="1"/>
  </cols>
  <sheetData>
    <row r="1" spans="1:21" ht="45">
      <c r="A1" s="458" t="s">
        <v>150</v>
      </c>
      <c r="B1" s="480" t="s">
        <v>8</v>
      </c>
      <c r="C1" s="481" t="s">
        <v>269</v>
      </c>
      <c r="D1" s="482" t="s">
        <v>129</v>
      </c>
      <c r="E1" s="482" t="s">
        <v>270</v>
      </c>
      <c r="F1" s="482" t="s">
        <v>271</v>
      </c>
      <c r="H1" s="479" t="s">
        <v>272</v>
      </c>
      <c r="I1" s="471" t="s">
        <v>273</v>
      </c>
      <c r="J1" s="471" t="s">
        <v>274</v>
      </c>
      <c r="L1" s="458" t="s">
        <v>150</v>
      </c>
      <c r="M1" s="480" t="s">
        <v>8</v>
      </c>
      <c r="N1" s="481" t="s">
        <v>269</v>
      </c>
      <c r="O1" s="482" t="s">
        <v>129</v>
      </c>
      <c r="P1" s="482" t="s">
        <v>270</v>
      </c>
      <c r="Q1" s="482" t="s">
        <v>271</v>
      </c>
      <c r="S1" s="479" t="s">
        <v>272</v>
      </c>
      <c r="T1" s="471" t="s">
        <v>273</v>
      </c>
      <c r="U1" s="471" t="s">
        <v>274</v>
      </c>
    </row>
    <row r="2" spans="1:21">
      <c r="B2" s="346">
        <v>45992</v>
      </c>
      <c r="C2" s="4">
        <v>90</v>
      </c>
      <c r="D2" s="504" t="s">
        <v>456</v>
      </c>
      <c r="E2" t="s">
        <v>261</v>
      </c>
      <c r="F2" t="s">
        <v>258</v>
      </c>
      <c r="H2" s="6" t="s">
        <v>154</v>
      </c>
      <c r="I2" s="319">
        <f>+Efficiency1!Z153</f>
        <v>46.992999999999995</v>
      </c>
      <c r="J2" s="475">
        <f>I2/$I$8</f>
        <v>2.1323041379875295E-2</v>
      </c>
      <c r="M2" s="346">
        <v>45992</v>
      </c>
      <c r="N2" s="4">
        <v>90</v>
      </c>
      <c r="O2" s="504" t="s">
        <v>456</v>
      </c>
      <c r="P2" t="s">
        <v>261</v>
      </c>
      <c r="Q2" t="s">
        <v>258</v>
      </c>
      <c r="S2" s="6" t="s">
        <v>154</v>
      </c>
      <c r="T2" s="319">
        <f>+Efficiency2!Z153</f>
        <v>46.992999999999995</v>
      </c>
      <c r="U2" s="475">
        <f>T2/$T$8</f>
        <v>2.1344450331584691E-2</v>
      </c>
    </row>
    <row r="3" spans="1:21">
      <c r="B3" s="346"/>
      <c r="C3" s="4">
        <v>3</v>
      </c>
      <c r="D3" s="504" t="s">
        <v>445</v>
      </c>
      <c r="E3" t="s">
        <v>259</v>
      </c>
      <c r="F3" t="s">
        <v>258</v>
      </c>
      <c r="H3" s="6" t="s">
        <v>252</v>
      </c>
      <c r="I3" s="319">
        <f>+Efficiency1!AA153+Efficiency1!Y153</f>
        <v>10.387957651902994</v>
      </c>
      <c r="J3" s="475">
        <f>I3/$I$8</f>
        <v>4.713528629028148E-3</v>
      </c>
      <c r="M3" s="346"/>
      <c r="N3" s="4">
        <v>3</v>
      </c>
      <c r="O3" s="504" t="s">
        <v>445</v>
      </c>
      <c r="P3" t="s">
        <v>259</v>
      </c>
      <c r="Q3" t="s">
        <v>258</v>
      </c>
      <c r="S3" s="6" t="s">
        <v>252</v>
      </c>
      <c r="T3" s="319">
        <f>+Efficiency2!AA153+Efficiency2!Y153</f>
        <v>10.387957651902994</v>
      </c>
      <c r="U3" s="475">
        <f>T3/$T$8</f>
        <v>4.7182611484188836E-3</v>
      </c>
    </row>
    <row r="4" spans="1:21">
      <c r="B4" s="44"/>
      <c r="C4" s="4">
        <v>25</v>
      </c>
      <c r="D4" t="s">
        <v>457</v>
      </c>
      <c r="E4" t="s">
        <v>260</v>
      </c>
      <c r="F4" t="s">
        <v>258</v>
      </c>
      <c r="H4" s="6" t="s">
        <v>275</v>
      </c>
      <c r="I4" s="319">
        <f>+Efficiency1!AB153</f>
        <v>-5.0273650643003123</v>
      </c>
      <c r="J4" s="475">
        <f>I4/$I$8</f>
        <v>-2.2811634349331812E-3</v>
      </c>
      <c r="M4" s="44"/>
      <c r="N4" s="4">
        <v>25</v>
      </c>
      <c r="O4" t="s">
        <v>457</v>
      </c>
      <c r="P4" t="s">
        <v>260</v>
      </c>
      <c r="Q4" t="s">
        <v>258</v>
      </c>
      <c r="S4" s="6" t="s">
        <v>275</v>
      </c>
      <c r="T4" s="319">
        <f>+Efficiency2!AB153</f>
        <v>-5.0476450643003155</v>
      </c>
      <c r="U4" s="475">
        <f>T4/$T$8</f>
        <v>-2.2926650642952507E-3</v>
      </c>
    </row>
    <row r="5" spans="1:21">
      <c r="B5" s="44"/>
      <c r="C5" s="4">
        <v>50</v>
      </c>
      <c r="D5" t="s">
        <v>420</v>
      </c>
      <c r="E5" s="385" t="s">
        <v>204</v>
      </c>
      <c r="F5" s="385" t="s">
        <v>257</v>
      </c>
      <c r="H5" s="6" t="s">
        <v>255</v>
      </c>
      <c r="I5" s="319">
        <f>+Efficiency1!AC153</f>
        <v>58.821892948107738</v>
      </c>
      <c r="J5" s="475">
        <f>I5/$I$8</f>
        <v>2.6690393406998834E-2</v>
      </c>
      <c r="M5" s="44"/>
      <c r="N5" s="4">
        <v>50</v>
      </c>
      <c r="O5" t="s">
        <v>420</v>
      </c>
      <c r="P5" s="385" t="s">
        <v>204</v>
      </c>
      <c r="Q5" s="385" t="s">
        <v>257</v>
      </c>
      <c r="S5" s="6" t="s">
        <v>255</v>
      </c>
      <c r="T5" s="319">
        <f>+Efficiency2!AC153</f>
        <v>58.821892948107738</v>
      </c>
      <c r="U5" s="475">
        <f>T5/$T$8</f>
        <v>2.6717191335745273E-2</v>
      </c>
    </row>
    <row r="6" spans="1:21">
      <c r="B6" s="346"/>
      <c r="C6" s="4"/>
      <c r="M6" s="346"/>
      <c r="N6" s="4"/>
    </row>
    <row r="7" spans="1:21">
      <c r="B7" s="346">
        <v>45993</v>
      </c>
      <c r="C7" s="4">
        <v>62</v>
      </c>
      <c r="D7" t="s">
        <v>478</v>
      </c>
      <c r="E7" t="s">
        <v>261</v>
      </c>
      <c r="F7" t="s">
        <v>258</v>
      </c>
      <c r="M7" s="346">
        <v>45993</v>
      </c>
      <c r="N7" s="4">
        <v>62</v>
      </c>
      <c r="O7" t="s">
        <v>478</v>
      </c>
      <c r="P7" t="s">
        <v>261</v>
      </c>
      <c r="Q7" t="s">
        <v>258</v>
      </c>
    </row>
    <row r="8" spans="1:21">
      <c r="B8" s="44"/>
      <c r="C8" s="4">
        <v>0</v>
      </c>
      <c r="D8" t="s">
        <v>448</v>
      </c>
      <c r="E8" t="s">
        <v>259</v>
      </c>
      <c r="F8" t="s">
        <v>258</v>
      </c>
      <c r="H8" s="483" t="s">
        <v>276</v>
      </c>
      <c r="I8" s="7">
        <f>+Efficiency1!K153</f>
        <v>2203.8600949464944</v>
      </c>
      <c r="M8" s="44"/>
      <c r="N8" s="4">
        <v>0</v>
      </c>
      <c r="O8" t="s">
        <v>448</v>
      </c>
      <c r="P8" t="s">
        <v>259</v>
      </c>
      <c r="Q8" t="s">
        <v>258</v>
      </c>
      <c r="S8" s="483" t="s">
        <v>276</v>
      </c>
      <c r="T8" s="7">
        <f>+Efficiency2!K153</f>
        <v>2201.6495749464943</v>
      </c>
    </row>
    <row r="9" spans="1:21">
      <c r="B9" s="346"/>
      <c r="C9" s="4">
        <v>28</v>
      </c>
      <c r="D9" t="s">
        <v>479</v>
      </c>
      <c r="E9" t="s">
        <v>260</v>
      </c>
      <c r="F9" t="s">
        <v>258</v>
      </c>
      <c r="H9" s="483" t="s">
        <v>277</v>
      </c>
      <c r="I9" s="7">
        <f>+Efficiency1!AD153</f>
        <v>2586</v>
      </c>
      <c r="M9" s="346"/>
      <c r="N9" s="4">
        <v>28</v>
      </c>
      <c r="O9" t="s">
        <v>479</v>
      </c>
      <c r="P9" t="s">
        <v>260</v>
      </c>
      <c r="Q9" t="s">
        <v>258</v>
      </c>
      <c r="S9" s="483" t="s">
        <v>277</v>
      </c>
      <c r="T9" s="7">
        <f>+Efficiency2!AD153</f>
        <v>2526</v>
      </c>
    </row>
    <row r="10" spans="1:21">
      <c r="B10" s="346"/>
      <c r="C10" s="4">
        <v>63</v>
      </c>
      <c r="D10" t="s">
        <v>480</v>
      </c>
      <c r="E10" s="385" t="s">
        <v>532</v>
      </c>
      <c r="F10" s="385" t="s">
        <v>405</v>
      </c>
      <c r="H10" s="483" t="s">
        <v>279</v>
      </c>
      <c r="I10" s="7">
        <f>+Efficiency1!V153</f>
        <v>133.60860941078403</v>
      </c>
      <c r="M10" s="346"/>
      <c r="N10" s="4">
        <v>63</v>
      </c>
      <c r="O10" t="s">
        <v>480</v>
      </c>
      <c r="P10" s="385" t="s">
        <v>532</v>
      </c>
      <c r="Q10" s="385" t="s">
        <v>405</v>
      </c>
      <c r="S10" s="483" t="s">
        <v>279</v>
      </c>
      <c r="T10" s="7">
        <f>+Efficiency2!V153</f>
        <v>131.41836941078404</v>
      </c>
    </row>
    <row r="11" spans="1:21">
      <c r="B11" s="346"/>
      <c r="C11" s="4"/>
      <c r="E11" s="385"/>
      <c r="F11" s="385"/>
      <c r="H11" s="483" t="s">
        <v>278</v>
      </c>
      <c r="I11" s="484">
        <f>I10/I8</f>
        <v>6.0624814486705335E-2</v>
      </c>
      <c r="M11" s="346"/>
      <c r="N11" s="4"/>
      <c r="P11" s="385"/>
      <c r="Q11" s="385"/>
      <c r="S11" s="483" t="s">
        <v>278</v>
      </c>
      <c r="T11" s="484">
        <f>T10/T8</f>
        <v>5.9690865842706976E-2</v>
      </c>
    </row>
    <row r="12" spans="1:21">
      <c r="B12" s="44">
        <v>45994</v>
      </c>
      <c r="C12" s="4">
        <v>0</v>
      </c>
      <c r="D12" t="s">
        <v>492</v>
      </c>
      <c r="E12" t="s">
        <v>261</v>
      </c>
      <c r="F12" t="s">
        <v>258</v>
      </c>
      <c r="M12" s="44">
        <v>45994</v>
      </c>
      <c r="N12" s="4">
        <v>0</v>
      </c>
      <c r="O12" t="s">
        <v>492</v>
      </c>
      <c r="P12" t="s">
        <v>261</v>
      </c>
      <c r="Q12" t="s">
        <v>258</v>
      </c>
    </row>
    <row r="13" spans="1:21">
      <c r="B13" s="346"/>
      <c r="C13" s="4">
        <v>2</v>
      </c>
      <c r="D13" s="504" t="s">
        <v>494</v>
      </c>
      <c r="E13" t="s">
        <v>259</v>
      </c>
      <c r="F13" t="s">
        <v>258</v>
      </c>
      <c r="M13" s="346"/>
      <c r="N13" s="4">
        <v>2</v>
      </c>
      <c r="O13" s="504" t="s">
        <v>494</v>
      </c>
      <c r="P13" t="s">
        <v>259</v>
      </c>
      <c r="Q13" t="s">
        <v>258</v>
      </c>
    </row>
    <row r="14" spans="1:21">
      <c r="B14" s="346"/>
      <c r="C14" s="4">
        <v>20</v>
      </c>
      <c r="D14" s="504" t="s">
        <v>497</v>
      </c>
      <c r="E14" t="s">
        <v>260</v>
      </c>
      <c r="F14" t="s">
        <v>258</v>
      </c>
      <c r="M14" s="346"/>
      <c r="N14" s="4">
        <v>20</v>
      </c>
      <c r="O14" s="504" t="s">
        <v>497</v>
      </c>
      <c r="P14" t="s">
        <v>260</v>
      </c>
      <c r="Q14" t="s">
        <v>258</v>
      </c>
    </row>
    <row r="15" spans="1:21">
      <c r="B15" s="346"/>
      <c r="C15" s="4">
        <v>805</v>
      </c>
      <c r="D15" s="504" t="s">
        <v>499</v>
      </c>
      <c r="E15" s="504" t="s">
        <v>501</v>
      </c>
      <c r="F15" t="s">
        <v>268</v>
      </c>
      <c r="M15" s="346"/>
      <c r="N15" s="4">
        <v>805</v>
      </c>
      <c r="O15" s="504" t="s">
        <v>499</v>
      </c>
      <c r="P15" s="504" t="s">
        <v>501</v>
      </c>
      <c r="Q15" t="s">
        <v>268</v>
      </c>
    </row>
    <row r="16" spans="1:21">
      <c r="B16" s="346"/>
      <c r="C16" s="4">
        <v>65</v>
      </c>
      <c r="D16" t="s">
        <v>486</v>
      </c>
      <c r="E16" t="s">
        <v>498</v>
      </c>
      <c r="F16" t="s">
        <v>264</v>
      </c>
      <c r="M16" s="346"/>
      <c r="N16" s="4">
        <v>65</v>
      </c>
      <c r="O16" t="s">
        <v>486</v>
      </c>
      <c r="P16" t="s">
        <v>498</v>
      </c>
      <c r="Q16" t="s">
        <v>264</v>
      </c>
    </row>
    <row r="17" spans="2:17">
      <c r="B17" s="346"/>
      <c r="C17" s="4"/>
      <c r="M17" s="346"/>
      <c r="N17" s="4"/>
    </row>
    <row r="18" spans="2:17">
      <c r="B18" s="44">
        <v>45995</v>
      </c>
      <c r="C18" s="4">
        <v>0</v>
      </c>
      <c r="D18" s="501" t="s">
        <v>492</v>
      </c>
      <c r="E18" t="s">
        <v>261</v>
      </c>
      <c r="F18" t="s">
        <v>258</v>
      </c>
      <c r="M18" s="44">
        <v>45995</v>
      </c>
      <c r="N18" s="4">
        <v>0</v>
      </c>
      <c r="O18" s="501" t="s">
        <v>492</v>
      </c>
      <c r="P18" t="s">
        <v>261</v>
      </c>
      <c r="Q18" t="s">
        <v>258</v>
      </c>
    </row>
    <row r="19" spans="2:17">
      <c r="B19" s="346"/>
      <c r="C19" s="4">
        <v>0</v>
      </c>
      <c r="D19" s="501" t="s">
        <v>448</v>
      </c>
      <c r="E19" t="s">
        <v>259</v>
      </c>
      <c r="F19" t="s">
        <v>258</v>
      </c>
      <c r="M19" s="346"/>
      <c r="N19" s="4">
        <v>0</v>
      </c>
      <c r="O19" s="501" t="s">
        <v>448</v>
      </c>
      <c r="P19" t="s">
        <v>259</v>
      </c>
      <c r="Q19" t="s">
        <v>258</v>
      </c>
    </row>
    <row r="20" spans="2:17">
      <c r="B20" s="346"/>
      <c r="C20" s="4">
        <v>27</v>
      </c>
      <c r="D20" s="501" t="s">
        <v>510</v>
      </c>
      <c r="E20" t="s">
        <v>260</v>
      </c>
      <c r="F20" t="s">
        <v>258</v>
      </c>
      <c r="M20" s="346"/>
      <c r="N20" s="4">
        <v>27</v>
      </c>
      <c r="O20" s="501" t="s">
        <v>510</v>
      </c>
      <c r="P20" t="s">
        <v>260</v>
      </c>
      <c r="Q20" t="s">
        <v>258</v>
      </c>
    </row>
    <row r="21" spans="2:17">
      <c r="B21" s="44"/>
      <c r="C21" s="4"/>
      <c r="D21" s="501"/>
      <c r="M21" s="44"/>
      <c r="N21" s="4"/>
      <c r="O21" s="501"/>
    </row>
    <row r="22" spans="2:17">
      <c r="B22" s="346">
        <v>45996</v>
      </c>
      <c r="C22" s="4">
        <v>0</v>
      </c>
      <c r="D22" s="501" t="s">
        <v>492</v>
      </c>
      <c r="E22" t="s">
        <v>261</v>
      </c>
      <c r="F22" t="s">
        <v>258</v>
      </c>
      <c r="M22" s="346">
        <v>45996</v>
      </c>
      <c r="N22" s="4">
        <v>0</v>
      </c>
      <c r="O22" s="501" t="s">
        <v>492</v>
      </c>
      <c r="P22" t="s">
        <v>261</v>
      </c>
      <c r="Q22" t="s">
        <v>258</v>
      </c>
    </row>
    <row r="23" spans="2:17">
      <c r="B23" s="346"/>
      <c r="C23" s="4">
        <v>0</v>
      </c>
      <c r="D23" t="s">
        <v>448</v>
      </c>
      <c r="E23" t="s">
        <v>259</v>
      </c>
      <c r="F23" t="s">
        <v>258</v>
      </c>
      <c r="M23" s="346"/>
      <c r="N23" s="4">
        <v>0</v>
      </c>
      <c r="O23" t="s">
        <v>448</v>
      </c>
      <c r="P23" t="s">
        <v>259</v>
      </c>
      <c r="Q23" t="s">
        <v>258</v>
      </c>
    </row>
    <row r="24" spans="2:17">
      <c r="B24" s="44"/>
      <c r="C24" s="4">
        <v>31</v>
      </c>
      <c r="D24" t="s">
        <v>457</v>
      </c>
      <c r="E24" t="s">
        <v>260</v>
      </c>
      <c r="F24" t="s">
        <v>258</v>
      </c>
      <c r="M24" s="44"/>
      <c r="N24" s="4">
        <v>31</v>
      </c>
      <c r="O24" t="s">
        <v>457</v>
      </c>
      <c r="P24" t="s">
        <v>260</v>
      </c>
      <c r="Q24" t="s">
        <v>258</v>
      </c>
    </row>
    <row r="25" spans="2:17">
      <c r="B25" s="346"/>
      <c r="C25" s="4">
        <v>10</v>
      </c>
      <c r="D25" t="s">
        <v>420</v>
      </c>
      <c r="E25" s="385" t="s">
        <v>204</v>
      </c>
      <c r="F25" s="385" t="s">
        <v>257</v>
      </c>
      <c r="M25" s="346"/>
      <c r="N25" s="4">
        <v>10</v>
      </c>
      <c r="O25" t="s">
        <v>420</v>
      </c>
      <c r="P25" s="385" t="s">
        <v>204</v>
      </c>
      <c r="Q25" s="385" t="s">
        <v>257</v>
      </c>
    </row>
    <row r="26" spans="2:17">
      <c r="B26" s="44"/>
      <c r="C26" s="4"/>
      <c r="M26" s="44"/>
      <c r="N26" s="4"/>
    </row>
    <row r="27" spans="2:17">
      <c r="B27" s="346">
        <v>45997</v>
      </c>
      <c r="C27" s="4">
        <v>0</v>
      </c>
      <c r="D27" t="s">
        <v>492</v>
      </c>
      <c r="E27" t="s">
        <v>261</v>
      </c>
      <c r="F27" t="s">
        <v>258</v>
      </c>
      <c r="M27" s="346">
        <v>45997</v>
      </c>
      <c r="N27" s="4">
        <v>0</v>
      </c>
      <c r="O27" t="s">
        <v>492</v>
      </c>
      <c r="P27" t="s">
        <v>261</v>
      </c>
      <c r="Q27" t="s">
        <v>258</v>
      </c>
    </row>
    <row r="28" spans="2:17">
      <c r="B28" s="44"/>
      <c r="C28" s="4">
        <v>0</v>
      </c>
      <c r="D28" t="s">
        <v>448</v>
      </c>
      <c r="E28" t="s">
        <v>259</v>
      </c>
      <c r="F28" t="s">
        <v>258</v>
      </c>
      <c r="M28" s="44"/>
      <c r="N28" s="4">
        <v>0</v>
      </c>
      <c r="O28" t="s">
        <v>448</v>
      </c>
      <c r="P28" t="s">
        <v>259</v>
      </c>
      <c r="Q28" t="s">
        <v>258</v>
      </c>
    </row>
    <row r="29" spans="2:17">
      <c r="B29" s="346"/>
      <c r="C29" s="4">
        <v>19</v>
      </c>
      <c r="D29" t="s">
        <v>531</v>
      </c>
      <c r="E29" t="s">
        <v>260</v>
      </c>
      <c r="F29" t="s">
        <v>258</v>
      </c>
      <c r="M29" s="346"/>
      <c r="N29" s="4">
        <v>19</v>
      </c>
      <c r="O29" t="s">
        <v>531</v>
      </c>
      <c r="P29" t="s">
        <v>260</v>
      </c>
      <c r="Q29" t="s">
        <v>258</v>
      </c>
    </row>
    <row r="30" spans="2:17">
      <c r="B30" s="44"/>
      <c r="C30" s="4"/>
      <c r="M30" s="44"/>
      <c r="N30" s="4"/>
    </row>
    <row r="31" spans="2:17">
      <c r="B31" s="346">
        <v>45998</v>
      </c>
      <c r="C31" s="4">
        <v>0</v>
      </c>
      <c r="D31" t="s">
        <v>492</v>
      </c>
      <c r="E31" t="s">
        <v>261</v>
      </c>
      <c r="F31" t="s">
        <v>258</v>
      </c>
      <c r="M31" s="346">
        <v>45998</v>
      </c>
      <c r="N31" s="4">
        <v>0</v>
      </c>
      <c r="O31" t="s">
        <v>492</v>
      </c>
      <c r="P31" t="s">
        <v>261</v>
      </c>
      <c r="Q31" t="s">
        <v>258</v>
      </c>
    </row>
    <row r="32" spans="2:17">
      <c r="B32" s="44"/>
      <c r="C32" s="4">
        <v>0</v>
      </c>
      <c r="D32" t="s">
        <v>448</v>
      </c>
      <c r="E32" t="s">
        <v>259</v>
      </c>
      <c r="F32" t="s">
        <v>258</v>
      </c>
      <c r="M32" s="44"/>
      <c r="N32" s="4">
        <v>0</v>
      </c>
      <c r="O32" t="s">
        <v>448</v>
      </c>
      <c r="P32" t="s">
        <v>259</v>
      </c>
      <c r="Q32" t="s">
        <v>258</v>
      </c>
    </row>
    <row r="33" spans="2:17">
      <c r="B33" s="346"/>
      <c r="C33" s="4">
        <v>10</v>
      </c>
      <c r="D33" t="s">
        <v>510</v>
      </c>
      <c r="E33" t="s">
        <v>260</v>
      </c>
      <c r="F33" t="s">
        <v>258</v>
      </c>
      <c r="M33" s="346"/>
      <c r="N33" s="4">
        <v>10</v>
      </c>
      <c r="O33" t="s">
        <v>510</v>
      </c>
      <c r="P33" t="s">
        <v>260</v>
      </c>
      <c r="Q33" t="s">
        <v>258</v>
      </c>
    </row>
    <row r="34" spans="2:17">
      <c r="B34" s="44"/>
      <c r="C34" s="4">
        <v>10</v>
      </c>
      <c r="D34" t="s">
        <v>420</v>
      </c>
      <c r="E34" s="385" t="s">
        <v>204</v>
      </c>
      <c r="F34" s="385" t="s">
        <v>257</v>
      </c>
      <c r="M34" s="44"/>
      <c r="N34" s="4">
        <v>10</v>
      </c>
      <c r="O34" t="s">
        <v>420</v>
      </c>
      <c r="P34" s="385" t="s">
        <v>204</v>
      </c>
      <c r="Q34" s="385" t="s">
        <v>257</v>
      </c>
    </row>
    <row r="35" spans="2:17">
      <c r="B35" s="44"/>
      <c r="C35" s="4"/>
      <c r="M35" s="44"/>
      <c r="N35" s="4"/>
    </row>
    <row r="36" spans="2:17">
      <c r="B36" s="346">
        <v>45999</v>
      </c>
      <c r="C36" s="4">
        <v>0</v>
      </c>
      <c r="D36" t="s">
        <v>492</v>
      </c>
      <c r="E36" t="s">
        <v>261</v>
      </c>
      <c r="F36" t="s">
        <v>258</v>
      </c>
      <c r="M36" s="346">
        <v>45999</v>
      </c>
      <c r="N36" s="4">
        <v>0</v>
      </c>
      <c r="O36" t="s">
        <v>492</v>
      </c>
      <c r="P36" t="s">
        <v>261</v>
      </c>
      <c r="Q36" t="s">
        <v>258</v>
      </c>
    </row>
    <row r="37" spans="2:17">
      <c r="B37" s="44"/>
      <c r="C37" s="4">
        <v>2</v>
      </c>
      <c r="D37" t="s">
        <v>550</v>
      </c>
      <c r="E37" t="s">
        <v>259</v>
      </c>
      <c r="F37" t="s">
        <v>258</v>
      </c>
      <c r="M37" s="44"/>
      <c r="N37" s="4">
        <v>2</v>
      </c>
      <c r="O37" t="s">
        <v>550</v>
      </c>
      <c r="P37" t="s">
        <v>259</v>
      </c>
      <c r="Q37" t="s">
        <v>258</v>
      </c>
    </row>
    <row r="38" spans="2:17">
      <c r="B38" s="346"/>
      <c r="C38" s="4">
        <v>9</v>
      </c>
      <c r="D38" t="s">
        <v>479</v>
      </c>
      <c r="E38" t="s">
        <v>260</v>
      </c>
      <c r="F38" t="s">
        <v>258</v>
      </c>
      <c r="M38" s="346"/>
      <c r="N38" s="4">
        <v>9</v>
      </c>
      <c r="O38" t="s">
        <v>479</v>
      </c>
      <c r="P38" t="s">
        <v>260</v>
      </c>
      <c r="Q38" t="s">
        <v>258</v>
      </c>
    </row>
    <row r="39" spans="2:17">
      <c r="B39" s="346"/>
      <c r="C39" s="4"/>
      <c r="M39" s="346"/>
      <c r="N39" s="4"/>
    </row>
    <row r="40" spans="2:17">
      <c r="B40" s="346">
        <v>46000</v>
      </c>
      <c r="C40" s="4">
        <v>30</v>
      </c>
      <c r="D40" t="s">
        <v>449</v>
      </c>
      <c r="E40" t="s">
        <v>261</v>
      </c>
      <c r="F40" t="s">
        <v>258</v>
      </c>
      <c r="M40" s="346">
        <v>46000</v>
      </c>
      <c r="N40" s="4">
        <v>30</v>
      </c>
      <c r="O40" t="s">
        <v>449</v>
      </c>
      <c r="P40" t="s">
        <v>261</v>
      </c>
      <c r="Q40" t="s">
        <v>258</v>
      </c>
    </row>
    <row r="41" spans="2:17">
      <c r="B41" s="346"/>
      <c r="C41" s="4">
        <v>9</v>
      </c>
      <c r="D41" t="s">
        <v>550</v>
      </c>
      <c r="E41" t="s">
        <v>259</v>
      </c>
      <c r="F41" t="s">
        <v>258</v>
      </c>
      <c r="M41" s="346"/>
      <c r="N41" s="4">
        <v>9</v>
      </c>
      <c r="O41" t="s">
        <v>550</v>
      </c>
      <c r="P41" t="s">
        <v>259</v>
      </c>
      <c r="Q41" t="s">
        <v>258</v>
      </c>
    </row>
    <row r="42" spans="2:17">
      <c r="B42" s="346"/>
      <c r="C42" s="4">
        <v>25</v>
      </c>
      <c r="D42" t="s">
        <v>564</v>
      </c>
      <c r="E42" t="s">
        <v>260</v>
      </c>
      <c r="F42" t="s">
        <v>258</v>
      </c>
      <c r="M42" s="346"/>
      <c r="N42" s="4">
        <v>25</v>
      </c>
      <c r="O42" t="s">
        <v>564</v>
      </c>
      <c r="P42" t="s">
        <v>260</v>
      </c>
      <c r="Q42" t="s">
        <v>258</v>
      </c>
    </row>
    <row r="43" spans="2:17">
      <c r="B43" s="44"/>
      <c r="C43" s="4"/>
      <c r="M43" s="44"/>
      <c r="N43" s="4"/>
    </row>
    <row r="44" spans="2:17">
      <c r="B44" s="44">
        <v>46001</v>
      </c>
      <c r="C44" s="4">
        <v>0</v>
      </c>
      <c r="D44" t="s">
        <v>492</v>
      </c>
      <c r="E44" t="s">
        <v>261</v>
      </c>
      <c r="F44" t="s">
        <v>258</v>
      </c>
      <c r="M44" s="44">
        <v>46001</v>
      </c>
      <c r="N44" s="4">
        <v>0</v>
      </c>
      <c r="O44" t="s">
        <v>492</v>
      </c>
      <c r="P44" t="s">
        <v>261</v>
      </c>
      <c r="Q44" t="s">
        <v>258</v>
      </c>
    </row>
    <row r="45" spans="2:17">
      <c r="B45" s="346"/>
      <c r="C45" s="4">
        <v>19</v>
      </c>
      <c r="D45" t="s">
        <v>582</v>
      </c>
      <c r="E45" t="s">
        <v>259</v>
      </c>
      <c r="F45" t="s">
        <v>258</v>
      </c>
      <c r="M45" s="346"/>
      <c r="N45" s="4">
        <v>19</v>
      </c>
      <c r="O45" t="s">
        <v>582</v>
      </c>
      <c r="P45" t="s">
        <v>259</v>
      </c>
      <c r="Q45" t="s">
        <v>258</v>
      </c>
    </row>
    <row r="46" spans="2:17">
      <c r="B46" s="346"/>
      <c r="C46" s="4">
        <v>25</v>
      </c>
      <c r="D46" t="s">
        <v>583</v>
      </c>
      <c r="E46" t="s">
        <v>260</v>
      </c>
      <c r="F46" t="s">
        <v>258</v>
      </c>
      <c r="M46" s="346"/>
      <c r="N46" s="4">
        <v>25</v>
      </c>
      <c r="O46" t="s">
        <v>583</v>
      </c>
      <c r="P46" t="s">
        <v>260</v>
      </c>
      <c r="Q46" t="s">
        <v>258</v>
      </c>
    </row>
    <row r="47" spans="2:17">
      <c r="B47" s="44"/>
      <c r="C47" s="4">
        <v>18</v>
      </c>
      <c r="D47" t="s">
        <v>420</v>
      </c>
      <c r="E47" s="385" t="s">
        <v>204</v>
      </c>
      <c r="F47" s="385" t="s">
        <v>257</v>
      </c>
      <c r="M47" s="44"/>
      <c r="N47" s="4">
        <v>18</v>
      </c>
      <c r="O47" t="s">
        <v>420</v>
      </c>
      <c r="P47" s="385" t="s">
        <v>204</v>
      </c>
      <c r="Q47" s="385" t="s">
        <v>257</v>
      </c>
    </row>
    <row r="48" spans="2:17">
      <c r="B48" s="44"/>
      <c r="C48" s="4"/>
      <c r="F48" s="385"/>
      <c r="M48" s="44"/>
      <c r="N48" s="4"/>
      <c r="Q48" s="385"/>
    </row>
    <row r="49" spans="2:17">
      <c r="B49" s="346">
        <v>46002</v>
      </c>
      <c r="C49" s="4">
        <v>0</v>
      </c>
      <c r="D49" t="s">
        <v>492</v>
      </c>
      <c r="E49" t="s">
        <v>261</v>
      </c>
      <c r="F49" t="s">
        <v>258</v>
      </c>
      <c r="M49" s="346">
        <v>46002</v>
      </c>
      <c r="N49" s="4">
        <v>0</v>
      </c>
      <c r="O49" t="s">
        <v>492</v>
      </c>
      <c r="P49" t="s">
        <v>261</v>
      </c>
      <c r="Q49" t="s">
        <v>258</v>
      </c>
    </row>
    <row r="50" spans="2:17">
      <c r="B50" s="44"/>
      <c r="C50" s="4">
        <v>4</v>
      </c>
      <c r="D50" t="s">
        <v>563</v>
      </c>
      <c r="E50" t="s">
        <v>259</v>
      </c>
      <c r="F50" t="s">
        <v>258</v>
      </c>
      <c r="G50" s="525">
        <f>+summary!H42</f>
        <v>1.0000000000000002</v>
      </c>
      <c r="M50" s="44"/>
      <c r="N50" s="4">
        <v>4</v>
      </c>
      <c r="O50" t="s">
        <v>563</v>
      </c>
      <c r="P50" t="s">
        <v>259</v>
      </c>
      <c r="Q50" t="s">
        <v>258</v>
      </c>
    </row>
    <row r="51" spans="2:17">
      <c r="B51" s="44"/>
      <c r="C51" s="4">
        <v>18</v>
      </c>
      <c r="D51" t="s">
        <v>457</v>
      </c>
      <c r="E51" t="s">
        <v>260</v>
      </c>
      <c r="F51" t="s">
        <v>258</v>
      </c>
      <c r="M51" s="44"/>
      <c r="N51" s="4">
        <v>18</v>
      </c>
      <c r="O51" t="s">
        <v>457</v>
      </c>
      <c r="P51" t="s">
        <v>260</v>
      </c>
      <c r="Q51" t="s">
        <v>258</v>
      </c>
    </row>
    <row r="52" spans="2:17">
      <c r="B52" s="346"/>
      <c r="C52">
        <v>60</v>
      </c>
      <c r="D52" t="s">
        <v>600</v>
      </c>
      <c r="E52" t="s">
        <v>608</v>
      </c>
      <c r="F52" s="385" t="s">
        <v>332</v>
      </c>
      <c r="M52" s="346"/>
      <c r="N52">
        <v>0</v>
      </c>
      <c r="O52" t="s">
        <v>600</v>
      </c>
      <c r="P52" t="s">
        <v>608</v>
      </c>
      <c r="Q52" s="385" t="s">
        <v>332</v>
      </c>
    </row>
    <row r="53" spans="2:17">
      <c r="B53" s="44"/>
      <c r="M53" s="44"/>
    </row>
    <row r="54" spans="2:17">
      <c r="B54" s="346">
        <v>46003</v>
      </c>
      <c r="C54">
        <v>0</v>
      </c>
      <c r="D54" t="s">
        <v>492</v>
      </c>
      <c r="E54" t="s">
        <v>261</v>
      </c>
      <c r="F54" t="s">
        <v>258</v>
      </c>
      <c r="M54" s="346">
        <v>46003</v>
      </c>
      <c r="N54">
        <v>0</v>
      </c>
      <c r="O54" t="s">
        <v>492</v>
      </c>
      <c r="P54" t="s">
        <v>261</v>
      </c>
      <c r="Q54" t="s">
        <v>258</v>
      </c>
    </row>
    <row r="55" spans="2:17">
      <c r="B55" s="346"/>
      <c r="C55">
        <v>0</v>
      </c>
      <c r="D55" t="s">
        <v>448</v>
      </c>
      <c r="E55" t="s">
        <v>259</v>
      </c>
      <c r="F55" t="s">
        <v>258</v>
      </c>
      <c r="M55" s="346"/>
      <c r="N55">
        <v>0</v>
      </c>
      <c r="O55" t="s">
        <v>448</v>
      </c>
      <c r="P55" t="s">
        <v>259</v>
      </c>
      <c r="Q55" t="s">
        <v>258</v>
      </c>
    </row>
    <row r="56" spans="2:17">
      <c r="B56" s="44"/>
      <c r="C56">
        <v>4</v>
      </c>
      <c r="D56" t="s">
        <v>607</v>
      </c>
      <c r="E56" t="s">
        <v>260</v>
      </c>
      <c r="F56" t="s">
        <v>258</v>
      </c>
      <c r="M56" s="44"/>
      <c r="N56">
        <v>4</v>
      </c>
      <c r="O56" t="s">
        <v>607</v>
      </c>
      <c r="P56" t="s">
        <v>260</v>
      </c>
      <c r="Q56" t="s">
        <v>258</v>
      </c>
    </row>
    <row r="57" spans="2:17">
      <c r="B57" s="44"/>
      <c r="M57" s="44"/>
    </row>
    <row r="58" spans="2:17">
      <c r="B58" s="346">
        <v>46004</v>
      </c>
      <c r="C58">
        <v>0</v>
      </c>
      <c r="D58" t="s">
        <v>492</v>
      </c>
      <c r="E58" t="s">
        <v>261</v>
      </c>
      <c r="F58" t="s">
        <v>258</v>
      </c>
      <c r="M58" s="346">
        <v>46004</v>
      </c>
      <c r="N58">
        <v>0</v>
      </c>
      <c r="O58" t="s">
        <v>492</v>
      </c>
      <c r="P58" t="s">
        <v>261</v>
      </c>
      <c r="Q58" t="s">
        <v>258</v>
      </c>
    </row>
    <row r="59" spans="2:17">
      <c r="B59" s="346"/>
      <c r="C59">
        <v>1</v>
      </c>
      <c r="D59" t="s">
        <v>494</v>
      </c>
      <c r="E59" t="s">
        <v>259</v>
      </c>
      <c r="F59" t="s">
        <v>258</v>
      </c>
      <c r="M59" s="346"/>
      <c r="N59">
        <v>1</v>
      </c>
      <c r="O59" t="s">
        <v>494</v>
      </c>
      <c r="P59" t="s">
        <v>259</v>
      </c>
      <c r="Q59" t="s">
        <v>258</v>
      </c>
    </row>
    <row r="60" spans="2:17">
      <c r="B60" s="44"/>
      <c r="C60">
        <v>7</v>
      </c>
      <c r="D60" t="s">
        <v>607</v>
      </c>
      <c r="E60" t="s">
        <v>260</v>
      </c>
      <c r="F60" t="s">
        <v>258</v>
      </c>
      <c r="M60" s="44"/>
      <c r="N60">
        <v>7</v>
      </c>
      <c r="O60" t="s">
        <v>607</v>
      </c>
      <c r="P60" t="s">
        <v>260</v>
      </c>
      <c r="Q60" t="s">
        <v>258</v>
      </c>
    </row>
    <row r="61" spans="2:17">
      <c r="B61" s="346"/>
      <c r="C61">
        <v>8</v>
      </c>
      <c r="D61" t="s">
        <v>420</v>
      </c>
      <c r="E61" s="385" t="s">
        <v>204</v>
      </c>
      <c r="F61" s="385" t="s">
        <v>257</v>
      </c>
      <c r="M61" s="346"/>
      <c r="N61">
        <v>8</v>
      </c>
      <c r="O61" t="s">
        <v>420</v>
      </c>
      <c r="P61" s="385" t="s">
        <v>204</v>
      </c>
      <c r="Q61" s="385" t="s">
        <v>257</v>
      </c>
    </row>
    <row r="62" spans="2:17">
      <c r="B62" s="44"/>
      <c r="M62" s="44"/>
    </row>
    <row r="63" spans="2:17">
      <c r="B63" s="346">
        <v>46005</v>
      </c>
      <c r="C63">
        <v>10</v>
      </c>
      <c r="D63" t="s">
        <v>477</v>
      </c>
      <c r="E63" t="s">
        <v>261</v>
      </c>
      <c r="F63" t="s">
        <v>258</v>
      </c>
      <c r="M63" s="346">
        <v>46005</v>
      </c>
      <c r="N63">
        <v>10</v>
      </c>
      <c r="O63" t="s">
        <v>477</v>
      </c>
      <c r="P63" t="s">
        <v>261</v>
      </c>
      <c r="Q63" t="s">
        <v>258</v>
      </c>
    </row>
    <row r="64" spans="2:17">
      <c r="B64" s="346"/>
      <c r="C64">
        <v>10</v>
      </c>
      <c r="D64" t="s">
        <v>628</v>
      </c>
      <c r="E64" t="s">
        <v>259</v>
      </c>
      <c r="F64" t="s">
        <v>258</v>
      </c>
      <c r="M64" s="346"/>
      <c r="N64">
        <v>10</v>
      </c>
      <c r="O64" t="s">
        <v>628</v>
      </c>
      <c r="P64" t="s">
        <v>259</v>
      </c>
      <c r="Q64" t="s">
        <v>258</v>
      </c>
    </row>
    <row r="65" spans="2:18">
      <c r="B65" s="346"/>
      <c r="C65">
        <v>21</v>
      </c>
      <c r="D65" t="s">
        <v>607</v>
      </c>
      <c r="E65" t="s">
        <v>260</v>
      </c>
      <c r="F65" t="s">
        <v>258</v>
      </c>
      <c r="M65" s="346"/>
      <c r="N65">
        <v>21</v>
      </c>
      <c r="O65" t="s">
        <v>607</v>
      </c>
      <c r="P65" t="s">
        <v>260</v>
      </c>
      <c r="Q65" t="s">
        <v>258</v>
      </c>
    </row>
    <row r="66" spans="2:18">
      <c r="B66" s="44"/>
      <c r="C66">
        <v>15</v>
      </c>
      <c r="D66" t="s">
        <v>420</v>
      </c>
      <c r="E66" s="385" t="s">
        <v>204</v>
      </c>
      <c r="F66" s="385" t="s">
        <v>257</v>
      </c>
      <c r="M66" s="44"/>
      <c r="N66">
        <v>15</v>
      </c>
      <c r="O66" t="s">
        <v>420</v>
      </c>
      <c r="P66" s="385" t="s">
        <v>204</v>
      </c>
      <c r="Q66" s="385" t="s">
        <v>257</v>
      </c>
    </row>
    <row r="67" spans="2:18">
      <c r="B67" s="44"/>
      <c r="C67">
        <v>10</v>
      </c>
      <c r="D67" t="s">
        <v>619</v>
      </c>
      <c r="E67" t="s">
        <v>618</v>
      </c>
      <c r="F67" t="s">
        <v>258</v>
      </c>
      <c r="M67" s="44"/>
      <c r="N67">
        <v>10</v>
      </c>
      <c r="O67" t="s">
        <v>619</v>
      </c>
      <c r="P67" t="s">
        <v>618</v>
      </c>
      <c r="Q67" t="s">
        <v>258</v>
      </c>
    </row>
    <row r="68" spans="2:18">
      <c r="B68" s="346"/>
      <c r="M68" s="346"/>
    </row>
    <row r="69" spans="2:18">
      <c r="B69" s="346">
        <v>46006</v>
      </c>
      <c r="C69">
        <v>10</v>
      </c>
      <c r="D69" t="s">
        <v>477</v>
      </c>
      <c r="E69" t="s">
        <v>261</v>
      </c>
      <c r="F69" t="s">
        <v>258</v>
      </c>
      <c r="M69" s="346">
        <v>46006</v>
      </c>
      <c r="N69">
        <v>10</v>
      </c>
      <c r="O69" t="s">
        <v>477</v>
      </c>
      <c r="P69" t="s">
        <v>261</v>
      </c>
      <c r="Q69" t="s">
        <v>258</v>
      </c>
    </row>
    <row r="70" spans="2:18">
      <c r="B70" s="44"/>
      <c r="C70">
        <v>4</v>
      </c>
      <c r="D70" t="s">
        <v>445</v>
      </c>
      <c r="E70" t="s">
        <v>259</v>
      </c>
      <c r="F70" t="s">
        <v>258</v>
      </c>
      <c r="M70" s="44"/>
      <c r="N70">
        <v>4</v>
      </c>
      <c r="O70" t="s">
        <v>445</v>
      </c>
      <c r="P70" t="s">
        <v>259</v>
      </c>
      <c r="Q70" t="s">
        <v>258</v>
      </c>
      <c r="R70" s="525"/>
    </row>
    <row r="71" spans="2:18">
      <c r="B71" s="44"/>
      <c r="C71">
        <v>16</v>
      </c>
      <c r="D71" t="s">
        <v>651</v>
      </c>
      <c r="E71" t="s">
        <v>260</v>
      </c>
      <c r="F71" t="s">
        <v>258</v>
      </c>
      <c r="M71" s="44"/>
      <c r="N71">
        <v>16</v>
      </c>
      <c r="O71" t="s">
        <v>651</v>
      </c>
      <c r="P71" t="s">
        <v>260</v>
      </c>
      <c r="Q71" t="s">
        <v>258</v>
      </c>
    </row>
    <row r="72" spans="2:18">
      <c r="B72" s="346"/>
      <c r="M72" s="346"/>
    </row>
    <row r="73" spans="2:18">
      <c r="B73" s="346">
        <v>46007</v>
      </c>
      <c r="C73">
        <v>15</v>
      </c>
      <c r="D73" t="s">
        <v>671</v>
      </c>
      <c r="E73" t="s">
        <v>261</v>
      </c>
      <c r="F73" t="s">
        <v>258</v>
      </c>
      <c r="M73" s="346">
        <v>46007</v>
      </c>
      <c r="N73">
        <v>15</v>
      </c>
      <c r="O73" t="s">
        <v>671</v>
      </c>
      <c r="P73" t="s">
        <v>261</v>
      </c>
      <c r="Q73" t="s">
        <v>258</v>
      </c>
    </row>
    <row r="74" spans="2:18">
      <c r="B74" s="44"/>
      <c r="C74">
        <v>8</v>
      </c>
      <c r="D74" t="s">
        <v>672</v>
      </c>
      <c r="E74" t="s">
        <v>259</v>
      </c>
      <c r="F74" t="s">
        <v>258</v>
      </c>
      <c r="M74" s="44"/>
      <c r="N74">
        <v>8</v>
      </c>
      <c r="O74" t="s">
        <v>672</v>
      </c>
      <c r="P74" t="s">
        <v>259</v>
      </c>
      <c r="Q74" t="s">
        <v>258</v>
      </c>
    </row>
    <row r="75" spans="2:18">
      <c r="B75" s="44"/>
      <c r="C75">
        <v>14</v>
      </c>
      <c r="D75" t="s">
        <v>673</v>
      </c>
      <c r="E75" t="s">
        <v>260</v>
      </c>
      <c r="F75" t="s">
        <v>258</v>
      </c>
      <c r="M75" s="44"/>
      <c r="N75">
        <v>14</v>
      </c>
      <c r="O75" t="s">
        <v>673</v>
      </c>
      <c r="P75" t="s">
        <v>260</v>
      </c>
      <c r="Q75" t="s">
        <v>258</v>
      </c>
    </row>
    <row r="76" spans="2:18">
      <c r="B76" s="44"/>
      <c r="C76">
        <v>49</v>
      </c>
      <c r="D76" s="504" t="s">
        <v>738</v>
      </c>
      <c r="E76" t="s">
        <v>737</v>
      </c>
      <c r="F76" t="s">
        <v>267</v>
      </c>
      <c r="M76" s="44"/>
      <c r="N76">
        <v>49</v>
      </c>
      <c r="O76" s="504" t="s">
        <v>738</v>
      </c>
      <c r="P76" t="s">
        <v>737</v>
      </c>
      <c r="Q76" t="s">
        <v>267</v>
      </c>
    </row>
    <row r="77" spans="2:18">
      <c r="B77" s="44"/>
      <c r="C77">
        <v>60</v>
      </c>
      <c r="D77" t="s">
        <v>674</v>
      </c>
      <c r="E77" t="s">
        <v>675</v>
      </c>
      <c r="F77" t="s">
        <v>266</v>
      </c>
      <c r="M77" s="44"/>
      <c r="N77">
        <v>60</v>
      </c>
      <c r="O77" t="s">
        <v>674</v>
      </c>
      <c r="P77" t="s">
        <v>675</v>
      </c>
      <c r="Q77" t="s">
        <v>266</v>
      </c>
    </row>
    <row r="78" spans="2:18">
      <c r="B78" s="346"/>
      <c r="M78" s="346"/>
    </row>
    <row r="79" spans="2:18">
      <c r="B79" s="44">
        <v>46008</v>
      </c>
      <c r="C79">
        <v>10</v>
      </c>
      <c r="D79" t="s">
        <v>671</v>
      </c>
      <c r="E79" t="s">
        <v>261</v>
      </c>
      <c r="F79" t="s">
        <v>258</v>
      </c>
      <c r="M79" s="44">
        <v>46008</v>
      </c>
      <c r="N79">
        <v>10</v>
      </c>
      <c r="O79" t="s">
        <v>671</v>
      </c>
      <c r="P79" t="s">
        <v>261</v>
      </c>
      <c r="Q79" t="s">
        <v>258</v>
      </c>
    </row>
    <row r="80" spans="2:18">
      <c r="B80" s="346"/>
      <c r="C80">
        <v>17</v>
      </c>
      <c r="D80" t="s">
        <v>672</v>
      </c>
      <c r="E80" t="s">
        <v>259</v>
      </c>
      <c r="F80" t="s">
        <v>258</v>
      </c>
      <c r="M80" s="346"/>
      <c r="N80">
        <v>17</v>
      </c>
      <c r="O80" t="s">
        <v>672</v>
      </c>
      <c r="P80" t="s">
        <v>259</v>
      </c>
      <c r="Q80" t="s">
        <v>258</v>
      </c>
    </row>
    <row r="81" spans="2:17">
      <c r="B81" s="44"/>
      <c r="C81">
        <v>23</v>
      </c>
      <c r="D81" t="s">
        <v>673</v>
      </c>
      <c r="E81" t="s">
        <v>260</v>
      </c>
      <c r="F81" t="s">
        <v>258</v>
      </c>
      <c r="M81" s="44"/>
      <c r="N81">
        <v>23</v>
      </c>
      <c r="O81" t="s">
        <v>673</v>
      </c>
      <c r="P81" t="s">
        <v>260</v>
      </c>
      <c r="Q81" t="s">
        <v>258</v>
      </c>
    </row>
    <row r="82" spans="2:17">
      <c r="B82" s="44"/>
      <c r="M82" s="44"/>
    </row>
    <row r="83" spans="2:17">
      <c r="B83" s="346">
        <v>46009</v>
      </c>
      <c r="C83">
        <v>0</v>
      </c>
      <c r="D83" t="s">
        <v>492</v>
      </c>
      <c r="E83" t="s">
        <v>261</v>
      </c>
      <c r="F83" t="s">
        <v>258</v>
      </c>
      <c r="M83" s="346">
        <v>46009</v>
      </c>
      <c r="N83">
        <v>0</v>
      </c>
      <c r="O83" t="s">
        <v>492</v>
      </c>
      <c r="P83" t="s">
        <v>261</v>
      </c>
      <c r="Q83" t="s">
        <v>258</v>
      </c>
    </row>
    <row r="84" spans="2:17">
      <c r="B84" s="346"/>
      <c r="C84">
        <v>10</v>
      </c>
      <c r="D84" t="s">
        <v>672</v>
      </c>
      <c r="E84" t="s">
        <v>259</v>
      </c>
      <c r="F84" t="s">
        <v>258</v>
      </c>
      <c r="M84" s="346"/>
      <c r="N84">
        <v>10</v>
      </c>
      <c r="O84" t="s">
        <v>672</v>
      </c>
      <c r="P84" t="s">
        <v>259</v>
      </c>
      <c r="Q84" t="s">
        <v>258</v>
      </c>
    </row>
    <row r="85" spans="2:17">
      <c r="B85" s="44"/>
      <c r="C85">
        <v>26</v>
      </c>
      <c r="D85" t="s">
        <v>479</v>
      </c>
      <c r="E85" t="s">
        <v>260</v>
      </c>
      <c r="F85" t="s">
        <v>258</v>
      </c>
      <c r="M85" s="44"/>
      <c r="N85">
        <v>26</v>
      </c>
      <c r="O85" t="s">
        <v>479</v>
      </c>
      <c r="P85" t="s">
        <v>260</v>
      </c>
      <c r="Q85" t="s">
        <v>258</v>
      </c>
    </row>
    <row r="86" spans="2:17">
      <c r="B86" s="44"/>
      <c r="M86" s="44"/>
    </row>
    <row r="87" spans="2:17">
      <c r="B87" s="346">
        <v>46010</v>
      </c>
      <c r="C87">
        <v>40</v>
      </c>
      <c r="D87" t="s">
        <v>451</v>
      </c>
      <c r="E87" t="s">
        <v>261</v>
      </c>
      <c r="F87" t="s">
        <v>258</v>
      </c>
      <c r="M87" s="346">
        <v>46010</v>
      </c>
      <c r="N87">
        <v>40</v>
      </c>
      <c r="O87" t="s">
        <v>451</v>
      </c>
      <c r="P87" t="s">
        <v>261</v>
      </c>
      <c r="Q87" t="s">
        <v>258</v>
      </c>
    </row>
    <row r="88" spans="2:17">
      <c r="B88" s="346"/>
      <c r="C88">
        <v>0</v>
      </c>
      <c r="D88" t="s">
        <v>448</v>
      </c>
      <c r="E88" t="s">
        <v>259</v>
      </c>
      <c r="F88" t="s">
        <v>258</v>
      </c>
      <c r="M88" s="346"/>
      <c r="N88">
        <v>0</v>
      </c>
      <c r="O88" t="s">
        <v>448</v>
      </c>
      <c r="P88" t="s">
        <v>259</v>
      </c>
      <c r="Q88" t="s">
        <v>258</v>
      </c>
    </row>
    <row r="89" spans="2:17">
      <c r="B89" s="44"/>
      <c r="C89">
        <v>21</v>
      </c>
      <c r="D89" t="s">
        <v>531</v>
      </c>
      <c r="E89" t="s">
        <v>260</v>
      </c>
      <c r="F89" t="s">
        <v>258</v>
      </c>
      <c r="M89" s="44"/>
      <c r="N89">
        <v>21</v>
      </c>
      <c r="O89" t="s">
        <v>531</v>
      </c>
      <c r="P89" t="s">
        <v>260</v>
      </c>
      <c r="Q89" t="s">
        <v>258</v>
      </c>
    </row>
    <row r="90" spans="2:17">
      <c r="B90" s="44"/>
      <c r="M90" s="44"/>
    </row>
    <row r="91" spans="2:17">
      <c r="B91" s="44">
        <v>46011</v>
      </c>
      <c r="C91">
        <v>60</v>
      </c>
      <c r="D91" t="s">
        <v>478</v>
      </c>
      <c r="E91" t="s">
        <v>261</v>
      </c>
      <c r="F91" t="s">
        <v>258</v>
      </c>
      <c r="M91" s="44">
        <v>46011</v>
      </c>
      <c r="N91">
        <v>60</v>
      </c>
      <c r="O91" t="s">
        <v>478</v>
      </c>
      <c r="P91" t="s">
        <v>261</v>
      </c>
      <c r="Q91" t="s">
        <v>258</v>
      </c>
    </row>
    <row r="92" spans="2:17">
      <c r="B92" s="346"/>
      <c r="C92">
        <v>0</v>
      </c>
      <c r="D92" t="s">
        <v>448</v>
      </c>
      <c r="E92" t="s">
        <v>259</v>
      </c>
      <c r="F92" t="s">
        <v>258</v>
      </c>
      <c r="M92" s="346"/>
      <c r="N92">
        <v>0</v>
      </c>
      <c r="O92" t="s">
        <v>448</v>
      </c>
      <c r="P92" t="s">
        <v>259</v>
      </c>
      <c r="Q92" t="s">
        <v>258</v>
      </c>
    </row>
    <row r="93" spans="2:17">
      <c r="B93" s="44"/>
      <c r="C93">
        <v>19</v>
      </c>
      <c r="D93" t="s">
        <v>510</v>
      </c>
      <c r="E93" t="s">
        <v>260</v>
      </c>
      <c r="F93" t="s">
        <v>258</v>
      </c>
      <c r="M93" s="44"/>
      <c r="N93">
        <v>19</v>
      </c>
      <c r="O93" t="s">
        <v>510</v>
      </c>
      <c r="P93" t="s">
        <v>260</v>
      </c>
      <c r="Q93" t="s">
        <v>258</v>
      </c>
    </row>
    <row r="94" spans="2:17">
      <c r="B94" s="346"/>
      <c r="M94" s="346"/>
    </row>
    <row r="95" spans="2:17">
      <c r="B95" s="44">
        <v>46012</v>
      </c>
      <c r="C95">
        <v>40</v>
      </c>
      <c r="D95" t="s">
        <v>451</v>
      </c>
      <c r="E95" t="s">
        <v>261</v>
      </c>
      <c r="F95" t="s">
        <v>258</v>
      </c>
      <c r="M95" s="44">
        <v>46012</v>
      </c>
      <c r="N95">
        <v>40</v>
      </c>
      <c r="O95" t="s">
        <v>451</v>
      </c>
      <c r="P95" t="s">
        <v>261</v>
      </c>
      <c r="Q95" t="s">
        <v>258</v>
      </c>
    </row>
    <row r="96" spans="2:17">
      <c r="B96" s="346"/>
      <c r="C96">
        <v>0</v>
      </c>
      <c r="D96" t="s">
        <v>448</v>
      </c>
      <c r="E96" t="s">
        <v>259</v>
      </c>
      <c r="F96" t="s">
        <v>258</v>
      </c>
      <c r="M96" s="346"/>
      <c r="N96">
        <v>0</v>
      </c>
      <c r="O96" t="s">
        <v>448</v>
      </c>
      <c r="P96" t="s">
        <v>259</v>
      </c>
      <c r="Q96" t="s">
        <v>258</v>
      </c>
    </row>
    <row r="97" spans="2:17">
      <c r="B97" s="44"/>
      <c r="C97">
        <v>34</v>
      </c>
      <c r="D97" t="s">
        <v>728</v>
      </c>
      <c r="E97" t="s">
        <v>260</v>
      </c>
      <c r="F97" t="s">
        <v>258</v>
      </c>
      <c r="M97" s="44"/>
      <c r="N97">
        <v>34</v>
      </c>
      <c r="O97" t="s">
        <v>728</v>
      </c>
      <c r="P97" t="s">
        <v>260</v>
      </c>
      <c r="Q97" t="s">
        <v>258</v>
      </c>
    </row>
    <row r="98" spans="2:17">
      <c r="B98" s="346"/>
      <c r="D98" s="501"/>
      <c r="E98" s="501"/>
      <c r="F98" s="385"/>
      <c r="M98" s="346"/>
      <c r="O98" s="501"/>
      <c r="P98" s="501"/>
      <c r="Q98" s="385"/>
    </row>
    <row r="99" spans="2:17">
      <c r="B99" s="44">
        <v>46013</v>
      </c>
      <c r="C99">
        <v>0</v>
      </c>
      <c r="D99" t="s">
        <v>492</v>
      </c>
      <c r="E99" t="s">
        <v>261</v>
      </c>
      <c r="F99" t="s">
        <v>258</v>
      </c>
      <c r="M99" s="44">
        <v>46013</v>
      </c>
      <c r="N99">
        <v>0</v>
      </c>
      <c r="O99" t="s">
        <v>492</v>
      </c>
      <c r="P99" t="s">
        <v>261</v>
      </c>
      <c r="Q99" t="s">
        <v>258</v>
      </c>
    </row>
    <row r="100" spans="2:17">
      <c r="B100" s="44"/>
      <c r="C100">
        <v>0</v>
      </c>
      <c r="D100" t="s">
        <v>448</v>
      </c>
      <c r="E100" t="s">
        <v>259</v>
      </c>
      <c r="F100" t="s">
        <v>258</v>
      </c>
      <c r="M100" s="44"/>
      <c r="N100">
        <v>0</v>
      </c>
      <c r="O100" t="s">
        <v>448</v>
      </c>
      <c r="P100" t="s">
        <v>259</v>
      </c>
      <c r="Q100" t="s">
        <v>258</v>
      </c>
    </row>
    <row r="101" spans="2:17">
      <c r="B101" s="346"/>
      <c r="C101">
        <v>35</v>
      </c>
      <c r="D101" t="s">
        <v>510</v>
      </c>
      <c r="E101" t="s">
        <v>260</v>
      </c>
      <c r="F101" t="s">
        <v>258</v>
      </c>
      <c r="M101" s="346"/>
      <c r="N101">
        <v>35</v>
      </c>
      <c r="O101" t="s">
        <v>510</v>
      </c>
      <c r="P101" t="s">
        <v>260</v>
      </c>
      <c r="Q101" t="s">
        <v>258</v>
      </c>
    </row>
    <row r="102" spans="2:17">
      <c r="B102" s="44"/>
      <c r="M102" s="44"/>
    </row>
    <row r="103" spans="2:17">
      <c r="B103" s="346">
        <v>46014</v>
      </c>
      <c r="C103">
        <v>6</v>
      </c>
      <c r="D103" t="s">
        <v>477</v>
      </c>
      <c r="E103" t="s">
        <v>261</v>
      </c>
      <c r="F103" t="s">
        <v>258</v>
      </c>
      <c r="M103" s="346">
        <v>46014</v>
      </c>
      <c r="N103">
        <v>6</v>
      </c>
      <c r="O103" t="s">
        <v>477</v>
      </c>
      <c r="P103" t="s">
        <v>261</v>
      </c>
      <c r="Q103" t="s">
        <v>258</v>
      </c>
    </row>
    <row r="104" spans="2:17">
      <c r="B104" s="44"/>
      <c r="C104">
        <v>0</v>
      </c>
      <c r="D104" t="s">
        <v>448</v>
      </c>
      <c r="E104" t="s">
        <v>259</v>
      </c>
      <c r="F104" t="s">
        <v>258</v>
      </c>
      <c r="M104" s="44"/>
      <c r="N104">
        <v>0</v>
      </c>
      <c r="O104" t="s">
        <v>448</v>
      </c>
      <c r="P104" t="s">
        <v>259</v>
      </c>
      <c r="Q104" t="s">
        <v>258</v>
      </c>
    </row>
    <row r="105" spans="2:17">
      <c r="B105" s="346"/>
      <c r="C105">
        <v>18</v>
      </c>
      <c r="D105" t="s">
        <v>510</v>
      </c>
      <c r="E105" t="s">
        <v>260</v>
      </c>
      <c r="F105" t="s">
        <v>258</v>
      </c>
      <c r="M105" s="346"/>
      <c r="N105">
        <v>18</v>
      </c>
      <c r="O105" t="s">
        <v>510</v>
      </c>
      <c r="P105" t="s">
        <v>260</v>
      </c>
      <c r="Q105" t="s">
        <v>258</v>
      </c>
    </row>
    <row r="106" spans="2:17">
      <c r="B106" s="346"/>
      <c r="M106" s="346"/>
    </row>
    <row r="107" spans="2:17">
      <c r="B107" s="346">
        <v>46015</v>
      </c>
      <c r="C107">
        <v>24</v>
      </c>
      <c r="D107" t="s">
        <v>446</v>
      </c>
      <c r="E107" t="s">
        <v>261</v>
      </c>
      <c r="F107" t="s">
        <v>258</v>
      </c>
      <c r="M107" s="346">
        <v>46015</v>
      </c>
      <c r="N107">
        <v>24</v>
      </c>
      <c r="O107" t="s">
        <v>446</v>
      </c>
      <c r="P107" t="s">
        <v>261</v>
      </c>
      <c r="Q107" t="s">
        <v>258</v>
      </c>
    </row>
    <row r="108" spans="2:17">
      <c r="B108" s="44"/>
      <c r="C108">
        <v>0</v>
      </c>
      <c r="D108" t="s">
        <v>448</v>
      </c>
      <c r="E108" t="s">
        <v>259</v>
      </c>
      <c r="F108" t="s">
        <v>258</v>
      </c>
      <c r="M108" s="44"/>
      <c r="N108">
        <v>0</v>
      </c>
      <c r="O108" t="s">
        <v>448</v>
      </c>
      <c r="P108" t="s">
        <v>259</v>
      </c>
      <c r="Q108" t="s">
        <v>258</v>
      </c>
    </row>
    <row r="109" spans="2:17">
      <c r="B109" s="44"/>
      <c r="C109">
        <v>36</v>
      </c>
      <c r="D109" t="s">
        <v>564</v>
      </c>
      <c r="E109" t="s">
        <v>260</v>
      </c>
      <c r="F109" t="s">
        <v>258</v>
      </c>
      <c r="M109" s="44"/>
      <c r="N109">
        <v>36</v>
      </c>
      <c r="O109" t="s">
        <v>564</v>
      </c>
      <c r="P109" t="s">
        <v>260</v>
      </c>
      <c r="Q109" t="s">
        <v>258</v>
      </c>
    </row>
    <row r="110" spans="2:17">
      <c r="B110" s="346"/>
      <c r="M110" s="346"/>
    </row>
    <row r="111" spans="2:17">
      <c r="B111" s="44">
        <v>46016</v>
      </c>
      <c r="C111">
        <v>0</v>
      </c>
      <c r="D111" t="s">
        <v>492</v>
      </c>
      <c r="E111" t="s">
        <v>261</v>
      </c>
      <c r="F111" t="s">
        <v>258</v>
      </c>
      <c r="M111" s="44">
        <v>46016</v>
      </c>
      <c r="N111">
        <v>0</v>
      </c>
      <c r="O111" t="s">
        <v>492</v>
      </c>
      <c r="P111" t="s">
        <v>261</v>
      </c>
      <c r="Q111" t="s">
        <v>258</v>
      </c>
    </row>
    <row r="112" spans="2:17">
      <c r="B112" s="346"/>
      <c r="C112">
        <v>0</v>
      </c>
      <c r="D112" t="s">
        <v>448</v>
      </c>
      <c r="E112" t="s">
        <v>259</v>
      </c>
      <c r="F112" t="s">
        <v>258</v>
      </c>
      <c r="M112" s="346"/>
      <c r="N112">
        <v>0</v>
      </c>
      <c r="O112" t="s">
        <v>448</v>
      </c>
      <c r="P112" t="s">
        <v>259</v>
      </c>
      <c r="Q112" t="s">
        <v>258</v>
      </c>
    </row>
    <row r="113" spans="2:17">
      <c r="B113" s="44"/>
      <c r="C113">
        <v>23</v>
      </c>
      <c r="D113" t="s">
        <v>479</v>
      </c>
      <c r="E113" t="s">
        <v>260</v>
      </c>
      <c r="F113" t="s">
        <v>258</v>
      </c>
      <c r="M113" s="44"/>
      <c r="N113">
        <v>23</v>
      </c>
      <c r="O113" t="s">
        <v>479</v>
      </c>
      <c r="P113" t="s">
        <v>260</v>
      </c>
      <c r="Q113" t="s">
        <v>258</v>
      </c>
    </row>
    <row r="114" spans="2:17">
      <c r="B114" s="44"/>
      <c r="M114" s="44"/>
    </row>
    <row r="115" spans="2:17">
      <c r="B115" s="44">
        <v>46017</v>
      </c>
      <c r="C115">
        <v>40</v>
      </c>
      <c r="D115" t="s">
        <v>451</v>
      </c>
      <c r="E115" t="s">
        <v>261</v>
      </c>
      <c r="F115" t="s">
        <v>258</v>
      </c>
      <c r="M115" s="44">
        <v>46017</v>
      </c>
      <c r="N115">
        <v>40</v>
      </c>
      <c r="O115" t="s">
        <v>451</v>
      </c>
      <c r="P115" t="s">
        <v>261</v>
      </c>
      <c r="Q115" t="s">
        <v>258</v>
      </c>
    </row>
    <row r="116" spans="2:17">
      <c r="B116" s="44"/>
      <c r="C116">
        <v>1</v>
      </c>
      <c r="D116" t="s">
        <v>494</v>
      </c>
      <c r="E116" t="s">
        <v>259</v>
      </c>
      <c r="F116" t="s">
        <v>258</v>
      </c>
      <c r="M116" s="44"/>
      <c r="N116">
        <v>1</v>
      </c>
      <c r="O116" t="s">
        <v>494</v>
      </c>
      <c r="P116" t="s">
        <v>259</v>
      </c>
      <c r="Q116" t="s">
        <v>258</v>
      </c>
    </row>
    <row r="117" spans="2:17">
      <c r="B117" s="44"/>
      <c r="C117">
        <v>22</v>
      </c>
      <c r="D117" t="s">
        <v>510</v>
      </c>
      <c r="E117" t="s">
        <v>260</v>
      </c>
      <c r="F117" t="s">
        <v>258</v>
      </c>
      <c r="M117" s="44"/>
      <c r="N117">
        <v>22</v>
      </c>
      <c r="O117" t="s">
        <v>510</v>
      </c>
      <c r="P117" t="s">
        <v>260</v>
      </c>
      <c r="Q117" t="s">
        <v>258</v>
      </c>
    </row>
    <row r="118" spans="2:17">
      <c r="B118" s="44"/>
      <c r="C118">
        <v>56</v>
      </c>
      <c r="D118" t="s">
        <v>770</v>
      </c>
      <c r="E118" t="s">
        <v>781</v>
      </c>
      <c r="F118" t="s">
        <v>264</v>
      </c>
      <c r="M118" s="44"/>
      <c r="N118">
        <v>56</v>
      </c>
      <c r="O118" t="s">
        <v>770</v>
      </c>
      <c r="P118" t="s">
        <v>781</v>
      </c>
      <c r="Q118" t="s">
        <v>264</v>
      </c>
    </row>
    <row r="119" spans="2:17">
      <c r="B119" s="44"/>
      <c r="E119" s="385"/>
      <c r="F119" s="385"/>
      <c r="M119" s="44"/>
      <c r="P119" s="385"/>
      <c r="Q119" s="385"/>
    </row>
    <row r="120" spans="2:17">
      <c r="B120" s="44">
        <v>46018</v>
      </c>
      <c r="C120">
        <v>50</v>
      </c>
      <c r="D120" t="s">
        <v>796</v>
      </c>
      <c r="E120" t="s">
        <v>261</v>
      </c>
      <c r="F120" t="s">
        <v>258</v>
      </c>
      <c r="M120" s="44">
        <v>46018</v>
      </c>
      <c r="N120">
        <v>50</v>
      </c>
      <c r="O120" t="s">
        <v>796</v>
      </c>
      <c r="P120" t="s">
        <v>261</v>
      </c>
      <c r="Q120" t="s">
        <v>258</v>
      </c>
    </row>
    <row r="121" spans="2:17">
      <c r="B121" s="44"/>
      <c r="C121">
        <v>0</v>
      </c>
      <c r="D121" t="s">
        <v>448</v>
      </c>
      <c r="E121" t="s">
        <v>259</v>
      </c>
      <c r="F121" t="s">
        <v>258</v>
      </c>
      <c r="M121" s="44"/>
      <c r="N121">
        <v>0</v>
      </c>
      <c r="O121" t="s">
        <v>448</v>
      </c>
      <c r="P121" t="s">
        <v>259</v>
      </c>
      <c r="Q121" t="s">
        <v>258</v>
      </c>
    </row>
    <row r="122" spans="2:17">
      <c r="B122" s="44"/>
      <c r="C122">
        <v>32</v>
      </c>
      <c r="D122" t="s">
        <v>531</v>
      </c>
      <c r="E122" t="s">
        <v>260</v>
      </c>
      <c r="F122" t="s">
        <v>258</v>
      </c>
      <c r="M122" s="44"/>
      <c r="N122">
        <v>32</v>
      </c>
      <c r="O122" t="s">
        <v>531</v>
      </c>
      <c r="P122" t="s">
        <v>260</v>
      </c>
      <c r="Q122" t="s">
        <v>258</v>
      </c>
    </row>
    <row r="123" spans="2:17">
      <c r="B123" s="44"/>
      <c r="M123" s="44"/>
    </row>
    <row r="124" spans="2:17">
      <c r="B124" s="44">
        <v>46019</v>
      </c>
      <c r="C124">
        <v>0</v>
      </c>
      <c r="D124" t="s">
        <v>492</v>
      </c>
      <c r="E124" t="s">
        <v>261</v>
      </c>
      <c r="F124" t="s">
        <v>258</v>
      </c>
      <c r="M124" s="44">
        <v>46019</v>
      </c>
      <c r="N124">
        <v>0</v>
      </c>
      <c r="O124" t="s">
        <v>492</v>
      </c>
      <c r="P124" t="s">
        <v>261</v>
      </c>
      <c r="Q124" t="s">
        <v>258</v>
      </c>
    </row>
    <row r="125" spans="2:17">
      <c r="B125" s="44"/>
      <c r="C125">
        <v>0</v>
      </c>
      <c r="D125" t="s">
        <v>448</v>
      </c>
      <c r="E125" t="s">
        <v>259</v>
      </c>
      <c r="F125" t="s">
        <v>258</v>
      </c>
      <c r="M125" s="44"/>
      <c r="N125">
        <v>0</v>
      </c>
      <c r="O125" t="s">
        <v>448</v>
      </c>
      <c r="P125" t="s">
        <v>259</v>
      </c>
      <c r="Q125" t="s">
        <v>258</v>
      </c>
    </row>
    <row r="126" spans="2:17">
      <c r="B126" s="44"/>
      <c r="C126">
        <v>21</v>
      </c>
      <c r="D126" t="s">
        <v>531</v>
      </c>
      <c r="E126" t="s">
        <v>260</v>
      </c>
      <c r="F126" t="s">
        <v>258</v>
      </c>
      <c r="M126" s="44"/>
      <c r="N126">
        <v>21</v>
      </c>
      <c r="O126" t="s">
        <v>531</v>
      </c>
      <c r="P126" t="s">
        <v>260</v>
      </c>
      <c r="Q126" t="s">
        <v>258</v>
      </c>
    </row>
    <row r="127" spans="2:17">
      <c r="B127" s="44"/>
      <c r="M127" s="44"/>
    </row>
    <row r="128" spans="2:17">
      <c r="B128" s="44">
        <v>46020</v>
      </c>
      <c r="C128">
        <v>0</v>
      </c>
      <c r="D128" t="s">
        <v>492</v>
      </c>
      <c r="E128" t="s">
        <v>261</v>
      </c>
      <c r="F128" t="s">
        <v>258</v>
      </c>
      <c r="M128" s="44">
        <v>46020</v>
      </c>
      <c r="N128">
        <v>0</v>
      </c>
      <c r="O128" t="s">
        <v>492</v>
      </c>
      <c r="P128" t="s">
        <v>261</v>
      </c>
      <c r="Q128" t="s">
        <v>258</v>
      </c>
    </row>
    <row r="129" spans="2:17">
      <c r="B129" s="44"/>
      <c r="C129">
        <v>0</v>
      </c>
      <c r="D129" t="s">
        <v>448</v>
      </c>
      <c r="E129" t="s">
        <v>259</v>
      </c>
      <c r="F129" t="s">
        <v>258</v>
      </c>
      <c r="M129" s="44"/>
      <c r="N129">
        <v>0</v>
      </c>
      <c r="O129" t="s">
        <v>448</v>
      </c>
      <c r="P129" t="s">
        <v>259</v>
      </c>
      <c r="Q129" t="s">
        <v>258</v>
      </c>
    </row>
    <row r="130" spans="2:17">
      <c r="B130" s="44"/>
      <c r="C130">
        <v>15</v>
      </c>
      <c r="D130" t="s">
        <v>510</v>
      </c>
      <c r="E130" t="s">
        <v>260</v>
      </c>
      <c r="F130" t="s">
        <v>258</v>
      </c>
      <c r="M130" s="44"/>
      <c r="N130">
        <v>15</v>
      </c>
      <c r="O130" t="s">
        <v>510</v>
      </c>
      <c r="P130" t="s">
        <v>260</v>
      </c>
      <c r="Q130" t="s">
        <v>258</v>
      </c>
    </row>
    <row r="131" spans="2:17">
      <c r="B131" s="44"/>
      <c r="C131">
        <v>30</v>
      </c>
      <c r="D131" t="s">
        <v>799</v>
      </c>
      <c r="E131" t="s">
        <v>801</v>
      </c>
      <c r="F131" t="s">
        <v>266</v>
      </c>
      <c r="M131" s="44"/>
      <c r="N131">
        <v>30</v>
      </c>
      <c r="O131" t="s">
        <v>799</v>
      </c>
      <c r="P131" t="s">
        <v>801</v>
      </c>
      <c r="Q131" t="s">
        <v>266</v>
      </c>
    </row>
    <row r="132" spans="2:17">
      <c r="B132" s="44"/>
      <c r="M132" s="44"/>
    </row>
    <row r="133" spans="2:17">
      <c r="B133" s="44">
        <v>46386</v>
      </c>
      <c r="C133">
        <v>0</v>
      </c>
      <c r="D133" t="s">
        <v>492</v>
      </c>
      <c r="E133" t="s">
        <v>261</v>
      </c>
      <c r="F133" t="s">
        <v>258</v>
      </c>
      <c r="M133" s="44">
        <v>46386</v>
      </c>
      <c r="N133">
        <v>0</v>
      </c>
      <c r="O133" t="s">
        <v>492</v>
      </c>
      <c r="P133" t="s">
        <v>261</v>
      </c>
      <c r="Q133" t="s">
        <v>258</v>
      </c>
    </row>
    <row r="134" spans="2:17">
      <c r="B134" s="44"/>
      <c r="C134">
        <v>0</v>
      </c>
      <c r="D134" t="s">
        <v>448</v>
      </c>
      <c r="E134" t="s">
        <v>259</v>
      </c>
      <c r="F134" t="s">
        <v>258</v>
      </c>
      <c r="M134" s="44"/>
      <c r="N134">
        <v>0</v>
      </c>
      <c r="O134" t="s">
        <v>448</v>
      </c>
      <c r="P134" t="s">
        <v>259</v>
      </c>
      <c r="Q134" t="s">
        <v>258</v>
      </c>
    </row>
    <row r="135" spans="2:17">
      <c r="B135" s="44"/>
      <c r="C135">
        <v>18</v>
      </c>
      <c r="D135" t="s">
        <v>457</v>
      </c>
      <c r="E135" t="s">
        <v>260</v>
      </c>
      <c r="F135" t="s">
        <v>258</v>
      </c>
      <c r="M135" s="44"/>
      <c r="N135">
        <v>18</v>
      </c>
      <c r="O135" t="s">
        <v>457</v>
      </c>
      <c r="P135" t="s">
        <v>260</v>
      </c>
      <c r="Q135" t="s">
        <v>258</v>
      </c>
    </row>
    <row r="136" spans="2:17">
      <c r="B136" s="44"/>
      <c r="M136" s="44"/>
    </row>
    <row r="137" spans="2:17">
      <c r="B137" s="44">
        <v>46387</v>
      </c>
      <c r="C137">
        <v>0</v>
      </c>
      <c r="D137" t="s">
        <v>492</v>
      </c>
      <c r="E137" t="s">
        <v>261</v>
      </c>
      <c r="F137" t="s">
        <v>258</v>
      </c>
      <c r="M137" s="44">
        <v>46387</v>
      </c>
      <c r="N137">
        <v>0</v>
      </c>
      <c r="O137" t="s">
        <v>492</v>
      </c>
      <c r="P137" t="s">
        <v>261</v>
      </c>
      <c r="Q137" t="s">
        <v>258</v>
      </c>
    </row>
    <row r="138" spans="2:17">
      <c r="B138" s="44"/>
      <c r="C138">
        <v>7</v>
      </c>
      <c r="D138" t="s">
        <v>581</v>
      </c>
      <c r="E138" t="s">
        <v>259</v>
      </c>
      <c r="F138" t="s">
        <v>258</v>
      </c>
      <c r="M138" s="44"/>
      <c r="N138">
        <v>7</v>
      </c>
      <c r="O138" t="s">
        <v>581</v>
      </c>
      <c r="P138" t="s">
        <v>259</v>
      </c>
      <c r="Q138" t="s">
        <v>258</v>
      </c>
    </row>
    <row r="139" spans="2:17">
      <c r="B139" s="44"/>
      <c r="C139">
        <v>30</v>
      </c>
      <c r="D139" t="s">
        <v>457</v>
      </c>
      <c r="E139" t="s">
        <v>260</v>
      </c>
      <c r="F139" t="s">
        <v>258</v>
      </c>
      <c r="M139" s="44"/>
      <c r="N139">
        <v>30</v>
      </c>
      <c r="O139" t="s">
        <v>457</v>
      </c>
      <c r="P139" t="s">
        <v>260</v>
      </c>
      <c r="Q139" t="s">
        <v>258</v>
      </c>
    </row>
    <row r="140" spans="2:17">
      <c r="B140" s="44"/>
      <c r="C140">
        <v>21</v>
      </c>
      <c r="D140" t="s">
        <v>420</v>
      </c>
      <c r="E140" s="385" t="s">
        <v>204</v>
      </c>
      <c r="F140" s="385" t="s">
        <v>257</v>
      </c>
      <c r="M140" s="44"/>
      <c r="N140">
        <v>21</v>
      </c>
      <c r="O140" t="s">
        <v>420</v>
      </c>
      <c r="P140" s="385" t="s">
        <v>204</v>
      </c>
      <c r="Q140" s="385" t="s">
        <v>257</v>
      </c>
    </row>
    <row r="141" spans="2:17">
      <c r="B141" s="44"/>
      <c r="M141" s="44"/>
    </row>
    <row r="142" spans="2:17">
      <c r="B142" s="44"/>
      <c r="M142" s="44"/>
    </row>
    <row r="143" spans="2:17">
      <c r="B143" s="44"/>
      <c r="M143" s="44"/>
    </row>
    <row r="144" spans="2:17">
      <c r="B144" s="44"/>
      <c r="M144" s="44"/>
    </row>
    <row r="145" spans="2:13">
      <c r="B145" s="44"/>
      <c r="M145" s="44"/>
    </row>
    <row r="146" spans="2:13">
      <c r="B146" s="44"/>
      <c r="M146" s="44"/>
    </row>
    <row r="147" spans="2:13">
      <c r="B147" s="44"/>
      <c r="M147" s="44"/>
    </row>
    <row r="148" spans="2:13">
      <c r="B148" s="44"/>
    </row>
    <row r="149" spans="2:13">
      <c r="B149" s="44"/>
    </row>
    <row r="150" spans="2:13">
      <c r="B150" s="44"/>
    </row>
    <row r="151" spans="2:13">
      <c r="B151" s="44"/>
    </row>
    <row r="152" spans="2:13">
      <c r="B152" s="44"/>
    </row>
    <row r="153" spans="2:13">
      <c r="B153" s="44"/>
    </row>
    <row r="154" spans="2:13">
      <c r="B154" s="44"/>
    </row>
    <row r="155" spans="2:13">
      <c r="B155" s="44"/>
    </row>
    <row r="156" spans="2:13">
      <c r="B156" s="44"/>
    </row>
    <row r="157" spans="2:13">
      <c r="B157" s="44"/>
    </row>
    <row r="158" spans="2:13">
      <c r="B158" s="44"/>
    </row>
    <row r="159" spans="2:13">
      <c r="B159" s="44"/>
    </row>
    <row r="160" spans="2:13">
      <c r="B160" s="44"/>
    </row>
    <row r="161" spans="2:2">
      <c r="B161" s="44"/>
    </row>
    <row r="162" spans="2:2">
      <c r="B162" s="44"/>
    </row>
    <row r="163" spans="2:2">
      <c r="B163" s="44"/>
    </row>
  </sheetData>
  <autoFilter ref="C1:F118"/>
  <conditionalFormatting sqref="G2:G11">
    <cfRule type="cellIs" dxfId="7" priority="2" operator="greaterThan">
      <formula>0</formula>
    </cfRule>
  </conditionalFormatting>
  <conditionalFormatting sqref="R2:R11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H1" zoomScaleNormal="100" workbookViewId="0">
      <selection activeCell="P12" sqref="P12:P13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42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2" customWidth="1"/>
    <col min="13" max="17" width="13.5703125" customWidth="1"/>
  </cols>
  <sheetData>
    <row r="1" spans="1:17" ht="15">
      <c r="A1" s="458" t="s">
        <v>240</v>
      </c>
      <c r="E1" s="469"/>
      <c r="F1" s="1"/>
      <c r="J1" s="458" t="s">
        <v>404</v>
      </c>
      <c r="N1" s="469"/>
      <c r="O1" s="1"/>
    </row>
    <row r="2" spans="1:17" ht="30">
      <c r="A2" s="995" t="s">
        <v>241</v>
      </c>
      <c r="B2" s="995" t="s">
        <v>242</v>
      </c>
      <c r="C2" s="997" t="s">
        <v>243</v>
      </c>
      <c r="D2" s="470" t="s">
        <v>244</v>
      </c>
      <c r="E2" s="471" t="s">
        <v>245</v>
      </c>
      <c r="F2" s="472" t="s">
        <v>246</v>
      </c>
      <c r="G2" s="471" t="s">
        <v>247</v>
      </c>
      <c r="H2" s="471" t="s">
        <v>248</v>
      </c>
      <c r="J2" s="995" t="s">
        <v>241</v>
      </c>
      <c r="K2" s="995" t="s">
        <v>242</v>
      </c>
      <c r="L2" s="996" t="s">
        <v>243</v>
      </c>
      <c r="M2" s="470" t="s">
        <v>244</v>
      </c>
      <c r="N2" s="471" t="s">
        <v>245</v>
      </c>
      <c r="O2" s="472" t="s">
        <v>246</v>
      </c>
      <c r="P2" s="471" t="s">
        <v>247</v>
      </c>
      <c r="Q2" s="471" t="s">
        <v>248</v>
      </c>
    </row>
    <row r="3" spans="1:17" ht="15">
      <c r="A3" s="995"/>
      <c r="B3" s="995"/>
      <c r="C3" s="998"/>
      <c r="D3" s="470" t="s">
        <v>431</v>
      </c>
      <c r="E3" s="470" t="str">
        <f>+D3</f>
        <v>DESEMBER</v>
      </c>
      <c r="F3" s="470" t="str">
        <f>+E3</f>
        <v>DESEMBER</v>
      </c>
      <c r="G3" s="470" t="str">
        <f>+F3</f>
        <v>DESEMBER</v>
      </c>
      <c r="H3" s="470" t="str">
        <f>+G3</f>
        <v>DESEMBER</v>
      </c>
      <c r="J3" s="995"/>
      <c r="K3" s="995"/>
      <c r="L3" s="996"/>
      <c r="M3" s="470" t="str">
        <f>+H3</f>
        <v>DESEMBER</v>
      </c>
      <c r="N3" s="470" t="str">
        <f>+M3</f>
        <v>DESEMBER</v>
      </c>
      <c r="O3" s="470" t="str">
        <f>+N3</f>
        <v>DESEMBER</v>
      </c>
      <c r="P3" s="470" t="str">
        <f>+O3</f>
        <v>DESEMBER</v>
      </c>
      <c r="Q3" s="470" t="str">
        <f>+P3</f>
        <v>DESEMBER</v>
      </c>
    </row>
    <row r="4" spans="1:17" ht="15">
      <c r="A4" s="977" t="s">
        <v>249</v>
      </c>
      <c r="B4" s="541" t="s">
        <v>332</v>
      </c>
      <c r="C4" s="543" t="s">
        <v>608</v>
      </c>
      <c r="D4" s="7">
        <f>SUMIFS(Sheet1!$C$2:$C$180,Sheet1!$F$2:$F$180,B4,Sheet1!$E$2:$E$180,C4)</f>
        <v>60</v>
      </c>
      <c r="E4" s="7">
        <f>D4/Sheet1!$I$9*Sheet1!$I$10</f>
        <v>3.0999677357490492</v>
      </c>
      <c r="F4" s="485">
        <f>D4/Sheet1!$I$9*Sheet1!$I$11</f>
        <v>1.4066082247495436E-3</v>
      </c>
      <c r="G4" s="478">
        <f>F4</f>
        <v>1.4066082247495436E-3</v>
      </c>
      <c r="H4" s="990">
        <f>SUM(G4:G11)</f>
        <v>2.8835468607365643E-3</v>
      </c>
      <c r="J4" s="977" t="s">
        <v>249</v>
      </c>
      <c r="K4" s="541" t="s">
        <v>332</v>
      </c>
      <c r="L4" s="543" t="s">
        <v>608</v>
      </c>
      <c r="M4" s="7">
        <f>SUMIFS(Sheet1!$N$2:$N$180,Sheet1!$Q$2:$Q$180,K4,Sheet1!$P$2:$P$180,L4)</f>
        <v>0</v>
      </c>
      <c r="N4" s="7">
        <f>M4/Sheet1!$T$9*Sheet1!$T$10</f>
        <v>0</v>
      </c>
      <c r="O4" s="485">
        <f>M4/Sheet1!$T$9*Sheet1!$T$11</f>
        <v>0</v>
      </c>
      <c r="P4" s="478">
        <f>O4</f>
        <v>0</v>
      </c>
      <c r="Q4" s="990">
        <f>SUM(P4:P11)</f>
        <v>1.4887270578347346E-3</v>
      </c>
    </row>
    <row r="5" spans="1:17" ht="15">
      <c r="A5" s="977"/>
      <c r="B5" s="541" t="s">
        <v>250</v>
      </c>
      <c r="C5" s="543"/>
      <c r="D5" s="7">
        <f>SUMIFS(Sheet1!$C$2:$C$180,Sheet1!$F$2:$F$180,B5,Sheet1!$E$2:$E$180,C5)</f>
        <v>0</v>
      </c>
      <c r="E5" s="7">
        <f>D5/Sheet1!$I$9*Sheet1!$I$10</f>
        <v>0</v>
      </c>
      <c r="F5" s="485">
        <f>D5/Sheet1!$I$9*Sheet1!$I$11</f>
        <v>0</v>
      </c>
      <c r="G5" s="544">
        <f t="shared" ref="G5:G14" si="0">F5</f>
        <v>0</v>
      </c>
      <c r="H5" s="977"/>
      <c r="J5" s="977"/>
      <c r="K5" s="541" t="s">
        <v>250</v>
      </c>
      <c r="L5" s="543"/>
      <c r="M5" s="7">
        <f>SUMIFS(Sheet1!$N$2:$N$180,Sheet1!$Q$2:$Q$180,K5,Sheet1!$P$2:$P$180,L5)</f>
        <v>0</v>
      </c>
      <c r="N5" s="7">
        <f>M5/Sheet1!$T$9*Sheet1!$T$10</f>
        <v>0</v>
      </c>
      <c r="O5" s="485">
        <f>M5/Sheet1!$T$9*Sheet1!$T$11</f>
        <v>0</v>
      </c>
      <c r="P5" s="544">
        <f t="shared" ref="P5:P14" si="1">O5</f>
        <v>0</v>
      </c>
      <c r="Q5" s="977"/>
    </row>
    <row r="6" spans="1:17" ht="15">
      <c r="A6" s="977"/>
      <c r="B6" s="985" t="s">
        <v>339</v>
      </c>
      <c r="C6" s="543"/>
      <c r="D6" s="7">
        <f>SUMIFS(Sheet1!$C$2:$C$180,Sheet1!$F$2:$F$180,B6,Sheet1!$E$2:$E$180,C6)</f>
        <v>0</v>
      </c>
      <c r="E6" s="7">
        <f>D6/Sheet1!$I$9*Sheet1!$I$10</f>
        <v>0</v>
      </c>
      <c r="F6" s="485">
        <f>D6/Sheet1!$I$9*Sheet1!$I$11</f>
        <v>0</v>
      </c>
      <c r="G6" s="544">
        <f t="shared" si="0"/>
        <v>0</v>
      </c>
      <c r="H6" s="977"/>
      <c r="J6" s="977"/>
      <c r="K6" s="985" t="s">
        <v>339</v>
      </c>
      <c r="L6" s="543"/>
      <c r="M6" s="7">
        <f>SUMIFS(Sheet1!$N$2:$N$180,Sheet1!$Q$2:$Q$180,K6,Sheet1!$P$2:$P$180,L6)</f>
        <v>0</v>
      </c>
      <c r="N6" s="7">
        <f>M6/Sheet1!$T$9*Sheet1!$T$10</f>
        <v>0</v>
      </c>
      <c r="O6" s="485">
        <f>M6/Sheet1!$T$9*Sheet1!$T$11</f>
        <v>0</v>
      </c>
      <c r="P6" s="544">
        <f t="shared" si="1"/>
        <v>0</v>
      </c>
      <c r="Q6" s="977"/>
    </row>
    <row r="7" spans="1:17" ht="15">
      <c r="A7" s="977"/>
      <c r="B7" s="987"/>
      <c r="C7" s="543"/>
      <c r="D7" s="7">
        <f>SUMIFS(Sheet1!$C$2:$C$180,Sheet1!$F$2:$F$180,B6,Sheet1!$E$2:$E$180,C7)</f>
        <v>0</v>
      </c>
      <c r="E7" s="7">
        <f>D7/Sheet1!$I$9*Sheet1!$I$10</f>
        <v>0</v>
      </c>
      <c r="F7" s="485">
        <f>D7/Sheet1!$I$9*Sheet1!$I$11</f>
        <v>0</v>
      </c>
      <c r="G7" s="544">
        <f t="shared" si="0"/>
        <v>0</v>
      </c>
      <c r="H7" s="977"/>
      <c r="J7" s="977"/>
      <c r="K7" s="987"/>
      <c r="L7" s="543"/>
      <c r="M7" s="7">
        <f>SUMIFS(Sheet1!$N$2:$N$180,Sheet1!$Q$2:$Q$180,K6,Sheet1!$P$2:$P$180,L7)</f>
        <v>0</v>
      </c>
      <c r="N7" s="7">
        <f>M7/Sheet1!$T$9*Sheet1!$T$10</f>
        <v>0</v>
      </c>
      <c r="O7" s="485">
        <f>M7/Sheet1!$T$9*Sheet1!$T$11</f>
        <v>0</v>
      </c>
      <c r="P7" s="544">
        <f t="shared" si="1"/>
        <v>0</v>
      </c>
      <c r="Q7" s="977"/>
    </row>
    <row r="8" spans="1:17">
      <c r="A8" s="977"/>
      <c r="B8" s="985" t="s">
        <v>338</v>
      </c>
      <c r="C8" s="543"/>
      <c r="D8" s="7">
        <f>SUMIFS(Sheet1!$C$2:$C$180,Sheet1!$F$2:$F$180,B8,Sheet1!$E$2:$E$180,C8)</f>
        <v>0</v>
      </c>
      <c r="E8" s="7">
        <f>D8/Sheet1!$I$9*Sheet1!$I$10</f>
        <v>0</v>
      </c>
      <c r="F8" s="485">
        <f>D8/Sheet1!$I$9*Sheet1!$I$11</f>
        <v>0</v>
      </c>
      <c r="G8" s="473">
        <f t="shared" si="0"/>
        <v>0</v>
      </c>
      <c r="H8" s="977"/>
      <c r="J8" s="977"/>
      <c r="K8" s="985" t="s">
        <v>338</v>
      </c>
      <c r="L8" s="543"/>
      <c r="M8" s="7">
        <f>SUMIFS(Sheet1!$N$2:$N$180,Sheet1!$Q$2:$Q$180,K8,Sheet1!$P$2:$P$180,L8)</f>
        <v>0</v>
      </c>
      <c r="N8" s="7">
        <f>M8/Sheet1!$T$9*Sheet1!$T$10</f>
        <v>0</v>
      </c>
      <c r="O8" s="485">
        <f>M8/Sheet1!$T$9*Sheet1!$T$11</f>
        <v>0</v>
      </c>
      <c r="P8" s="473">
        <f t="shared" si="1"/>
        <v>0</v>
      </c>
      <c r="Q8" s="977"/>
    </row>
    <row r="9" spans="1:17">
      <c r="A9" s="977"/>
      <c r="B9" s="987"/>
      <c r="C9" s="543"/>
      <c r="D9" s="7">
        <f>SUMIFS(Sheet1!$C$2:$C$180,Sheet1!$F$2:$F$180,B8,Sheet1!$E$2:$E$180,C9)</f>
        <v>0</v>
      </c>
      <c r="E9" s="7">
        <f>D9/Sheet1!$I$9*Sheet1!$I$10</f>
        <v>0</v>
      </c>
      <c r="F9" s="485">
        <f>D9/Sheet1!$I$9*Sheet1!$I$11</f>
        <v>0</v>
      </c>
      <c r="G9" s="473">
        <f t="shared" si="0"/>
        <v>0</v>
      </c>
      <c r="H9" s="977"/>
      <c r="J9" s="977"/>
      <c r="K9" s="987"/>
      <c r="L9" s="543"/>
      <c r="M9" s="7">
        <f>SUMIFS(Sheet1!$N$2:$N$180,Sheet1!$Q$2:$Q$180,K8,Sheet1!$P$2:$P$180,L9)</f>
        <v>0</v>
      </c>
      <c r="N9" s="7">
        <f>M9/Sheet1!$T$9*Sheet1!$T$10</f>
        <v>0</v>
      </c>
      <c r="O9" s="485">
        <f>M9/Sheet1!$T$9*Sheet1!$T$11</f>
        <v>0</v>
      </c>
      <c r="P9" s="473">
        <f t="shared" si="1"/>
        <v>0</v>
      </c>
      <c r="Q9" s="977"/>
    </row>
    <row r="10" spans="1:17" ht="15" customHeight="1">
      <c r="A10" s="977"/>
      <c r="B10" s="985" t="s">
        <v>405</v>
      </c>
      <c r="C10" s="543" t="s">
        <v>532</v>
      </c>
      <c r="D10" s="7">
        <f>SUMIFS(Sheet1!$C$2:$C$180,Sheet1!$F$2:$F$180,B10,Sheet1!$E$2:$E$180,C10)</f>
        <v>63</v>
      </c>
      <c r="E10" s="7">
        <f>D10/Sheet1!$I$9*Sheet1!$I$10</f>
        <v>3.2549661225365019</v>
      </c>
      <c r="F10" s="485">
        <f>D10/Sheet1!$I$9*Sheet1!$I$11</f>
        <v>1.4769386359870208E-3</v>
      </c>
      <c r="G10" s="473">
        <f t="shared" si="0"/>
        <v>1.4769386359870208E-3</v>
      </c>
      <c r="H10" s="977"/>
      <c r="J10" s="977"/>
      <c r="K10" s="985" t="s">
        <v>405</v>
      </c>
      <c r="L10" s="543" t="s">
        <v>532</v>
      </c>
      <c r="M10" s="7">
        <f>SUMIFS(Sheet1!$N$2:$N$180,Sheet1!$Q$2:$Q$180,K10,Sheet1!$P$2:$P$180,L10)</f>
        <v>63</v>
      </c>
      <c r="N10" s="7">
        <f>M10/Sheet1!$T$9*Sheet1!$T$10</f>
        <v>3.2776552940931887</v>
      </c>
      <c r="O10" s="485">
        <f>M10/Sheet1!$T$9*Sheet1!$T$11</f>
        <v>1.4887270578347346E-3</v>
      </c>
      <c r="P10" s="473">
        <f t="shared" si="1"/>
        <v>1.4887270578347346E-3</v>
      </c>
      <c r="Q10" s="977"/>
    </row>
    <row r="11" spans="1:17" ht="15" customHeight="1">
      <c r="A11" s="977"/>
      <c r="B11" s="987"/>
      <c r="C11" s="543"/>
      <c r="D11" s="7">
        <f>SUMIFS(Sheet1!$C$2:$C$180,Sheet1!$F$2:$F$180,B10,Sheet1!$E$2:$E$180,C11)</f>
        <v>0</v>
      </c>
      <c r="E11" s="7">
        <f>D11/Sheet1!$I$9*Sheet1!$I$10</f>
        <v>0</v>
      </c>
      <c r="F11" s="485">
        <f>D11/Sheet1!$I$9*Sheet1!$I$11</f>
        <v>0</v>
      </c>
      <c r="G11" s="473">
        <f t="shared" si="0"/>
        <v>0</v>
      </c>
      <c r="H11" s="977"/>
      <c r="J11" s="977"/>
      <c r="K11" s="987"/>
      <c r="L11" s="543"/>
      <c r="M11" s="7">
        <f>SUMIFS(Sheet1!$N$2:$N$180,Sheet1!$Q$2:$Q$180,K10,Sheet1!$P$2:$P$180,L11)</f>
        <v>0</v>
      </c>
      <c r="N11" s="7">
        <f>M11/Sheet1!$T$9*Sheet1!$T$10</f>
        <v>0</v>
      </c>
      <c r="O11" s="485">
        <f>M11/Sheet1!$T$9*Sheet1!$T$11</f>
        <v>0</v>
      </c>
      <c r="P11" s="473">
        <f t="shared" si="1"/>
        <v>0</v>
      </c>
      <c r="Q11" s="977"/>
    </row>
    <row r="12" spans="1:17" ht="15">
      <c r="A12" s="977" t="s">
        <v>10</v>
      </c>
      <c r="B12" s="541" t="s">
        <v>154</v>
      </c>
      <c r="C12" s="543" t="s">
        <v>154</v>
      </c>
      <c r="D12" s="7"/>
      <c r="E12" s="7">
        <f>+Sheet1!I2</f>
        <v>46.992999999999995</v>
      </c>
      <c r="F12" s="485">
        <f>E12/Sheet1!$I$8</f>
        <v>2.1323041379875295E-2</v>
      </c>
      <c r="G12" s="544">
        <f t="shared" si="0"/>
        <v>2.1323041379875295E-2</v>
      </c>
      <c r="H12" s="978">
        <f>SUM(G12:G13)</f>
        <v>2.6036570008903442E-2</v>
      </c>
      <c r="J12" s="977" t="s">
        <v>10</v>
      </c>
      <c r="K12" s="541" t="s">
        <v>154</v>
      </c>
      <c r="L12" s="543" t="s">
        <v>154</v>
      </c>
      <c r="M12" s="7"/>
      <c r="N12" s="7">
        <f>+Sheet1!T2</f>
        <v>46.992999999999995</v>
      </c>
      <c r="O12" s="485">
        <f>+Sheet1!U2</f>
        <v>2.1344450331584691E-2</v>
      </c>
      <c r="P12" s="544">
        <f t="shared" si="1"/>
        <v>2.1344450331584691E-2</v>
      </c>
      <c r="Q12" s="978">
        <f>SUM(P12:P13)</f>
        <v>2.6062711480003574E-2</v>
      </c>
    </row>
    <row r="13" spans="1:17" ht="15">
      <c r="A13" s="977"/>
      <c r="B13" s="541" t="s">
        <v>252</v>
      </c>
      <c r="C13" s="543" t="s">
        <v>253</v>
      </c>
      <c r="D13" s="7"/>
      <c r="E13" s="7">
        <f>+Sheet1!I3</f>
        <v>10.387957651902994</v>
      </c>
      <c r="F13" s="485">
        <f>E13/Sheet1!$I$8</f>
        <v>4.713528629028148E-3</v>
      </c>
      <c r="G13" s="544">
        <f t="shared" si="0"/>
        <v>4.713528629028148E-3</v>
      </c>
      <c r="H13" s="979"/>
      <c r="J13" s="977"/>
      <c r="K13" s="541" t="s">
        <v>252</v>
      </c>
      <c r="L13" s="543" t="s">
        <v>253</v>
      </c>
      <c r="M13" s="7"/>
      <c r="N13" s="7">
        <f>+Sheet1!T3</f>
        <v>10.387957651902994</v>
      </c>
      <c r="O13" s="485">
        <f>+Sheet1!U3</f>
        <v>4.7182611484188836E-3</v>
      </c>
      <c r="P13" s="544">
        <f t="shared" si="1"/>
        <v>4.7182611484188836E-3</v>
      </c>
      <c r="Q13" s="979"/>
    </row>
    <row r="14" spans="1:17" ht="15">
      <c r="A14" s="980" t="s">
        <v>12</v>
      </c>
      <c r="B14" s="541" t="s">
        <v>254</v>
      </c>
      <c r="C14" s="543" t="s">
        <v>254</v>
      </c>
      <c r="D14" s="7"/>
      <c r="E14" s="7">
        <f>+Sheet1!I4</f>
        <v>-5.0273650643003123</v>
      </c>
      <c r="F14" s="485">
        <f>E14/Sheet1!$I$8</f>
        <v>-2.2811634349331812E-3</v>
      </c>
      <c r="G14" s="544">
        <f t="shared" si="0"/>
        <v>-2.2811634349331812E-3</v>
      </c>
      <c r="H14" s="982">
        <f>SUM(G14:G23)</f>
        <v>5.7183201608730021E-2</v>
      </c>
      <c r="J14" s="980" t="s">
        <v>12</v>
      </c>
      <c r="K14" s="541" t="s">
        <v>254</v>
      </c>
      <c r="L14" s="543" t="s">
        <v>254</v>
      </c>
      <c r="M14" s="7"/>
      <c r="N14" s="7">
        <f>+Sheet1!T4</f>
        <v>-5.0476450643003155</v>
      </c>
      <c r="O14" s="485">
        <f>+Sheet1!U4</f>
        <v>-2.2926650642952507E-3</v>
      </c>
      <c r="P14" s="544">
        <f t="shared" si="1"/>
        <v>-2.2926650642952507E-3</v>
      </c>
      <c r="Q14" s="982">
        <f>SUM(P14:P23)</f>
        <v>5.7460088602449375E-2</v>
      </c>
    </row>
    <row r="15" spans="1:17" ht="15">
      <c r="A15" s="981"/>
      <c r="B15" s="541" t="s">
        <v>255</v>
      </c>
      <c r="C15" s="543" t="s">
        <v>255</v>
      </c>
      <c r="D15" s="7"/>
      <c r="E15" s="7">
        <f>+Sheet1!I5</f>
        <v>58.821892948107738</v>
      </c>
      <c r="F15" s="485">
        <f>E15/Sheet1!$I$8</f>
        <v>2.6690393406998834E-2</v>
      </c>
      <c r="G15" s="544">
        <f>F15</f>
        <v>2.6690393406998834E-2</v>
      </c>
      <c r="H15" s="982"/>
      <c r="J15" s="981"/>
      <c r="K15" s="541" t="s">
        <v>255</v>
      </c>
      <c r="L15" s="543" t="s">
        <v>255</v>
      </c>
      <c r="M15" s="7"/>
      <c r="N15" s="7">
        <f>+Sheet1!T5</f>
        <v>58.821892948107738</v>
      </c>
      <c r="O15" s="485">
        <f>+Sheet1!U5</f>
        <v>2.6717191335745273E-2</v>
      </c>
      <c r="P15" s="544">
        <f>O15</f>
        <v>2.6717191335745273E-2</v>
      </c>
      <c r="Q15" s="982"/>
    </row>
    <row r="16" spans="1:17">
      <c r="A16" s="981"/>
      <c r="B16" s="983" t="s">
        <v>256</v>
      </c>
      <c r="C16" s="543"/>
      <c r="D16" s="7">
        <f>SUMIFS(Sheet1!$C$2:$C$180,Sheet1!$F$2:$F$180,B16,Sheet1!$E$2:$E$180,C16)</f>
        <v>0</v>
      </c>
      <c r="E16" s="7">
        <f>D16/Sheet1!$I$9*Sheet1!$I$10</f>
        <v>0</v>
      </c>
      <c r="F16" s="485">
        <f>D16/Sheet1!$I$9*Sheet1!$I$11</f>
        <v>0</v>
      </c>
      <c r="G16" s="984">
        <f>SUM(F16:F17)</f>
        <v>0</v>
      </c>
      <c r="H16" s="982"/>
      <c r="J16" s="981"/>
      <c r="K16" s="983" t="s">
        <v>256</v>
      </c>
      <c r="L16" s="543"/>
      <c r="M16" s="7">
        <f>SUMIFS(Sheet1!$N$2:$N$180,Sheet1!$Q$2:$Q$180,K16,Sheet1!$P$2:$P$180,L16)</f>
        <v>0</v>
      </c>
      <c r="N16" s="7">
        <f>M16/Sheet1!$T$9*Sheet1!$T$10</f>
        <v>0</v>
      </c>
      <c r="O16" s="485">
        <f>M16/Sheet1!$T$9*Sheet1!$T$11</f>
        <v>0</v>
      </c>
      <c r="P16" s="984">
        <f>SUM(O16:O17)</f>
        <v>0</v>
      </c>
      <c r="Q16" s="982"/>
    </row>
    <row r="17" spans="1:17">
      <c r="A17" s="981"/>
      <c r="B17" s="983"/>
      <c r="C17" s="543"/>
      <c r="D17" s="7">
        <f>SUMIFS(Sheet1!$C$2:$C$180,Sheet1!$F$2:$F$180,B16,Sheet1!$E$2:$E$180,C17)</f>
        <v>0</v>
      </c>
      <c r="E17" s="7">
        <f>D17/Sheet1!$I$9*Sheet1!$I$10</f>
        <v>0</v>
      </c>
      <c r="F17" s="485">
        <f>D17/Sheet1!$I$9*Sheet1!$I$11</f>
        <v>0</v>
      </c>
      <c r="G17" s="984"/>
      <c r="H17" s="982"/>
      <c r="J17" s="981"/>
      <c r="K17" s="983"/>
      <c r="L17" s="543"/>
      <c r="M17" s="7">
        <f>SUMIFS(Sheet1!$N$2:$N$180,Sheet1!$Q$2:$Q$180,K16,Sheet1!$P$2:$P$180,L17)</f>
        <v>0</v>
      </c>
      <c r="N17" s="7">
        <f>M17/Sheet1!$T$9*Sheet1!$T$10</f>
        <v>0</v>
      </c>
      <c r="O17" s="485">
        <f>M17/Sheet1!$T$9*Sheet1!$T$11</f>
        <v>0</v>
      </c>
      <c r="P17" s="984"/>
      <c r="Q17" s="982"/>
    </row>
    <row r="18" spans="1:17" ht="15">
      <c r="A18" s="981"/>
      <c r="B18" s="541" t="s">
        <v>257</v>
      </c>
      <c r="C18" s="543" t="s">
        <v>204</v>
      </c>
      <c r="D18" s="7">
        <f>SUMIFS(Sheet1!$C$2:$C$180,Sheet1!$F$2:$F$180,B18,Sheet1!$E$2:$E$180,C18)</f>
        <v>132</v>
      </c>
      <c r="E18" s="7">
        <f>D18/Sheet1!$I$9*Sheet1!$I$10</f>
        <v>6.8199290186479082</v>
      </c>
      <c r="F18" s="485">
        <f>D18/Sheet1!$I$9*Sheet1!$I$11</f>
        <v>3.0945380944489959E-3</v>
      </c>
      <c r="G18" s="544">
        <f>F18</f>
        <v>3.0945380944489959E-3</v>
      </c>
      <c r="H18" s="982"/>
      <c r="J18" s="981"/>
      <c r="K18" s="541" t="s">
        <v>257</v>
      </c>
      <c r="L18" s="543" t="s">
        <v>204</v>
      </c>
      <c r="M18" s="7">
        <f>SUMIFS(Sheet1!$N$2:$N$180,Sheet1!$Q$2:$Q$180,K18,Sheet1!$P$2:$P$180,L18)</f>
        <v>132</v>
      </c>
      <c r="N18" s="7">
        <f>M18/Sheet1!$T$9*Sheet1!$T$10</f>
        <v>6.8674682352428711</v>
      </c>
      <c r="O18" s="485">
        <f>M18/Sheet1!$T$9*Sheet1!$T$11</f>
        <v>3.1192376449870629E-3</v>
      </c>
      <c r="P18" s="544">
        <f>O18</f>
        <v>3.1192376449870629E-3</v>
      </c>
      <c r="Q18" s="982"/>
    </row>
    <row r="19" spans="1:17">
      <c r="A19" s="981"/>
      <c r="B19" s="985" t="s">
        <v>258</v>
      </c>
      <c r="C19" s="543" t="s">
        <v>259</v>
      </c>
      <c r="D19" s="7">
        <f>SUMIFS(Sheet1!$C$2:$C$180,Sheet1!$F$2:$F$180,B19,Sheet1!$E$2:$E$180,C19)</f>
        <v>97</v>
      </c>
      <c r="E19" s="7">
        <f>D19/Sheet1!$I$9*Sheet1!$I$10</f>
        <v>5.0116145061276303</v>
      </c>
      <c r="F19" s="485">
        <f>D19/Sheet1!$I$9*Sheet1!$I$11</f>
        <v>2.2740166300117626E-3</v>
      </c>
      <c r="G19" s="988">
        <f>SUM(F19:F23)</f>
        <v>2.9679433542215375E-2</v>
      </c>
      <c r="H19" s="982"/>
      <c r="J19" s="981"/>
      <c r="K19" s="985" t="s">
        <v>258</v>
      </c>
      <c r="L19" s="543" t="s">
        <v>259</v>
      </c>
      <c r="M19" s="7">
        <f>SUMIFS(Sheet1!$N$2:$N$180,Sheet1!$Q$2:$Q$180,$K$19,Sheet1!$P$2:$P$180,L19)</f>
        <v>97</v>
      </c>
      <c r="N19" s="7">
        <f>M19/Sheet1!$T$9*Sheet1!$T$10</f>
        <v>5.0465486274133227</v>
      </c>
      <c r="O19" s="485">
        <f>M19/Sheet1!$T$9*Sheet1!$T$11</f>
        <v>2.2921670573010991E-3</v>
      </c>
      <c r="P19" s="988">
        <f>SUM(O19:O23)</f>
        <v>2.9916324686012283E-2</v>
      </c>
      <c r="Q19" s="982"/>
    </row>
    <row r="20" spans="1:17">
      <c r="A20" s="981"/>
      <c r="B20" s="986"/>
      <c r="C20" s="543" t="s">
        <v>260</v>
      </c>
      <c r="D20" s="7">
        <f>SUMIFS(Sheet1!$C$2:$C$180,Sheet1!$F$2:$F$180,B19,Sheet1!$E$2:$E$180,C20)</f>
        <v>672</v>
      </c>
      <c r="E20" s="7">
        <f>D20/Sheet1!$I$9*Sheet1!$I$10</f>
        <v>34.719638640389348</v>
      </c>
      <c r="F20" s="485">
        <f>D20/Sheet1!$I$9*Sheet1!$I$11</f>
        <v>1.575401211719489E-2</v>
      </c>
      <c r="G20" s="991"/>
      <c r="H20" s="982"/>
      <c r="J20" s="981"/>
      <c r="K20" s="986"/>
      <c r="L20" s="543" t="s">
        <v>260</v>
      </c>
      <c r="M20" s="7">
        <f>SUMIFS(Sheet1!$N$2:$N$180,Sheet1!$Q$2:$Q$180,$K$19,Sheet1!$P$2:$P$180,L20)</f>
        <v>672</v>
      </c>
      <c r="N20" s="7">
        <f>M20/Sheet1!$T$9*Sheet1!$T$10</f>
        <v>34.961656470327348</v>
      </c>
      <c r="O20" s="485">
        <f>M20/Sheet1!$T$9*Sheet1!$T$11</f>
        <v>1.5879755283570503E-2</v>
      </c>
      <c r="P20" s="991"/>
      <c r="Q20" s="982"/>
    </row>
    <row r="21" spans="1:17">
      <c r="A21" s="981"/>
      <c r="B21" s="986"/>
      <c r="C21" s="543" t="s">
        <v>261</v>
      </c>
      <c r="D21" s="7">
        <f>SUMIFS(Sheet1!$C$2:$C$180,Sheet1!$F$2:$F$180,B19,Sheet1!$E$2:$E$180,C21)</f>
        <v>487</v>
      </c>
      <c r="E21" s="7">
        <f>D21/Sheet1!$I$9*Sheet1!$I$10</f>
        <v>25.161404788496451</v>
      </c>
      <c r="F21" s="485">
        <f>D21/Sheet1!$I$9*Sheet1!$I$11</f>
        <v>1.1416970090883797E-2</v>
      </c>
      <c r="G21" s="991"/>
      <c r="H21" s="982"/>
      <c r="J21" s="981"/>
      <c r="K21" s="986"/>
      <c r="L21" s="543" t="s">
        <v>261</v>
      </c>
      <c r="M21" s="7">
        <f>SUMIFS(Sheet1!$N$2:$N$180,Sheet1!$Q$2:$Q$180,$K$19,Sheet1!$P$2:$P$180,L21)</f>
        <v>487</v>
      </c>
      <c r="N21" s="7">
        <f>M21/Sheet1!$T$9*Sheet1!$T$10</f>
        <v>25.336795686085441</v>
      </c>
      <c r="O21" s="485">
        <f>M21/Sheet1!$T$9*Sheet1!$T$11</f>
        <v>1.1508096462944694E-2</v>
      </c>
      <c r="P21" s="991"/>
      <c r="Q21" s="982"/>
    </row>
    <row r="22" spans="1:17">
      <c r="A22" s="981"/>
      <c r="B22" s="986"/>
      <c r="C22" s="543" t="s">
        <v>618</v>
      </c>
      <c r="D22" s="7">
        <f>SUMIFS(Sheet1!$C$2:$C$180,Sheet1!$F$2:$F$180,B19,Sheet1!$E$2:$E$180,C22)</f>
        <v>10</v>
      </c>
      <c r="E22" s="7">
        <f>D22/Sheet1!$I$9*Sheet1!$I$10</f>
        <v>0.51666128929150823</v>
      </c>
      <c r="F22" s="485">
        <f>D22/Sheet1!$I$9*Sheet1!$I$11</f>
        <v>2.3443470412492395E-4</v>
      </c>
      <c r="G22" s="991"/>
      <c r="H22" s="982"/>
      <c r="J22" s="981"/>
      <c r="K22" s="986"/>
      <c r="L22" s="543" t="s">
        <v>618</v>
      </c>
      <c r="M22" s="7">
        <f>SUMIFS(Sheet1!$N$2:$N$180,Sheet1!$Q$2:$Q$180,$K$19,Sheet1!$P$2:$P$180,L22)</f>
        <v>10</v>
      </c>
      <c r="N22" s="7">
        <f>M22/Sheet1!$T$9*Sheet1!$T$10</f>
        <v>0.52026274509415682</v>
      </c>
      <c r="O22" s="485">
        <f>M22/Sheet1!$T$9*Sheet1!$T$11</f>
        <v>2.3630588219598959E-4</v>
      </c>
      <c r="P22" s="991"/>
      <c r="Q22" s="982"/>
    </row>
    <row r="23" spans="1:17">
      <c r="A23" s="981"/>
      <c r="B23" s="987"/>
      <c r="C23" s="543"/>
      <c r="D23" s="7">
        <f>SUMIFS(Sheet1!$C$2:$C$180,Sheet1!$F$2:$F$180,B19,Sheet1!$E$2:$E$180,C23)</f>
        <v>0</v>
      </c>
      <c r="E23" s="7">
        <f>D23/Sheet1!$I$9*Sheet1!$I$10</f>
        <v>0</v>
      </c>
      <c r="F23" s="485">
        <f>D23/Sheet1!$I$9*Sheet1!$I$11</f>
        <v>0</v>
      </c>
      <c r="G23" s="989"/>
      <c r="H23" s="982"/>
      <c r="J23" s="981"/>
      <c r="K23" s="987"/>
      <c r="L23" s="543"/>
      <c r="M23" s="7">
        <f>SUMIFS(Sheet1!$N$2:$N$180,Sheet1!$Q$2:$Q$180,$K$19,Sheet1!$P$2:$P$180,L23)</f>
        <v>0</v>
      </c>
      <c r="N23" s="7">
        <f>M23/Sheet1!$T$9*Sheet1!$T$10</f>
        <v>0</v>
      </c>
      <c r="O23" s="485">
        <f>M23/Sheet1!$T$9*Sheet1!$T$11</f>
        <v>0</v>
      </c>
      <c r="P23" s="989"/>
      <c r="Q23" s="982"/>
    </row>
    <row r="24" spans="1:17" ht="12.75" customHeight="1">
      <c r="A24" s="977" t="s">
        <v>263</v>
      </c>
      <c r="B24" s="983" t="s">
        <v>264</v>
      </c>
      <c r="C24" s="545" t="s">
        <v>498</v>
      </c>
      <c r="D24" s="7">
        <f>SUMIFS(Sheet1!$C$2:$C$180,Sheet1!$F$2:$F$180,B24,Sheet1!$E$2:$E$180,C24)</f>
        <v>65</v>
      </c>
      <c r="E24" s="7">
        <f>D24/Sheet1!$I$9*Sheet1!$I$10</f>
        <v>3.3582983803948037</v>
      </c>
      <c r="F24" s="485">
        <f>D24/Sheet1!$I$9*Sheet1!$I$11</f>
        <v>1.5238255768120056E-3</v>
      </c>
      <c r="G24" s="984">
        <f>SUM(F24:F30)</f>
        <v>2.8366599199115797E-3</v>
      </c>
      <c r="H24" s="982">
        <f>SUM(G24:G37)</f>
        <v>6.0953023072480225E-3</v>
      </c>
      <c r="J24" s="977" t="s">
        <v>263</v>
      </c>
      <c r="K24" s="983" t="s">
        <v>264</v>
      </c>
      <c r="L24" s="545" t="s">
        <v>498</v>
      </c>
      <c r="M24" s="7">
        <f>SUMIFS(Sheet1!$N$2:$N$180,Sheet1!$Q$2:$Q$180,$K$24,Sheet1!$P$2:$P$180,L24)</f>
        <v>65</v>
      </c>
      <c r="N24" s="7">
        <f>M24/Sheet1!$T$9*Sheet1!$T$10</f>
        <v>3.3817078431120202</v>
      </c>
      <c r="O24" s="485">
        <f>M24/Sheet1!$T$9*Sheet1!$T$11</f>
        <v>1.5359882342739326E-3</v>
      </c>
      <c r="P24" s="984">
        <f>SUM(O24:O30)</f>
        <v>2.8593011745714743E-3</v>
      </c>
      <c r="Q24" s="982">
        <f>SUM(P24:P37)</f>
        <v>6.1439529370957303E-3</v>
      </c>
    </row>
    <row r="25" spans="1:17" ht="12.75" customHeight="1">
      <c r="A25" s="977"/>
      <c r="B25" s="983"/>
      <c r="C25" s="545" t="s">
        <v>781</v>
      </c>
      <c r="D25" s="7">
        <f>SUMIFS(Sheet1!$C$2:$C$180,Sheet1!$F$2:$F$180,B24,Sheet1!$E$2:$E$180,C25)</f>
        <v>56</v>
      </c>
      <c r="E25" s="7">
        <f>D25/Sheet1!$I$9*Sheet1!$I$10</f>
        <v>2.893303220032446</v>
      </c>
      <c r="F25" s="485">
        <f>D25/Sheet1!$I$9*Sheet1!$I$11</f>
        <v>1.3128343430995741E-3</v>
      </c>
      <c r="G25" s="984"/>
      <c r="H25" s="982"/>
      <c r="J25" s="977"/>
      <c r="K25" s="983"/>
      <c r="L25" s="545" t="s">
        <v>781</v>
      </c>
      <c r="M25" s="7">
        <f>SUMIFS(Sheet1!$N$2:$N$180,Sheet1!$Q$2:$Q$180,$K$24,Sheet1!$P$2:$P$180,L25)</f>
        <v>56</v>
      </c>
      <c r="N25" s="7">
        <f>M25/Sheet1!$T$9*Sheet1!$T$10</f>
        <v>2.9134713725272787</v>
      </c>
      <c r="O25" s="485">
        <f>M25/Sheet1!$T$9*Sheet1!$T$11</f>
        <v>1.3233129402975418E-3</v>
      </c>
      <c r="P25" s="984"/>
      <c r="Q25" s="982"/>
    </row>
    <row r="26" spans="1:17" ht="12.75" customHeight="1">
      <c r="A26" s="977"/>
      <c r="B26" s="983"/>
      <c r="C26" s="564"/>
      <c r="D26" s="7">
        <f>SUMIFS(Sheet1!$C$2:$C$180,Sheet1!$F$2:$F$180,B24,Sheet1!$E$2:$E$180,C26)</f>
        <v>0</v>
      </c>
      <c r="E26" s="7">
        <f>D26/Sheet1!$I$9*Sheet1!$I$10</f>
        <v>0</v>
      </c>
      <c r="F26" s="485">
        <f>D26/Sheet1!$I$9*Sheet1!$I$11</f>
        <v>0</v>
      </c>
      <c r="G26" s="984"/>
      <c r="H26" s="982"/>
      <c r="J26" s="977"/>
      <c r="K26" s="983"/>
      <c r="L26" s="564"/>
      <c r="M26" s="7">
        <f>SUMIFS(Sheet1!$N$2:$N$180,Sheet1!$Q$2:$Q$180,$K$24,Sheet1!$P$2:$P$180,L26)</f>
        <v>0</v>
      </c>
      <c r="N26" s="7">
        <f>M26/Sheet1!$T$9*Sheet1!$T$10</f>
        <v>0</v>
      </c>
      <c r="O26" s="485">
        <f>M26/Sheet1!$T$9*Sheet1!$T$11</f>
        <v>0</v>
      </c>
      <c r="P26" s="984"/>
      <c r="Q26" s="982"/>
    </row>
    <row r="27" spans="1:17" ht="12.75" customHeight="1">
      <c r="A27" s="977"/>
      <c r="B27" s="983"/>
      <c r="D27" s="7">
        <f>SUMIFS(Sheet1!$C$2:$C$180,Sheet1!$F$2:$F$180,B24,Sheet1!$E$2:$E$180,C27)</f>
        <v>0</v>
      </c>
      <c r="E27" s="7">
        <f>D27/Sheet1!$I$9*Sheet1!$I$10</f>
        <v>0</v>
      </c>
      <c r="F27" s="485">
        <f>D27/Sheet1!$I$9*Sheet1!$I$11</f>
        <v>0</v>
      </c>
      <c r="G27" s="984"/>
      <c r="H27" s="982"/>
      <c r="J27" s="977"/>
      <c r="K27" s="983"/>
      <c r="M27" s="7">
        <f>SUMIFS(Sheet1!$N$2:$N$180,Sheet1!$Q$2:$Q$180,$K$24,Sheet1!$P$2:$P$180,L27)</f>
        <v>0</v>
      </c>
      <c r="N27" s="7">
        <f>M27/Sheet1!$T$9*Sheet1!$T$10</f>
        <v>0</v>
      </c>
      <c r="O27" s="485">
        <f>M27/Sheet1!$T$9*Sheet1!$T$11</f>
        <v>0</v>
      </c>
      <c r="P27" s="984"/>
      <c r="Q27" s="982"/>
    </row>
    <row r="28" spans="1:17" ht="12.75" customHeight="1">
      <c r="A28" s="977"/>
      <c r="B28" s="983"/>
      <c r="C28" s="543"/>
      <c r="D28" s="7">
        <f>SUMIFS(Sheet1!$C$2:$C$180,Sheet1!$F$2:$F$180,B24,Sheet1!$E$2:$E$180,C28)</f>
        <v>0</v>
      </c>
      <c r="E28" s="7">
        <f>D28/Sheet1!$I$9*Sheet1!$I$10</f>
        <v>0</v>
      </c>
      <c r="F28" s="485">
        <f>D28/Sheet1!$I$9*Sheet1!$I$11</f>
        <v>0</v>
      </c>
      <c r="G28" s="984"/>
      <c r="H28" s="982"/>
      <c r="J28" s="977"/>
      <c r="K28" s="983"/>
      <c r="L28" s="543"/>
      <c r="M28" s="7">
        <f>SUMIFS(Sheet1!$N$2:$N$180,Sheet1!$Q$2:$Q$180,$K$24,Sheet1!$P$2:$P$180,L28)</f>
        <v>0</v>
      </c>
      <c r="N28" s="7">
        <f>M28/Sheet1!$T$9*Sheet1!$T$10</f>
        <v>0</v>
      </c>
      <c r="O28" s="485">
        <f>M28/Sheet1!$T$9*Sheet1!$T$11</f>
        <v>0</v>
      </c>
      <c r="P28" s="984"/>
      <c r="Q28" s="982"/>
    </row>
    <row r="29" spans="1:17" ht="12.75" customHeight="1">
      <c r="A29" s="977"/>
      <c r="B29" s="983"/>
      <c r="C29" s="543"/>
      <c r="D29" s="7">
        <f>SUMIFS(Sheet1!$C$2:$C$180,Sheet1!$F$2:$F$180,B24,Sheet1!$E$2:$E$180,C29)</f>
        <v>0</v>
      </c>
      <c r="E29" s="7">
        <f>D29/Sheet1!$I$9*Sheet1!$I$10</f>
        <v>0</v>
      </c>
      <c r="F29" s="485">
        <f>D29/Sheet1!$I$9*Sheet1!$I$11</f>
        <v>0</v>
      </c>
      <c r="G29" s="984"/>
      <c r="H29" s="982"/>
      <c r="J29" s="977"/>
      <c r="K29" s="983"/>
      <c r="L29" s="543"/>
      <c r="M29" s="7">
        <f>SUMIFS(Sheet1!$N$2:$N$180,Sheet1!$Q$2:$Q$180,$K$24,Sheet1!$P$2:$P$180,L29)</f>
        <v>0</v>
      </c>
      <c r="N29" s="7">
        <f>M29/Sheet1!$T$9*Sheet1!$T$10</f>
        <v>0</v>
      </c>
      <c r="O29" s="485">
        <f>M29/Sheet1!$T$9*Sheet1!$T$11</f>
        <v>0</v>
      </c>
      <c r="P29" s="984"/>
      <c r="Q29" s="982"/>
    </row>
    <row r="30" spans="1:17" ht="12.75" customHeight="1">
      <c r="A30" s="977"/>
      <c r="B30" s="983"/>
      <c r="C30" s="543"/>
      <c r="D30" s="7">
        <f>SUMIFS(Sheet1!$C$2:$C$180,Sheet1!$F$2:$F$180,B24,Sheet1!$E$2:$E$180,C30)</f>
        <v>0</v>
      </c>
      <c r="E30" s="7">
        <f>D30/Sheet1!$I$9*Sheet1!$I$10</f>
        <v>0</v>
      </c>
      <c r="F30" s="485">
        <f>D30/Sheet1!$I$9*Sheet1!$I$11</f>
        <v>0</v>
      </c>
      <c r="G30" s="984"/>
      <c r="H30" s="982"/>
      <c r="J30" s="977"/>
      <c r="K30" s="983"/>
      <c r="L30" s="543"/>
      <c r="M30" s="7">
        <f>SUMIFS(Sheet1!$N$2:$N$180,Sheet1!$Q$2:$Q$180,$K$24,Sheet1!$P$2:$P$180,L30)</f>
        <v>0</v>
      </c>
      <c r="N30" s="7">
        <f>M30/Sheet1!$T$9*Sheet1!$T$10</f>
        <v>0</v>
      </c>
      <c r="O30" s="485">
        <f>M30/Sheet1!$T$9*Sheet1!$T$11</f>
        <v>0</v>
      </c>
      <c r="P30" s="984"/>
      <c r="Q30" s="982"/>
    </row>
    <row r="31" spans="1:17" ht="12.75" customHeight="1">
      <c r="A31" s="977"/>
      <c r="B31" s="985" t="s">
        <v>265</v>
      </c>
      <c r="D31" s="7">
        <f>SUMIFS(Sheet1!$C$2:$C$180,Sheet1!$F$2:$F$180,B31,Sheet1!$E$2:$E$180,C31)</f>
        <v>0</v>
      </c>
      <c r="E31" s="7">
        <f>D31/Sheet1!$I$9*Sheet1!$I$10</f>
        <v>0</v>
      </c>
      <c r="F31" s="485">
        <f>D31/Sheet1!$I$9*Sheet1!$I$11</f>
        <v>0</v>
      </c>
      <c r="G31" s="988">
        <f>SUM(F31:F32)</f>
        <v>0</v>
      </c>
      <c r="H31" s="982"/>
      <c r="J31" s="977"/>
      <c r="K31" s="985" t="s">
        <v>265</v>
      </c>
      <c r="M31" s="7">
        <f>SUMIFS(Sheet1!$N$2:$N$180,Sheet1!$Q$2:$Q$180,$K$31,Sheet1!$P$2:$P$180,L31)</f>
        <v>0</v>
      </c>
      <c r="N31" s="7">
        <f>M31/Sheet1!$T$9*Sheet1!$T$10</f>
        <v>0</v>
      </c>
      <c r="O31" s="485">
        <f>M31/Sheet1!$T$9*Sheet1!$T$11</f>
        <v>0</v>
      </c>
      <c r="P31" s="988">
        <f>SUM(O31:O32)</f>
        <v>0</v>
      </c>
      <c r="Q31" s="982"/>
    </row>
    <row r="32" spans="1:17" ht="12.75" customHeight="1">
      <c r="A32" s="977"/>
      <c r="B32" s="987"/>
      <c r="C32" s="543"/>
      <c r="D32" s="7">
        <f>SUMIFS(Sheet1!$C$2:$C$180,Sheet1!$F$2:$F$180,B31,Sheet1!$E$2:$E$180,C32)</f>
        <v>0</v>
      </c>
      <c r="E32" s="7">
        <f>D32/Sheet1!$I$9*Sheet1!$I$10</f>
        <v>0</v>
      </c>
      <c r="F32" s="485">
        <f>D32/Sheet1!$I$9*Sheet1!$I$11</f>
        <v>0</v>
      </c>
      <c r="G32" s="989"/>
      <c r="H32" s="982"/>
      <c r="J32" s="977"/>
      <c r="K32" s="987"/>
      <c r="L32" s="543"/>
      <c r="M32" s="7">
        <f>SUMIFS(Sheet1!$N$2:$N$180,Sheet1!$Q$2:$Q$180,$K$31,Sheet1!$P$2:$P$180,L32)</f>
        <v>0</v>
      </c>
      <c r="N32" s="7">
        <f>M32/Sheet1!$T$9*Sheet1!$T$10</f>
        <v>0</v>
      </c>
      <c r="O32" s="485">
        <f>M32/Sheet1!$T$9*Sheet1!$T$11</f>
        <v>0</v>
      </c>
      <c r="P32" s="989"/>
      <c r="Q32" s="982"/>
    </row>
    <row r="33" spans="1:17" ht="12.75" customHeight="1">
      <c r="A33" s="977"/>
      <c r="B33" s="983" t="s">
        <v>266</v>
      </c>
      <c r="C33" s="543" t="s">
        <v>675</v>
      </c>
      <c r="D33" s="7">
        <f>SUMIFS(Sheet1!$C$2:$C$180,Sheet1!$F$2:$F$180,B33,Sheet1!$E$2:$E$180,C33)</f>
        <v>60</v>
      </c>
      <c r="E33" s="7">
        <f>D33/Sheet1!$I$9*Sheet1!$I$10</f>
        <v>3.0999677357490492</v>
      </c>
      <c r="F33" s="485">
        <f>D33/Sheet1!$I$9*Sheet1!$I$11</f>
        <v>1.4066082247495436E-3</v>
      </c>
      <c r="G33" s="984">
        <f>SUM(F33:F35)</f>
        <v>2.1099123371243153E-3</v>
      </c>
      <c r="H33" s="982"/>
      <c r="J33" s="977"/>
      <c r="K33" s="983" t="s">
        <v>266</v>
      </c>
      <c r="L33" s="543" t="s">
        <v>675</v>
      </c>
      <c r="M33" s="7">
        <f>SUMIFS(Sheet1!$N$2:$N$180,Sheet1!$Q$2:$Q$180,$K$33,Sheet1!$P$2:$P$180,L33)</f>
        <v>60</v>
      </c>
      <c r="N33" s="7">
        <f>M33/Sheet1!$T$9*Sheet1!$T$10</f>
        <v>3.1215764705649414</v>
      </c>
      <c r="O33" s="485">
        <f>M33/Sheet1!$T$9*Sheet1!$T$11</f>
        <v>1.4178352931759376E-3</v>
      </c>
      <c r="P33" s="984">
        <f>SUM(O33:O35)</f>
        <v>2.1267529397639064E-3</v>
      </c>
      <c r="Q33" s="982"/>
    </row>
    <row r="34" spans="1:17" ht="12.75" customHeight="1">
      <c r="A34" s="977"/>
      <c r="B34" s="983"/>
      <c r="C34" s="543" t="s">
        <v>801</v>
      </c>
      <c r="D34" s="7">
        <f>SUMIFS(Sheet1!$C$2:$C$180,Sheet1!$F$2:$F$180,B33,Sheet1!$E$2:$E$180,C34)</f>
        <v>30</v>
      </c>
      <c r="E34" s="7">
        <f>D34/Sheet1!$I$9*Sheet1!$I$10</f>
        <v>1.5499838678745246</v>
      </c>
      <c r="F34" s="485">
        <f>D34/Sheet1!$I$9*Sheet1!$I$11</f>
        <v>7.0330411237477179E-4</v>
      </c>
      <c r="G34" s="984"/>
      <c r="H34" s="982"/>
      <c r="J34" s="977"/>
      <c r="K34" s="983"/>
      <c r="L34" s="543" t="s">
        <v>801</v>
      </c>
      <c r="M34" s="7">
        <f>SUMIFS(Sheet1!$N$2:$N$180,Sheet1!$Q$2:$Q$180,$K$33,Sheet1!$P$2:$P$180,L34)</f>
        <v>30</v>
      </c>
      <c r="N34" s="7">
        <f>M34/Sheet1!$T$9*Sheet1!$T$10</f>
        <v>1.5607882352824707</v>
      </c>
      <c r="O34" s="485">
        <f>M34/Sheet1!$T$9*Sheet1!$T$11</f>
        <v>7.0891764658796881E-4</v>
      </c>
      <c r="P34" s="984"/>
      <c r="Q34" s="982"/>
    </row>
    <row r="35" spans="1:17" ht="12.75" customHeight="1">
      <c r="A35" s="977"/>
      <c r="B35" s="983"/>
      <c r="C35" s="543"/>
      <c r="D35" s="7">
        <f>SUMIFS(Sheet1!$C$2:$C$180,Sheet1!$F$2:$F$180,B33,Sheet1!$E$2:$E$180,C35)</f>
        <v>0</v>
      </c>
      <c r="E35" s="7">
        <f>D35/Sheet1!$I$9*Sheet1!$I$10</f>
        <v>0</v>
      </c>
      <c r="F35" s="485">
        <f>D35/Sheet1!$I$9*Sheet1!$I$11</f>
        <v>0</v>
      </c>
      <c r="G35" s="984"/>
      <c r="H35" s="982"/>
      <c r="J35" s="977"/>
      <c r="K35" s="983"/>
      <c r="L35" s="543"/>
      <c r="M35" s="7">
        <f>SUMIFS(Sheet1!$N$2:$N$180,Sheet1!$Q$2:$Q$180,$K$33,Sheet1!$P$2:$P$180,L35)</f>
        <v>0</v>
      </c>
      <c r="N35" s="7">
        <f>M35/Sheet1!$T$9*Sheet1!$T$10</f>
        <v>0</v>
      </c>
      <c r="O35" s="485">
        <f>M35/Sheet1!$T$9*Sheet1!$T$11</f>
        <v>0</v>
      </c>
      <c r="P35" s="984"/>
      <c r="Q35" s="982"/>
    </row>
    <row r="36" spans="1:17" ht="12.75" customHeight="1">
      <c r="A36" s="977"/>
      <c r="B36" s="985" t="s">
        <v>267</v>
      </c>
      <c r="C36" s="543" t="s">
        <v>737</v>
      </c>
      <c r="D36" s="7">
        <f>SUMIFS(Sheet1!$C$2:$C$180,Sheet1!$F$2:$F$180,B36,Sheet1!$E$2:$E$180,C36)</f>
        <v>49</v>
      </c>
      <c r="E36" s="7">
        <f>D36/Sheet1!$I$9*Sheet1!$I$10</f>
        <v>2.5316403175283906</v>
      </c>
      <c r="F36" s="485">
        <f>D36/Sheet1!$I$9*Sheet1!$I$11</f>
        <v>1.1487300502121276E-3</v>
      </c>
      <c r="G36" s="988">
        <f>SUM(F36:F37)</f>
        <v>1.1487300502121276E-3</v>
      </c>
      <c r="H36" s="982"/>
      <c r="J36" s="977"/>
      <c r="K36" s="985" t="s">
        <v>267</v>
      </c>
      <c r="L36" s="543" t="s">
        <v>737</v>
      </c>
      <c r="M36" s="7">
        <f>SUMIFS(Sheet1!$N$2:$N$180,Sheet1!$Q$2:$Q$180,$K$36,Sheet1!$P$2:$P$180,L36)</f>
        <v>49</v>
      </c>
      <c r="N36" s="7">
        <f>M36/Sheet1!$T$9*Sheet1!$T$10</f>
        <v>2.5492874509613688</v>
      </c>
      <c r="O36" s="485">
        <f>M36/Sheet1!$T$9*Sheet1!$T$11</f>
        <v>1.1578988227603491E-3</v>
      </c>
      <c r="P36" s="988">
        <f>SUM(O36:O37)</f>
        <v>1.1578988227603491E-3</v>
      </c>
      <c r="Q36" s="982"/>
    </row>
    <row r="37" spans="1:17" ht="12.75" customHeight="1">
      <c r="A37" s="977"/>
      <c r="B37" s="987"/>
      <c r="C37" s="543"/>
      <c r="D37" s="7">
        <f>SUMIFS(Sheet1!$C$2:$C$180,Sheet1!$F$2:$F$180,B36,Sheet1!$E$2:$E$180,C37)</f>
        <v>0</v>
      </c>
      <c r="E37" s="7">
        <f>D37/Sheet1!$I$9*Sheet1!$I$10</f>
        <v>0</v>
      </c>
      <c r="F37" s="485">
        <f>D37/Sheet1!$I$9*Sheet1!$I$11</f>
        <v>0</v>
      </c>
      <c r="G37" s="989"/>
      <c r="H37" s="982"/>
      <c r="J37" s="977"/>
      <c r="K37" s="987"/>
      <c r="L37" s="543"/>
      <c r="M37" s="7">
        <f>SUMIFS(Sheet1!$N$2:$N$180,Sheet1!$Q$2:$Q$180,$K$36,Sheet1!$P$2:$P$180,L37)</f>
        <v>0</v>
      </c>
      <c r="N37" s="7">
        <f>M37/Sheet1!$T$9*Sheet1!$T$10</f>
        <v>0</v>
      </c>
      <c r="O37" s="485">
        <f>M37/Sheet1!$T$9*Sheet1!$T$11</f>
        <v>0</v>
      </c>
      <c r="P37" s="989"/>
      <c r="Q37" s="982"/>
    </row>
    <row r="38" spans="1:17" ht="12.75" customHeight="1">
      <c r="A38" s="977" t="s">
        <v>425</v>
      </c>
      <c r="B38" s="985" t="s">
        <v>268</v>
      </c>
      <c r="C38" s="543" t="s">
        <v>501</v>
      </c>
      <c r="D38" s="7">
        <f>SUMIFS(Sheet1!$C$2:$C$180,Sheet1!$F$2:$F$180,B38,Sheet1!$E$2:$E$180,C38)</f>
        <v>805</v>
      </c>
      <c r="E38" s="7">
        <f>D38/Sheet1!$I$9*Sheet1!$I$10</f>
        <v>41.591233787966409</v>
      </c>
      <c r="F38" s="485">
        <f>D38/Sheet1!$I$9*Sheet1!$I$11</f>
        <v>1.8871993682056377E-2</v>
      </c>
      <c r="G38" s="988">
        <f>SUM(F38:F39)</f>
        <v>1.8871993682056377E-2</v>
      </c>
      <c r="H38" s="993">
        <f>SUM(G38:G39)</f>
        <v>1.8871993682056377E-2</v>
      </c>
      <c r="J38" s="977" t="s">
        <v>425</v>
      </c>
      <c r="K38" s="985" t="s">
        <v>268</v>
      </c>
      <c r="L38" s="543" t="s">
        <v>501</v>
      </c>
      <c r="M38" s="7">
        <f>SUMIFS(Sheet1!$N$2:$N$180,Sheet1!$Q$2:$Q$180,K38,Sheet1!$P$2:$P$180,L38)</f>
        <v>805</v>
      </c>
      <c r="N38" s="7">
        <f>M38/Sheet1!$T$9*Sheet1!$T$10</f>
        <v>41.881150980079639</v>
      </c>
      <c r="O38" s="485">
        <f>M38/Sheet1!$T$9*Sheet1!$T$11</f>
        <v>1.9022623516777165E-2</v>
      </c>
      <c r="P38" s="988">
        <f>SUM(O38:O39)</f>
        <v>1.9022623516777165E-2</v>
      </c>
      <c r="Q38" s="993">
        <f>SUM(P38:P39)</f>
        <v>1.9022623516777165E-2</v>
      </c>
    </row>
    <row r="39" spans="1:17" ht="12.75" customHeight="1">
      <c r="A39" s="977"/>
      <c r="B39" s="987"/>
      <c r="C39" s="545"/>
      <c r="D39" s="7">
        <f>SUMIFS(Sheet1!$C$2:$C$180,Sheet1!$F$2:$F$180,B38,Sheet1!$E$2:$E$180,C39)</f>
        <v>0</v>
      </c>
      <c r="E39" s="7">
        <f>D39/Sheet1!$I$9*Sheet1!$I$10</f>
        <v>0</v>
      </c>
      <c r="F39" s="485">
        <f>D39/Sheet1!$I$9*Sheet1!$I$11</f>
        <v>0</v>
      </c>
      <c r="G39" s="989"/>
      <c r="H39" s="994"/>
      <c r="J39" s="977"/>
      <c r="K39" s="987"/>
      <c r="L39" s="545"/>
      <c r="M39" s="7">
        <f>SUMIFS(Sheet1!$N$2:$N$180,Sheet1!$Q$2:$Q$180,K38,Sheet1!$P$2:$P$180,L39)</f>
        <v>0</v>
      </c>
      <c r="N39" s="7">
        <f>M39/Sheet1!$T$9*Sheet1!$T$10</f>
        <v>0</v>
      </c>
      <c r="O39" s="485">
        <f>M39/Sheet1!$T$9*Sheet1!$T$11</f>
        <v>0</v>
      </c>
      <c r="P39" s="989"/>
      <c r="Q39" s="994"/>
    </row>
    <row r="40" spans="1:17" ht="15">
      <c r="A40" s="474"/>
      <c r="B40" s="992" t="s">
        <v>2</v>
      </c>
      <c r="C40" s="992"/>
      <c r="D40" s="319">
        <f>SUM(D4:D39)</f>
        <v>2586</v>
      </c>
      <c r="E40" s="319">
        <f>SUM(E4:E39)</f>
        <v>244.78409494649446</v>
      </c>
      <c r="F40" s="475">
        <f>SUM(F4:F39)</f>
        <v>0.11107061446767444</v>
      </c>
      <c r="G40" s="475">
        <f>SUM(G4:G39)</f>
        <v>0.11107061446767443</v>
      </c>
      <c r="H40" s="475">
        <f>SUM(H4:H39)</f>
        <v>0.11107061446767443</v>
      </c>
      <c r="J40" s="474"/>
      <c r="K40" s="992" t="s">
        <v>2</v>
      </c>
      <c r="L40" s="992"/>
      <c r="M40" s="319">
        <f>SUM(M4:M39)</f>
        <v>2526</v>
      </c>
      <c r="N40" s="319">
        <f>SUM(N4:N39)</f>
        <v>242.57357494649446</v>
      </c>
      <c r="O40" s="475">
        <f>SUM(O4:O39)</f>
        <v>0.11017810359416057</v>
      </c>
      <c r="P40" s="475">
        <f>SUM(P4:P39)</f>
        <v>0.11017810359416057</v>
      </c>
      <c r="Q40" s="475">
        <f>SUM(Q4:Q39)</f>
        <v>0.11017810359416058</v>
      </c>
    </row>
    <row r="41" spans="1:17" ht="15">
      <c r="A41" s="474"/>
      <c r="B41" s="992" t="s">
        <v>1</v>
      </c>
      <c r="C41" s="992"/>
      <c r="D41" s="992"/>
      <c r="E41" s="992"/>
      <c r="F41" s="476">
        <f>+Efficiency1!X153</f>
        <v>0.8889293855323257</v>
      </c>
      <c r="G41" s="476">
        <f>+F41</f>
        <v>0.8889293855323257</v>
      </c>
      <c r="H41" s="476">
        <f>+G41</f>
        <v>0.8889293855323257</v>
      </c>
      <c r="J41" s="474"/>
      <c r="K41" s="992" t="s">
        <v>1</v>
      </c>
      <c r="L41" s="992"/>
      <c r="M41" s="992"/>
      <c r="N41" s="992"/>
      <c r="O41" s="476">
        <f>+Efficiency2!X153</f>
        <v>0.88982189640583964</v>
      </c>
      <c r="P41" s="476">
        <f>+O41</f>
        <v>0.88982189640583964</v>
      </c>
      <c r="Q41" s="476">
        <f>+P41</f>
        <v>0.88982189640583964</v>
      </c>
    </row>
    <row r="42" spans="1:17" ht="15">
      <c r="A42" s="474"/>
      <c r="B42" s="992" t="s">
        <v>58</v>
      </c>
      <c r="C42" s="992"/>
      <c r="D42" s="992"/>
      <c r="E42" s="992"/>
      <c r="F42" s="477">
        <f>SUM(F40:F41)</f>
        <v>1.0000000000000002</v>
      </c>
      <c r="G42" s="477">
        <f>SUM(G40:G41)</f>
        <v>1.0000000000000002</v>
      </c>
      <c r="H42" s="478">
        <f>SUM(H40:H41)</f>
        <v>1.0000000000000002</v>
      </c>
      <c r="J42" s="474"/>
      <c r="K42" s="992" t="s">
        <v>58</v>
      </c>
      <c r="L42" s="992"/>
      <c r="M42" s="992"/>
      <c r="N42" s="992"/>
      <c r="O42" s="477">
        <f>SUM(O40:O41)</f>
        <v>1.0000000000000002</v>
      </c>
      <c r="P42" s="477">
        <f>SUM(P40:P41)</f>
        <v>1.0000000000000002</v>
      </c>
      <c r="Q42" s="478">
        <f>SUM(Q40:Q41)</f>
        <v>1.0000000000000002</v>
      </c>
    </row>
  </sheetData>
  <mergeCells count="66">
    <mergeCell ref="A2:A3"/>
    <mergeCell ref="B2:B3"/>
    <mergeCell ref="C2:C3"/>
    <mergeCell ref="B24:B30"/>
    <mergeCell ref="A4:A11"/>
    <mergeCell ref="Q14:Q23"/>
    <mergeCell ref="K16:K17"/>
    <mergeCell ref="P16:P17"/>
    <mergeCell ref="K19:K23"/>
    <mergeCell ref="P19:P23"/>
    <mergeCell ref="K2:K3"/>
    <mergeCell ref="L2:L3"/>
    <mergeCell ref="J4:J11"/>
    <mergeCell ref="Q4:Q11"/>
    <mergeCell ref="K6:K7"/>
    <mergeCell ref="K8:K9"/>
    <mergeCell ref="K10:K11"/>
    <mergeCell ref="J2:J3"/>
    <mergeCell ref="J12:J13"/>
    <mergeCell ref="J24:J37"/>
    <mergeCell ref="J38:J39"/>
    <mergeCell ref="Q38:Q39"/>
    <mergeCell ref="K40:L40"/>
    <mergeCell ref="K24:K30"/>
    <mergeCell ref="P24:P30"/>
    <mergeCell ref="Q24:Q37"/>
    <mergeCell ref="K31:K32"/>
    <mergeCell ref="P31:P32"/>
    <mergeCell ref="K33:K35"/>
    <mergeCell ref="P33:P35"/>
    <mergeCell ref="K36:K37"/>
    <mergeCell ref="P36:P37"/>
    <mergeCell ref="Q12:Q13"/>
    <mergeCell ref="J14:J23"/>
    <mergeCell ref="B42:E42"/>
    <mergeCell ref="K38:K39"/>
    <mergeCell ref="P38:P39"/>
    <mergeCell ref="B38:B39"/>
    <mergeCell ref="G38:G39"/>
    <mergeCell ref="H38:H39"/>
    <mergeCell ref="B40:C40"/>
    <mergeCell ref="B41:E41"/>
    <mergeCell ref="K41:N41"/>
    <mergeCell ref="K42:N42"/>
    <mergeCell ref="H4:H11"/>
    <mergeCell ref="B6:B7"/>
    <mergeCell ref="B8:B9"/>
    <mergeCell ref="B10:B11"/>
    <mergeCell ref="A24:A37"/>
    <mergeCell ref="B31:B32"/>
    <mergeCell ref="G19:G23"/>
    <mergeCell ref="A38:A39"/>
    <mergeCell ref="A12:A13"/>
    <mergeCell ref="H12:H13"/>
    <mergeCell ref="A14:A23"/>
    <mergeCell ref="H14:H23"/>
    <mergeCell ref="B16:B17"/>
    <mergeCell ref="G16:G17"/>
    <mergeCell ref="B19:B23"/>
    <mergeCell ref="G33:G35"/>
    <mergeCell ref="B36:B37"/>
    <mergeCell ref="G36:G37"/>
    <mergeCell ref="H24:H37"/>
    <mergeCell ref="G31:G32"/>
    <mergeCell ref="B33:B35"/>
    <mergeCell ref="G24:G30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.31496062992125984" top="0.15748031496062992" bottom="0.15748031496062992" header="0.31496062992125984" footer="0.31496062992125984"/>
  <pageSetup paperSize="9" scale="33" fitToHeight="0" orientation="portrait" horizontalDpi="0" verticalDpi="0" r:id="rId1"/>
  <colBreaks count="1" manualBreakCount="1">
    <brk id="6" max="4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A15" sqref="A15:A23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42578125" style="161" customWidth="1"/>
    <col min="14" max="16384" width="9.140625" style="161"/>
  </cols>
  <sheetData>
    <row r="1" spans="1:16" ht="15.75">
      <c r="A1" s="160"/>
    </row>
    <row r="2" spans="1:16" ht="15.75">
      <c r="A2" s="160" t="s">
        <v>149</v>
      </c>
    </row>
    <row r="3" spans="1:16" ht="15">
      <c r="A3" s="162"/>
    </row>
    <row r="4" spans="1:16" ht="20.25">
      <c r="A4" s="163" t="s">
        <v>3</v>
      </c>
      <c r="B4" s="164"/>
      <c r="F4" s="165" t="s">
        <v>30</v>
      </c>
      <c r="G4" s="166">
        <v>31</v>
      </c>
      <c r="H4" s="166" t="str">
        <f>+'1'!H4</f>
        <v>.12.25</v>
      </c>
    </row>
    <row r="5" spans="1:16" ht="13.5" thickBot="1">
      <c r="C5" s="167"/>
      <c r="D5" s="167"/>
    </row>
    <row r="6" spans="1:16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165+224+183</f>
        <v>572</v>
      </c>
    </row>
    <row r="7" spans="1:16" ht="13.5" customHeight="1" thickBot="1">
      <c r="A7" s="1007" t="s">
        <v>462</v>
      </c>
      <c r="B7" s="227" t="s">
        <v>551</v>
      </c>
      <c r="C7" s="228">
        <v>26683</v>
      </c>
      <c r="D7" s="229"/>
      <c r="E7" s="230"/>
      <c r="F7" s="239"/>
      <c r="G7" s="240" t="s">
        <v>12</v>
      </c>
      <c r="H7" s="241" t="s">
        <v>492</v>
      </c>
      <c r="I7" s="1010" t="s">
        <v>742</v>
      </c>
      <c r="J7" s="226" t="str">
        <f>+'30'!J7</f>
        <v>F 13 VP OW</v>
      </c>
      <c r="K7" s="249">
        <f>+C17+C25</f>
        <v>23136</v>
      </c>
      <c r="L7" s="253"/>
      <c r="M7" s="129">
        <f>+L7+'30'!M7+K7</f>
        <v>247373</v>
      </c>
    </row>
    <row r="8" spans="1:16" ht="13.5" thickBot="1">
      <c r="A8" s="1008"/>
      <c r="B8" s="227"/>
      <c r="C8" s="228"/>
      <c r="D8" s="229"/>
      <c r="E8" s="231"/>
      <c r="F8" s="242"/>
      <c r="G8" s="243" t="s">
        <v>12</v>
      </c>
      <c r="H8" s="241" t="s">
        <v>448</v>
      </c>
      <c r="I8" s="1011"/>
      <c r="J8" s="226" t="str">
        <f>+'30'!J8</f>
        <v>MG 15,5 VP OW</v>
      </c>
      <c r="K8" s="250"/>
      <c r="L8" s="250"/>
      <c r="M8" s="129">
        <f>+L8+'30'!M8+K8</f>
        <v>40782</v>
      </c>
      <c r="N8" s="161">
        <v>1210</v>
      </c>
      <c r="O8" s="161">
        <f>+N8-N8*0.0035</f>
        <v>1205.7650000000001</v>
      </c>
      <c r="P8" s="161">
        <f>180+480</f>
        <v>660</v>
      </c>
    </row>
    <row r="9" spans="1:16" ht="13.5" thickBot="1">
      <c r="A9" s="1008"/>
      <c r="B9" s="227"/>
      <c r="C9" s="228"/>
      <c r="D9" s="229"/>
      <c r="E9" s="232"/>
      <c r="F9" s="239">
        <v>10</v>
      </c>
      <c r="G9" s="243" t="s">
        <v>12</v>
      </c>
      <c r="H9" s="574" t="s">
        <v>447</v>
      </c>
      <c r="I9" s="1011"/>
      <c r="J9" s="226" t="str">
        <f>+'30'!J9</f>
        <v>MG 16,5 VP HW/OW</v>
      </c>
      <c r="K9" s="250"/>
      <c r="L9" s="250"/>
      <c r="M9" s="129">
        <f>+L9+'30'!M9+K9</f>
        <v>166590</v>
      </c>
    </row>
    <row r="10" spans="1:16" ht="13.5" thickBot="1">
      <c r="A10" s="1008"/>
      <c r="B10" s="227"/>
      <c r="C10" s="228"/>
      <c r="D10" s="229"/>
      <c r="E10" s="231"/>
      <c r="F10" s="239"/>
      <c r="G10" s="243"/>
      <c r="H10" s="574" t="s">
        <v>805</v>
      </c>
      <c r="I10" s="1011"/>
      <c r="J10" s="226" t="str">
        <f>+'30'!J10</f>
        <v>MG 17 VP HW</v>
      </c>
      <c r="K10" s="250"/>
      <c r="L10" s="250"/>
      <c r="M10" s="129">
        <f>+L10+'30'!M10+K10</f>
        <v>567932</v>
      </c>
    </row>
    <row r="11" spans="1:16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tr">
        <f>+'30'!J11</f>
        <v>MG 14 VP OW/HW</v>
      </c>
      <c r="K11" s="250"/>
      <c r="L11" s="250"/>
      <c r="M11" s="129">
        <f>+L11+'30'!M11+K11</f>
        <v>319057</v>
      </c>
    </row>
    <row r="12" spans="1:16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+'30'!J12</f>
        <v>MG 19 VP HW</v>
      </c>
      <c r="K12" s="250"/>
      <c r="L12" s="250"/>
      <c r="M12" s="129">
        <f>+L12+'30'!M12+K12</f>
        <v>20052</v>
      </c>
    </row>
    <row r="13" spans="1:16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+'30'!J13</f>
        <v>MG 17 VP OW</v>
      </c>
      <c r="K13" s="250">
        <f>+C7+C16</f>
        <v>47541</v>
      </c>
      <c r="L13" s="250"/>
      <c r="M13" s="129">
        <f>+L13+'30'!M13+K13</f>
        <v>139981</v>
      </c>
    </row>
    <row r="14" spans="1:16" ht="13.5" thickBot="1">
      <c r="A14" s="1009"/>
      <c r="B14" s="177" t="s">
        <v>2</v>
      </c>
      <c r="C14" s="111">
        <f>SUM(C7:C13)</f>
        <v>26683</v>
      </c>
      <c r="D14" s="123">
        <f>SUM(D7:D13)</f>
        <v>0</v>
      </c>
      <c r="E14" s="124">
        <f>SUM(E5:E13)</f>
        <v>0</v>
      </c>
      <c r="F14" s="128">
        <f>SUM(F7:F13)</f>
        <v>10</v>
      </c>
      <c r="G14" s="171"/>
      <c r="H14" s="178"/>
      <c r="I14" s="179"/>
      <c r="J14" s="226" t="str">
        <f>+'30'!J14</f>
        <v>MG 21,5 VP OW</v>
      </c>
      <c r="K14" s="250"/>
      <c r="L14" s="250"/>
      <c r="M14" s="129">
        <f>+L14+'30'!M14+K14</f>
        <v>65067</v>
      </c>
    </row>
    <row r="15" spans="1:16" ht="13.5" customHeight="1" thickBot="1">
      <c r="A15" s="1007" t="s">
        <v>463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810</v>
      </c>
      <c r="J15" s="226" t="str">
        <f>+'30'!J15</f>
        <v>F 10,5 VP OW</v>
      </c>
      <c r="K15" s="250"/>
      <c r="L15" s="250"/>
      <c r="M15" s="129">
        <f>+L15+'30'!M15+K15</f>
        <v>0</v>
      </c>
    </row>
    <row r="16" spans="1:16" ht="13.5" thickBot="1">
      <c r="A16" s="1013"/>
      <c r="B16" s="227" t="s">
        <v>551</v>
      </c>
      <c r="C16" s="233">
        <f>1314+5644+13900</f>
        <v>20858</v>
      </c>
      <c r="D16" s="234"/>
      <c r="E16" s="235"/>
      <c r="F16" s="239">
        <v>2</v>
      </c>
      <c r="G16" s="243" t="s">
        <v>12</v>
      </c>
      <c r="H16" s="241" t="s">
        <v>445</v>
      </c>
      <c r="I16" s="1011"/>
      <c r="J16" s="226" t="str">
        <f>+'30'!J16</f>
        <v>F 10,3 VP OW</v>
      </c>
      <c r="K16" s="240"/>
      <c r="L16" s="240"/>
      <c r="M16" s="129">
        <f>+L16+'30'!M16+K16</f>
        <v>112662</v>
      </c>
    </row>
    <row r="17" spans="1:18" ht="13.5" thickBot="1">
      <c r="A17" s="1013"/>
      <c r="B17" s="227" t="s">
        <v>452</v>
      </c>
      <c r="C17" s="228">
        <f>2530+192</f>
        <v>2722</v>
      </c>
      <c r="D17" s="229">
        <v>500</v>
      </c>
      <c r="E17" s="236"/>
      <c r="F17" s="239">
        <v>10</v>
      </c>
      <c r="G17" s="243" t="s">
        <v>12</v>
      </c>
      <c r="H17" s="574" t="s">
        <v>497</v>
      </c>
      <c r="I17" s="1011"/>
      <c r="J17" s="226" t="str">
        <f>+'30'!J17</f>
        <v>SN 13 VP OW</v>
      </c>
      <c r="K17" s="240"/>
      <c r="L17" s="240"/>
      <c r="M17" s="129">
        <f>+L17+'30'!M17+K17</f>
        <v>132429</v>
      </c>
      <c r="N17" s="161">
        <v>1210</v>
      </c>
      <c r="O17" s="161">
        <f>+N17-N17*0.0035</f>
        <v>1205.7650000000001</v>
      </c>
      <c r="P17" s="161">
        <v>180</v>
      </c>
      <c r="Q17" s="161">
        <f>+N17*P17</f>
        <v>217800</v>
      </c>
      <c r="R17" s="161">
        <f>+O17*P17</f>
        <v>217037.7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798</v>
      </c>
      <c r="I18" s="1011"/>
      <c r="J18" s="226" t="str">
        <f>+'30'!J18</f>
        <v>SN 14 VP OW</v>
      </c>
      <c r="K18" s="250"/>
      <c r="L18" s="250"/>
      <c r="M18" s="129">
        <f>+L18+'30'!M18+K18</f>
        <v>20814</v>
      </c>
      <c r="N18" s="161">
        <v>1650</v>
      </c>
      <c r="O18" s="161">
        <f>+N18-N18*0.24</f>
        <v>1254</v>
      </c>
      <c r="P18" s="161">
        <v>300</v>
      </c>
      <c r="Q18" s="161">
        <f>+N18*P18</f>
        <v>495000</v>
      </c>
      <c r="R18" s="161">
        <f>+O18*P18</f>
        <v>376200</v>
      </c>
    </row>
    <row r="19" spans="1:18" ht="13.5" thickBot="1">
      <c r="A19" s="1013"/>
      <c r="B19" s="227"/>
      <c r="C19" s="228"/>
      <c r="D19" s="229"/>
      <c r="E19" s="236"/>
      <c r="F19" s="246">
        <v>21</v>
      </c>
      <c r="G19" s="243" t="s">
        <v>12</v>
      </c>
      <c r="H19" s="244" t="s">
        <v>808</v>
      </c>
      <c r="I19" s="1011"/>
      <c r="J19" s="226" t="str">
        <f>+'30'!J19</f>
        <v>SN 15 VP OW</v>
      </c>
      <c r="K19" s="250"/>
      <c r="L19" s="250"/>
      <c r="M19" s="129">
        <f>+L19+'30'!M19+K19</f>
        <v>62505</v>
      </c>
      <c r="P19" s="161">
        <f>SUM(P17:P18)</f>
        <v>480</v>
      </c>
      <c r="Q19" s="161">
        <f>SUM(Q17:Q18)</f>
        <v>712800</v>
      </c>
      <c r="R19" s="161">
        <f>SUM(R17:R18)</f>
        <v>593237.69999999995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 t="s">
        <v>807</v>
      </c>
      <c r="I20" s="1011"/>
      <c r="J20" s="226" t="str">
        <f>+'30'!J20</f>
        <v>MG 16 VP HW</v>
      </c>
      <c r="K20" s="251"/>
      <c r="L20" s="251"/>
      <c r="M20" s="129">
        <f>+L20+'30'!M20+K20</f>
        <v>63832</v>
      </c>
      <c r="Q20" s="161">
        <f>+Q19/P19</f>
        <v>1485</v>
      </c>
      <c r="R20" s="161">
        <f>+R19/P19</f>
        <v>1235.911875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244"/>
      <c r="I21" s="1011"/>
      <c r="J21" s="226">
        <f>+'30'!J21</f>
        <v>0</v>
      </c>
      <c r="K21" s="250"/>
      <c r="L21" s="250"/>
      <c r="M21" s="129">
        <f>+L21+'30'!M21+K21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+'30'!J22</f>
        <v>0</v>
      </c>
      <c r="K22" s="250"/>
      <c r="L22" s="250"/>
      <c r="M22" s="129">
        <f>+L22+'30'!M22+K22</f>
        <v>0</v>
      </c>
    </row>
    <row r="23" spans="1:18" ht="13.5" thickBot="1">
      <c r="A23" s="1014"/>
      <c r="B23" s="180" t="s">
        <v>2</v>
      </c>
      <c r="C23" s="112">
        <f>SUM(C16:C22)</f>
        <v>23580</v>
      </c>
      <c r="D23" s="123">
        <f>SUM(D16:D22)</f>
        <v>500</v>
      </c>
      <c r="E23" s="124">
        <f>SUM(E18:E22)</f>
        <v>0</v>
      </c>
      <c r="F23" s="128">
        <f>SUM(F15:F22)</f>
        <v>33</v>
      </c>
      <c r="G23" s="171"/>
      <c r="H23" s="178"/>
      <c r="I23" s="181"/>
      <c r="J23" s="226">
        <f>+'30'!J23</f>
        <v>0</v>
      </c>
      <c r="K23" s="250"/>
      <c r="L23" s="250"/>
      <c r="M23" s="129">
        <f>+L23+'30'!M23+K23</f>
        <v>0</v>
      </c>
    </row>
    <row r="24" spans="1:18" ht="13.5" customHeight="1" thickBot="1">
      <c r="A24" s="1007" t="s">
        <v>502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811</v>
      </c>
      <c r="J24" s="226">
        <f>+'30'!J24</f>
        <v>0</v>
      </c>
      <c r="K24" s="250"/>
      <c r="L24" s="250"/>
      <c r="M24" s="129">
        <f>+L24+'30'!M24+K24</f>
        <v>0</v>
      </c>
    </row>
    <row r="25" spans="1:18" ht="13.5" thickBot="1">
      <c r="A25" s="1013"/>
      <c r="B25" s="227" t="s">
        <v>452</v>
      </c>
      <c r="C25" s="237">
        <v>20414</v>
      </c>
      <c r="D25" s="229">
        <v>262</v>
      </c>
      <c r="E25" s="236"/>
      <c r="F25" s="242">
        <v>5</v>
      </c>
      <c r="G25" s="243" t="s">
        <v>12</v>
      </c>
      <c r="H25" s="241" t="s">
        <v>563</v>
      </c>
      <c r="I25" s="1011"/>
      <c r="J25" s="226">
        <f>+'30'!J25</f>
        <v>0</v>
      </c>
      <c r="K25" s="250"/>
      <c r="L25" s="250"/>
      <c r="M25" s="129">
        <f>+L25+'30'!M25+K25</f>
        <v>0</v>
      </c>
    </row>
    <row r="26" spans="1:18" ht="13.5" thickBot="1">
      <c r="A26" s="1013"/>
      <c r="B26" s="227"/>
      <c r="C26" s="237"/>
      <c r="D26" s="229"/>
      <c r="E26" s="238"/>
      <c r="F26" s="242">
        <v>10</v>
      </c>
      <c r="G26" s="243" t="s">
        <v>12</v>
      </c>
      <c r="H26" s="574" t="s">
        <v>447</v>
      </c>
      <c r="I26" s="1011"/>
      <c r="J26" s="226">
        <f>+'30'!J26</f>
        <v>0</v>
      </c>
      <c r="K26" s="250"/>
      <c r="L26" s="250"/>
      <c r="M26" s="129">
        <f>+L26+'30'!M26+K26</f>
        <v>0</v>
      </c>
      <c r="N26" s="161">
        <v>1650</v>
      </c>
      <c r="O26" s="161">
        <f>+N26-N26*0.24</f>
        <v>1254</v>
      </c>
      <c r="P26" s="161">
        <v>300</v>
      </c>
      <c r="Q26" s="161">
        <f>+N26*P26</f>
        <v>495000</v>
      </c>
      <c r="R26" s="161">
        <f>+O26*P26</f>
        <v>376200</v>
      </c>
    </row>
    <row r="27" spans="1:18" ht="13.5" thickBot="1">
      <c r="A27" s="1013"/>
      <c r="B27" s="227"/>
      <c r="C27" s="228"/>
      <c r="D27" s="229"/>
      <c r="E27" s="236"/>
      <c r="F27" s="242"/>
      <c r="G27" s="243"/>
      <c r="H27" s="574" t="s">
        <v>809</v>
      </c>
      <c r="I27" s="1011"/>
      <c r="J27" s="226">
        <f>+'30'!J27</f>
        <v>0</v>
      </c>
      <c r="K27" s="250"/>
      <c r="L27" s="250"/>
      <c r="M27" s="129">
        <f>+L27+'30'!M27+K27</f>
        <v>0</v>
      </c>
      <c r="N27" s="161">
        <v>1500</v>
      </c>
      <c r="O27" s="161">
        <f>+N27-N27*0.24</f>
        <v>1140</v>
      </c>
      <c r="P27" s="161">
        <v>480</v>
      </c>
      <c r="Q27" s="161">
        <f>+N27*P27</f>
        <v>720000</v>
      </c>
      <c r="R27" s="161">
        <f>+O27*P27</f>
        <v>547200</v>
      </c>
    </row>
    <row r="28" spans="1:18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+'30'!J28</f>
        <v>0</v>
      </c>
      <c r="K28" s="250"/>
      <c r="L28" s="250"/>
      <c r="M28" s="129">
        <f>+L28+'30'!M28+K28</f>
        <v>0</v>
      </c>
      <c r="P28" s="161">
        <f>SUM(P26:P27)</f>
        <v>780</v>
      </c>
      <c r="Q28" s="161">
        <f>SUM(Q26:Q27)</f>
        <v>1215000</v>
      </c>
      <c r="R28" s="161">
        <f>SUM(R26:R27)</f>
        <v>923400</v>
      </c>
    </row>
    <row r="29" spans="1:18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+'30'!J29</f>
        <v>0</v>
      </c>
      <c r="K29" s="250"/>
      <c r="L29" s="250"/>
      <c r="M29" s="129">
        <f>+L29+'30'!M29+K29</f>
        <v>0</v>
      </c>
      <c r="Q29" s="161">
        <f>+Q28/P28</f>
        <v>1557.6923076923076</v>
      </c>
      <c r="R29" s="161">
        <f>+R28/P28</f>
        <v>1183.8461538461538</v>
      </c>
    </row>
    <row r="30" spans="1:18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+'30'!J30</f>
        <v>0</v>
      </c>
      <c r="K30" s="250"/>
      <c r="L30" s="250"/>
      <c r="M30" s="129">
        <f>+L30+'30'!M30+K30</f>
        <v>0</v>
      </c>
      <c r="N30" s="167"/>
    </row>
    <row r="31" spans="1:18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+'30'!J31</f>
        <v>0</v>
      </c>
      <c r="K31" s="250"/>
      <c r="L31" s="250"/>
      <c r="M31" s="129">
        <f>+L31+'30'!M31+K31</f>
        <v>0</v>
      </c>
    </row>
    <row r="32" spans="1:18" ht="13.5" thickBot="1">
      <c r="A32" s="1014"/>
      <c r="B32" s="177" t="s">
        <v>2</v>
      </c>
      <c r="C32" s="111">
        <f>SUM(C25:C31)</f>
        <v>20414</v>
      </c>
      <c r="D32" s="112">
        <f>SUM(D25:D31)</f>
        <v>262</v>
      </c>
      <c r="E32" s="113">
        <f>SUM(E25:E31)</f>
        <v>0</v>
      </c>
      <c r="F32" s="114">
        <f>SUM(F24:F31)</f>
        <v>15</v>
      </c>
      <c r="G32" s="183"/>
      <c r="H32" s="184"/>
      <c r="I32" s="181"/>
      <c r="J32" s="226">
        <f>+'30'!J32</f>
        <v>0</v>
      </c>
      <c r="K32" s="252"/>
      <c r="L32" s="254"/>
      <c r="M32" s="129">
        <f>+L32+'30'!M32+K32</f>
        <v>0</v>
      </c>
    </row>
    <row r="33" spans="1:14" ht="13.5" thickBot="1">
      <c r="A33" s="185"/>
      <c r="B33" s="186"/>
      <c r="C33" s="115">
        <f>C32/($C$32+$D$32+$E$32)</f>
        <v>0.9873283033468756</v>
      </c>
      <c r="D33" s="116">
        <f>D32/($C$32+$D$32+$E$32)</f>
        <v>1.2671696653124396E-2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70677</v>
      </c>
      <c r="D34" s="119">
        <f>D14+D23+D32</f>
        <v>762</v>
      </c>
      <c r="E34" s="119">
        <f>E14+E23+E32</f>
        <v>0</v>
      </c>
      <c r="F34" s="120">
        <f>F14+F23+F32</f>
        <v>58</v>
      </c>
      <c r="H34" s="190"/>
      <c r="I34" s="190"/>
      <c r="J34" s="135" t="s">
        <v>28</v>
      </c>
      <c r="K34" s="136">
        <f>SUM(K7:K32)</f>
        <v>70677</v>
      </c>
      <c r="L34" s="224">
        <f>SUM(L7:L32)</f>
        <v>0</v>
      </c>
      <c r="M34" s="132">
        <f>SUM(M7:M32)</f>
        <v>1959076</v>
      </c>
      <c r="N34" s="167"/>
    </row>
    <row r="35" spans="1:14" ht="13.5" thickBot="1">
      <c r="A35" s="191"/>
      <c r="B35" s="192"/>
      <c r="C35" s="116">
        <f>C34/($C$34+$D$34+$E$34)</f>
        <v>0.9893335573006341</v>
      </c>
      <c r="D35" s="116">
        <f>D34/($C$34+$D$34+$E$34)</f>
        <v>1.0666442699365893E-2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(17*660+13*780)/1440*G42*2.77*1440/1000000</f>
        <v>72.887617599500004</v>
      </c>
      <c r="J37" s="137">
        <f>+I37+'30'!J37</f>
        <v>2166.8938871235951</v>
      </c>
      <c r="K37" s="138" t="s">
        <v>64</v>
      </c>
      <c r="L37" s="167">
        <f>+I38-L38</f>
        <v>39.665999999999997</v>
      </c>
    </row>
    <row r="38" spans="1:14" ht="17.45" customHeight="1">
      <c r="A38" s="1005" t="s">
        <v>12</v>
      </c>
      <c r="B38" s="1006"/>
      <c r="C38" s="176">
        <f>SUMIF($G$7:$G$31,"Process",$F$7:$F$31)</f>
        <v>58</v>
      </c>
      <c r="D38" s="130">
        <f>+C38+'30'!D38</f>
        <v>1398</v>
      </c>
      <c r="E38" s="155">
        <f t="shared" ref="E38:E51" si="0">D38/60</f>
        <v>23.3</v>
      </c>
      <c r="F38" s="340">
        <v>1210</v>
      </c>
      <c r="G38" s="340">
        <v>1205.7650000000001</v>
      </c>
      <c r="H38" s="199" t="s">
        <v>65</v>
      </c>
      <c r="I38" s="256">
        <f>27.973+17.501+20.264</f>
        <v>65.738</v>
      </c>
      <c r="J38" s="139">
        <f>+I38+'30'!J38</f>
        <v>2009.4762220100004</v>
      </c>
      <c r="K38" s="140" t="s">
        <v>64</v>
      </c>
      <c r="L38" s="161">
        <f>17.501+2.309+1.384+2.439+2.439</f>
        <v>26.072000000000003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+C39+'30'!D39</f>
        <v>0</v>
      </c>
      <c r="E39" s="155">
        <f t="shared" si="0"/>
        <v>0</v>
      </c>
      <c r="F39" s="340">
        <v>1485</v>
      </c>
      <c r="G39" s="340">
        <v>1235.911875</v>
      </c>
      <c r="H39" s="199" t="s">
        <v>66</v>
      </c>
      <c r="I39" s="154"/>
      <c r="J39" s="141">
        <f>J37/G4</f>
        <v>69.899802810438544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+C40+'30'!D40</f>
        <v>49</v>
      </c>
      <c r="E40" s="155">
        <f t="shared" si="0"/>
        <v>0.81666666666666665</v>
      </c>
      <c r="F40" s="340">
        <v>1650</v>
      </c>
      <c r="G40" s="340">
        <v>1254</v>
      </c>
      <c r="H40" s="199" t="s">
        <v>68</v>
      </c>
      <c r="I40" s="130">
        <f>(K34+L34)/1000</f>
        <v>70.677000000000007</v>
      </c>
      <c r="J40" s="143">
        <f>+I40+'30'!J40</f>
        <v>1959.0759999999998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+C41+'30'!D41</f>
        <v>211</v>
      </c>
      <c r="E41" s="155">
        <f t="shared" si="0"/>
        <v>3.5166666666666666</v>
      </c>
      <c r="F41" s="340"/>
      <c r="G41" s="340"/>
      <c r="H41" s="199" t="s">
        <v>70</v>
      </c>
      <c r="I41" s="154"/>
      <c r="J41" s="141">
        <f>J40/G4</f>
        <v>63.195999999999991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+C42+'30'!D42</f>
        <v>0</v>
      </c>
      <c r="E42" s="155">
        <f t="shared" si="0"/>
        <v>0</v>
      </c>
      <c r="F42" s="340">
        <f>+(F38*480+F39*480+F40*480)/1440</f>
        <v>1448.3333333333333</v>
      </c>
      <c r="G42" s="340">
        <f>+(G38*480+G39*480+G40*480)/1440</f>
        <v>1231.8922916666666</v>
      </c>
      <c r="H42" s="199" t="s">
        <v>71</v>
      </c>
      <c r="I42" s="257" t="s">
        <v>812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+C43+'30'!D43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+Report1!T39</f>
        <v>141.99299999999999</v>
      </c>
      <c r="J43" s="145">
        <f>+I43+'30'!J43</f>
        <v>4362.5819999999994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+C44+'30'!D44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2.1599835711460647</v>
      </c>
      <c r="J44" s="146">
        <f>J43/J38</f>
        <v>2.1710045394994917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+C45+'30'!D45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2.0090411307780465</v>
      </c>
      <c r="J45" s="146">
        <f>J43/J40</f>
        <v>2.2268569468463704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+C46+'30'!D46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+SUMIF(Listrik!AR38,"&gt;0")</f>
        <v>52788.719999996596</v>
      </c>
      <c r="J46" s="147">
        <f>+I46+'30'!J46</f>
        <v>1679622.0999999973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+C47+'30'!D47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803.0168243633301</v>
      </c>
      <c r="J47" s="147">
        <f>J46/J38</f>
        <v>835.85069661582611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+C48+'30'!D48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746.90097202762695</v>
      </c>
      <c r="J48" s="147">
        <f>J46/J40</f>
        <v>857.35423230134893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+C49+'30'!D49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+I49+'30'!J49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+C50+'30'!D50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+C51+'30'!D51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58</v>
      </c>
      <c r="D52" s="156">
        <f>SUM(D38:D51)</f>
        <v>2606</v>
      </c>
      <c r="E52" s="157">
        <f>SUM(E38:E51)</f>
        <v>43.43333333333333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4.027777777777778E-2</v>
      </c>
      <c r="D53" s="158">
        <f>D52/(24*60*G4)</f>
        <v>5.8378136200716843E-2</v>
      </c>
      <c r="E53" s="159">
        <f>E52/(G4*24)</f>
        <v>5.8378136200716843E-2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+D34+'30'!J56</f>
        <v>46993</v>
      </c>
      <c r="K56" s="213">
        <f>J56/(J40+J56/1000)/1000</f>
        <v>2.3425415576433316E-2</v>
      </c>
    </row>
    <row r="57" spans="1:11">
      <c r="A57" s="188"/>
      <c r="I57" s="211" t="s">
        <v>90</v>
      </c>
      <c r="J57" s="212">
        <f>+E34+'30'!J57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topLeftCell="A4" zoomScale="80" zoomScaleNormal="80" workbookViewId="0">
      <selection activeCell="H27" sqref="H27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7.140625" style="161" customWidth="1"/>
    <col min="14" max="16384" width="9.140625" style="161"/>
  </cols>
  <sheetData>
    <row r="1" spans="1:19" ht="15.75">
      <c r="A1" s="160"/>
    </row>
    <row r="2" spans="1:19" ht="15.75">
      <c r="A2" s="160" t="s">
        <v>149</v>
      </c>
    </row>
    <row r="3" spans="1:19" ht="15">
      <c r="A3" s="162"/>
    </row>
    <row r="4" spans="1:19" ht="20.25">
      <c r="A4" s="163" t="s">
        <v>3</v>
      </c>
      <c r="B4" s="164"/>
      <c r="F4" s="165" t="s">
        <v>30</v>
      </c>
      <c r="G4" s="166">
        <v>30</v>
      </c>
      <c r="H4" s="166" t="str">
        <f>+'1'!H4</f>
        <v>.12.25</v>
      </c>
      <c r="J4" s="161" t="s">
        <v>806</v>
      </c>
    </row>
    <row r="5" spans="1:19" ht="13.5" thickBot="1">
      <c r="C5" s="167"/>
      <c r="D5" s="167"/>
    </row>
    <row r="6" spans="1:19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 t="s">
        <v>512</v>
      </c>
      <c r="O6" s="161">
        <v>1210</v>
      </c>
      <c r="P6" s="161">
        <f>+O6-(O6*0.0035)</f>
        <v>1205.7650000000001</v>
      </c>
      <c r="Q6" s="161">
        <v>480</v>
      </c>
      <c r="R6" s="161">
        <f>+O6*Q6</f>
        <v>580800</v>
      </c>
      <c r="S6" s="161">
        <f>+P6*Q6</f>
        <v>578767.20000000007</v>
      </c>
    </row>
    <row r="7" spans="1:19" ht="13.5" customHeight="1" thickBot="1">
      <c r="A7" s="1007" t="s">
        <v>461</v>
      </c>
      <c r="B7" s="227" t="s">
        <v>551</v>
      </c>
      <c r="C7" s="228">
        <v>25744</v>
      </c>
      <c r="D7" s="229">
        <v>719</v>
      </c>
      <c r="E7" s="230"/>
      <c r="F7" s="239"/>
      <c r="G7" s="240" t="s">
        <v>12</v>
      </c>
      <c r="H7" s="241" t="s">
        <v>492</v>
      </c>
      <c r="I7" s="1010" t="s">
        <v>751</v>
      </c>
      <c r="J7" s="226" t="str">
        <f>+'29'!J7</f>
        <v>F 13 VP OW</v>
      </c>
      <c r="K7" s="249"/>
      <c r="L7" s="253"/>
      <c r="M7" s="129">
        <f>+K7+'29'!M7+L7</f>
        <v>224237</v>
      </c>
      <c r="N7" s="161" t="s">
        <v>512</v>
      </c>
      <c r="O7" s="161">
        <v>1210</v>
      </c>
      <c r="P7" s="161">
        <f>+O7-(O7*0.0035)</f>
        <v>1205.7650000000001</v>
      </c>
      <c r="Q7" s="161">
        <v>480</v>
      </c>
      <c r="R7" s="161">
        <f>+O7*Q7</f>
        <v>580800</v>
      </c>
      <c r="S7" s="161">
        <f>+P7*Q7</f>
        <v>578767.20000000007</v>
      </c>
    </row>
    <row r="8" spans="1:19" ht="13.5" thickBot="1">
      <c r="A8" s="1008"/>
      <c r="B8" s="227"/>
      <c r="C8" s="228"/>
      <c r="D8" s="229"/>
      <c r="E8" s="231"/>
      <c r="F8" s="242"/>
      <c r="G8" s="243" t="s">
        <v>12</v>
      </c>
      <c r="H8" s="241" t="s">
        <v>448</v>
      </c>
      <c r="I8" s="1011"/>
      <c r="J8" s="226" t="str">
        <f>+'29'!J8</f>
        <v>MG 15,5 VP OW</v>
      </c>
      <c r="K8" s="250"/>
      <c r="L8" s="250"/>
      <c r="M8" s="129">
        <f>+K8+'29'!M8+L8</f>
        <v>40782</v>
      </c>
      <c r="N8" s="161" t="s">
        <v>512</v>
      </c>
      <c r="O8" s="161">
        <v>1210</v>
      </c>
      <c r="P8" s="161">
        <f>+O8-(O8*0.0035)</f>
        <v>1205.7650000000001</v>
      </c>
      <c r="Q8" s="161">
        <v>480</v>
      </c>
      <c r="R8" s="161">
        <f>+O8*Q8</f>
        <v>580800</v>
      </c>
      <c r="S8" s="161">
        <f>+P8*Q8</f>
        <v>578767.20000000007</v>
      </c>
    </row>
    <row r="9" spans="1:19" ht="13.5" thickBot="1">
      <c r="A9" s="1008"/>
      <c r="B9" s="227"/>
      <c r="C9" s="228"/>
      <c r="D9" s="229"/>
      <c r="E9" s="232"/>
      <c r="F9" s="239">
        <v>4</v>
      </c>
      <c r="G9" s="243" t="s">
        <v>12</v>
      </c>
      <c r="H9" s="574" t="s">
        <v>450</v>
      </c>
      <c r="I9" s="1011"/>
      <c r="J9" s="226" t="str">
        <f>+'29'!J9</f>
        <v>MG 16,5 VP HW/OW</v>
      </c>
      <c r="K9" s="250"/>
      <c r="L9" s="250"/>
      <c r="M9" s="129">
        <f>+K9+'29'!M9+L9</f>
        <v>166590</v>
      </c>
    </row>
    <row r="10" spans="1:19" ht="13.5" thickBot="1">
      <c r="A10" s="1008"/>
      <c r="B10" s="227"/>
      <c r="C10" s="228"/>
      <c r="D10" s="229"/>
      <c r="E10" s="231"/>
      <c r="F10" s="239"/>
      <c r="G10" s="243"/>
      <c r="H10" s="574" t="s">
        <v>798</v>
      </c>
      <c r="I10" s="1011"/>
      <c r="J10" s="226" t="str">
        <f>+'29'!J10</f>
        <v>MG 17 VP HW</v>
      </c>
      <c r="K10" s="250"/>
      <c r="L10" s="250"/>
      <c r="M10" s="129">
        <f>+K10+'29'!M10+L10</f>
        <v>567932</v>
      </c>
    </row>
    <row r="11" spans="1:19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tr">
        <f>+'29'!J11</f>
        <v>MG 14 VP OW/HW</v>
      </c>
      <c r="K11" s="250"/>
      <c r="L11" s="250"/>
      <c r="M11" s="129">
        <f>+K11+'29'!M11+L11</f>
        <v>319057</v>
      </c>
    </row>
    <row r="12" spans="1:19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+'29'!J12</f>
        <v>MG 19 VP HW</v>
      </c>
      <c r="K12" s="250"/>
      <c r="L12" s="250"/>
      <c r="M12" s="129">
        <f>+K12+'29'!M12+L12</f>
        <v>20052</v>
      </c>
    </row>
    <row r="13" spans="1:19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+'29'!J13</f>
        <v>MG 17 VP OW</v>
      </c>
      <c r="K13" s="250">
        <f>+C34</f>
        <v>81028</v>
      </c>
      <c r="L13" s="250"/>
      <c r="M13" s="129">
        <f>+K13+'29'!M13+L13</f>
        <v>92440</v>
      </c>
    </row>
    <row r="14" spans="1:19" ht="13.5" thickBot="1">
      <c r="A14" s="1009"/>
      <c r="B14" s="177" t="s">
        <v>2</v>
      </c>
      <c r="C14" s="111">
        <f>SUM(C7:C13)</f>
        <v>25744</v>
      </c>
      <c r="D14" s="123">
        <f>SUM(D7:D13)</f>
        <v>719</v>
      </c>
      <c r="E14" s="124">
        <f>SUM(E5:E13)</f>
        <v>0</v>
      </c>
      <c r="F14" s="128">
        <f>SUM(F7:F13)</f>
        <v>4</v>
      </c>
      <c r="G14" s="171"/>
      <c r="H14" s="178"/>
      <c r="I14" s="179"/>
      <c r="J14" s="226" t="str">
        <f>+'29'!J14</f>
        <v>MG 21,5 VP OW</v>
      </c>
      <c r="K14" s="250"/>
      <c r="L14" s="250"/>
      <c r="M14" s="129">
        <f>+K14+'29'!M14+L14</f>
        <v>65067</v>
      </c>
      <c r="Q14" s="188">
        <f>SUM(Q6:Q11)</f>
        <v>1440</v>
      </c>
      <c r="R14" s="188">
        <f>SUM(R6:R11)</f>
        <v>1742400</v>
      </c>
      <c r="S14" s="188">
        <f>SUM(S6:S11)</f>
        <v>1736301.6</v>
      </c>
    </row>
    <row r="15" spans="1:19" ht="13.5" customHeight="1" thickBot="1">
      <c r="A15" s="1007" t="s">
        <v>463</v>
      </c>
      <c r="B15" s="177"/>
      <c r="C15" s="125">
        <f>C14/($C$23+$D$23+$E$23)</f>
        <v>0.91164701299621087</v>
      </c>
      <c r="D15" s="126">
        <f>D14/($C$23+$D$23+$E$23)</f>
        <v>2.5461241545380504E-2</v>
      </c>
      <c r="E15" s="127">
        <f>E14/($C$23+$D$23+$E$23)</f>
        <v>0</v>
      </c>
      <c r="F15" s="239"/>
      <c r="G15" s="240" t="s">
        <v>12</v>
      </c>
      <c r="H15" s="241" t="s">
        <v>492</v>
      </c>
      <c r="I15" s="1010" t="s">
        <v>751</v>
      </c>
      <c r="J15" s="226" t="str">
        <f>+'29'!J15</f>
        <v>F 10,5 VP OW</v>
      </c>
      <c r="K15" s="250"/>
      <c r="L15" s="250"/>
      <c r="M15" s="129">
        <f>+K15+'29'!M15+L15</f>
        <v>0</v>
      </c>
      <c r="Q15" s="161">
        <f>480-Q14</f>
        <v>-960</v>
      </c>
      <c r="R15" s="188">
        <f>+R14/Q14</f>
        <v>1210</v>
      </c>
      <c r="S15" s="188">
        <f>+S14/Q14</f>
        <v>1205.7650000000001</v>
      </c>
    </row>
    <row r="16" spans="1:19" ht="13.5" thickBot="1">
      <c r="A16" s="1013"/>
      <c r="B16" s="227" t="s">
        <v>551</v>
      </c>
      <c r="C16" s="233">
        <v>28239</v>
      </c>
      <c r="D16" s="234"/>
      <c r="E16" s="235"/>
      <c r="F16" s="239"/>
      <c r="G16" s="243" t="s">
        <v>12</v>
      </c>
      <c r="H16" s="241" t="s">
        <v>448</v>
      </c>
      <c r="I16" s="1011"/>
      <c r="J16" s="226" t="str">
        <f>+'29'!J16</f>
        <v>F 10,3 VP OW</v>
      </c>
      <c r="K16" s="240"/>
      <c r="L16" s="240"/>
      <c r="M16" s="129">
        <f>+K16+'29'!M16+L16</f>
        <v>112662</v>
      </c>
    </row>
    <row r="17" spans="1:14" ht="13.5" thickBot="1">
      <c r="A17" s="1013"/>
      <c r="B17" s="227"/>
      <c r="C17" s="228"/>
      <c r="D17" s="229"/>
      <c r="E17" s="236"/>
      <c r="F17" s="239">
        <v>12</v>
      </c>
      <c r="G17" s="243" t="s">
        <v>12</v>
      </c>
      <c r="H17" s="574" t="s">
        <v>476</v>
      </c>
      <c r="I17" s="1011"/>
      <c r="J17" s="226" t="str">
        <f>+'29'!J17</f>
        <v>SN 13 VP OW</v>
      </c>
      <c r="K17" s="240"/>
      <c r="L17" s="240"/>
      <c r="M17" s="129">
        <f>+K17+'29'!M17+L17</f>
        <v>132429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798</v>
      </c>
      <c r="I18" s="1011"/>
      <c r="J18" s="226" t="str">
        <f>+'29'!J18</f>
        <v>SN 14 VP OW</v>
      </c>
      <c r="K18" s="250"/>
      <c r="L18" s="250"/>
      <c r="M18" s="129">
        <f>+K18+'29'!M18+L18</f>
        <v>20814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 t="str">
        <f>+'29'!J19</f>
        <v>SN 15 VP OW</v>
      </c>
      <c r="K19" s="250"/>
      <c r="L19" s="250"/>
      <c r="M19" s="129">
        <f>+K19+'29'!M19+L19</f>
        <v>62505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 t="str">
        <f>+'29'!J20</f>
        <v>MG 16 VP HW</v>
      </c>
      <c r="K20" s="251"/>
      <c r="L20" s="251"/>
      <c r="M20" s="129">
        <f>+K20+'29'!M20+L20</f>
        <v>63832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244"/>
      <c r="I21" s="1011"/>
      <c r="J21" s="226">
        <f>+'29'!J21</f>
        <v>0</v>
      </c>
      <c r="K21" s="250"/>
      <c r="L21" s="250"/>
      <c r="M21" s="129">
        <f>+K21+'29'!M21+L21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+'29'!J22</f>
        <v>0</v>
      </c>
      <c r="K22" s="250"/>
      <c r="L22" s="250"/>
      <c r="M22" s="129">
        <f>+K22+'29'!M22+L22</f>
        <v>0</v>
      </c>
    </row>
    <row r="23" spans="1:14" ht="13.5" thickBot="1">
      <c r="A23" s="1014"/>
      <c r="B23" s="180" t="s">
        <v>2</v>
      </c>
      <c r="C23" s="112">
        <f>SUM(C16:C22)</f>
        <v>28239</v>
      </c>
      <c r="D23" s="123">
        <f>SUM(D16:D22)</f>
        <v>0</v>
      </c>
      <c r="E23" s="124">
        <f>SUM(E18:E22)</f>
        <v>0</v>
      </c>
      <c r="F23" s="128">
        <f>SUM(F15:F22)</f>
        <v>12</v>
      </c>
      <c r="G23" s="171"/>
      <c r="H23" s="178"/>
      <c r="I23" s="181"/>
      <c r="J23" s="226">
        <f>+'29'!J23</f>
        <v>0</v>
      </c>
      <c r="K23" s="250"/>
      <c r="L23" s="250"/>
      <c r="M23" s="129">
        <f>+K23+'29'!M23+L23</f>
        <v>0</v>
      </c>
    </row>
    <row r="24" spans="1:14" ht="13.5" customHeight="1" thickBot="1">
      <c r="A24" s="1007" t="s">
        <v>502</v>
      </c>
      <c r="B24" s="182"/>
      <c r="C24" s="125">
        <f>C23/($C$23+$D$23+$E$23)</f>
        <v>1</v>
      </c>
      <c r="D24" s="126">
        <f>D23/($C$23+$D$23+$E$23)</f>
        <v>0</v>
      </c>
      <c r="E24" s="127">
        <f>E23/($C$23+$D$23+$E$23)</f>
        <v>0</v>
      </c>
      <c r="F24" s="247"/>
      <c r="G24" s="240" t="s">
        <v>12</v>
      </c>
      <c r="H24" s="241" t="s">
        <v>492</v>
      </c>
      <c r="I24" s="1010" t="s">
        <v>751</v>
      </c>
      <c r="J24" s="226">
        <f>+'29'!J24</f>
        <v>0</v>
      </c>
      <c r="K24" s="250"/>
      <c r="L24" s="250"/>
      <c r="M24" s="129">
        <f>+K24+'29'!M24+L24</f>
        <v>0</v>
      </c>
    </row>
    <row r="25" spans="1:14" ht="13.5" thickBot="1">
      <c r="A25" s="1013"/>
      <c r="B25" s="227" t="s">
        <v>551</v>
      </c>
      <c r="C25" s="237">
        <v>27045</v>
      </c>
      <c r="D25" s="229">
        <v>392</v>
      </c>
      <c r="E25" s="236"/>
      <c r="F25" s="242"/>
      <c r="G25" s="243" t="s">
        <v>12</v>
      </c>
      <c r="H25" s="241" t="s">
        <v>448</v>
      </c>
      <c r="I25" s="1011"/>
      <c r="J25" s="226">
        <f>+'29'!J25</f>
        <v>0</v>
      </c>
      <c r="K25" s="250"/>
      <c r="L25" s="250"/>
      <c r="M25" s="129">
        <f>+K25+'29'!M25+L25</f>
        <v>0</v>
      </c>
    </row>
    <row r="26" spans="1:14" ht="13.5" thickBot="1">
      <c r="A26" s="1013"/>
      <c r="B26" s="227"/>
      <c r="C26" s="237"/>
      <c r="D26" s="229"/>
      <c r="E26" s="238"/>
      <c r="F26" s="242">
        <v>2</v>
      </c>
      <c r="G26" s="243" t="s">
        <v>12</v>
      </c>
      <c r="H26" s="574" t="s">
        <v>450</v>
      </c>
      <c r="I26" s="1011"/>
      <c r="J26" s="226">
        <f>+'29'!J26</f>
        <v>0</v>
      </c>
      <c r="K26" s="250"/>
      <c r="L26" s="250"/>
      <c r="M26" s="129">
        <f>+K26+'29'!M26+L26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805</v>
      </c>
      <c r="I27" s="1011"/>
      <c r="J27" s="226">
        <f>+'29'!J27</f>
        <v>0</v>
      </c>
      <c r="K27" s="250"/>
      <c r="L27" s="250"/>
      <c r="M27" s="129">
        <f>+K27+'29'!M27+L27</f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+'29'!J28</f>
        <v>0</v>
      </c>
      <c r="K28" s="250"/>
      <c r="L28" s="250"/>
      <c r="M28" s="129">
        <f>+K28+'29'!M28+L28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+'29'!J29</f>
        <v>0</v>
      </c>
      <c r="K29" s="250"/>
      <c r="L29" s="250"/>
      <c r="M29" s="129">
        <f>+K29+'29'!M29+L29</f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+'29'!J30</f>
        <v>0</v>
      </c>
      <c r="K30" s="250"/>
      <c r="L30" s="250"/>
      <c r="M30" s="129">
        <f>+K30+'29'!M30+L30</f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+'29'!J31</f>
        <v>0</v>
      </c>
      <c r="K31" s="250"/>
      <c r="L31" s="250"/>
      <c r="M31" s="129">
        <f>+K31+'29'!M31+L31</f>
        <v>0</v>
      </c>
    </row>
    <row r="32" spans="1:14" ht="13.5" thickBot="1">
      <c r="A32" s="1014"/>
      <c r="B32" s="177" t="s">
        <v>2</v>
      </c>
      <c r="C32" s="111">
        <f>SUM(C25:C31)</f>
        <v>27045</v>
      </c>
      <c r="D32" s="112">
        <f>SUM(D25:D31)</f>
        <v>392</v>
      </c>
      <c r="E32" s="113">
        <f>SUM(E25:E31)</f>
        <v>0</v>
      </c>
      <c r="F32" s="114">
        <f>SUM(F24:F31)</f>
        <v>2</v>
      </c>
      <c r="G32" s="183"/>
      <c r="H32" s="184"/>
      <c r="I32" s="181"/>
      <c r="J32" s="226">
        <f>+'29'!J32</f>
        <v>0</v>
      </c>
      <c r="K32" s="252"/>
      <c r="L32" s="254"/>
      <c r="M32" s="129">
        <f>+K32+'29'!M32+L32</f>
        <v>0</v>
      </c>
    </row>
    <row r="33" spans="1:14" ht="13.5" thickBot="1">
      <c r="A33" s="185"/>
      <c r="B33" s="186"/>
      <c r="C33" s="115">
        <f>C32/($C$32+$D$32+$E$32)</f>
        <v>0.98571272369428142</v>
      </c>
      <c r="D33" s="116">
        <f>D32/($C$32+$D$32+$E$32)</f>
        <v>1.4287276305718554E-2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81028</v>
      </c>
      <c r="D34" s="119">
        <f>D14+D23+D32</f>
        <v>1111</v>
      </c>
      <c r="E34" s="119">
        <f>E14+E23+E32</f>
        <v>0</v>
      </c>
      <c r="F34" s="120">
        <f>F14+F23+F32</f>
        <v>18</v>
      </c>
      <c r="H34" s="190"/>
      <c r="I34" s="190"/>
      <c r="J34" s="135" t="s">
        <v>28</v>
      </c>
      <c r="K34" s="136">
        <f>SUM(K7:K32)</f>
        <v>81028</v>
      </c>
      <c r="L34" s="224">
        <f>SUM(L7:L32)</f>
        <v>0</v>
      </c>
      <c r="M34" s="132">
        <f>SUM(M7:M32)</f>
        <v>1888399</v>
      </c>
      <c r="N34" s="167"/>
    </row>
    <row r="35" spans="1:14" ht="13.5" thickBot="1">
      <c r="A35" s="191"/>
      <c r="B35" s="192"/>
      <c r="C35" s="116">
        <f>C34/($C$34+$D$34+$E$34)</f>
        <v>0.98647414748170781</v>
      </c>
      <c r="D35" s="116">
        <f>D34/($C$34+$D$34+$E$34)</f>
        <v>1.3525852518292164E-2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(17*1440)/1440*G42*2.77*1440/1000000</f>
        <v>81.762442343999993</v>
      </c>
      <c r="J37" s="137">
        <f>+I37+'29'!J37</f>
        <v>2094.0062695240949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18</v>
      </c>
      <c r="D38" s="130">
        <f>+C38+'29'!D38</f>
        <v>1340</v>
      </c>
      <c r="E38" s="155">
        <f t="shared" ref="E38:E51" si="0">D38/60</f>
        <v>22.333333333333332</v>
      </c>
      <c r="F38" s="340">
        <v>1210</v>
      </c>
      <c r="G38" s="340">
        <v>1205.7650000000001</v>
      </c>
      <c r="H38" s="199" t="s">
        <v>65</v>
      </c>
      <c r="I38" s="256">
        <f>24.46+28.333+24.598</f>
        <v>77.390999999999991</v>
      </c>
      <c r="J38" s="139">
        <f>+I38+'29'!J38</f>
        <v>1943.7382220100003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+C39+'29'!D39</f>
        <v>0</v>
      </c>
      <c r="E39" s="155">
        <f t="shared" si="0"/>
        <v>0</v>
      </c>
      <c r="F39" s="340">
        <v>1210</v>
      </c>
      <c r="G39" s="340">
        <v>1205.7650000000001</v>
      </c>
      <c r="H39" s="199" t="s">
        <v>66</v>
      </c>
      <c r="I39" s="154"/>
      <c r="J39" s="141">
        <f>J37/G4</f>
        <v>69.800208984136503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+C40+'29'!D40</f>
        <v>49</v>
      </c>
      <c r="E40" s="155">
        <f t="shared" si="0"/>
        <v>0.81666666666666665</v>
      </c>
      <c r="F40" s="340">
        <v>1210</v>
      </c>
      <c r="G40" s="340">
        <v>1205.7650000000001</v>
      </c>
      <c r="H40" s="199" t="s">
        <v>68</v>
      </c>
      <c r="I40" s="130">
        <f>(K34+L34)/1000</f>
        <v>81.028000000000006</v>
      </c>
      <c r="J40" s="143">
        <f>+I40+'29'!J40</f>
        <v>1888.3989999999999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+C41+'29'!D41</f>
        <v>211</v>
      </c>
      <c r="E41" s="155">
        <f t="shared" si="0"/>
        <v>3.5166666666666666</v>
      </c>
      <c r="F41" s="340"/>
      <c r="G41" s="340"/>
      <c r="H41" s="199" t="s">
        <v>70</v>
      </c>
      <c r="I41" s="154"/>
      <c r="J41" s="141">
        <f>J40/G4</f>
        <v>62.946633333333331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+C42+'29'!D42</f>
        <v>0</v>
      </c>
      <c r="E42" s="155">
        <f t="shared" si="0"/>
        <v>0</v>
      </c>
      <c r="F42" s="340">
        <f>+(F38*480+F39*480+F40*480)/1440</f>
        <v>1210</v>
      </c>
      <c r="G42" s="340">
        <f>+(G38*480+G39*480+G40*480)/1440</f>
        <v>1205.7650000000001</v>
      </c>
      <c r="H42" s="199" t="s">
        <v>71</v>
      </c>
      <c r="I42" s="257" t="s">
        <v>751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+C43+'29'!D43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+Report1!T38</f>
        <v>170.05699999999999</v>
      </c>
      <c r="J43" s="145">
        <f>+I43+'29'!J43</f>
        <v>4220.588999999999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+C44+'29'!D44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2.1973743716969674</v>
      </c>
      <c r="J44" s="146">
        <f>J43/J38</f>
        <v>2.171377273033984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+C45+'29'!D45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2.0987436441723846</v>
      </c>
      <c r="J45" s="146">
        <f>J43/J40</f>
        <v>2.2350091267788215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+C46+'29'!D46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+SUMIF(Listrik!AR37,"&gt;0")</f>
        <v>54019.000000001877</v>
      </c>
      <c r="J46" s="147">
        <f>+I46+'29'!J46</f>
        <v>1626833.3800000008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+C47+'29'!D47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698.00105955475294</v>
      </c>
      <c r="J47" s="147">
        <f>J46/J38</f>
        <v>836.96115123862137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+C48+'29'!D48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666.67078047097141</v>
      </c>
      <c r="J48" s="147">
        <f>J46/J40</f>
        <v>861.48816007634025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+C49+'29'!D49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+I49+'29'!J49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+C50+'29'!D50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+C51+'29'!D51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18</v>
      </c>
      <c r="D52" s="156">
        <f>SUM(D38:D51)</f>
        <v>2548</v>
      </c>
      <c r="E52" s="157">
        <f>SUM(E38:E51)</f>
        <v>42.466666666666661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1.2500000000000001E-2</v>
      </c>
      <c r="D53" s="158">
        <f>D52/(24*60*G4)</f>
        <v>5.8981481481481482E-2</v>
      </c>
      <c r="E53" s="159">
        <f>E52/(G4*24)</f>
        <v>5.8981481481481475E-2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+D34+'29'!J56</f>
        <v>46231</v>
      </c>
      <c r="K56" s="213">
        <f>J56/(J40+J56/1000)/1000</f>
        <v>2.3896559031959599E-2</v>
      </c>
    </row>
    <row r="57" spans="1:11">
      <c r="A57" s="188"/>
      <c r="I57" s="211" t="s">
        <v>90</v>
      </c>
      <c r="J57" s="212">
        <f>+E34+'29'!J57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zoomScale="80" zoomScaleNormal="80" workbookViewId="0">
      <selection activeCell="H19" sqref="H19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29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194+163+197</f>
        <v>554</v>
      </c>
    </row>
    <row r="7" spans="1:18" ht="13.5" customHeight="1" thickBot="1">
      <c r="A7" s="1007" t="s">
        <v>461</v>
      </c>
      <c r="B7" s="227" t="s">
        <v>525</v>
      </c>
      <c r="C7" s="228">
        <v>21773</v>
      </c>
      <c r="D7" s="229">
        <v>562</v>
      </c>
      <c r="E7" s="230"/>
      <c r="F7" s="239"/>
      <c r="G7" s="240" t="s">
        <v>12</v>
      </c>
      <c r="H7" s="241" t="s">
        <v>492</v>
      </c>
      <c r="I7" s="1010" t="s">
        <v>529</v>
      </c>
      <c r="J7" s="226" t="str">
        <f>+'28'!J7</f>
        <v>F 13 VP OW</v>
      </c>
      <c r="K7" s="249"/>
      <c r="L7" s="253"/>
      <c r="M7" s="129">
        <f>+K7+'28'!M7+L7</f>
        <v>224237</v>
      </c>
    </row>
    <row r="8" spans="1:18" ht="13.5" thickBot="1">
      <c r="A8" s="1008"/>
      <c r="B8" s="227"/>
      <c r="C8" s="228"/>
      <c r="D8" s="229"/>
      <c r="E8" s="231"/>
      <c r="F8" s="242"/>
      <c r="G8" s="243" t="s">
        <v>12</v>
      </c>
      <c r="H8" s="241" t="s">
        <v>448</v>
      </c>
      <c r="I8" s="1011"/>
      <c r="J8" s="226" t="str">
        <f>+'28'!J8</f>
        <v>MG 15,5 VP OW</v>
      </c>
      <c r="K8" s="250"/>
      <c r="L8" s="250"/>
      <c r="M8" s="129">
        <f>+K8+'28'!M8+L8</f>
        <v>40782</v>
      </c>
      <c r="N8" s="161">
        <v>1220</v>
      </c>
      <c r="O8" s="161">
        <f>+N8-N8*0.0035</f>
        <v>1215.73</v>
      </c>
      <c r="P8" s="161">
        <f>480+420</f>
        <v>900</v>
      </c>
    </row>
    <row r="9" spans="1:18" ht="13.5" thickBot="1">
      <c r="A9" s="1008"/>
      <c r="B9" s="227"/>
      <c r="C9" s="228"/>
      <c r="D9" s="229"/>
      <c r="E9" s="232"/>
      <c r="F9" s="239">
        <v>2</v>
      </c>
      <c r="G9" s="243" t="s">
        <v>12</v>
      </c>
      <c r="H9" s="574" t="s">
        <v>447</v>
      </c>
      <c r="I9" s="1011"/>
      <c r="J9" s="226" t="str">
        <f>+'28'!J9</f>
        <v>MG 16,5 VP HW/OW</v>
      </c>
      <c r="K9" s="250"/>
      <c r="L9" s="250"/>
      <c r="M9" s="129">
        <f>+K9+'28'!M9+L9</f>
        <v>166590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791</v>
      </c>
      <c r="I10" s="1011"/>
      <c r="J10" s="226" t="str">
        <f>+'28'!J10</f>
        <v>MG 17 VP HW</v>
      </c>
      <c r="K10" s="250">
        <f>+C26</f>
        <v>18337</v>
      </c>
      <c r="L10" s="250"/>
      <c r="M10" s="129">
        <f>+K10+'28'!M10+L10</f>
        <v>567932</v>
      </c>
    </row>
    <row r="11" spans="1:18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tr">
        <f>+'28'!J11</f>
        <v>MG 14 VP OW/HW</v>
      </c>
      <c r="K11" s="250">
        <f>+C7+C16+C25</f>
        <v>47503</v>
      </c>
      <c r="L11" s="250"/>
      <c r="M11" s="129">
        <f>+K11+'28'!M11+L11</f>
        <v>319057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+'28'!J12</f>
        <v>MG 19 VP HW</v>
      </c>
      <c r="K12" s="250"/>
      <c r="L12" s="250"/>
      <c r="M12" s="129">
        <f>+K12+'28'!M12+L12</f>
        <v>20052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+'28'!J13</f>
        <v>MG 17 VP OW</v>
      </c>
      <c r="K13" s="250"/>
      <c r="L13" s="250"/>
      <c r="M13" s="129">
        <f>+K13+'28'!M13+L13</f>
        <v>11412</v>
      </c>
    </row>
    <row r="14" spans="1:18" ht="13.5" thickBot="1">
      <c r="A14" s="1009"/>
      <c r="B14" s="177" t="s">
        <v>2</v>
      </c>
      <c r="C14" s="111">
        <f>SUM(C7:C13)</f>
        <v>21773</v>
      </c>
      <c r="D14" s="123">
        <f>SUM(D7:D13)</f>
        <v>562</v>
      </c>
      <c r="E14" s="124">
        <f>SUM(E5:E13)</f>
        <v>0</v>
      </c>
      <c r="F14" s="128">
        <f>SUM(F7:F13)</f>
        <v>2</v>
      </c>
      <c r="G14" s="171"/>
      <c r="H14" s="178"/>
      <c r="I14" s="179"/>
      <c r="J14" s="226" t="str">
        <f>+'28'!J14</f>
        <v>MG 21,5 VP OW</v>
      </c>
      <c r="K14" s="250"/>
      <c r="L14" s="250"/>
      <c r="M14" s="129">
        <f>+K14+'28'!M14+L14</f>
        <v>65067</v>
      </c>
    </row>
    <row r="15" spans="1:18" ht="13.5" customHeight="1" thickBot="1">
      <c r="A15" s="1007" t="s">
        <v>463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777</v>
      </c>
      <c r="J15" s="226" t="str">
        <f>+'28'!J15</f>
        <v>F 10,5 VP OW</v>
      </c>
      <c r="K15" s="250"/>
      <c r="L15" s="250"/>
      <c r="M15" s="129">
        <f>+K15+'28'!M15+L15</f>
        <v>0</v>
      </c>
    </row>
    <row r="16" spans="1:18" ht="13.5" thickBot="1">
      <c r="A16" s="1013"/>
      <c r="B16" s="227" t="s">
        <v>525</v>
      </c>
      <c r="C16" s="233">
        <v>21188</v>
      </c>
      <c r="D16" s="234">
        <v>508</v>
      </c>
      <c r="E16" s="235"/>
      <c r="F16" s="239"/>
      <c r="G16" s="243" t="s">
        <v>12</v>
      </c>
      <c r="H16" s="241" t="s">
        <v>448</v>
      </c>
      <c r="I16" s="1011"/>
      <c r="J16" s="226" t="str">
        <f>+'28'!J16</f>
        <v>F 10,3 VP OW</v>
      </c>
      <c r="K16" s="240"/>
      <c r="L16" s="240"/>
      <c r="M16" s="129">
        <f>+K16+'28'!M16+L16</f>
        <v>112662</v>
      </c>
      <c r="N16" s="161">
        <v>1220</v>
      </c>
      <c r="O16" s="161">
        <f>+N16-N16*0.0035</f>
        <v>1215.73</v>
      </c>
      <c r="P16" s="161">
        <v>420</v>
      </c>
      <c r="Q16" s="161">
        <f>+N16*P16</f>
        <v>512400</v>
      </c>
      <c r="R16" s="161">
        <f>+O16*P16</f>
        <v>510606.60000000003</v>
      </c>
    </row>
    <row r="17" spans="1:18" ht="13.5" thickBot="1">
      <c r="A17" s="1013"/>
      <c r="B17" s="227"/>
      <c r="C17" s="228"/>
      <c r="D17" s="229"/>
      <c r="E17" s="236"/>
      <c r="F17" s="239">
        <v>7</v>
      </c>
      <c r="G17" s="243" t="s">
        <v>12</v>
      </c>
      <c r="H17" s="574" t="s">
        <v>447</v>
      </c>
      <c r="I17" s="1011"/>
      <c r="J17" s="226" t="str">
        <f>+'28'!J17</f>
        <v>SN 13 VP OW</v>
      </c>
      <c r="K17" s="240"/>
      <c r="L17" s="240"/>
      <c r="M17" s="129">
        <f>+K17+'28'!M17+L17</f>
        <v>132429</v>
      </c>
      <c r="N17" s="161">
        <v>1210</v>
      </c>
      <c r="O17" s="161">
        <f>+N17-N17*0.0035</f>
        <v>1205.7650000000001</v>
      </c>
      <c r="P17" s="161">
        <v>60</v>
      </c>
      <c r="Q17" s="161">
        <f>+N17*P17</f>
        <v>72600</v>
      </c>
      <c r="R17" s="161">
        <f>+O17*P17</f>
        <v>72345.900000000009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791</v>
      </c>
      <c r="I18" s="1011"/>
      <c r="J18" s="226" t="str">
        <f>+'28'!J18</f>
        <v>SN 14 VP OW</v>
      </c>
      <c r="K18" s="250"/>
      <c r="L18" s="250"/>
      <c r="M18" s="129">
        <f>+K18+'28'!M18+L18</f>
        <v>20814</v>
      </c>
      <c r="P18" s="161">
        <f>SUM(P16:P17)</f>
        <v>480</v>
      </c>
      <c r="Q18" s="161">
        <f>SUM(Q16:Q17)</f>
        <v>585000</v>
      </c>
      <c r="R18" s="161">
        <f>SUM(R16:R17)</f>
        <v>582952.5</v>
      </c>
    </row>
    <row r="19" spans="1:18" ht="13.5" thickBot="1">
      <c r="A19" s="1013"/>
      <c r="B19" s="227"/>
      <c r="C19" s="228"/>
      <c r="D19" s="229"/>
      <c r="E19" s="236"/>
      <c r="F19" s="246"/>
      <c r="G19" s="243"/>
      <c r="H19" s="244" t="s">
        <v>797</v>
      </c>
      <c r="I19" s="1011"/>
      <c r="J19" s="226" t="str">
        <f>+'28'!J19</f>
        <v>SN 15 VP OW</v>
      </c>
      <c r="K19" s="250"/>
      <c r="L19" s="250"/>
      <c r="M19" s="129">
        <f>+K19+'28'!M19+L19</f>
        <v>62505</v>
      </c>
      <c r="Q19" s="161">
        <f>+Q18/P18</f>
        <v>1218.75</v>
      </c>
      <c r="R19" s="161">
        <f>+R18/P18</f>
        <v>1214.484375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 t="str">
        <f>+'28'!J20</f>
        <v>MG 16 VP HW</v>
      </c>
      <c r="K20" s="251"/>
      <c r="L20" s="251"/>
      <c r="M20" s="129">
        <f>+K20+'28'!M20+L20</f>
        <v>63832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+'28'!J21</f>
        <v>0</v>
      </c>
      <c r="K21" s="250"/>
      <c r="L21" s="250"/>
      <c r="M21" s="129">
        <f>+K21+'28'!M21+L21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+'28'!J22</f>
        <v>0</v>
      </c>
      <c r="K22" s="250"/>
      <c r="L22" s="250"/>
      <c r="M22" s="129">
        <f>+K22+'28'!M22+L22</f>
        <v>0</v>
      </c>
    </row>
    <row r="23" spans="1:18" ht="13.5" thickBot="1">
      <c r="A23" s="1014"/>
      <c r="B23" s="180" t="s">
        <v>2</v>
      </c>
      <c r="C23" s="112">
        <f>SUM(C16:C22)</f>
        <v>21188</v>
      </c>
      <c r="D23" s="123">
        <f>SUM(D16:D22)</f>
        <v>508</v>
      </c>
      <c r="E23" s="124">
        <f>SUM(E18:E22)</f>
        <v>0</v>
      </c>
      <c r="F23" s="128">
        <f>SUM(F15:F22)</f>
        <v>7</v>
      </c>
      <c r="G23" s="171"/>
      <c r="H23" s="178" t="s">
        <v>237</v>
      </c>
      <c r="I23" s="181"/>
      <c r="J23" s="226">
        <f>+'28'!J23</f>
        <v>0</v>
      </c>
      <c r="K23" s="250"/>
      <c r="L23" s="250"/>
      <c r="M23" s="129">
        <f>+K23+'28'!M23+L23</f>
        <v>0</v>
      </c>
    </row>
    <row r="24" spans="1:18" ht="13.5" customHeight="1" thickBot="1">
      <c r="A24" s="1007" t="s">
        <v>502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742</v>
      </c>
      <c r="J24" s="226">
        <f>+'28'!J24</f>
        <v>0</v>
      </c>
      <c r="K24" s="250"/>
      <c r="L24" s="250"/>
      <c r="M24" s="129">
        <f>+K24+'28'!M24+L24</f>
        <v>0</v>
      </c>
    </row>
    <row r="25" spans="1:18" ht="13.5" customHeight="1" thickBot="1">
      <c r="A25" s="1013"/>
      <c r="B25" s="227" t="s">
        <v>525</v>
      </c>
      <c r="C25" s="237">
        <f>1395+3147</f>
        <v>4542</v>
      </c>
      <c r="D25" s="229">
        <f>129+186</f>
        <v>315</v>
      </c>
      <c r="E25" s="236"/>
      <c r="F25" s="242"/>
      <c r="G25" s="243" t="s">
        <v>12</v>
      </c>
      <c r="H25" s="241" t="s">
        <v>448</v>
      </c>
      <c r="I25" s="1011"/>
      <c r="J25" s="226">
        <f>+'28'!J25</f>
        <v>0</v>
      </c>
      <c r="K25" s="250"/>
      <c r="L25" s="250"/>
      <c r="M25" s="129">
        <f>+K25+'28'!M25+L25</f>
        <v>0</v>
      </c>
      <c r="N25" s="161">
        <v>1210</v>
      </c>
      <c r="O25" s="161">
        <f>+N25-N25*0.0035</f>
        <v>1205.7650000000001</v>
      </c>
      <c r="P25" s="161">
        <f>480+60</f>
        <v>540</v>
      </c>
    </row>
    <row r="26" spans="1:18" ht="13.5" customHeight="1" thickBot="1">
      <c r="A26" s="1013"/>
      <c r="B26" s="227" t="s">
        <v>507</v>
      </c>
      <c r="C26" s="237">
        <v>18337</v>
      </c>
      <c r="D26" s="229">
        <v>1899</v>
      </c>
      <c r="E26" s="238"/>
      <c r="F26" s="242">
        <v>6</v>
      </c>
      <c r="G26" s="243" t="s">
        <v>12</v>
      </c>
      <c r="H26" s="574" t="s">
        <v>447</v>
      </c>
      <c r="I26" s="1011"/>
      <c r="J26" s="226">
        <f>+'28'!J26</f>
        <v>0</v>
      </c>
      <c r="K26" s="250"/>
      <c r="L26" s="250"/>
      <c r="M26" s="129">
        <f>+K26+'28'!M26+L26</f>
        <v>0</v>
      </c>
    </row>
    <row r="27" spans="1:18" ht="13.5" customHeight="1" thickBot="1">
      <c r="A27" s="1013"/>
      <c r="B27" s="227"/>
      <c r="C27" s="228"/>
      <c r="D27" s="229"/>
      <c r="E27" s="236"/>
      <c r="F27" s="242"/>
      <c r="G27" s="243"/>
      <c r="H27" s="574" t="s">
        <v>798</v>
      </c>
      <c r="I27" s="1011"/>
      <c r="J27" s="226">
        <f>+'28'!J27</f>
        <v>0</v>
      </c>
      <c r="K27" s="250"/>
      <c r="L27" s="250"/>
      <c r="M27" s="129">
        <f>+K27+'28'!M27+L27</f>
        <v>0</v>
      </c>
    </row>
    <row r="28" spans="1:18" ht="13.5" thickBot="1">
      <c r="A28" s="1013"/>
      <c r="B28" s="227"/>
      <c r="C28" s="228"/>
      <c r="D28" s="229"/>
      <c r="E28" s="236"/>
      <c r="F28" s="242">
        <v>30</v>
      </c>
      <c r="G28" s="243" t="s">
        <v>69</v>
      </c>
      <c r="H28" s="244" t="s">
        <v>799</v>
      </c>
      <c r="I28" s="1011"/>
      <c r="J28" s="226">
        <f>+'28'!J28</f>
        <v>0</v>
      </c>
      <c r="K28" s="250"/>
      <c r="L28" s="250"/>
      <c r="M28" s="129">
        <f>+K28+'28'!M28+L28</f>
        <v>0</v>
      </c>
    </row>
    <row r="29" spans="1:18" ht="13.5" customHeight="1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+'28'!J29</f>
        <v>0</v>
      </c>
      <c r="K29" s="250"/>
      <c r="L29" s="250"/>
      <c r="M29" s="129">
        <f>+K29+'28'!M29+L29</f>
        <v>0</v>
      </c>
    </row>
    <row r="30" spans="1:18" ht="13.5" customHeight="1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+'28'!J30</f>
        <v>0</v>
      </c>
      <c r="K30" s="250"/>
      <c r="L30" s="250"/>
      <c r="M30" s="129">
        <f>+K30+'28'!M30+L30</f>
        <v>0</v>
      </c>
      <c r="N30" s="167"/>
    </row>
    <row r="31" spans="1:18" ht="13.5" customHeight="1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+'28'!J31</f>
        <v>0</v>
      </c>
      <c r="K31" s="250"/>
      <c r="L31" s="250"/>
      <c r="M31" s="129">
        <f>+K31+'28'!M31+L31</f>
        <v>0</v>
      </c>
    </row>
    <row r="32" spans="1:18" ht="13.5" customHeight="1" thickBot="1">
      <c r="A32" s="1014"/>
      <c r="B32" s="177" t="s">
        <v>2</v>
      </c>
      <c r="C32" s="111">
        <f>SUM(C25:C31)</f>
        <v>22879</v>
      </c>
      <c r="D32" s="112">
        <f>SUM(D25:D31)</f>
        <v>2214</v>
      </c>
      <c r="E32" s="113">
        <f>SUM(E25:E31)</f>
        <v>0</v>
      </c>
      <c r="F32" s="114">
        <f>SUM(F24:F31)</f>
        <v>36</v>
      </c>
      <c r="G32" s="183"/>
      <c r="H32" s="184"/>
      <c r="I32" s="181"/>
      <c r="J32" s="226">
        <f>+'28'!J32</f>
        <v>0</v>
      </c>
      <c r="K32" s="252"/>
      <c r="L32" s="254"/>
      <c r="M32" s="129">
        <f>+K32+'28'!M32+L32</f>
        <v>0</v>
      </c>
    </row>
    <row r="33" spans="1:14" ht="13.5" thickBot="1">
      <c r="A33" s="185"/>
      <c r="B33" s="186"/>
      <c r="C33" s="115">
        <f>C32/($C$32+$D$32+$E$32)</f>
        <v>0.91176822221336629</v>
      </c>
      <c r="D33" s="116">
        <f>D32/($C$32+$D$32+$E$32)</f>
        <v>8.8231777786633728E-2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65840</v>
      </c>
      <c r="D34" s="119">
        <f>D14+D23+D32</f>
        <v>3284</v>
      </c>
      <c r="E34" s="119">
        <f>E14+E23+E32</f>
        <v>0</v>
      </c>
      <c r="F34" s="120">
        <f>F14+F23+F32</f>
        <v>45</v>
      </c>
      <c r="H34" s="190"/>
      <c r="I34" s="190"/>
      <c r="J34" s="135" t="s">
        <v>28</v>
      </c>
      <c r="K34" s="136">
        <f>SUM(K7:K32)</f>
        <v>65840</v>
      </c>
      <c r="L34" s="224">
        <f>SUM(L7:L32)</f>
        <v>0</v>
      </c>
      <c r="M34" s="132">
        <f>SUM(M7:M32)</f>
        <v>1807371</v>
      </c>
      <c r="N34" s="167"/>
    </row>
    <row r="35" spans="1:14" ht="13.5" thickBot="1">
      <c r="A35" s="191"/>
      <c r="B35" s="192"/>
      <c r="C35" s="116">
        <f>C34/($C$34+$D$34+$E$34)</f>
        <v>0.95249117527920835</v>
      </c>
      <c r="D35" s="116">
        <f>D34/($C$34+$D$34+$E$34)</f>
        <v>4.7508824720791619E-2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(14*900+17*540)/1440*G42*2.77*1440/1000000</f>
        <v>73.120272427125002</v>
      </c>
      <c r="J37" s="137">
        <f>+I37+'28'!J37</f>
        <v>2012.243827180095</v>
      </c>
      <c r="K37" s="138" t="s">
        <v>64</v>
      </c>
      <c r="L37" s="567">
        <f>23.772+22.807</f>
        <v>46.578999999999994</v>
      </c>
    </row>
    <row r="38" spans="1:14" ht="17.45" customHeight="1">
      <c r="A38" s="1005" t="s">
        <v>12</v>
      </c>
      <c r="B38" s="1006"/>
      <c r="C38" s="176">
        <f>SUMIF($G$7:$G$31,"Process",$F$7:$F$31)</f>
        <v>15</v>
      </c>
      <c r="D38" s="130">
        <f>+C38+'28'!D38</f>
        <v>1322</v>
      </c>
      <c r="E38" s="155">
        <f t="shared" ref="E38:E51" si="0">D38/60</f>
        <v>22.033333333333335</v>
      </c>
      <c r="F38" s="340">
        <v>1220</v>
      </c>
      <c r="G38" s="340">
        <v>1215.73</v>
      </c>
      <c r="H38" s="199" t="s">
        <v>65</v>
      </c>
      <c r="I38" s="549">
        <f>23.772+22.807+26.531</f>
        <v>73.109999999999985</v>
      </c>
      <c r="J38" s="139">
        <f>+I38+'28'!J38</f>
        <v>1866.3472220100002</v>
      </c>
      <c r="K38" s="140" t="s">
        <v>64</v>
      </c>
      <c r="L38" s="558">
        <v>26.530999999999999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+C39+'28'!D39</f>
        <v>0</v>
      </c>
      <c r="E39" s="155">
        <f t="shared" si="0"/>
        <v>0</v>
      </c>
      <c r="F39" s="340">
        <v>1218.75</v>
      </c>
      <c r="G39" s="340">
        <v>1214.484375</v>
      </c>
      <c r="H39" s="199" t="s">
        <v>66</v>
      </c>
      <c r="I39" s="154"/>
      <c r="J39" s="141">
        <f>J37/G4</f>
        <v>69.38771817862397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+C40+'28'!D40</f>
        <v>49</v>
      </c>
      <c r="E40" s="155">
        <f t="shared" si="0"/>
        <v>0.81666666666666665</v>
      </c>
      <c r="F40" s="340">
        <v>1210</v>
      </c>
      <c r="G40" s="340">
        <v>1205.7650000000001</v>
      </c>
      <c r="H40" s="199" t="s">
        <v>68</v>
      </c>
      <c r="I40" s="130">
        <f>(K34+L34)/1000</f>
        <v>65.84</v>
      </c>
      <c r="J40" s="143">
        <f>+I40+'28'!J40</f>
        <v>1807.3709999999999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30</v>
      </c>
      <c r="D41" s="130">
        <f>+C41+'28'!D41</f>
        <v>211</v>
      </c>
      <c r="E41" s="155">
        <f t="shared" si="0"/>
        <v>3.5166666666666666</v>
      </c>
      <c r="F41" s="340"/>
      <c r="G41" s="340"/>
      <c r="H41" s="199" t="s">
        <v>70</v>
      </c>
      <c r="I41" s="154"/>
      <c r="J41" s="141">
        <f>J40/G4</f>
        <v>62.323137931034481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+C42+'28'!D42</f>
        <v>0</v>
      </c>
      <c r="E42" s="155">
        <f t="shared" si="0"/>
        <v>0</v>
      </c>
      <c r="F42" s="340">
        <f>+(F38*480+F39*480+F40*480)/1440</f>
        <v>1216.25</v>
      </c>
      <c r="G42" s="340">
        <f>+(G38*480+G39*480+G40*480)/1440</f>
        <v>1211.993125</v>
      </c>
      <c r="H42" s="199" t="s">
        <v>71</v>
      </c>
      <c r="I42" s="257" t="s">
        <v>800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+C43+'28'!D43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+Report1!T37</f>
        <v>154.93899999999999</v>
      </c>
      <c r="J43" s="145">
        <f>+I43+'28'!J43</f>
        <v>4050.5319999999992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+C44+'28'!D44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2.1192586513472853</v>
      </c>
      <c r="J44" s="146">
        <f>J43/J38</f>
        <v>2.1702992627693884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+C45+'28'!D45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2.3532654921020653</v>
      </c>
      <c r="J45" s="146">
        <f>J43/J40</f>
        <v>2.2411181766222872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+C46+'28'!D46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+SUMIF(Listrik!AR36,"&gt;0")</f>
        <v>54550.999999999578</v>
      </c>
      <c r="J46" s="147">
        <f>+I46+'28'!J46</f>
        <v>1572814.379999999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+C47+'28'!D47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746.14963753247969</v>
      </c>
      <c r="J47" s="147">
        <f>J46/J38</f>
        <v>842.72334828785222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+C48+'28'!D48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828.53888213851121</v>
      </c>
      <c r="J48" s="147">
        <f>J46/J40</f>
        <v>870.22220673010634</v>
      </c>
      <c r="K48" s="142" t="s">
        <v>24</v>
      </c>
    </row>
    <row r="49" spans="1:11" ht="17.45" customHeight="1">
      <c r="A49" s="1019" t="s">
        <v>20</v>
      </c>
      <c r="B49" s="1002"/>
      <c r="C49" s="176">
        <f>SUMIF($G$7:$G$31,"Others",$F$7:$F$31)</f>
        <v>0</v>
      </c>
      <c r="D49" s="130">
        <f>+C49+'28'!D49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+I49+'28'!J49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+C50+'28'!D50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+C51+'28'!D51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45</v>
      </c>
      <c r="D52" s="156">
        <f>SUM(D38:D51)</f>
        <v>2530</v>
      </c>
      <c r="E52" s="157">
        <f>SUM(E38:E51)</f>
        <v>42.166666666666664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3.125E-2</v>
      </c>
      <c r="D53" s="158">
        <f>D52/(24*60*G4)</f>
        <v>6.0584291187739461E-2</v>
      </c>
      <c r="E53" s="159">
        <f>E52/(G4*24)</f>
        <v>6.0584291187739461E-2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+D34+'28'!J56</f>
        <v>45120</v>
      </c>
      <c r="K56" s="213">
        <f>J56/(J40+J56/1000)/1000</f>
        <v>2.435639363430106E-2</v>
      </c>
    </row>
    <row r="57" spans="1:11">
      <c r="A57" s="188"/>
      <c r="I57" s="211" t="s">
        <v>90</v>
      </c>
      <c r="J57" s="212">
        <f>+E34+'28'!J57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5.425781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28</v>
      </c>
      <c r="H4" s="166" t="str">
        <f>+'1'!H4</f>
        <v>.12.25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187+183+182</f>
        <v>552</v>
      </c>
    </row>
    <row r="7" spans="1:15" ht="13.5" customHeight="1" thickBot="1">
      <c r="A7" s="1007" t="s">
        <v>461</v>
      </c>
      <c r="B7" s="227" t="s">
        <v>525</v>
      </c>
      <c r="C7" s="228">
        <v>21733</v>
      </c>
      <c r="D7" s="229">
        <v>129</v>
      </c>
      <c r="E7" s="230"/>
      <c r="F7" s="239"/>
      <c r="G7" s="240" t="s">
        <v>12</v>
      </c>
      <c r="H7" s="241" t="s">
        <v>492</v>
      </c>
      <c r="I7" s="1010" t="s">
        <v>529</v>
      </c>
      <c r="J7" s="226" t="str">
        <f>+'27'!J7</f>
        <v>F 13 VP OW</v>
      </c>
      <c r="K7" s="249"/>
      <c r="L7" s="253"/>
      <c r="M7" s="129">
        <f>+K7+'27'!M7+L7</f>
        <v>224237</v>
      </c>
    </row>
    <row r="8" spans="1:15" ht="13.5" thickBot="1">
      <c r="A8" s="1008"/>
      <c r="B8" s="227"/>
      <c r="C8" s="228"/>
      <c r="D8" s="229"/>
      <c r="E8" s="231"/>
      <c r="F8" s="242"/>
      <c r="G8" s="243" t="s">
        <v>12</v>
      </c>
      <c r="H8" s="241" t="s">
        <v>448</v>
      </c>
      <c r="I8" s="1011"/>
      <c r="J8" s="226" t="str">
        <f>+'27'!J8</f>
        <v>MG 15,5 VP OW</v>
      </c>
      <c r="K8" s="250"/>
      <c r="L8" s="250"/>
      <c r="M8" s="129">
        <f>+K8+'27'!M8+L8</f>
        <v>40782</v>
      </c>
      <c r="N8" s="161">
        <v>1220</v>
      </c>
      <c r="O8" s="161">
        <f>+N8-N8*0.0035</f>
        <v>1215.73</v>
      </c>
    </row>
    <row r="9" spans="1:15" ht="13.5" thickBot="1">
      <c r="A9" s="1008"/>
      <c r="B9" s="227"/>
      <c r="C9" s="228"/>
      <c r="D9" s="229"/>
      <c r="E9" s="232"/>
      <c r="F9" s="239">
        <v>10</v>
      </c>
      <c r="G9" s="243" t="s">
        <v>12</v>
      </c>
      <c r="H9" s="574" t="s">
        <v>447</v>
      </c>
      <c r="I9" s="1011"/>
      <c r="J9" s="226" t="str">
        <f>+'27'!J9</f>
        <v>MG 16,5 VP HW/OW</v>
      </c>
      <c r="K9" s="250"/>
      <c r="L9" s="250"/>
      <c r="M9" s="129">
        <f>+K9+'27'!M9+L9</f>
        <v>166590</v>
      </c>
      <c r="N9" s="161">
        <v>1220</v>
      </c>
      <c r="O9" s="161">
        <f>+N9-N9*0.0035</f>
        <v>1215.73</v>
      </c>
    </row>
    <row r="10" spans="1:15" ht="13.5" thickBot="1">
      <c r="A10" s="1008"/>
      <c r="B10" s="227"/>
      <c r="C10" s="228"/>
      <c r="D10" s="229"/>
      <c r="E10" s="231"/>
      <c r="F10" s="239"/>
      <c r="G10" s="243"/>
      <c r="H10" s="574" t="s">
        <v>791</v>
      </c>
      <c r="I10" s="1011"/>
      <c r="J10" s="226" t="str">
        <f>+'27'!J10</f>
        <v>MG 17 VP HW</v>
      </c>
      <c r="K10" s="250"/>
      <c r="L10" s="250"/>
      <c r="M10" s="129">
        <f>+K10+'27'!M10+L10</f>
        <v>549595</v>
      </c>
      <c r="N10" s="161">
        <v>1220</v>
      </c>
      <c r="O10" s="161">
        <f>+N10-N10*0.0035</f>
        <v>1215.73</v>
      </c>
    </row>
    <row r="11" spans="1:15" ht="13.5" thickBot="1">
      <c r="A11" s="1008"/>
      <c r="B11" s="227"/>
      <c r="C11" s="228"/>
      <c r="D11" s="229"/>
      <c r="E11" s="231"/>
      <c r="F11" s="239"/>
      <c r="G11" s="243"/>
      <c r="H11" s="244" t="s">
        <v>792</v>
      </c>
      <c r="I11" s="1011"/>
      <c r="J11" s="226" t="str">
        <f>+'27'!J11</f>
        <v>MG 14 VP OW/HW</v>
      </c>
      <c r="K11" s="250">
        <f>+C34</f>
        <v>67025</v>
      </c>
      <c r="L11" s="250"/>
      <c r="M11" s="129">
        <f>+K11+'27'!M11+L11</f>
        <v>271554</v>
      </c>
    </row>
    <row r="12" spans="1:15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+'27'!J12</f>
        <v>MG 19 VP HW</v>
      </c>
      <c r="K12" s="250"/>
      <c r="L12" s="250"/>
      <c r="M12" s="129">
        <f>+K12+'27'!M12+L12</f>
        <v>20052</v>
      </c>
    </row>
    <row r="13" spans="1:15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+'27'!J13</f>
        <v>MG 17 VP OW</v>
      </c>
      <c r="K13" s="250"/>
      <c r="L13" s="250"/>
      <c r="M13" s="129">
        <f>+K13+'27'!M13+L13</f>
        <v>11412</v>
      </c>
    </row>
    <row r="14" spans="1:15" ht="13.5" thickBot="1">
      <c r="A14" s="1009"/>
      <c r="B14" s="177" t="s">
        <v>2</v>
      </c>
      <c r="C14" s="111">
        <f>SUM(C7:C13)</f>
        <v>21733</v>
      </c>
      <c r="D14" s="123">
        <f>SUM(D7:D13)</f>
        <v>129</v>
      </c>
      <c r="E14" s="124">
        <f>SUM(E5:E13)</f>
        <v>0</v>
      </c>
      <c r="F14" s="128">
        <f>SUM(F7:F13)</f>
        <v>10</v>
      </c>
      <c r="G14" s="171"/>
      <c r="H14" s="178"/>
      <c r="I14" s="179"/>
      <c r="J14" s="226" t="str">
        <f>+'27'!J14</f>
        <v>MG 21,5 VP OW</v>
      </c>
      <c r="K14" s="250"/>
      <c r="L14" s="250"/>
      <c r="M14" s="129">
        <f>+K14+'27'!M14+L14</f>
        <v>65067</v>
      </c>
    </row>
    <row r="15" spans="1:15" ht="13.5" customHeight="1" thickBot="1">
      <c r="A15" s="1007" t="s">
        <v>753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529</v>
      </c>
      <c r="J15" s="226" t="str">
        <f>+'27'!J15</f>
        <v>F 10,5 VP OW</v>
      </c>
      <c r="K15" s="250"/>
      <c r="L15" s="250"/>
      <c r="M15" s="129">
        <f>+K15+'27'!M15+L15</f>
        <v>0</v>
      </c>
    </row>
    <row r="16" spans="1:15" ht="13.5" thickBot="1">
      <c r="A16" s="1013"/>
      <c r="B16" s="227" t="s">
        <v>525</v>
      </c>
      <c r="C16" s="233">
        <v>22283</v>
      </c>
      <c r="D16" s="234"/>
      <c r="E16" s="235"/>
      <c r="F16" s="239"/>
      <c r="G16" s="243" t="s">
        <v>12</v>
      </c>
      <c r="H16" s="241" t="s">
        <v>448</v>
      </c>
      <c r="I16" s="1011"/>
      <c r="J16" s="226" t="str">
        <f>+'27'!J16</f>
        <v>F 10,3 VP OW</v>
      </c>
      <c r="K16" s="240"/>
      <c r="L16" s="240"/>
      <c r="M16" s="129">
        <f>+K16+'27'!M16+L16</f>
        <v>112662</v>
      </c>
    </row>
    <row r="17" spans="1:14" ht="13.5" thickBot="1">
      <c r="A17" s="1013"/>
      <c r="B17" s="227"/>
      <c r="C17" s="228"/>
      <c r="D17" s="229"/>
      <c r="E17" s="236"/>
      <c r="F17" s="239">
        <v>7</v>
      </c>
      <c r="G17" s="243" t="s">
        <v>12</v>
      </c>
      <c r="H17" s="574" t="s">
        <v>447</v>
      </c>
      <c r="I17" s="1011"/>
      <c r="J17" s="226" t="str">
        <f>+'27'!J17</f>
        <v>SN 13 VP OW</v>
      </c>
      <c r="K17" s="240"/>
      <c r="L17" s="240"/>
      <c r="M17" s="129">
        <f>+K17+'27'!M17+L17</f>
        <v>132429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791</v>
      </c>
      <c r="I18" s="1011"/>
      <c r="J18" s="226" t="str">
        <f>+'27'!J18</f>
        <v>SN 14 VP OW</v>
      </c>
      <c r="K18" s="250"/>
      <c r="L18" s="250"/>
      <c r="M18" s="129">
        <f>+K18+'27'!M18+L18</f>
        <v>20814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 t="str">
        <f>+'27'!J19</f>
        <v>SN 15 VP OW</v>
      </c>
      <c r="K19" s="250"/>
      <c r="L19" s="250"/>
      <c r="M19" s="129">
        <f>+K19+'27'!M19+L19</f>
        <v>62505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 t="str">
        <f>+'27'!J20</f>
        <v>MG 16 VP HW</v>
      </c>
      <c r="K20" s="251"/>
      <c r="L20" s="251"/>
      <c r="M20" s="129">
        <f>+K20+'27'!M20+L20</f>
        <v>63832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+'27'!J21</f>
        <v>0</v>
      </c>
      <c r="K21" s="250"/>
      <c r="L21" s="250"/>
      <c r="M21" s="129">
        <f>+K21+'27'!M21+L21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+'27'!J22</f>
        <v>0</v>
      </c>
      <c r="K22" s="250"/>
      <c r="L22" s="250"/>
      <c r="M22" s="129">
        <f>+K22+'27'!M22+L22</f>
        <v>0</v>
      </c>
    </row>
    <row r="23" spans="1:14" ht="13.5" thickBot="1">
      <c r="A23" s="1014"/>
      <c r="B23" s="180" t="s">
        <v>2</v>
      </c>
      <c r="C23" s="112">
        <f>SUM(C16:C22)</f>
        <v>22283</v>
      </c>
      <c r="D23" s="123">
        <f>SUM(D16:D22)</f>
        <v>0</v>
      </c>
      <c r="E23" s="124">
        <f>SUM(E18:E22)</f>
        <v>0</v>
      </c>
      <c r="F23" s="128">
        <f>SUM(F15:F22)</f>
        <v>7</v>
      </c>
      <c r="G23" s="171"/>
      <c r="H23" s="178" t="s">
        <v>237</v>
      </c>
      <c r="I23" s="181"/>
      <c r="J23" s="226">
        <f>+'27'!J23</f>
        <v>0</v>
      </c>
      <c r="K23" s="250"/>
      <c r="L23" s="250"/>
      <c r="M23" s="129">
        <f>+K23+'27'!M23+L23</f>
        <v>0</v>
      </c>
    </row>
    <row r="24" spans="1:14" ht="13.5" customHeight="1" thickBot="1">
      <c r="A24" s="1007" t="s">
        <v>502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529</v>
      </c>
      <c r="J24" s="226">
        <f>+'27'!J24</f>
        <v>0</v>
      </c>
      <c r="K24" s="250"/>
      <c r="L24" s="250"/>
      <c r="M24" s="129">
        <f>+K24+'27'!M24+L24</f>
        <v>0</v>
      </c>
    </row>
    <row r="25" spans="1:14" ht="13.5" customHeight="1" thickBot="1">
      <c r="A25" s="1013"/>
      <c r="B25" s="227" t="s">
        <v>525</v>
      </c>
      <c r="C25" s="237">
        <v>23009</v>
      </c>
      <c r="D25" s="229">
        <v>444</v>
      </c>
      <c r="E25" s="236"/>
      <c r="F25" s="242"/>
      <c r="G25" s="243" t="s">
        <v>12</v>
      </c>
      <c r="H25" s="241" t="s">
        <v>448</v>
      </c>
      <c r="I25" s="1011"/>
      <c r="J25" s="226">
        <f>+'27'!J25</f>
        <v>0</v>
      </c>
      <c r="K25" s="250"/>
      <c r="L25" s="250"/>
      <c r="M25" s="129">
        <f>+K25+'27'!M25+L25</f>
        <v>0</v>
      </c>
    </row>
    <row r="26" spans="1:14" ht="13.5" customHeight="1" thickBot="1">
      <c r="A26" s="1013"/>
      <c r="B26" s="227"/>
      <c r="C26" s="237"/>
      <c r="D26" s="229"/>
      <c r="E26" s="238"/>
      <c r="F26" s="242">
        <v>4</v>
      </c>
      <c r="G26" s="243" t="s">
        <v>12</v>
      </c>
      <c r="H26" s="574" t="s">
        <v>450</v>
      </c>
      <c r="I26" s="1011"/>
      <c r="J26" s="226">
        <f>+'27'!J26</f>
        <v>0</v>
      </c>
      <c r="K26" s="250"/>
      <c r="L26" s="250"/>
      <c r="M26" s="129">
        <f>+K26+'27'!M26+L26</f>
        <v>0</v>
      </c>
    </row>
    <row r="27" spans="1:14" ht="13.5" customHeight="1" thickBot="1">
      <c r="A27" s="1013"/>
      <c r="B27" s="227"/>
      <c r="C27" s="228"/>
      <c r="D27" s="229"/>
      <c r="E27" s="236"/>
      <c r="F27" s="242"/>
      <c r="G27" s="243"/>
      <c r="H27" s="574" t="s">
        <v>791</v>
      </c>
      <c r="I27" s="1011"/>
      <c r="J27" s="226">
        <f>+'27'!J27</f>
        <v>0</v>
      </c>
      <c r="K27" s="250"/>
      <c r="L27" s="250"/>
      <c r="M27" s="129">
        <f>+K27+'27'!M27+L27</f>
        <v>0</v>
      </c>
    </row>
    <row r="28" spans="1:14" ht="13.5" customHeight="1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+'27'!J28</f>
        <v>0</v>
      </c>
      <c r="K28" s="250"/>
      <c r="L28" s="250"/>
      <c r="M28" s="129">
        <f>+K28+'27'!M28+L28</f>
        <v>0</v>
      </c>
    </row>
    <row r="29" spans="1:14" ht="13.5" customHeight="1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+'27'!J29</f>
        <v>0</v>
      </c>
      <c r="K29" s="250"/>
      <c r="L29" s="250"/>
      <c r="M29" s="129">
        <f>+K29+'27'!M29+L29</f>
        <v>0</v>
      </c>
    </row>
    <row r="30" spans="1:14" ht="13.5" customHeight="1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+'27'!J30</f>
        <v>0</v>
      </c>
      <c r="K30" s="250"/>
      <c r="L30" s="250"/>
      <c r="M30" s="129">
        <f>+K30+'27'!M30+L30</f>
        <v>0</v>
      </c>
      <c r="N30" s="167"/>
    </row>
    <row r="31" spans="1:14" ht="13.5" customHeight="1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+'27'!J31</f>
        <v>0</v>
      </c>
      <c r="K31" s="250"/>
      <c r="L31" s="250"/>
      <c r="M31" s="129">
        <f>+K31+'27'!M31+L31</f>
        <v>0</v>
      </c>
    </row>
    <row r="32" spans="1:14" ht="13.5" customHeight="1" thickBot="1">
      <c r="A32" s="1014"/>
      <c r="B32" s="177" t="s">
        <v>2</v>
      </c>
      <c r="C32" s="111">
        <f>SUM(C25:C31)</f>
        <v>23009</v>
      </c>
      <c r="D32" s="112">
        <f>SUM(D25:D31)</f>
        <v>444</v>
      </c>
      <c r="E32" s="113">
        <f>SUM(E25:E31)</f>
        <v>0</v>
      </c>
      <c r="F32" s="114">
        <f>SUM(F24:F31)</f>
        <v>4</v>
      </c>
      <c r="G32" s="183"/>
      <c r="H32" s="184"/>
      <c r="I32" s="181"/>
      <c r="J32" s="226">
        <f>+'27'!J32</f>
        <v>0</v>
      </c>
      <c r="K32" s="252"/>
      <c r="L32" s="254"/>
      <c r="M32" s="129">
        <f>+K32+'27'!M32+L32</f>
        <v>0</v>
      </c>
    </row>
    <row r="33" spans="1:14" ht="13.5" thickBot="1">
      <c r="A33" s="185"/>
      <c r="B33" s="186"/>
      <c r="C33" s="115">
        <f>C32/($C$32+$D$32+$E$32)</f>
        <v>0.98106852001876088</v>
      </c>
      <c r="D33" s="116">
        <f>D32/($C$32+$D$32+$E$32)</f>
        <v>1.8931479981239074E-2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67025</v>
      </c>
      <c r="D34" s="119">
        <f>D14+D23+D32</f>
        <v>573</v>
      </c>
      <c r="E34" s="119">
        <f>E14+E23+E32</f>
        <v>0</v>
      </c>
      <c r="F34" s="120">
        <f>F14+F23+F32</f>
        <v>21</v>
      </c>
      <c r="H34" s="190"/>
      <c r="I34" s="190"/>
      <c r="J34" s="135" t="s">
        <v>28</v>
      </c>
      <c r="K34" s="136">
        <f>SUM(K7:K32)</f>
        <v>67025</v>
      </c>
      <c r="L34" s="224">
        <f>SUM(L7:L32)</f>
        <v>0</v>
      </c>
      <c r="M34" s="132">
        <f>SUM(M7:M32)</f>
        <v>1741531</v>
      </c>
      <c r="N34" s="167"/>
    </row>
    <row r="35" spans="1:14" ht="13.5" thickBot="1">
      <c r="A35" s="191"/>
      <c r="B35" s="192"/>
      <c r="C35" s="116">
        <f>C34/($C$34+$D$34+$E$34)</f>
        <v>0.99152341785259923</v>
      </c>
      <c r="D35" s="116">
        <f>D34/($C$34+$D$34+$E$34)</f>
        <v>8.4765821474008102E-3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(14*1440)/1440*G42*2.77*1440/1000000</f>
        <v>67.890253536000003</v>
      </c>
      <c r="J37" s="137">
        <f>+I37+'27'!J37</f>
        <v>1939.12355475297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21</v>
      </c>
      <c r="D38" s="130">
        <f>+C38+'27'!D38</f>
        <v>1307</v>
      </c>
      <c r="E38" s="155">
        <f t="shared" ref="E38:E51" si="0">D38/60</f>
        <v>21.783333333333335</v>
      </c>
      <c r="F38" s="340">
        <v>1220</v>
      </c>
      <c r="G38" s="340">
        <f>+F38-F38*0.0035</f>
        <v>1215.73</v>
      </c>
      <c r="H38" s="199" t="s">
        <v>65</v>
      </c>
      <c r="I38" s="549">
        <f>21.698+20.028+20.837</f>
        <v>62.563000000000002</v>
      </c>
      <c r="J38" s="139">
        <f>+I38+'27'!J38</f>
        <v>1793.2372220100003</v>
      </c>
      <c r="K38" s="140" t="s">
        <v>64</v>
      </c>
      <c r="L38" s="558"/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+C39+'27'!D39</f>
        <v>0</v>
      </c>
      <c r="E39" s="155">
        <f t="shared" si="0"/>
        <v>0</v>
      </c>
      <c r="F39" s="340">
        <v>1220</v>
      </c>
      <c r="G39" s="340">
        <f>+F39-F39*0.0035</f>
        <v>1215.73</v>
      </c>
      <c r="H39" s="199" t="s">
        <v>66</v>
      </c>
      <c r="I39" s="154"/>
      <c r="J39" s="141">
        <f>J37/G4</f>
        <v>69.25441266974893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+C40+'27'!D40</f>
        <v>49</v>
      </c>
      <c r="E40" s="155">
        <f t="shared" si="0"/>
        <v>0.81666666666666665</v>
      </c>
      <c r="F40" s="340">
        <v>1220</v>
      </c>
      <c r="G40" s="340">
        <f>+F40-F40*0.0035</f>
        <v>1215.73</v>
      </c>
      <c r="H40" s="199" t="s">
        <v>68</v>
      </c>
      <c r="I40" s="130">
        <f>(K34+L34)/1000</f>
        <v>67.025000000000006</v>
      </c>
      <c r="J40" s="143">
        <f>+I40+'27'!J40</f>
        <v>1741.5309999999999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+C41+'27'!D41</f>
        <v>181</v>
      </c>
      <c r="E41" s="155">
        <f t="shared" si="0"/>
        <v>3.0166666666666666</v>
      </c>
      <c r="F41" s="340"/>
      <c r="G41" s="340"/>
      <c r="H41" s="199" t="s">
        <v>70</v>
      </c>
      <c r="I41" s="154"/>
      <c r="J41" s="141">
        <f>J40/G4</f>
        <v>62.197535714285713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+C42+'27'!D42</f>
        <v>0</v>
      </c>
      <c r="E42" s="155">
        <f t="shared" si="0"/>
        <v>0</v>
      </c>
      <c r="F42" s="340">
        <f>+(F38*480+F39*480+F40*480)/1440</f>
        <v>1220</v>
      </c>
      <c r="G42" s="340">
        <f>+(G38*480+G39*480+G40*480)/1440</f>
        <v>1215.73</v>
      </c>
      <c r="H42" s="199" t="s">
        <v>71</v>
      </c>
      <c r="I42" s="257" t="s">
        <v>529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+C43+'27'!D43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+Report1!T36</f>
        <v>141.78299999999999</v>
      </c>
      <c r="J43" s="145">
        <f>+I43+'27'!J43</f>
        <v>3895.5929999999994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+C44+'27'!D44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2.2662436264245636</v>
      </c>
      <c r="J44" s="146">
        <f>J43/J38</f>
        <v>2.1723801804836032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+C45+'27'!D45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2.1153748601268179</v>
      </c>
      <c r="J45" s="146">
        <f>J43/J40</f>
        <v>2.2368783558834151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+C46+'27'!D46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+SUMIF(Listrik!AR35,"&gt;0")</f>
        <v>58359.659999999625</v>
      </c>
      <c r="J46" s="147">
        <f>+I46+'27'!J46</f>
        <v>1518263.3799999994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+C47+'27'!D47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932.81428320252587</v>
      </c>
      <c r="J47" s="147">
        <f>J46/J38</f>
        <v>846.66064331310906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+C48+'27'!D48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870.71480790749149</v>
      </c>
      <c r="J48" s="147">
        <f>J46/J40</f>
        <v>871.79807881685679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+C49+'27'!D49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+I49+'27'!J49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+C50+'27'!D50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+C51+'27'!D51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21</v>
      </c>
      <c r="D52" s="156">
        <f>SUM(D38:D51)</f>
        <v>2485</v>
      </c>
      <c r="E52" s="157">
        <f>SUM(E38:E51)</f>
        <v>41.416666666666664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1.4583333333333334E-2</v>
      </c>
      <c r="D53" s="158">
        <f>D52/(24*60*G4)</f>
        <v>6.1631944444444448E-2</v>
      </c>
      <c r="E53" s="159">
        <f>E52/(G4*24)</f>
        <v>6.1631944444444441E-2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+D34+'27'!J56</f>
        <v>41836</v>
      </c>
      <c r="K56" s="213">
        <f>J56/(J40+J56/1000)/1000</f>
        <v>2.3458996381563638E-2</v>
      </c>
    </row>
    <row r="57" spans="1:11">
      <c r="A57" s="188"/>
      <c r="I57" s="211" t="s">
        <v>90</v>
      </c>
      <c r="J57" s="212">
        <f>+E34+'27'!J57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zoomScale="80" zoomScaleNormal="80" workbookViewId="0">
      <selection activeCell="D26" sqref="D26"/>
    </sheetView>
  </sheetViews>
  <sheetFormatPr defaultColWidth="9.140625" defaultRowHeight="12.75"/>
  <cols>
    <col min="1" max="1" width="8" style="161" customWidth="1"/>
    <col min="2" max="2" width="7.42578125" style="16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8.42578125" style="161" customWidth="1"/>
    <col min="11" max="11" width="12.5703125" style="161" bestFit="1" customWidth="1"/>
    <col min="12" max="12" width="8.28515625" style="161" customWidth="1"/>
    <col min="13" max="13" width="14.28515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27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167+173+200</f>
        <v>540</v>
      </c>
    </row>
    <row r="7" spans="1:18" ht="13.5" customHeight="1" thickBot="1">
      <c r="A7" s="1007" t="s">
        <v>461</v>
      </c>
      <c r="B7" s="227" t="s">
        <v>525</v>
      </c>
      <c r="C7" s="228">
        <f>3971+9260</f>
        <v>13231</v>
      </c>
      <c r="D7" s="229">
        <v>1805</v>
      </c>
      <c r="E7" s="230"/>
      <c r="F7" s="239">
        <v>25</v>
      </c>
      <c r="G7" s="240" t="s">
        <v>12</v>
      </c>
      <c r="H7" s="241" t="s">
        <v>795</v>
      </c>
      <c r="I7" s="1010" t="s">
        <v>793</v>
      </c>
      <c r="J7" s="226" t="str">
        <f>+'26'!J7</f>
        <v>F 13 VP OW</v>
      </c>
      <c r="K7" s="249"/>
      <c r="L7" s="253"/>
      <c r="M7" s="129">
        <f>+K7+'26'!M7+L7</f>
        <v>224237</v>
      </c>
    </row>
    <row r="8" spans="1:18" ht="13.5" thickBot="1">
      <c r="A8" s="1008"/>
      <c r="B8" s="227" t="s">
        <v>507</v>
      </c>
      <c r="C8" s="228">
        <f>1544+3389</f>
        <v>4933</v>
      </c>
      <c r="D8" s="229"/>
      <c r="E8" s="231"/>
      <c r="F8" s="242"/>
      <c r="G8" s="243" t="s">
        <v>12</v>
      </c>
      <c r="H8" s="241" t="s">
        <v>448</v>
      </c>
      <c r="I8" s="1011"/>
      <c r="J8" s="226" t="str">
        <f>+'26'!J8</f>
        <v>MG 15,5 VP OW</v>
      </c>
      <c r="K8" s="250"/>
      <c r="L8" s="250"/>
      <c r="M8" s="129">
        <f>+K8+'26'!M8+L8</f>
        <v>40782</v>
      </c>
      <c r="N8" s="161">
        <v>1270</v>
      </c>
      <c r="O8" s="161">
        <f>+N8-N8*0.0035</f>
        <v>1265.5550000000001</v>
      </c>
      <c r="P8" s="161">
        <f>360+30</f>
        <v>390</v>
      </c>
      <c r="Q8" s="161">
        <f>+N8*P8</f>
        <v>495300</v>
      </c>
      <c r="R8" s="161">
        <f>+O8*P8</f>
        <v>493566.45</v>
      </c>
    </row>
    <row r="9" spans="1:18" ht="13.5" thickBot="1">
      <c r="A9" s="1008"/>
      <c r="B9" s="227"/>
      <c r="C9" s="228"/>
      <c r="D9" s="229"/>
      <c r="E9" s="232"/>
      <c r="F9" s="239">
        <v>10</v>
      </c>
      <c r="G9" s="243" t="s">
        <v>12</v>
      </c>
      <c r="H9" s="574" t="s">
        <v>450</v>
      </c>
      <c r="I9" s="1011"/>
      <c r="J9" s="226" t="str">
        <f>+'26'!J9</f>
        <v>MG 16,5 VP HW/OW</v>
      </c>
      <c r="K9" s="250"/>
      <c r="L9" s="250"/>
      <c r="M9" s="129">
        <f>+K9+'26'!M9+L9</f>
        <v>166590</v>
      </c>
      <c r="N9" s="161">
        <v>1250</v>
      </c>
      <c r="O9" s="161">
        <f>+N9-N9*0.0035</f>
        <v>1245.625</v>
      </c>
      <c r="P9" s="161">
        <f>30+60</f>
        <v>90</v>
      </c>
      <c r="Q9" s="161">
        <f>+N9*P9</f>
        <v>112500</v>
      </c>
      <c r="R9" s="161">
        <f>+O9*P9</f>
        <v>112106.25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788</v>
      </c>
      <c r="I10" s="1011"/>
      <c r="J10" s="226" t="str">
        <f>+'26'!J10</f>
        <v>MG 17 VP HW</v>
      </c>
      <c r="K10" s="250"/>
      <c r="L10" s="250"/>
      <c r="M10" s="129">
        <f>+K10+'26'!M10+L10</f>
        <v>549595</v>
      </c>
      <c r="P10" s="161">
        <f>SUM(P8:P9)</f>
        <v>480</v>
      </c>
      <c r="Q10" s="161">
        <f>+Q8+Q9</f>
        <v>607800</v>
      </c>
      <c r="R10" s="161">
        <f>+R8+R9</f>
        <v>605672.69999999995</v>
      </c>
    </row>
    <row r="11" spans="1:18" ht="13.5" thickBot="1">
      <c r="A11" s="1008"/>
      <c r="B11" s="227"/>
      <c r="C11" s="228"/>
      <c r="D11" s="229"/>
      <c r="E11" s="231"/>
      <c r="F11" s="239"/>
      <c r="G11" s="243"/>
      <c r="H11" s="244" t="s">
        <v>786</v>
      </c>
      <c r="I11" s="1011"/>
      <c r="J11" s="226" t="str">
        <f>+'26'!J11</f>
        <v>MG 14 VP OW/HW</v>
      </c>
      <c r="K11" s="250">
        <f>+C7+C16+C25</f>
        <v>52727</v>
      </c>
      <c r="L11" s="250"/>
      <c r="M11" s="129">
        <f>+K11+'26'!M11+L11</f>
        <v>204529</v>
      </c>
      <c r="Q11" s="161">
        <f>+Q10/P10</f>
        <v>1266.25</v>
      </c>
      <c r="R11" s="161">
        <f>+R10/P10</f>
        <v>1261.818125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 t="s">
        <v>787</v>
      </c>
      <c r="I12" s="1011"/>
      <c r="J12" s="226" t="str">
        <f>+'26'!J12</f>
        <v>MG 19 VP HW</v>
      </c>
      <c r="K12" s="250"/>
      <c r="L12" s="250"/>
      <c r="M12" s="129">
        <f>+K12+'26'!M12+L12</f>
        <v>20052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+'26'!J13</f>
        <v>MG 17 VP OW</v>
      </c>
      <c r="K13" s="250">
        <f>+C8</f>
        <v>4933</v>
      </c>
      <c r="L13" s="250"/>
      <c r="M13" s="129">
        <f>+K13+'26'!M13+L13</f>
        <v>11412</v>
      </c>
    </row>
    <row r="14" spans="1:18" ht="13.5" thickBot="1">
      <c r="A14" s="1009"/>
      <c r="B14" s="177" t="s">
        <v>2</v>
      </c>
      <c r="C14" s="111">
        <f>SUM(C7:C13)</f>
        <v>18164</v>
      </c>
      <c r="D14" s="123">
        <f>SUM(D7:D13)</f>
        <v>1805</v>
      </c>
      <c r="E14" s="124">
        <f>SUM(E5:E13)</f>
        <v>0</v>
      </c>
      <c r="F14" s="128">
        <f>SUM(F7:F13)</f>
        <v>35</v>
      </c>
      <c r="G14" s="171"/>
      <c r="H14" s="178"/>
      <c r="I14" s="179"/>
      <c r="J14" s="226" t="str">
        <f>+'26'!J14</f>
        <v>MG 21,5 VP OW</v>
      </c>
      <c r="K14" s="250"/>
      <c r="L14" s="250"/>
      <c r="M14" s="129">
        <f>+K14+'26'!M14+L14</f>
        <v>65067</v>
      </c>
    </row>
    <row r="15" spans="1:18" ht="13.5" customHeight="1" thickBot="1">
      <c r="A15" s="1007" t="s">
        <v>753</v>
      </c>
      <c r="B15" s="177"/>
      <c r="C15" s="125"/>
      <c r="D15" s="126"/>
      <c r="E15" s="127"/>
      <c r="F15" s="239">
        <v>25</v>
      </c>
      <c r="G15" s="240" t="s">
        <v>12</v>
      </c>
      <c r="H15" s="241" t="s">
        <v>795</v>
      </c>
      <c r="I15" s="1010" t="s">
        <v>529</v>
      </c>
      <c r="J15" s="226" t="str">
        <f>+'26'!J15</f>
        <v>F 10,5 VP OW</v>
      </c>
      <c r="K15" s="250"/>
      <c r="L15" s="250"/>
      <c r="M15" s="129">
        <f>+K15+'26'!M15+L15</f>
        <v>0</v>
      </c>
    </row>
    <row r="16" spans="1:18" ht="13.5" thickBot="1">
      <c r="A16" s="1013"/>
      <c r="B16" s="227" t="s">
        <v>525</v>
      </c>
      <c r="C16" s="233">
        <v>17642</v>
      </c>
      <c r="D16" s="234">
        <v>783</v>
      </c>
      <c r="E16" s="235"/>
      <c r="F16" s="239"/>
      <c r="G16" s="243" t="s">
        <v>12</v>
      </c>
      <c r="H16" s="241" t="s">
        <v>448</v>
      </c>
      <c r="I16" s="1011"/>
      <c r="J16" s="226" t="str">
        <f>+'26'!J16</f>
        <v>F 10,3 VP OW</v>
      </c>
      <c r="K16" s="250"/>
      <c r="L16" s="240"/>
      <c r="M16" s="129">
        <f>+K16+'26'!M16+L16</f>
        <v>112662</v>
      </c>
      <c r="N16" s="161">
        <v>1220</v>
      </c>
      <c r="O16" s="161">
        <f>+N16-N16*0.0035</f>
        <v>1215.73</v>
      </c>
      <c r="P16" s="161">
        <v>480</v>
      </c>
    </row>
    <row r="17" spans="1:16" ht="13.5" thickBot="1">
      <c r="A17" s="1013"/>
      <c r="B17" s="227"/>
      <c r="C17" s="228"/>
      <c r="D17" s="229"/>
      <c r="E17" s="236"/>
      <c r="F17" s="239">
        <v>11</v>
      </c>
      <c r="G17" s="243" t="s">
        <v>12</v>
      </c>
      <c r="H17" s="574" t="s">
        <v>447</v>
      </c>
      <c r="I17" s="1011"/>
      <c r="J17" s="226" t="str">
        <f>+'26'!J17</f>
        <v>SN 13 VP OW</v>
      </c>
      <c r="K17" s="250"/>
      <c r="L17" s="240"/>
      <c r="M17" s="129">
        <f>+K17+'26'!M17+L17</f>
        <v>132429</v>
      </c>
      <c r="N17" s="161">
        <v>1220</v>
      </c>
      <c r="O17" s="161">
        <f>+N17-N17*0.0035</f>
        <v>1215.73</v>
      </c>
      <c r="P17" s="161">
        <v>480</v>
      </c>
    </row>
    <row r="18" spans="1:16" ht="13.5" thickBot="1">
      <c r="A18" s="1013"/>
      <c r="B18" s="227"/>
      <c r="C18" s="228"/>
      <c r="D18" s="229"/>
      <c r="E18" s="236"/>
      <c r="F18" s="239"/>
      <c r="G18" s="243"/>
      <c r="H18" s="574" t="s">
        <v>791</v>
      </c>
      <c r="I18" s="1011"/>
      <c r="J18" s="226" t="str">
        <f>+'26'!J18</f>
        <v>SN 14 VP OW</v>
      </c>
      <c r="K18" s="250"/>
      <c r="L18" s="250"/>
      <c r="M18" s="129">
        <f>+K18+'26'!M18+L18</f>
        <v>20814</v>
      </c>
    </row>
    <row r="19" spans="1:16" ht="26.25" thickBot="1">
      <c r="A19" s="1013"/>
      <c r="B19" s="227"/>
      <c r="C19" s="228"/>
      <c r="D19" s="229"/>
      <c r="E19" s="236"/>
      <c r="F19" s="246"/>
      <c r="G19" s="243"/>
      <c r="H19" s="244" t="s">
        <v>789</v>
      </c>
      <c r="I19" s="1011"/>
      <c r="J19" s="226" t="str">
        <f>+'26'!J19</f>
        <v>SN 15 VP OW</v>
      </c>
      <c r="K19" s="250"/>
      <c r="L19" s="250"/>
      <c r="M19" s="129">
        <f>+K19+'26'!M19+L19</f>
        <v>62505</v>
      </c>
    </row>
    <row r="20" spans="1:16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 t="str">
        <f>+'26'!J20</f>
        <v>MG 16 VP HW</v>
      </c>
      <c r="K20" s="250"/>
      <c r="L20" s="251"/>
      <c r="M20" s="129">
        <f>+K20+'26'!M20+L20</f>
        <v>63832</v>
      </c>
    </row>
    <row r="21" spans="1:16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+'26'!J21</f>
        <v>0</v>
      </c>
      <c r="K21" s="250"/>
      <c r="L21" s="250"/>
      <c r="M21" s="129">
        <f>+K21+'26'!M21+L21</f>
        <v>0</v>
      </c>
    </row>
    <row r="22" spans="1:16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+'26'!J22</f>
        <v>0</v>
      </c>
      <c r="K22" s="250"/>
      <c r="L22" s="250"/>
      <c r="M22" s="129">
        <f>+K22+'26'!M22+L22</f>
        <v>0</v>
      </c>
    </row>
    <row r="23" spans="1:16" ht="13.5" thickBot="1">
      <c r="A23" s="1014"/>
      <c r="B23" s="180" t="s">
        <v>2</v>
      </c>
      <c r="C23" s="112">
        <f>SUM(C16:C22)</f>
        <v>17642</v>
      </c>
      <c r="D23" s="123">
        <f>SUM(D16:D22)</f>
        <v>783</v>
      </c>
      <c r="E23" s="124">
        <f>SUM(E18:E22)</f>
        <v>0</v>
      </c>
      <c r="F23" s="128">
        <f>SUM(F15:F22)</f>
        <v>36</v>
      </c>
      <c r="G23" s="171"/>
      <c r="H23" s="178" t="s">
        <v>237</v>
      </c>
      <c r="I23" s="181"/>
      <c r="J23" s="226">
        <f>+'26'!J23</f>
        <v>0</v>
      </c>
      <c r="K23" s="250"/>
      <c r="L23" s="250"/>
      <c r="M23" s="129">
        <f>+K23+'26'!M23+L23</f>
        <v>0</v>
      </c>
    </row>
    <row r="24" spans="1:16" ht="13.5" customHeight="1" thickBot="1">
      <c r="A24" s="1007" t="s">
        <v>502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529</v>
      </c>
      <c r="J24" s="226">
        <f>+'26'!J24</f>
        <v>0</v>
      </c>
      <c r="K24" s="250"/>
      <c r="L24" s="250"/>
      <c r="M24" s="129">
        <f>+K24+'26'!M24+L24</f>
        <v>0</v>
      </c>
    </row>
    <row r="25" spans="1:16" ht="13.5" thickBot="1">
      <c r="A25" s="1013"/>
      <c r="B25" s="227" t="s">
        <v>525</v>
      </c>
      <c r="C25" s="237">
        <v>21854</v>
      </c>
      <c r="D25" s="229">
        <v>320</v>
      </c>
      <c r="E25" s="236"/>
      <c r="F25" s="242"/>
      <c r="G25" s="243" t="s">
        <v>12</v>
      </c>
      <c r="H25" s="241" t="s">
        <v>448</v>
      </c>
      <c r="I25" s="1011"/>
      <c r="J25" s="226">
        <f>+'26'!J25</f>
        <v>0</v>
      </c>
      <c r="K25" s="250"/>
      <c r="L25" s="250"/>
      <c r="M25" s="129">
        <f>+K25+'26'!M25+L25</f>
        <v>0</v>
      </c>
    </row>
    <row r="26" spans="1:16" ht="13.5" thickBot="1">
      <c r="A26" s="1013"/>
      <c r="B26" s="227"/>
      <c r="C26" s="237"/>
      <c r="D26" s="229"/>
      <c r="E26" s="238"/>
      <c r="F26" s="242">
        <v>11</v>
      </c>
      <c r="G26" s="243" t="s">
        <v>12</v>
      </c>
      <c r="H26" s="574" t="s">
        <v>447</v>
      </c>
      <c r="I26" s="1011"/>
      <c r="J26" s="226">
        <f>+'26'!J26</f>
        <v>0</v>
      </c>
      <c r="K26" s="250"/>
      <c r="L26" s="250"/>
      <c r="M26" s="129">
        <f>+K26+'26'!M26+L26</f>
        <v>0</v>
      </c>
    </row>
    <row r="27" spans="1:16" ht="13.5" thickBot="1">
      <c r="A27" s="1013"/>
      <c r="B27" s="227"/>
      <c r="C27" s="228"/>
      <c r="D27" s="229"/>
      <c r="E27" s="236"/>
      <c r="F27" s="242"/>
      <c r="G27" s="243"/>
      <c r="H27" s="574" t="s">
        <v>791</v>
      </c>
      <c r="I27" s="1011"/>
      <c r="J27" s="226">
        <f>+'26'!J27</f>
        <v>0</v>
      </c>
      <c r="K27" s="250"/>
      <c r="L27" s="250"/>
      <c r="M27" s="129">
        <f>+K27+'26'!M27+L27</f>
        <v>0</v>
      </c>
    </row>
    <row r="28" spans="1:16" ht="26.25" thickBot="1">
      <c r="A28" s="1013"/>
      <c r="B28" s="227"/>
      <c r="C28" s="228"/>
      <c r="D28" s="229"/>
      <c r="E28" s="236"/>
      <c r="F28" s="242"/>
      <c r="G28" s="243"/>
      <c r="H28" s="244" t="s">
        <v>790</v>
      </c>
      <c r="I28" s="1011"/>
      <c r="J28" s="226">
        <f>+'26'!J28</f>
        <v>0</v>
      </c>
      <c r="K28" s="250"/>
      <c r="L28" s="250"/>
      <c r="M28" s="129">
        <f>+K28+'26'!M28+L28</f>
        <v>0</v>
      </c>
    </row>
    <row r="29" spans="1:16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+'26'!J29</f>
        <v>0</v>
      </c>
      <c r="K29" s="250"/>
      <c r="L29" s="250"/>
      <c r="M29" s="129">
        <f>+K29+'26'!M29+L29</f>
        <v>0</v>
      </c>
    </row>
    <row r="30" spans="1:16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+'26'!J30</f>
        <v>0</v>
      </c>
      <c r="K30" s="250"/>
      <c r="L30" s="250"/>
      <c r="M30" s="129">
        <f>+K30+'26'!M30+L30</f>
        <v>0</v>
      </c>
      <c r="N30" s="167"/>
    </row>
    <row r="31" spans="1:16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+'26'!J31</f>
        <v>0</v>
      </c>
      <c r="K31" s="250"/>
      <c r="L31" s="250"/>
      <c r="M31" s="129">
        <f>+K31+'26'!M31+L31</f>
        <v>0</v>
      </c>
    </row>
    <row r="32" spans="1:16" ht="13.5" thickBot="1">
      <c r="A32" s="1014"/>
      <c r="B32" s="177" t="s">
        <v>2</v>
      </c>
      <c r="C32" s="111">
        <f>SUM(C25:C31)</f>
        <v>21854</v>
      </c>
      <c r="D32" s="112">
        <f>SUM(D25:D31)</f>
        <v>320</v>
      </c>
      <c r="E32" s="113">
        <f>SUM(E25:E31)</f>
        <v>0</v>
      </c>
      <c r="F32" s="114">
        <f>SUM(F24:F31)</f>
        <v>11</v>
      </c>
      <c r="G32" s="183"/>
      <c r="H32" s="184"/>
      <c r="I32" s="181"/>
      <c r="J32" s="226">
        <f>+'26'!J32</f>
        <v>0</v>
      </c>
      <c r="K32" s="252"/>
      <c r="L32" s="254"/>
      <c r="M32" s="129">
        <f>+K32+'26'!M32+L32</f>
        <v>0</v>
      </c>
    </row>
    <row r="33" spans="1:14" ht="13.5" thickBot="1">
      <c r="A33" s="185"/>
      <c r="B33" s="186"/>
      <c r="C33" s="115">
        <f>C32/($C$32+$D$32+$E$32)</f>
        <v>0.98556868404437625</v>
      </c>
      <c r="D33" s="116">
        <f>D32/($C$32+$D$32+$E$32)</f>
        <v>1.4431315955623704E-2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57660</v>
      </c>
      <c r="D34" s="119">
        <f>D14+D23+D32</f>
        <v>2908</v>
      </c>
      <c r="E34" s="119">
        <f>E14+E23+E32</f>
        <v>0</v>
      </c>
      <c r="F34" s="120">
        <f>F14+F23+F32</f>
        <v>82</v>
      </c>
      <c r="H34" s="190"/>
      <c r="I34" s="190"/>
      <c r="J34" s="135" t="s">
        <v>28</v>
      </c>
      <c r="K34" s="136">
        <f>SUM(K7:K32)</f>
        <v>57660</v>
      </c>
      <c r="L34" s="224">
        <f>SUM(L7:L32)</f>
        <v>0</v>
      </c>
      <c r="M34" s="132">
        <f>SUM(M7:M32)</f>
        <v>1674506</v>
      </c>
      <c r="N34" s="167"/>
    </row>
    <row r="35" spans="1:14" ht="13.5" thickBot="1">
      <c r="A35" s="191"/>
      <c r="B35" s="192"/>
      <c r="C35" s="116">
        <f>C34/($C$34+$D$34+$E$34)</f>
        <v>0.95198784836877559</v>
      </c>
      <c r="D35" s="116">
        <f>D34/($C$34+$D$34+$E$34)</f>
        <v>4.8012151631224409E-2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9"/>
      <c r="G37" s="342"/>
      <c r="H37" s="198" t="s">
        <v>63</v>
      </c>
      <c r="I37" s="255">
        <f>(14*1440)/1440*G42*2.77*1440/1000000</f>
        <v>68.74815633</v>
      </c>
      <c r="J37" s="137">
        <f>+I37+'26'!J37</f>
        <v>1871.2333012169699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82</v>
      </c>
      <c r="D38" s="130">
        <f>+C38+'26'!D38</f>
        <v>1286</v>
      </c>
      <c r="E38" s="155">
        <f t="shared" ref="E38:E51" si="0">D38/60</f>
        <v>21.433333333333334</v>
      </c>
      <c r="F38" s="340">
        <v>1266.25</v>
      </c>
      <c r="G38" s="340">
        <v>1261.818125</v>
      </c>
      <c r="H38" s="199" t="s">
        <v>65</v>
      </c>
      <c r="I38" s="549">
        <f>17.374+20.518+21.331</f>
        <v>59.222999999999999</v>
      </c>
      <c r="J38" s="139">
        <f>+I38+'26'!J38</f>
        <v>1730.6742220100002</v>
      </c>
      <c r="K38" s="140" t="s">
        <v>64</v>
      </c>
      <c r="L38" s="558"/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+C39+'26'!D39</f>
        <v>0</v>
      </c>
      <c r="E39" s="155">
        <f t="shared" si="0"/>
        <v>0</v>
      </c>
      <c r="F39" s="340">
        <v>1220</v>
      </c>
      <c r="G39" s="340">
        <f>+F39-F39*0.0035</f>
        <v>1215.73</v>
      </c>
      <c r="H39" s="199" t="s">
        <v>66</v>
      </c>
      <c r="I39" s="154"/>
      <c r="J39" s="141">
        <f>J37/G4</f>
        <v>69.304937082110001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+C40+'26'!D40</f>
        <v>49</v>
      </c>
      <c r="E40" s="155">
        <f t="shared" si="0"/>
        <v>0.81666666666666665</v>
      </c>
      <c r="F40" s="340">
        <v>1220</v>
      </c>
      <c r="G40" s="340">
        <f>+F40-F40*0.0035</f>
        <v>1215.73</v>
      </c>
      <c r="H40" s="199" t="s">
        <v>68</v>
      </c>
      <c r="I40" s="130">
        <f>(K34+L34)/1000</f>
        <v>57.66</v>
      </c>
      <c r="J40" s="143">
        <f>+I40+'26'!J40</f>
        <v>1674.5059999999999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+C41+'26'!D41</f>
        <v>181</v>
      </c>
      <c r="E41" s="155">
        <f t="shared" si="0"/>
        <v>3.0166666666666666</v>
      </c>
      <c r="F41" s="340"/>
      <c r="G41" s="340"/>
      <c r="H41" s="199" t="s">
        <v>70</v>
      </c>
      <c r="I41" s="154"/>
      <c r="J41" s="141">
        <f>J40/G4</f>
        <v>62.018740740740732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+C42+'26'!D42</f>
        <v>0</v>
      </c>
      <c r="E42" s="155">
        <f t="shared" si="0"/>
        <v>0</v>
      </c>
      <c r="F42" s="340">
        <f>+(F38*480+F39*480+F40*480)/1440</f>
        <v>1235.4166666666667</v>
      </c>
      <c r="G42" s="340">
        <f>+(G38*480+G39*480+G40*480)/1440</f>
        <v>1231.0927083333333</v>
      </c>
      <c r="H42" s="199" t="s">
        <v>71</v>
      </c>
      <c r="I42" s="257" t="s">
        <v>794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+C43+'26'!D43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+Report1!T35</f>
        <v>142.881</v>
      </c>
      <c r="J43" s="145">
        <f>+I43+'26'!J43</f>
        <v>3753.8099999999995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+C44+'26'!D44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2.4125930803910642</v>
      </c>
      <c r="J44" s="146">
        <f>J43/J38</f>
        <v>2.168987064266974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+C45+'26'!D45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2.4779916753381896</v>
      </c>
      <c r="J45" s="146">
        <f>J43/J40</f>
        <v>2.2417417435351084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+C46+'26'!D46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+SUMIF(Listrik!AR34,"&gt;0")</f>
        <v>54785.060000001147</v>
      </c>
      <c r="J46" s="147">
        <f>+I46+'26'!J46</f>
        <v>1459903.7199999997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+C47+'26'!D47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925.06391098055065</v>
      </c>
      <c r="J47" s="147">
        <f>J46/J38</f>
        <v>843.54623269564365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+C48+'26'!D48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950.13978494625655</v>
      </c>
      <c r="J48" s="147">
        <f>J46/J40</f>
        <v>871.84143860935694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+C49+'26'!D49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+I49+'26'!J49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+C50+'26'!D50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+C51+'26'!D51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82</v>
      </c>
      <c r="D52" s="156">
        <f>SUM(D38:D51)</f>
        <v>2464</v>
      </c>
      <c r="E52" s="157">
        <f>SUM(E38:E51)</f>
        <v>41.066666666666663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5.6944444444444443E-2</v>
      </c>
      <c r="D53" s="158">
        <f>D52/(24*60*G4)</f>
        <v>6.3374485596707816E-2</v>
      </c>
      <c r="E53" s="159">
        <f>E52/(G4*24)</f>
        <v>6.3374485596707816E-2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+D34+'26'!J56</f>
        <v>41263</v>
      </c>
      <c r="K56" s="213">
        <f>J56/(J40+J56/1000)/1000</f>
        <v>2.4049274698400545E-2</v>
      </c>
    </row>
    <row r="57" spans="1:11">
      <c r="A57" s="188"/>
      <c r="I57" s="211" t="s">
        <v>90</v>
      </c>
      <c r="J57" s="212">
        <f>+E34+'26'!J57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3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4"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5.140625" style="161" bestFit="1" customWidth="1"/>
    <col min="8" max="8" width="64.85546875" style="161" customWidth="1"/>
    <col min="9" max="9" width="14.7109375" style="161" bestFit="1" customWidth="1"/>
    <col min="10" max="10" width="18.42578125" style="161" customWidth="1"/>
    <col min="11" max="11" width="14" style="161" bestFit="1" customWidth="1"/>
    <col min="12" max="12" width="8.28515625" style="161" customWidth="1"/>
    <col min="13" max="13" width="17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26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173+184+195</f>
        <v>552</v>
      </c>
    </row>
    <row r="7" spans="1:18" ht="13.5" customHeight="1" thickBot="1">
      <c r="A7" s="1007" t="s">
        <v>768</v>
      </c>
      <c r="B7" s="227" t="s">
        <v>507</v>
      </c>
      <c r="C7" s="228">
        <v>3632</v>
      </c>
      <c r="D7" s="229"/>
      <c r="E7" s="230"/>
      <c r="F7" s="239">
        <v>5</v>
      </c>
      <c r="G7" s="240" t="s">
        <v>12</v>
      </c>
      <c r="H7" s="241" t="s">
        <v>778</v>
      </c>
      <c r="I7" s="1010" t="s">
        <v>529</v>
      </c>
      <c r="J7" s="226" t="str">
        <f>+'25'!J7</f>
        <v>F 13 VP OW</v>
      </c>
      <c r="K7" s="249"/>
      <c r="L7" s="253"/>
      <c r="M7" s="129">
        <f>+K7+'25'!M7+L7</f>
        <v>224237</v>
      </c>
    </row>
    <row r="8" spans="1:18" ht="13.5" thickBot="1">
      <c r="A8" s="1008"/>
      <c r="B8" s="227" t="s">
        <v>779</v>
      </c>
      <c r="C8" s="228">
        <f>6029+13471</f>
        <v>19500</v>
      </c>
      <c r="D8" s="229">
        <v>600</v>
      </c>
      <c r="E8" s="231"/>
      <c r="F8" s="242"/>
      <c r="G8" s="243" t="s">
        <v>12</v>
      </c>
      <c r="H8" s="241" t="s">
        <v>448</v>
      </c>
      <c r="I8" s="1011"/>
      <c r="J8" s="226" t="str">
        <f>+'25'!J8</f>
        <v>MG 15,5 VP OW</v>
      </c>
      <c r="K8" s="250"/>
      <c r="L8" s="250"/>
      <c r="M8" s="129">
        <f>+K8+'25'!M8+L8</f>
        <v>40782</v>
      </c>
      <c r="N8" s="161">
        <v>1220</v>
      </c>
      <c r="O8" s="161">
        <f>+N8-N8*0.0035</f>
        <v>1215.73</v>
      </c>
      <c r="P8" s="161">
        <v>480</v>
      </c>
      <c r="Q8" s="161">
        <f>+N8*P8</f>
        <v>585600</v>
      </c>
      <c r="R8" s="161">
        <f>+O8*P8</f>
        <v>583550.4</v>
      </c>
    </row>
    <row r="9" spans="1:18" ht="13.5" thickBot="1">
      <c r="A9" s="1008"/>
      <c r="B9" s="227"/>
      <c r="C9" s="228"/>
      <c r="D9" s="229"/>
      <c r="E9" s="232"/>
      <c r="F9" s="239">
        <v>9</v>
      </c>
      <c r="G9" s="243" t="s">
        <v>12</v>
      </c>
      <c r="H9" s="574" t="s">
        <v>447</v>
      </c>
      <c r="I9" s="1011"/>
      <c r="J9" s="226" t="str">
        <f>+'25'!J9</f>
        <v>MG 16,5 VP HW/OW</v>
      </c>
      <c r="K9" s="250"/>
      <c r="L9" s="250"/>
      <c r="M9" s="129">
        <f>+K9+'25'!M9+L9</f>
        <v>166590</v>
      </c>
      <c r="N9" s="161">
        <v>1210</v>
      </c>
      <c r="O9" s="161">
        <f>+N9-N9*0.0035</f>
        <v>1205.7650000000001</v>
      </c>
      <c r="P9" s="161">
        <f>480-26</f>
        <v>454</v>
      </c>
      <c r="Q9" s="161">
        <f>+N9*P9</f>
        <v>549340</v>
      </c>
      <c r="R9" s="161">
        <f>+O9*P9</f>
        <v>547417.31000000006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783</v>
      </c>
      <c r="I10" s="1011"/>
      <c r="J10" s="226" t="str">
        <f>+'25'!J10</f>
        <v>MG 17 VP HW</v>
      </c>
      <c r="K10" s="250">
        <f>+C7</f>
        <v>3632</v>
      </c>
      <c r="L10" s="250"/>
      <c r="M10" s="129">
        <f>+K10+'25'!M10+L10</f>
        <v>549595</v>
      </c>
      <c r="N10" s="161">
        <v>1200</v>
      </c>
      <c r="O10" s="161">
        <f>+N10-N10*0.0035</f>
        <v>1195.8</v>
      </c>
      <c r="P10" s="161">
        <f>30+300</f>
        <v>330</v>
      </c>
      <c r="Q10" s="161">
        <f>+N10*P10</f>
        <v>396000</v>
      </c>
      <c r="R10" s="161">
        <f>+O10*P10</f>
        <v>394614</v>
      </c>
    </row>
    <row r="11" spans="1:18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">
        <v>780</v>
      </c>
      <c r="K11" s="250"/>
      <c r="L11" s="250"/>
      <c r="M11" s="129">
        <f>+K11+'25'!M11+L11</f>
        <v>151802</v>
      </c>
      <c r="P11" s="161">
        <f>SUM(P8:P10)</f>
        <v>1264</v>
      </c>
      <c r="Q11" s="161">
        <f>SUM(Q8:Q10)</f>
        <v>1530940</v>
      </c>
      <c r="R11" s="161">
        <f>SUM(R8:R10)</f>
        <v>1525581.71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+'25'!J12</f>
        <v>MG 19 VP HW</v>
      </c>
      <c r="K12" s="250"/>
      <c r="L12" s="250"/>
      <c r="M12" s="129">
        <f>+K12+'25'!M12+L12</f>
        <v>20052</v>
      </c>
      <c r="Q12" s="161">
        <f>+Q11/P11</f>
        <v>1211.1867088607594</v>
      </c>
      <c r="R12" s="161">
        <f>+R11/P11</f>
        <v>1206.9475553797467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+'25'!J13</f>
        <v>MG 17 VP OW</v>
      </c>
      <c r="K13" s="250"/>
      <c r="L13" s="250"/>
      <c r="M13" s="129">
        <f>+K13+'25'!M13+L13</f>
        <v>6479</v>
      </c>
    </row>
    <row r="14" spans="1:18" ht="13.5" thickBot="1">
      <c r="A14" s="1009"/>
      <c r="B14" s="177" t="s">
        <v>2</v>
      </c>
      <c r="C14" s="111">
        <f>SUM(C7:C13)</f>
        <v>23132</v>
      </c>
      <c r="D14" s="123">
        <f>SUM(D7:D13)</f>
        <v>600</v>
      </c>
      <c r="E14" s="124">
        <f>SUM(E5:E13)</f>
        <v>0</v>
      </c>
      <c r="F14" s="128">
        <f>SUM(F7:F13)</f>
        <v>14</v>
      </c>
      <c r="G14" s="171"/>
      <c r="H14" s="178"/>
      <c r="I14" s="179"/>
      <c r="J14" s="226" t="str">
        <f>+'25'!J14</f>
        <v>MG 21,5 VP OW</v>
      </c>
      <c r="K14" s="250"/>
      <c r="L14" s="250"/>
      <c r="M14" s="129">
        <f>+K14+'25'!M14+L14</f>
        <v>65067</v>
      </c>
    </row>
    <row r="15" spans="1:18" ht="13.5" customHeight="1" thickBot="1">
      <c r="A15" s="1007" t="s">
        <v>753</v>
      </c>
      <c r="B15" s="177"/>
      <c r="C15" s="125"/>
      <c r="D15" s="126"/>
      <c r="E15" s="127"/>
      <c r="F15" s="239">
        <v>20</v>
      </c>
      <c r="G15" s="240" t="s">
        <v>12</v>
      </c>
      <c r="H15" s="241" t="s">
        <v>446</v>
      </c>
      <c r="I15" s="1010" t="s">
        <v>742</v>
      </c>
      <c r="J15" s="226" t="str">
        <f>+'25'!J15</f>
        <v>F 10,5 VP OW</v>
      </c>
      <c r="K15" s="250"/>
      <c r="L15" s="250"/>
      <c r="M15" s="129">
        <f>+K15+'25'!M15+L15</f>
        <v>0</v>
      </c>
    </row>
    <row r="16" spans="1:18" ht="13.5" thickBot="1">
      <c r="A16" s="1013"/>
      <c r="B16" s="227" t="s">
        <v>779</v>
      </c>
      <c r="C16" s="233">
        <v>21264</v>
      </c>
      <c r="D16" s="234">
        <v>420</v>
      </c>
      <c r="E16" s="235"/>
      <c r="F16" s="239"/>
      <c r="G16" s="243" t="s">
        <v>12</v>
      </c>
      <c r="H16" s="241" t="s">
        <v>448</v>
      </c>
      <c r="I16" s="1011"/>
      <c r="J16" s="226" t="str">
        <f>+'25'!J16</f>
        <v>F 10,3 VP OW</v>
      </c>
      <c r="K16" s="250"/>
      <c r="L16" s="240"/>
      <c r="M16" s="129">
        <f>+K16+'25'!M16+L16</f>
        <v>112662</v>
      </c>
    </row>
    <row r="17" spans="1:18" ht="13.5" thickBot="1">
      <c r="A17" s="1013"/>
      <c r="B17" s="227"/>
      <c r="C17" s="228"/>
      <c r="D17" s="229"/>
      <c r="E17" s="236"/>
      <c r="F17" s="239">
        <v>7</v>
      </c>
      <c r="G17" s="243" t="s">
        <v>12</v>
      </c>
      <c r="H17" s="574" t="s">
        <v>447</v>
      </c>
      <c r="I17" s="1011"/>
      <c r="J17" s="226" t="str">
        <f>+'25'!J17</f>
        <v>SN 13 VP OW</v>
      </c>
      <c r="K17" s="250"/>
      <c r="L17" s="240"/>
      <c r="M17" s="129">
        <f>+K17+'25'!M17+L17</f>
        <v>132429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784</v>
      </c>
      <c r="I18" s="1011"/>
      <c r="J18" s="226" t="str">
        <f>+'25'!J18</f>
        <v>SN 14 VP OW</v>
      </c>
      <c r="K18" s="250"/>
      <c r="L18" s="250"/>
      <c r="M18" s="129">
        <f>+K18+'25'!M18+L18</f>
        <v>20814</v>
      </c>
    </row>
    <row r="19" spans="1:18" ht="26.25" thickBot="1">
      <c r="A19" s="1013"/>
      <c r="B19" s="227"/>
      <c r="C19" s="228"/>
      <c r="D19" s="229"/>
      <c r="E19" s="236" t="s">
        <v>775</v>
      </c>
      <c r="F19" s="246">
        <v>26</v>
      </c>
      <c r="G19" s="243" t="s">
        <v>69</v>
      </c>
      <c r="H19" s="244" t="s">
        <v>769</v>
      </c>
      <c r="I19" s="1011"/>
      <c r="J19" s="226" t="str">
        <f>+'25'!J19</f>
        <v>SN 15 VP OW</v>
      </c>
      <c r="K19" s="250"/>
      <c r="L19" s="250"/>
      <c r="M19" s="129">
        <f>+K19+'25'!M19+L19</f>
        <v>62505</v>
      </c>
    </row>
    <row r="20" spans="1:18" ht="13.5" customHeight="1" thickBot="1">
      <c r="A20" s="1013"/>
      <c r="B20" s="227"/>
      <c r="C20" s="228"/>
      <c r="D20" s="229"/>
      <c r="E20" s="236"/>
      <c r="F20" s="239"/>
      <c r="G20" s="243"/>
      <c r="H20" s="244" t="s">
        <v>770</v>
      </c>
      <c r="I20" s="1011"/>
      <c r="J20" s="226" t="s">
        <v>779</v>
      </c>
      <c r="K20" s="250">
        <f>+C8+C16+C25</f>
        <v>63832</v>
      </c>
      <c r="L20" s="251"/>
      <c r="M20" s="129">
        <f>+K20+'25'!M20+L20</f>
        <v>63832</v>
      </c>
    </row>
    <row r="21" spans="1:18" ht="13.5" customHeight="1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+'25'!J21</f>
        <v>0</v>
      </c>
      <c r="K21" s="250"/>
      <c r="L21" s="250"/>
      <c r="M21" s="129">
        <f>+K21+'25'!M21+L21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+'25'!J22</f>
        <v>0</v>
      </c>
      <c r="K22" s="250"/>
      <c r="L22" s="250"/>
      <c r="M22" s="129">
        <f>+K22+'25'!M22+L22</f>
        <v>0</v>
      </c>
    </row>
    <row r="23" spans="1:18" ht="13.5" thickBot="1">
      <c r="A23" s="1014"/>
      <c r="B23" s="180" t="s">
        <v>2</v>
      </c>
      <c r="C23" s="112">
        <f>SUM(C16:C22)</f>
        <v>21264</v>
      </c>
      <c r="D23" s="123">
        <f>SUM(D16:D22)</f>
        <v>420</v>
      </c>
      <c r="E23" s="124">
        <f>SUM(E18:E22)</f>
        <v>0</v>
      </c>
      <c r="F23" s="128">
        <f>SUM(F15:F22)</f>
        <v>53</v>
      </c>
      <c r="G23" s="171"/>
      <c r="H23" s="178" t="s">
        <v>237</v>
      </c>
      <c r="I23" s="181"/>
      <c r="J23" s="226">
        <f>+'25'!J23</f>
        <v>0</v>
      </c>
      <c r="K23" s="250"/>
      <c r="L23" s="250"/>
      <c r="M23" s="129">
        <f>+K23+'25'!M23+L23</f>
        <v>0</v>
      </c>
    </row>
    <row r="24" spans="1:18" ht="13.5" customHeight="1" thickBot="1">
      <c r="A24" s="1007" t="s">
        <v>463</v>
      </c>
      <c r="B24" s="182"/>
      <c r="C24" s="125"/>
      <c r="D24" s="126"/>
      <c r="E24" s="127"/>
      <c r="F24" s="247">
        <v>15</v>
      </c>
      <c r="G24" s="240" t="s">
        <v>12</v>
      </c>
      <c r="H24" s="241" t="s">
        <v>671</v>
      </c>
      <c r="I24" s="1010" t="s">
        <v>777</v>
      </c>
      <c r="J24" s="226">
        <f>+'25'!J24</f>
        <v>0</v>
      </c>
      <c r="K24" s="250"/>
      <c r="L24" s="250"/>
      <c r="M24" s="129">
        <f>+K24+'25'!M24+L24</f>
        <v>0</v>
      </c>
    </row>
    <row r="25" spans="1:18" ht="13.5" thickBot="1">
      <c r="A25" s="1013"/>
      <c r="B25" s="227" t="s">
        <v>779</v>
      </c>
      <c r="C25" s="237">
        <v>23068</v>
      </c>
      <c r="D25" s="229">
        <v>540</v>
      </c>
      <c r="E25" s="236"/>
      <c r="F25" s="242">
        <v>1</v>
      </c>
      <c r="G25" s="243" t="s">
        <v>12</v>
      </c>
      <c r="H25" s="241" t="s">
        <v>494</v>
      </c>
      <c r="I25" s="1011"/>
      <c r="J25" s="226">
        <f>+'25'!J25</f>
        <v>0</v>
      </c>
      <c r="K25" s="250"/>
      <c r="L25" s="250"/>
      <c r="M25" s="129">
        <f>+K25+'25'!M25+L25</f>
        <v>0</v>
      </c>
    </row>
    <row r="26" spans="1:18" ht="13.5" thickBot="1">
      <c r="A26" s="1013"/>
      <c r="B26" s="227"/>
      <c r="C26" s="237"/>
      <c r="D26" s="229"/>
      <c r="E26" s="238"/>
      <c r="F26" s="242">
        <v>6</v>
      </c>
      <c r="G26" s="243" t="s">
        <v>12</v>
      </c>
      <c r="H26" s="574" t="s">
        <v>447</v>
      </c>
      <c r="I26" s="1011"/>
      <c r="J26" s="226">
        <f>+'25'!J26</f>
        <v>0</v>
      </c>
      <c r="K26" s="250"/>
      <c r="L26" s="250"/>
      <c r="M26" s="129">
        <f>+K26+'25'!M26+L26</f>
        <v>0</v>
      </c>
    </row>
    <row r="27" spans="1:18" ht="13.5" thickBot="1">
      <c r="A27" s="1013"/>
      <c r="B27" s="227"/>
      <c r="C27" s="228"/>
      <c r="D27" s="229"/>
      <c r="E27" s="236"/>
      <c r="F27" s="242"/>
      <c r="G27" s="243"/>
      <c r="H27" s="574" t="s">
        <v>776</v>
      </c>
      <c r="I27" s="1011"/>
      <c r="J27" s="226">
        <f>+'25'!J27</f>
        <v>0</v>
      </c>
      <c r="K27" s="250"/>
      <c r="L27" s="250"/>
      <c r="M27" s="129">
        <f>+K27+'25'!M27+L27</f>
        <v>0</v>
      </c>
      <c r="N27" s="161">
        <v>1200</v>
      </c>
      <c r="O27" s="161">
        <f>+N27-N27*0.0035</f>
        <v>1195.8</v>
      </c>
      <c r="P27" s="161">
        <f>30+300</f>
        <v>330</v>
      </c>
      <c r="Q27" s="161">
        <f>+N27*P27</f>
        <v>396000</v>
      </c>
      <c r="R27" s="161">
        <f>+O27*P27</f>
        <v>394614</v>
      </c>
    </row>
    <row r="28" spans="1:18" ht="13.5" thickBot="1">
      <c r="A28" s="1013"/>
      <c r="B28" s="227"/>
      <c r="C28" s="228"/>
      <c r="D28" s="229"/>
      <c r="E28" s="236"/>
      <c r="F28" s="242"/>
      <c r="G28" s="243"/>
      <c r="H28" s="244" t="s">
        <v>771</v>
      </c>
      <c r="I28" s="1011"/>
      <c r="J28" s="226">
        <f>+'25'!J28</f>
        <v>0</v>
      </c>
      <c r="K28" s="250"/>
      <c r="L28" s="250"/>
      <c r="M28" s="129">
        <f>+K28+'25'!M28+L28</f>
        <v>0</v>
      </c>
      <c r="N28" s="161">
        <v>1270</v>
      </c>
      <c r="O28" s="161">
        <f>+N28-N28*0.0035</f>
        <v>1265.5550000000001</v>
      </c>
      <c r="P28" s="161">
        <v>120</v>
      </c>
      <c r="Q28" s="161">
        <f>+N28*P28</f>
        <v>152400</v>
      </c>
      <c r="R28" s="161">
        <f>+O28*P28</f>
        <v>151866.6</v>
      </c>
    </row>
    <row r="29" spans="1:18" ht="26.25" thickBot="1">
      <c r="A29" s="1013"/>
      <c r="B29" s="227"/>
      <c r="C29" s="228"/>
      <c r="D29" s="229"/>
      <c r="E29" s="236"/>
      <c r="F29" s="247"/>
      <c r="G29" s="243"/>
      <c r="H29" s="244" t="s">
        <v>772</v>
      </c>
      <c r="I29" s="1011"/>
      <c r="J29" s="226">
        <f>+'25'!J29</f>
        <v>0</v>
      </c>
      <c r="K29" s="250"/>
      <c r="L29" s="250"/>
      <c r="M29" s="129">
        <f>+K29+'25'!M29+L29</f>
        <v>0</v>
      </c>
      <c r="P29" s="161">
        <f>SUM(P27:P28)</f>
        <v>450</v>
      </c>
      <c r="Q29" s="161">
        <f>SUM(Q27:Q28)</f>
        <v>548400</v>
      </c>
      <c r="R29" s="161">
        <f>SUM(R27:R28)</f>
        <v>546480.6</v>
      </c>
    </row>
    <row r="30" spans="1:18" ht="13.5" thickBot="1">
      <c r="A30" s="1013"/>
      <c r="B30" s="227"/>
      <c r="C30" s="237"/>
      <c r="D30" s="229"/>
      <c r="E30" s="236" t="s">
        <v>775</v>
      </c>
      <c r="F30" s="247">
        <v>30</v>
      </c>
      <c r="G30" s="243" t="s">
        <v>69</v>
      </c>
      <c r="H30" s="244" t="s">
        <v>774</v>
      </c>
      <c r="I30" s="1011"/>
      <c r="J30" s="226">
        <f>+'25'!J30</f>
        <v>0</v>
      </c>
      <c r="K30" s="250"/>
      <c r="L30" s="250"/>
      <c r="M30" s="129">
        <f>+K30+'25'!M30+L30</f>
        <v>0</v>
      </c>
      <c r="Q30" s="161">
        <f>+Q29/P29</f>
        <v>1218.6666666666667</v>
      </c>
      <c r="R30" s="161">
        <f>+R29/P29</f>
        <v>1214.4013333333332</v>
      </c>
    </row>
    <row r="31" spans="1:18" ht="13.5" thickBot="1">
      <c r="A31" s="1013"/>
      <c r="B31" s="227"/>
      <c r="C31" s="237"/>
      <c r="D31" s="229"/>
      <c r="E31" s="236"/>
      <c r="F31" s="247"/>
      <c r="G31" s="248"/>
      <c r="H31" s="466" t="s">
        <v>773</v>
      </c>
      <c r="I31" s="1012"/>
      <c r="J31" s="226">
        <f>+'25'!J31</f>
        <v>0</v>
      </c>
      <c r="K31" s="250"/>
      <c r="L31" s="250"/>
      <c r="M31" s="129">
        <f>+K31+'25'!M31+L31</f>
        <v>0</v>
      </c>
      <c r="N31" s="167"/>
    </row>
    <row r="32" spans="1:18" ht="13.5" thickBot="1">
      <c r="A32" s="1014"/>
      <c r="B32" s="177" t="s">
        <v>2</v>
      </c>
      <c r="C32" s="111">
        <f>SUM(C25:C31)</f>
        <v>23068</v>
      </c>
      <c r="D32" s="112">
        <f>SUM(D25:D31)</f>
        <v>540</v>
      </c>
      <c r="E32" s="113">
        <f>SUM(E25:E31)</f>
        <v>0</v>
      </c>
      <c r="F32" s="114">
        <f>SUM(F24:F31)</f>
        <v>52</v>
      </c>
      <c r="G32" s="183"/>
      <c r="H32" s="184"/>
      <c r="I32" s="181"/>
      <c r="J32" s="226">
        <f>+'25'!J32</f>
        <v>0</v>
      </c>
      <c r="K32" s="252"/>
      <c r="L32" s="254"/>
      <c r="M32" s="129">
        <f>+K32+'25'!M32+L32</f>
        <v>0</v>
      </c>
    </row>
    <row r="33" spans="1:14" ht="13.5" thickBot="1">
      <c r="A33" s="185"/>
      <c r="B33" s="186"/>
      <c r="C33" s="115">
        <f>C32/($C$32+$D$32+$E$32)</f>
        <v>0.97712639783124366</v>
      </c>
      <c r="D33" s="116">
        <f>D32/($C$32+$D$32+$E$32)</f>
        <v>2.2873602168756352E-2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67464</v>
      </c>
      <c r="D34" s="119">
        <f>D14+D23+D32</f>
        <v>1560</v>
      </c>
      <c r="E34" s="119">
        <f>E14+E23+E32</f>
        <v>0</v>
      </c>
      <c r="F34" s="120">
        <f>F14+F23+F32</f>
        <v>119</v>
      </c>
      <c r="H34" s="190"/>
      <c r="I34" s="190"/>
      <c r="J34" s="135" t="s">
        <v>28</v>
      </c>
      <c r="K34" s="136">
        <f>SUM(K7:K32)</f>
        <v>67464</v>
      </c>
      <c r="L34" s="224">
        <f>SUM(L7:L32)</f>
        <v>0</v>
      </c>
      <c r="M34" s="132">
        <f>SUM(M7:M32)</f>
        <v>1616846</v>
      </c>
    </row>
    <row r="35" spans="1:14" ht="13.5" thickBot="1">
      <c r="A35" s="191"/>
      <c r="B35" s="192"/>
      <c r="C35" s="116">
        <f>C34/($C$34+$D$34+$E$34)</f>
        <v>0.97739916550764949</v>
      </c>
      <c r="D35" s="116">
        <f>D34/($C$34+$D$34+$E$34)</f>
        <v>2.2600834492350487E-2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(16*1264+14*120)/1384*G42*2.77*1384/1000000</f>
        <v>73.53875213641966</v>
      </c>
      <c r="J37" s="137">
        <f>+I37+'25'!J37</f>
        <v>1802.4851448869699</v>
      </c>
      <c r="K37" s="138" t="s">
        <v>64</v>
      </c>
      <c r="L37" s="161">
        <f>22.509+24.347+20.767-L38</f>
        <v>64.707999999999998</v>
      </c>
    </row>
    <row r="38" spans="1:14" ht="17.45" customHeight="1">
      <c r="A38" s="1005" t="s">
        <v>12</v>
      </c>
      <c r="B38" s="1006"/>
      <c r="C38" s="176">
        <f>SUMIF($G$7:$G$31,"Process",$F$7:$F$31)</f>
        <v>63</v>
      </c>
      <c r="D38" s="130">
        <f>+C38+'25'!D38</f>
        <v>1204</v>
      </c>
      <c r="E38" s="155">
        <f t="shared" ref="E38:E51" si="0">D38/60</f>
        <v>20.066666666666666</v>
      </c>
      <c r="F38" s="340">
        <v>1220</v>
      </c>
      <c r="G38" s="340">
        <f>+F38-F38*0.0035</f>
        <v>1215.73</v>
      </c>
      <c r="H38" s="199" t="s">
        <v>65</v>
      </c>
      <c r="I38" s="549">
        <f>22.509+24.347+20.767</f>
        <v>67.623000000000005</v>
      </c>
      <c r="J38" s="139">
        <f>+I38+'25'!J38</f>
        <v>1671.4512220100003</v>
      </c>
      <c r="K38" s="140" t="s">
        <v>64</v>
      </c>
      <c r="L38" s="161">
        <f>0.934+1.981</f>
        <v>2.915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+C39+'25'!D39</f>
        <v>0</v>
      </c>
      <c r="E39" s="155">
        <f t="shared" si="0"/>
        <v>0</v>
      </c>
      <c r="F39" s="340">
        <v>1210</v>
      </c>
      <c r="G39" s="340">
        <f>+F39-F39*0.0035</f>
        <v>1205.7650000000001</v>
      </c>
      <c r="H39" s="199" t="s">
        <v>66</v>
      </c>
      <c r="I39" s="154"/>
      <c r="J39" s="141">
        <f>J37/G4</f>
        <v>69.326351726421919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+C40+'25'!D40</f>
        <v>49</v>
      </c>
      <c r="E40" s="155">
        <f t="shared" si="0"/>
        <v>0.81666666666666665</v>
      </c>
      <c r="F40" s="340">
        <v>1218.6666666666667</v>
      </c>
      <c r="G40" s="340">
        <v>1214.4013333333332</v>
      </c>
      <c r="H40" s="199" t="s">
        <v>68</v>
      </c>
      <c r="I40" s="130">
        <f>(K34+L34)/1000</f>
        <v>67.463999999999999</v>
      </c>
      <c r="J40" s="143">
        <f>+I40+'25'!J40</f>
        <v>1616.8459999999998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56</v>
      </c>
      <c r="D41" s="130">
        <f>+C41+'25'!D41</f>
        <v>181</v>
      </c>
      <c r="E41" s="155">
        <f t="shared" si="0"/>
        <v>3.0166666666666666</v>
      </c>
      <c r="F41" s="340"/>
      <c r="G41" s="340"/>
      <c r="H41" s="199" t="s">
        <v>70</v>
      </c>
      <c r="I41" s="154"/>
      <c r="J41" s="141">
        <f>J40/G4</f>
        <v>62.186384615384604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+C42+'25'!D42</f>
        <v>0</v>
      </c>
      <c r="E42" s="155">
        <f t="shared" si="0"/>
        <v>0</v>
      </c>
      <c r="F42" s="340">
        <f>+(F38*480+F39*454+F40*450)/1384</f>
        <v>1216.28612716763</v>
      </c>
      <c r="G42" s="340">
        <f>+(G38*480+G39*454+G40*450)/1384</f>
        <v>1212.0291257225433</v>
      </c>
      <c r="H42" s="199" t="s">
        <v>71</v>
      </c>
      <c r="I42" s="257"/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+C43+'25'!D43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+Report1!T34</f>
        <v>155.751</v>
      </c>
      <c r="J43" s="145">
        <f>+I43+'25'!J43</f>
        <v>3610.9289999999996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+C44+'25'!D44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2.3032252340180115</v>
      </c>
      <c r="J44" s="146">
        <f>J43/J38</f>
        <v>2.1603555954553579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+C45+'25'!D45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2.3086535040910707</v>
      </c>
      <c r="J45" s="146">
        <f>J43/J40</f>
        <v>2.2333165929222698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+C46+'25'!D46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+SUMIF(Listrik!AR33,"&gt;0")</f>
        <v>57073.360000000655</v>
      </c>
      <c r="J46" s="147">
        <f>+I46+'25'!J46</f>
        <v>1405118.6599999985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+C47+'25'!D47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843.99331588365874</v>
      </c>
      <c r="J47" s="147">
        <f>J46/J38</f>
        <v>840.65789147605278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+C48+'25'!D48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845.98244989921523</v>
      </c>
      <c r="J48" s="147">
        <f>J46/J40</f>
        <v>869.04916114459797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+C49+'25'!D49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+I49+'25'!J49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+C50+'25'!D50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+C51+'25'!D51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119</v>
      </c>
      <c r="D52" s="156">
        <f>SUM(D38:D51)</f>
        <v>2382</v>
      </c>
      <c r="E52" s="157">
        <f>SUM(E38:E51)</f>
        <v>39.699999999999996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8.2638888888888887E-2</v>
      </c>
      <c r="D53" s="158">
        <f>D52/(24*60*G4)</f>
        <v>6.3621794871794868E-2</v>
      </c>
      <c r="E53" s="159">
        <f>E52/(G4*24)</f>
        <v>6.3621794871794868E-2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+D34+'25'!J56</f>
        <v>38355</v>
      </c>
      <c r="K56" s="213">
        <f>J56/(J40+J56/1000)/1000</f>
        <v>2.3172412293129357E-2</v>
      </c>
    </row>
    <row r="57" spans="1:11">
      <c r="A57" s="188"/>
      <c r="I57" s="211" t="s">
        <v>90</v>
      </c>
      <c r="J57" s="212">
        <f>+E34+'25'!J57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3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F4" zoomScale="80" zoomScaleNormal="80" workbookViewId="0">
      <selection activeCell="N6" sqref="N6:S15"/>
    </sheetView>
  </sheetViews>
  <sheetFormatPr defaultColWidth="9.140625" defaultRowHeight="12.75"/>
  <cols>
    <col min="1" max="1" width="8" style="161" customWidth="1"/>
    <col min="2" max="2" width="8.28515625" style="16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42578125" style="161" bestFit="1" customWidth="1"/>
    <col min="14" max="16384" width="9.140625" style="161"/>
  </cols>
  <sheetData>
    <row r="1" spans="1:19" ht="15.75">
      <c r="A1" s="160"/>
    </row>
    <row r="2" spans="1:19" ht="15.75">
      <c r="A2" s="160" t="s">
        <v>149</v>
      </c>
    </row>
    <row r="3" spans="1:19" ht="15">
      <c r="A3" s="162"/>
    </row>
    <row r="4" spans="1:19" ht="20.25">
      <c r="A4" s="163" t="s">
        <v>3</v>
      </c>
      <c r="B4" s="164"/>
      <c r="F4" s="165" t="s">
        <v>30</v>
      </c>
      <c r="G4" s="166">
        <v>25</v>
      </c>
      <c r="H4" s="166" t="str">
        <f>+'1'!H4</f>
        <v>.12.25</v>
      </c>
      <c r="J4" s="161">
        <f>165+199+176</f>
        <v>540</v>
      </c>
    </row>
    <row r="5" spans="1:19" ht="13.5" thickBot="1">
      <c r="C5" s="167"/>
      <c r="D5" s="167"/>
    </row>
    <row r="6" spans="1:19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 t="s">
        <v>512</v>
      </c>
      <c r="O6" s="161">
        <v>1200</v>
      </c>
      <c r="P6" s="161">
        <f>+O6-(O6*0.0035)</f>
        <v>1195.8</v>
      </c>
      <c r="Q6" s="161">
        <v>480</v>
      </c>
      <c r="R6" s="161">
        <f>+O6*Q6</f>
        <v>576000</v>
      </c>
      <c r="S6" s="161">
        <f>+P6*Q6</f>
        <v>573984</v>
      </c>
    </row>
    <row r="7" spans="1:19" ht="13.5" customHeight="1" thickBot="1">
      <c r="A7" s="1007" t="s">
        <v>768</v>
      </c>
      <c r="B7" s="227" t="s">
        <v>507</v>
      </c>
      <c r="C7" s="228">
        <v>26245</v>
      </c>
      <c r="D7" s="229"/>
      <c r="E7" s="230"/>
      <c r="F7" s="239"/>
      <c r="G7" s="240" t="s">
        <v>12</v>
      </c>
      <c r="H7" s="241" t="s">
        <v>492</v>
      </c>
      <c r="I7" s="1010" t="s">
        <v>766</v>
      </c>
      <c r="J7" s="226" t="str">
        <f>+'24'!J7</f>
        <v>F 13 VP OW</v>
      </c>
      <c r="K7" s="249"/>
      <c r="L7" s="253"/>
      <c r="M7" s="129">
        <f>+K7+'24'!M7+L7</f>
        <v>224237</v>
      </c>
      <c r="N7" s="161" t="s">
        <v>512</v>
      </c>
      <c r="O7" s="161">
        <v>1200</v>
      </c>
      <c r="P7" s="161">
        <f>+O7-(O7*0.0035)</f>
        <v>1195.8</v>
      </c>
      <c r="Q7" s="161">
        <v>480</v>
      </c>
      <c r="R7" s="161">
        <f>+O7*Q7</f>
        <v>576000</v>
      </c>
      <c r="S7" s="161">
        <f>+P7*Q7</f>
        <v>573984</v>
      </c>
    </row>
    <row r="8" spans="1:19" ht="13.5" thickBot="1">
      <c r="A8" s="1008"/>
      <c r="B8" s="227"/>
      <c r="C8" s="228"/>
      <c r="D8" s="229"/>
      <c r="E8" s="231"/>
      <c r="F8" s="242"/>
      <c r="G8" s="243" t="s">
        <v>12</v>
      </c>
      <c r="H8" s="241" t="s">
        <v>448</v>
      </c>
      <c r="I8" s="1011"/>
      <c r="J8" s="226" t="str">
        <f>+'24'!J8</f>
        <v>MG 15,5 VP OW</v>
      </c>
      <c r="K8" s="250"/>
      <c r="L8" s="250"/>
      <c r="M8" s="129">
        <f>+K8+'24'!M8+L8</f>
        <v>40782</v>
      </c>
      <c r="N8" s="161" t="s">
        <v>512</v>
      </c>
      <c r="O8" s="161">
        <v>1210</v>
      </c>
      <c r="P8" s="161">
        <f>+O8-(O8*0.0035)</f>
        <v>1205.7650000000001</v>
      </c>
      <c r="Q8" s="161">
        <v>480</v>
      </c>
      <c r="R8" s="161">
        <f>+O8*Q8</f>
        <v>580800</v>
      </c>
      <c r="S8" s="161">
        <f>+P8*Q8</f>
        <v>578767.20000000007</v>
      </c>
    </row>
    <row r="9" spans="1:19" ht="13.5" thickBot="1">
      <c r="A9" s="1008"/>
      <c r="B9" s="227"/>
      <c r="C9" s="228"/>
      <c r="D9" s="229"/>
      <c r="E9" s="232"/>
      <c r="F9" s="239">
        <v>4</v>
      </c>
      <c r="G9" s="243" t="s">
        <v>12</v>
      </c>
      <c r="H9" s="574" t="s">
        <v>447</v>
      </c>
      <c r="I9" s="1011"/>
      <c r="J9" s="226" t="str">
        <f>+'24'!J9</f>
        <v>MG 16,5 VP HW/OW</v>
      </c>
      <c r="K9" s="250"/>
      <c r="L9" s="250"/>
      <c r="M9" s="129">
        <f>+K9+'24'!M9+L9</f>
        <v>166590</v>
      </c>
    </row>
    <row r="10" spans="1:19" ht="39" thickBot="1">
      <c r="A10" s="1008"/>
      <c r="B10" s="227"/>
      <c r="C10" s="228"/>
      <c r="D10" s="229"/>
      <c r="E10" s="231"/>
      <c r="F10" s="239"/>
      <c r="G10" s="243"/>
      <c r="H10" s="574" t="s">
        <v>761</v>
      </c>
      <c r="I10" s="1011"/>
      <c r="J10" s="226" t="str">
        <f>+'24'!J10</f>
        <v>MG 17 VP HW</v>
      </c>
      <c r="K10" s="250">
        <f>+C34</f>
        <v>77454</v>
      </c>
      <c r="L10" s="250"/>
      <c r="M10" s="129">
        <f>+K10+'24'!M10+L10</f>
        <v>545963</v>
      </c>
    </row>
    <row r="11" spans="1:19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tr">
        <f>+'24'!J11</f>
        <v>MG 14 VP OW</v>
      </c>
      <c r="K11" s="250"/>
      <c r="L11" s="250"/>
      <c r="M11" s="129">
        <f>+K11+'24'!M11+L11</f>
        <v>151802</v>
      </c>
    </row>
    <row r="12" spans="1:19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+'24'!J12</f>
        <v>MG 19 VP HW</v>
      </c>
      <c r="K12" s="250"/>
      <c r="L12" s="250"/>
      <c r="M12" s="129">
        <f>+K12+'24'!M12+L12</f>
        <v>20052</v>
      </c>
    </row>
    <row r="13" spans="1:19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+'24'!J13</f>
        <v>MG 17 VP OW</v>
      </c>
      <c r="K13" s="250"/>
      <c r="L13" s="250"/>
      <c r="M13" s="129">
        <f>+K13+'24'!M13+L13</f>
        <v>6479</v>
      </c>
    </row>
    <row r="14" spans="1:19" ht="13.5" thickBot="1">
      <c r="A14" s="1009"/>
      <c r="B14" s="177" t="s">
        <v>2</v>
      </c>
      <c r="C14" s="111">
        <f>SUM(C7:C13)</f>
        <v>26245</v>
      </c>
      <c r="D14" s="123">
        <f>SUM(D7:D13)</f>
        <v>0</v>
      </c>
      <c r="E14" s="124">
        <f>SUM(E5:E13)</f>
        <v>0</v>
      </c>
      <c r="F14" s="128">
        <f>SUM(F7:F13)</f>
        <v>4</v>
      </c>
      <c r="G14" s="171"/>
      <c r="H14" s="178"/>
      <c r="I14" s="179"/>
      <c r="J14" s="226" t="str">
        <f>+'24'!J14</f>
        <v>MG 21,5 VP OW</v>
      </c>
      <c r="K14" s="250"/>
      <c r="L14" s="250"/>
      <c r="M14" s="129">
        <f>+K14+'24'!M14+L14</f>
        <v>65067</v>
      </c>
      <c r="Q14" s="188">
        <f>SUM(Q6:Q11)</f>
        <v>1440</v>
      </c>
      <c r="R14" s="188">
        <f>SUM(R6:R11)</f>
        <v>1732800</v>
      </c>
      <c r="S14" s="188">
        <f>SUM(S6:S11)</f>
        <v>1726735.2000000002</v>
      </c>
    </row>
    <row r="15" spans="1:19" ht="13.5" customHeight="1" thickBot="1">
      <c r="A15" s="1007" t="s">
        <v>753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766</v>
      </c>
      <c r="J15" s="226" t="str">
        <f>+'24'!J15</f>
        <v>F 10,5 VP OW</v>
      </c>
      <c r="K15" s="250"/>
      <c r="L15" s="250"/>
      <c r="M15" s="129">
        <f>+K15+'24'!M15+L15</f>
        <v>0</v>
      </c>
      <c r="Q15" s="161">
        <f>480-Q14</f>
        <v>-960</v>
      </c>
      <c r="R15" s="188">
        <f>+R14/Q14</f>
        <v>1203.3333333333333</v>
      </c>
      <c r="S15" s="188">
        <f>+S14/Q14</f>
        <v>1199.1216666666669</v>
      </c>
    </row>
    <row r="16" spans="1:19" ht="13.5" thickBot="1">
      <c r="A16" s="1013"/>
      <c r="B16" s="227" t="s">
        <v>507</v>
      </c>
      <c r="C16" s="233">
        <v>27579</v>
      </c>
      <c r="D16" s="234"/>
      <c r="E16" s="235"/>
      <c r="F16" s="239"/>
      <c r="G16" s="243" t="s">
        <v>12</v>
      </c>
      <c r="H16" s="241" t="s">
        <v>448</v>
      </c>
      <c r="I16" s="1011"/>
      <c r="J16" s="226" t="str">
        <f>+'24'!J16</f>
        <v>F 10,3 VP OW</v>
      </c>
      <c r="K16" s="240"/>
      <c r="L16" s="240"/>
      <c r="M16" s="129">
        <f>+K16+'24'!M16+L16</f>
        <v>112662</v>
      </c>
    </row>
    <row r="17" spans="1:14" ht="13.5" thickBot="1">
      <c r="A17" s="1013"/>
      <c r="B17" s="227"/>
      <c r="C17" s="228"/>
      <c r="D17" s="229"/>
      <c r="E17" s="236"/>
      <c r="F17" s="239">
        <v>9</v>
      </c>
      <c r="G17" s="243" t="s">
        <v>12</v>
      </c>
      <c r="H17" s="574" t="s">
        <v>476</v>
      </c>
      <c r="I17" s="1011"/>
      <c r="J17" s="226" t="str">
        <f>+'24'!J17</f>
        <v>SN 13 VP OW</v>
      </c>
      <c r="K17" s="240"/>
      <c r="L17" s="240"/>
      <c r="M17" s="129">
        <f>+K17+'24'!M17+L17</f>
        <v>132429</v>
      </c>
    </row>
    <row r="18" spans="1:14" ht="26.25" thickBot="1">
      <c r="A18" s="1013"/>
      <c r="B18" s="227"/>
      <c r="C18" s="228"/>
      <c r="D18" s="229"/>
      <c r="E18" s="236"/>
      <c r="F18" s="239"/>
      <c r="G18" s="243"/>
      <c r="H18" s="574" t="s">
        <v>760</v>
      </c>
      <c r="I18" s="1011"/>
      <c r="J18" s="226" t="str">
        <f>+'24'!J18</f>
        <v>SN 14 VP OW</v>
      </c>
      <c r="K18" s="250"/>
      <c r="L18" s="250"/>
      <c r="M18" s="129">
        <f>+K18+'24'!M18+L18</f>
        <v>20814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 t="str">
        <f>+'24'!J19</f>
        <v>SN 15 VP OW</v>
      </c>
      <c r="K19" s="250"/>
      <c r="L19" s="250"/>
      <c r="M19" s="129">
        <f>+K19+'24'!M19+L19</f>
        <v>62505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+'24'!J20</f>
        <v>0</v>
      </c>
      <c r="K20" s="251"/>
      <c r="L20" s="251"/>
      <c r="M20" s="129">
        <f>+K20+'24'!M20+L20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+'24'!J21</f>
        <v>0</v>
      </c>
      <c r="K21" s="250"/>
      <c r="L21" s="250"/>
      <c r="M21" s="129">
        <f>+K21+'24'!M21+L21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+'24'!J22</f>
        <v>0</v>
      </c>
      <c r="K22" s="250"/>
      <c r="L22" s="250"/>
      <c r="M22" s="129">
        <f>+K22+'24'!M22+L22</f>
        <v>0</v>
      </c>
    </row>
    <row r="23" spans="1:14" ht="13.5" thickBot="1">
      <c r="A23" s="1014"/>
      <c r="B23" s="180" t="s">
        <v>2</v>
      </c>
      <c r="C23" s="112">
        <f>SUM(C16:C22)</f>
        <v>27579</v>
      </c>
      <c r="D23" s="123">
        <f>SUM(D16:D22)</f>
        <v>0</v>
      </c>
      <c r="E23" s="124">
        <f>SUM(E18:E22)</f>
        <v>0</v>
      </c>
      <c r="F23" s="128">
        <f>SUM(F15:F22)</f>
        <v>9</v>
      </c>
      <c r="G23" s="171"/>
      <c r="H23" s="178" t="s">
        <v>237</v>
      </c>
      <c r="I23" s="181"/>
      <c r="J23" s="226">
        <f>+'24'!J23</f>
        <v>0</v>
      </c>
      <c r="K23" s="250"/>
      <c r="L23" s="250"/>
      <c r="M23" s="129">
        <f>+K23+'24'!M23+L23</f>
        <v>0</v>
      </c>
    </row>
    <row r="24" spans="1:14" ht="13.5" customHeight="1" thickBot="1">
      <c r="A24" s="1007" t="s">
        <v>463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751</v>
      </c>
      <c r="J24" s="226">
        <f>+'24'!J24</f>
        <v>0</v>
      </c>
      <c r="K24" s="250"/>
      <c r="L24" s="250"/>
      <c r="M24" s="129">
        <f>+K24+'24'!M24+L24</f>
        <v>0</v>
      </c>
    </row>
    <row r="25" spans="1:14" ht="13.5" thickBot="1">
      <c r="A25" s="1013"/>
      <c r="B25" s="227" t="s">
        <v>507</v>
      </c>
      <c r="C25" s="237">
        <v>23630</v>
      </c>
      <c r="D25" s="229"/>
      <c r="E25" s="236"/>
      <c r="F25" s="242"/>
      <c r="G25" s="243" t="s">
        <v>12</v>
      </c>
      <c r="H25" s="241" t="s">
        <v>448</v>
      </c>
      <c r="I25" s="1011"/>
      <c r="J25" s="226">
        <f>+'24'!J25</f>
        <v>0</v>
      </c>
      <c r="K25" s="250"/>
      <c r="L25" s="250"/>
      <c r="M25" s="129">
        <f>+K25+'24'!M25+L25</f>
        <v>0</v>
      </c>
    </row>
    <row r="26" spans="1:14" ht="13.5" thickBot="1">
      <c r="A26" s="1013"/>
      <c r="B26" s="227"/>
      <c r="C26" s="237"/>
      <c r="D26" s="229"/>
      <c r="E26" s="238"/>
      <c r="F26" s="242">
        <v>10</v>
      </c>
      <c r="G26" s="243" t="s">
        <v>12</v>
      </c>
      <c r="H26" s="574" t="s">
        <v>447</v>
      </c>
      <c r="I26" s="1011"/>
      <c r="J26" s="226">
        <f>+'24'!J26</f>
        <v>0</v>
      </c>
      <c r="K26" s="250"/>
      <c r="L26" s="250"/>
      <c r="M26" s="129">
        <f>+K26+'24'!M26+L26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759</v>
      </c>
      <c r="I27" s="1011"/>
      <c r="J27" s="226">
        <f>+'24'!J27</f>
        <v>0</v>
      </c>
      <c r="K27" s="250"/>
      <c r="L27" s="250"/>
      <c r="M27" s="129">
        <f>+K27+'24'!M27+L27</f>
        <v>0</v>
      </c>
    </row>
    <row r="28" spans="1:14" ht="26.25" customHeight="1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+'24'!J28</f>
        <v>0</v>
      </c>
      <c r="K28" s="250"/>
      <c r="L28" s="250"/>
      <c r="M28" s="129">
        <f>+K28+'24'!M28+L28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+'24'!J29</f>
        <v>0</v>
      </c>
      <c r="K29" s="250"/>
      <c r="L29" s="250"/>
      <c r="M29" s="129">
        <f>+K29+'24'!M29+L29</f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+'24'!J30</f>
        <v>0</v>
      </c>
      <c r="K30" s="250"/>
      <c r="L30" s="250"/>
      <c r="M30" s="129">
        <f>+K30+'24'!M30+L30</f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+'24'!J31</f>
        <v>0</v>
      </c>
      <c r="K31" s="250"/>
      <c r="L31" s="250"/>
      <c r="M31" s="129">
        <f>+K31+'24'!M31+L31</f>
        <v>0</v>
      </c>
    </row>
    <row r="32" spans="1:14" ht="13.5" thickBot="1">
      <c r="A32" s="1014"/>
      <c r="B32" s="177" t="s">
        <v>2</v>
      </c>
      <c r="C32" s="111">
        <f>SUM(C25:C31)</f>
        <v>23630</v>
      </c>
      <c r="D32" s="112">
        <f>SUM(D25:D31)</f>
        <v>0</v>
      </c>
      <c r="E32" s="113">
        <f>SUM(E25:E31)</f>
        <v>0</v>
      </c>
      <c r="F32" s="114">
        <f>SUM(F24:F31)</f>
        <v>10</v>
      </c>
      <c r="G32" s="183"/>
      <c r="H32" s="184"/>
      <c r="I32" s="181"/>
      <c r="J32" s="226">
        <f>+'24'!J32</f>
        <v>0</v>
      </c>
      <c r="K32" s="252"/>
      <c r="L32" s="254"/>
      <c r="M32" s="129">
        <f>+K32+'24'!M32+L32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77454</v>
      </c>
      <c r="D34" s="119">
        <f>D14+D23+D32</f>
        <v>0</v>
      </c>
      <c r="E34" s="119">
        <f>E14+E23+E32</f>
        <v>0</v>
      </c>
      <c r="F34" s="120">
        <f>F14+F23+F32</f>
        <v>23</v>
      </c>
      <c r="H34" s="190"/>
      <c r="I34" s="190"/>
      <c r="J34" s="135" t="s">
        <v>28</v>
      </c>
      <c r="K34" s="136">
        <f>SUM(K7:K32)</f>
        <v>77454</v>
      </c>
      <c r="L34" s="224">
        <f>SUM(L7:L32)</f>
        <v>0</v>
      </c>
      <c r="M34" s="132">
        <f>SUM(M7:M32)</f>
        <v>1549382</v>
      </c>
      <c r="N34" s="167"/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(17*1440)/1440*G42*2.77*1440/1000000</f>
        <v>81.311960568000018</v>
      </c>
      <c r="J37" s="137">
        <f>+I37+'24'!J37</f>
        <v>1728.9463927505503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23</v>
      </c>
      <c r="D38" s="130">
        <f>+C38+'24'!D38</f>
        <v>1141</v>
      </c>
      <c r="E38" s="155">
        <f t="shared" ref="E38:E51" si="0">D38/60</f>
        <v>19.016666666666666</v>
      </c>
      <c r="F38" s="340">
        <v>1200</v>
      </c>
      <c r="G38" s="340">
        <v>1195.8</v>
      </c>
      <c r="H38" s="199" t="s">
        <v>65</v>
      </c>
      <c r="I38" s="549">
        <f>24.827+26.577+25.702</f>
        <v>77.106000000000009</v>
      </c>
      <c r="J38" s="139">
        <f>+I38+'24'!J38</f>
        <v>1603.8282220100002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+C39+'24'!D39</f>
        <v>0</v>
      </c>
      <c r="E39" s="155">
        <f t="shared" si="0"/>
        <v>0</v>
      </c>
      <c r="F39" s="340">
        <v>1200</v>
      </c>
      <c r="G39" s="340">
        <v>1195.8</v>
      </c>
      <c r="H39" s="199" t="s">
        <v>66</v>
      </c>
      <c r="I39" s="154"/>
      <c r="J39" s="141">
        <f>J37/G4</f>
        <v>69.157855710022019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+C40+'24'!D40</f>
        <v>49</v>
      </c>
      <c r="E40" s="155">
        <f t="shared" si="0"/>
        <v>0.81666666666666665</v>
      </c>
      <c r="F40" s="340">
        <v>1210</v>
      </c>
      <c r="G40" s="340">
        <v>1205.7650000000001</v>
      </c>
      <c r="H40" s="199" t="s">
        <v>68</v>
      </c>
      <c r="I40" s="130">
        <f>(K34+L34)/1000</f>
        <v>77.453999999999994</v>
      </c>
      <c r="J40" s="143">
        <f>+I40+'24'!J40</f>
        <v>1549.3819999999998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+C41+'24'!D41</f>
        <v>125</v>
      </c>
      <c r="E41" s="155">
        <f t="shared" si="0"/>
        <v>2.0833333333333335</v>
      </c>
      <c r="F41" s="340"/>
      <c r="G41" s="340"/>
      <c r="H41" s="199" t="s">
        <v>70</v>
      </c>
      <c r="I41" s="154"/>
      <c r="J41" s="141">
        <f>J40/G4</f>
        <v>61.975279999999991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+C42+'24'!D42</f>
        <v>0</v>
      </c>
      <c r="E42" s="155">
        <f t="shared" si="0"/>
        <v>0</v>
      </c>
      <c r="F42" s="340">
        <f>+(F38*480+F39*480+F40*480)/1440</f>
        <v>1203.3333333333333</v>
      </c>
      <c r="G42" s="340">
        <f>+(G38*480+G39*480+G40*480)/1440</f>
        <v>1199.1216666666669</v>
      </c>
      <c r="H42" s="199" t="s">
        <v>71</v>
      </c>
      <c r="I42" s="257"/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+C43+'24'!D43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+Report1!T33</f>
        <v>170.23599999999999</v>
      </c>
      <c r="J43" s="145">
        <f>+I43+'24'!J43</f>
        <v>3455.1779999999994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+C44+'24'!D44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2.2078178092496041</v>
      </c>
      <c r="J44" s="146">
        <f>J43/J38</f>
        <v>2.1543317124509707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+C45+'24'!D45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2.1978981072636663</v>
      </c>
      <c r="J45" s="146">
        <f>J43/J40</f>
        <v>2.2300362338016058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+C46+'24'!D46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+SUMIF(Listrik!AR32,"&gt;0")</f>
        <v>52825.860000000786</v>
      </c>
      <c r="J46" s="147">
        <f>+I46+'24'!J46</f>
        <v>1348045.299999998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+C47+'24'!D47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685.10699556455768</v>
      </c>
      <c r="J47" s="147">
        <f>J46/J38</f>
        <v>840.51725833241551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+C48+'24'!D48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682.02881710435599</v>
      </c>
      <c r="J48" s="147">
        <f>J46/J40</f>
        <v>870.05354392912659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+C49+'24'!D49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+I49+'24'!J49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+C50+'24'!D50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+C51+'24'!D51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23</v>
      </c>
      <c r="D52" s="156">
        <f>SUM(D38:D51)</f>
        <v>2263</v>
      </c>
      <c r="E52" s="157">
        <f>SUM(E38:E51)</f>
        <v>37.716666666666661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1.5972222222222221E-2</v>
      </c>
      <c r="D53" s="158">
        <f>D52/(24*60*G4)</f>
        <v>6.2861111111111118E-2</v>
      </c>
      <c r="E53" s="159">
        <f>E52/(G4*24)</f>
        <v>6.2861111111111104E-2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+D34+'24'!J56</f>
        <v>36795</v>
      </c>
      <c r="K56" s="213">
        <f>J56/(J40+J56/1000)/1000</f>
        <v>2.3197285044481167E-2</v>
      </c>
    </row>
    <row r="57" spans="1:11">
      <c r="A57" s="188"/>
      <c r="I57" s="211" t="s">
        <v>90</v>
      </c>
      <c r="J57" s="212">
        <f>+E34+'24'!J57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3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4" zoomScale="80" zoomScaleNormal="80" workbookViewId="0">
      <selection activeCell="A7" sqref="A7:A14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3.5703125" style="161" customWidth="1"/>
    <col min="14" max="16384" width="9.140625" style="161"/>
  </cols>
  <sheetData>
    <row r="1" spans="1:19" ht="15.75">
      <c r="A1" s="160"/>
    </row>
    <row r="2" spans="1:19" ht="15.75">
      <c r="A2" s="160" t="s">
        <v>149</v>
      </c>
    </row>
    <row r="3" spans="1:19" ht="15">
      <c r="A3" s="162"/>
    </row>
    <row r="4" spans="1:19" ht="20.25">
      <c r="A4" s="163" t="s">
        <v>3</v>
      </c>
      <c r="B4" s="164"/>
      <c r="F4" s="165" t="s">
        <v>30</v>
      </c>
      <c r="G4" s="166">
        <v>24</v>
      </c>
      <c r="H4" s="166" t="str">
        <f>+'1'!H4</f>
        <v>.12.25</v>
      </c>
      <c r="J4" s="161">
        <f>185+200+190</f>
        <v>575</v>
      </c>
    </row>
    <row r="5" spans="1:19" ht="13.5" thickBot="1">
      <c r="C5" s="167"/>
      <c r="D5" s="167"/>
    </row>
    <row r="6" spans="1:19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 t="s">
        <v>512</v>
      </c>
      <c r="O6" s="161">
        <v>1210</v>
      </c>
      <c r="P6" s="161">
        <f>+O6-(O6*0.0035)</f>
        <v>1205.7650000000001</v>
      </c>
      <c r="Q6" s="161">
        <v>480</v>
      </c>
      <c r="R6" s="161">
        <f>+O6*Q6</f>
        <v>580800</v>
      </c>
      <c r="S6" s="161">
        <f>+P6*Q6</f>
        <v>578767.20000000007</v>
      </c>
    </row>
    <row r="7" spans="1:19" ht="13.5" customHeight="1" thickBot="1">
      <c r="A7" s="1007" t="s">
        <v>502</v>
      </c>
      <c r="B7" s="227" t="s">
        <v>507</v>
      </c>
      <c r="C7" s="228">
        <v>26260</v>
      </c>
      <c r="D7" s="229">
        <v>327</v>
      </c>
      <c r="E7" s="230"/>
      <c r="F7" s="239"/>
      <c r="G7" s="240" t="s">
        <v>12</v>
      </c>
      <c r="H7" s="241" t="s">
        <v>492</v>
      </c>
      <c r="I7" s="1010" t="s">
        <v>751</v>
      </c>
      <c r="J7" s="226" t="str">
        <f>+'23'!J7</f>
        <v>F 13 VP OW</v>
      </c>
      <c r="K7" s="249"/>
      <c r="L7" s="253"/>
      <c r="M7" s="129">
        <f>+K7+'23'!M7+L7</f>
        <v>224237</v>
      </c>
      <c r="N7" s="161" t="s">
        <v>512</v>
      </c>
      <c r="O7" s="161">
        <v>1210</v>
      </c>
      <c r="P7" s="161">
        <f>+O7-(O7*0.0035)</f>
        <v>1205.7650000000001</v>
      </c>
      <c r="Q7" s="161">
        <v>480</v>
      </c>
      <c r="R7" s="161">
        <f>+O7*Q7</f>
        <v>580800</v>
      </c>
      <c r="S7" s="161">
        <f>+P7*Q7</f>
        <v>578767.20000000007</v>
      </c>
    </row>
    <row r="8" spans="1:19" ht="13.5" thickBot="1">
      <c r="A8" s="1008"/>
      <c r="B8" s="227"/>
      <c r="C8" s="228"/>
      <c r="D8" s="229"/>
      <c r="E8" s="231"/>
      <c r="F8" s="242"/>
      <c r="G8" s="243" t="s">
        <v>12</v>
      </c>
      <c r="H8" s="241" t="s">
        <v>448</v>
      </c>
      <c r="I8" s="1011"/>
      <c r="J8" s="226" t="str">
        <f>+'23'!J8</f>
        <v>MG 15,5 VP OW</v>
      </c>
      <c r="K8" s="250"/>
      <c r="L8" s="250"/>
      <c r="M8" s="129">
        <f>+K8+'23'!M8+L8</f>
        <v>40782</v>
      </c>
      <c r="N8" s="161" t="s">
        <v>512</v>
      </c>
      <c r="O8" s="161">
        <v>1200</v>
      </c>
      <c r="P8" s="161">
        <f>+O8-(O8*0.0035)</f>
        <v>1195.8</v>
      </c>
      <c r="Q8" s="161">
        <v>480</v>
      </c>
      <c r="R8" s="161">
        <f>+O8*Q8</f>
        <v>576000</v>
      </c>
      <c r="S8" s="161">
        <f>+P8*Q8</f>
        <v>573984</v>
      </c>
    </row>
    <row r="9" spans="1:19" ht="13.5" thickBot="1">
      <c r="A9" s="1008"/>
      <c r="B9" s="227"/>
      <c r="C9" s="228"/>
      <c r="D9" s="229"/>
      <c r="E9" s="232"/>
      <c r="F9" s="239">
        <v>14</v>
      </c>
      <c r="G9" s="243" t="s">
        <v>12</v>
      </c>
      <c r="H9" s="574" t="s">
        <v>497</v>
      </c>
      <c r="I9" s="1011"/>
      <c r="J9" s="226" t="str">
        <f>+'23'!J9</f>
        <v>MG 16,5 VP HW/OW</v>
      </c>
      <c r="K9" s="250"/>
      <c r="L9" s="250"/>
      <c r="M9" s="129">
        <f>+K9+'23'!M9+L9</f>
        <v>166590</v>
      </c>
    </row>
    <row r="10" spans="1:19" ht="13.5" thickBot="1">
      <c r="A10" s="1008"/>
      <c r="B10" s="227"/>
      <c r="C10" s="228"/>
      <c r="D10" s="229"/>
      <c r="E10" s="231"/>
      <c r="F10" s="239"/>
      <c r="G10" s="243"/>
      <c r="H10" s="574" t="s">
        <v>765</v>
      </c>
      <c r="I10" s="1011"/>
      <c r="J10" s="226" t="str">
        <f>+'23'!J10</f>
        <v>MG 17 VP HW</v>
      </c>
      <c r="K10" s="250">
        <f>+C34</f>
        <v>76366</v>
      </c>
      <c r="L10" s="250"/>
      <c r="M10" s="129">
        <f>+K10+'23'!M10+L10</f>
        <v>468509</v>
      </c>
    </row>
    <row r="11" spans="1:19" ht="13.5" thickBot="1">
      <c r="A11" s="1008"/>
      <c r="B11" s="227"/>
      <c r="C11" s="228"/>
      <c r="D11" s="229"/>
      <c r="E11" s="231"/>
      <c r="F11" s="239"/>
      <c r="G11" s="243"/>
      <c r="H11" s="244" t="s">
        <v>717</v>
      </c>
      <c r="I11" s="1011"/>
      <c r="J11" s="226" t="str">
        <f>+'23'!J11</f>
        <v>MG 14 VP OW</v>
      </c>
      <c r="K11" s="250"/>
      <c r="L11" s="250"/>
      <c r="M11" s="129">
        <f>+K11+'23'!M11+L11</f>
        <v>151802</v>
      </c>
    </row>
    <row r="12" spans="1:19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+'23'!J12</f>
        <v>MG 19 VP HW</v>
      </c>
      <c r="K12" s="250"/>
      <c r="L12" s="250"/>
      <c r="M12" s="129">
        <f>+K12+'23'!M12+L12</f>
        <v>20052</v>
      </c>
    </row>
    <row r="13" spans="1:19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+'23'!J13</f>
        <v>MG 17 VP OW</v>
      </c>
      <c r="K13" s="250"/>
      <c r="L13" s="250"/>
      <c r="M13" s="129">
        <f>+K13+'23'!M13+L13</f>
        <v>6479</v>
      </c>
    </row>
    <row r="14" spans="1:19" ht="13.5" thickBot="1">
      <c r="A14" s="1009"/>
      <c r="B14" s="177" t="s">
        <v>2</v>
      </c>
      <c r="C14" s="111">
        <f>SUM(C7:C13)</f>
        <v>26260</v>
      </c>
      <c r="D14" s="123">
        <f>SUM(D7:D13)</f>
        <v>327</v>
      </c>
      <c r="E14" s="124">
        <f>SUM(E5:E13)</f>
        <v>0</v>
      </c>
      <c r="F14" s="128">
        <f>SUM(F7:F13)</f>
        <v>14</v>
      </c>
      <c r="G14" s="171"/>
      <c r="H14" s="178"/>
      <c r="I14" s="179"/>
      <c r="J14" s="226" t="str">
        <f>+'23'!J14</f>
        <v>MG 21,5 VP OW</v>
      </c>
      <c r="K14" s="250"/>
      <c r="L14" s="250"/>
      <c r="M14" s="129">
        <f>+K14+'23'!M14+L14</f>
        <v>65067</v>
      </c>
      <c r="Q14" s="188">
        <f>SUM(Q6:Q11)</f>
        <v>1440</v>
      </c>
      <c r="R14" s="188">
        <f>SUM(R6:R11)</f>
        <v>1737600</v>
      </c>
      <c r="S14" s="188">
        <f>SUM(S6:S11)</f>
        <v>1731518.4000000001</v>
      </c>
    </row>
    <row r="15" spans="1:19" ht="13.5" customHeight="1" thickBot="1">
      <c r="A15" s="1007" t="s">
        <v>753</v>
      </c>
      <c r="B15" s="177"/>
      <c r="C15" s="125"/>
      <c r="D15" s="126"/>
      <c r="E15" s="127"/>
      <c r="F15" s="239">
        <v>24</v>
      </c>
      <c r="G15" s="240" t="s">
        <v>12</v>
      </c>
      <c r="H15" s="241" t="s">
        <v>446</v>
      </c>
      <c r="I15" s="1010" t="s">
        <v>751</v>
      </c>
      <c r="J15" s="226" t="str">
        <f>+'23'!J15</f>
        <v>F 10,5 VP OW</v>
      </c>
      <c r="K15" s="250"/>
      <c r="L15" s="250"/>
      <c r="M15" s="129">
        <f>+K15+'23'!M15+L15</f>
        <v>0</v>
      </c>
      <c r="Q15" s="161">
        <f>480-Q14</f>
        <v>-960</v>
      </c>
      <c r="R15" s="188">
        <f>+R14/Q14</f>
        <v>1206.6666666666667</v>
      </c>
      <c r="S15" s="188">
        <f>+S14/Q14</f>
        <v>1202.4433333333334</v>
      </c>
    </row>
    <row r="16" spans="1:19" ht="13.5" thickBot="1">
      <c r="A16" s="1013"/>
      <c r="B16" s="227" t="s">
        <v>507</v>
      </c>
      <c r="C16" s="233">
        <v>25128</v>
      </c>
      <c r="D16" s="234"/>
      <c r="E16" s="235"/>
      <c r="F16" s="239"/>
      <c r="G16" s="243" t="s">
        <v>12</v>
      </c>
      <c r="H16" s="241" t="s">
        <v>448</v>
      </c>
      <c r="I16" s="1011"/>
      <c r="J16" s="226" t="str">
        <f>+'23'!J16</f>
        <v>F 10,3 VP OW</v>
      </c>
      <c r="K16" s="250"/>
      <c r="L16" s="250"/>
      <c r="M16" s="129">
        <f>+K16+'23'!M16+L16</f>
        <v>112662</v>
      </c>
    </row>
    <row r="17" spans="1:14" ht="13.5" thickBot="1">
      <c r="A17" s="1013"/>
      <c r="B17" s="227"/>
      <c r="C17" s="228"/>
      <c r="D17" s="229"/>
      <c r="E17" s="236"/>
      <c r="F17" s="239">
        <f>39-F15</f>
        <v>15</v>
      </c>
      <c r="G17" s="243" t="s">
        <v>12</v>
      </c>
      <c r="H17" s="574" t="s">
        <v>476</v>
      </c>
      <c r="I17" s="1011"/>
      <c r="J17" s="226" t="str">
        <f>+'23'!J17</f>
        <v>SN 13 VP OW</v>
      </c>
      <c r="K17" s="250"/>
      <c r="L17" s="250"/>
      <c r="M17" s="129">
        <f>+K17+'23'!M17+L17</f>
        <v>132429</v>
      </c>
    </row>
    <row r="18" spans="1:14" ht="26.25" thickBot="1">
      <c r="A18" s="1013"/>
      <c r="B18" s="227"/>
      <c r="C18" s="228"/>
      <c r="D18" s="229"/>
      <c r="E18" s="236"/>
      <c r="F18" s="239"/>
      <c r="G18" s="243"/>
      <c r="H18" s="574" t="s">
        <v>763</v>
      </c>
      <c r="I18" s="1011"/>
      <c r="J18" s="226" t="str">
        <f>+'23'!J18</f>
        <v>SN 14 VP OW</v>
      </c>
      <c r="K18" s="250"/>
      <c r="L18" s="250"/>
      <c r="M18" s="129">
        <f>+K18+'23'!M18+L18</f>
        <v>20814</v>
      </c>
    </row>
    <row r="19" spans="1:14" ht="26.25" thickBot="1">
      <c r="A19" s="1013"/>
      <c r="B19" s="227"/>
      <c r="C19" s="228"/>
      <c r="D19" s="229"/>
      <c r="E19" s="236"/>
      <c r="F19" s="246"/>
      <c r="G19" s="243"/>
      <c r="H19" s="244" t="s">
        <v>764</v>
      </c>
      <c r="I19" s="1011"/>
      <c r="J19" s="226" t="str">
        <f>+'23'!J19</f>
        <v>SN 15 VP OW</v>
      </c>
      <c r="K19" s="250"/>
      <c r="L19" s="250"/>
      <c r="M19" s="129">
        <f>+K19+'23'!M19+L19</f>
        <v>62505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+'23'!J20</f>
        <v>0</v>
      </c>
      <c r="K20" s="250"/>
      <c r="L20" s="250"/>
      <c r="M20" s="129">
        <f>+K20+'23'!M20+L20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+'23'!J21</f>
        <v>0</v>
      </c>
      <c r="K21" s="250"/>
      <c r="L21" s="250"/>
      <c r="M21" s="129">
        <f>+K21+'23'!M21+L21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+'23'!J22</f>
        <v>0</v>
      </c>
      <c r="K22" s="250"/>
      <c r="L22" s="250"/>
      <c r="M22" s="129">
        <f>+K22+'23'!M22+L22</f>
        <v>0</v>
      </c>
    </row>
    <row r="23" spans="1:14" ht="13.5" thickBot="1">
      <c r="A23" s="1014"/>
      <c r="B23" s="180" t="s">
        <v>2</v>
      </c>
      <c r="C23" s="112">
        <f>SUM(C16:C22)</f>
        <v>25128</v>
      </c>
      <c r="D23" s="123">
        <f>SUM(D16:D22)</f>
        <v>0</v>
      </c>
      <c r="E23" s="124">
        <f>SUM(E18:E22)</f>
        <v>0</v>
      </c>
      <c r="F23" s="128">
        <f>SUM(F15:F22)</f>
        <v>39</v>
      </c>
      <c r="G23" s="171"/>
      <c r="H23" s="178" t="s">
        <v>237</v>
      </c>
      <c r="I23" s="181"/>
      <c r="J23" s="226">
        <f>+'23'!J23</f>
        <v>0</v>
      </c>
      <c r="K23" s="250"/>
      <c r="L23" s="250"/>
      <c r="M23" s="129">
        <f>+K23+'23'!M23+L23</f>
        <v>0</v>
      </c>
    </row>
    <row r="24" spans="1:14" ht="13.5" customHeight="1" thickBot="1">
      <c r="A24" s="1007" t="s">
        <v>463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766</v>
      </c>
      <c r="J24" s="226">
        <f>+'23'!J24</f>
        <v>0</v>
      </c>
      <c r="K24" s="250"/>
      <c r="L24" s="250"/>
      <c r="M24" s="129">
        <f>+K24+'23'!M24+L24</f>
        <v>0</v>
      </c>
    </row>
    <row r="25" spans="1:14" ht="13.5" thickBot="1">
      <c r="A25" s="1013"/>
      <c r="B25" s="227" t="s">
        <v>507</v>
      </c>
      <c r="C25" s="237">
        <v>24978</v>
      </c>
      <c r="D25" s="229"/>
      <c r="E25" s="236"/>
      <c r="F25" s="242"/>
      <c r="G25" s="243" t="s">
        <v>12</v>
      </c>
      <c r="H25" s="241" t="s">
        <v>448</v>
      </c>
      <c r="I25" s="1011"/>
      <c r="J25" s="226">
        <f>+'23'!J25</f>
        <v>0</v>
      </c>
      <c r="K25" s="250"/>
      <c r="L25" s="250"/>
      <c r="M25" s="129">
        <f>+K25+'23'!M25+L25</f>
        <v>0</v>
      </c>
    </row>
    <row r="26" spans="1:14" ht="13.5" thickBot="1">
      <c r="A26" s="1013"/>
      <c r="B26" s="227"/>
      <c r="C26" s="237"/>
      <c r="D26" s="229"/>
      <c r="E26" s="238"/>
      <c r="F26" s="242">
        <v>7</v>
      </c>
      <c r="G26" s="243" t="s">
        <v>12</v>
      </c>
      <c r="H26" s="574" t="s">
        <v>447</v>
      </c>
      <c r="I26" s="1011"/>
      <c r="J26" s="226">
        <f>+'23'!J26</f>
        <v>0</v>
      </c>
      <c r="K26" s="250"/>
      <c r="L26" s="250"/>
      <c r="M26" s="129">
        <f>+K26+'23'!M26+L26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762</v>
      </c>
      <c r="I27" s="1011"/>
      <c r="J27" s="226">
        <f>+'23'!J27</f>
        <v>0</v>
      </c>
      <c r="K27" s="250"/>
      <c r="L27" s="250"/>
      <c r="M27" s="129">
        <f>+K27+'23'!M27+L27</f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+'23'!J28</f>
        <v>0</v>
      </c>
      <c r="K28" s="250"/>
      <c r="L28" s="250"/>
      <c r="M28" s="129">
        <f>+K28+'23'!M28+L28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+'23'!J29</f>
        <v>0</v>
      </c>
      <c r="K29" s="250"/>
      <c r="L29" s="250"/>
      <c r="M29" s="129">
        <f>+K29+'23'!M29+L29</f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+'23'!J30</f>
        <v>0</v>
      </c>
      <c r="K30" s="250"/>
      <c r="L30" s="250"/>
      <c r="M30" s="129">
        <f>+K30+'23'!M30+L30</f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+'23'!J31</f>
        <v>0</v>
      </c>
      <c r="K31" s="250"/>
      <c r="L31" s="250"/>
      <c r="M31" s="129">
        <f>+K31+'23'!M31+L31</f>
        <v>0</v>
      </c>
    </row>
    <row r="32" spans="1:14" ht="13.5" thickBot="1">
      <c r="A32" s="1014"/>
      <c r="B32" s="177" t="s">
        <v>2</v>
      </c>
      <c r="C32" s="111">
        <f>SUM(C25:C31)</f>
        <v>24978</v>
      </c>
      <c r="D32" s="112">
        <f>SUM(D25:D31)</f>
        <v>0</v>
      </c>
      <c r="E32" s="113">
        <f>SUM(E25:E31)</f>
        <v>0</v>
      </c>
      <c r="F32" s="114">
        <f>SUM(F24:F31)</f>
        <v>7</v>
      </c>
      <c r="G32" s="183"/>
      <c r="H32" s="184"/>
      <c r="I32" s="181"/>
      <c r="J32" s="226">
        <f>+'23'!J32</f>
        <v>0</v>
      </c>
      <c r="K32" s="252"/>
      <c r="L32" s="254"/>
      <c r="M32" s="129">
        <f>+K32+'23'!M32+L32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76366</v>
      </c>
      <c r="D34" s="119">
        <f>D14+D23+D32</f>
        <v>327</v>
      </c>
      <c r="E34" s="119">
        <f>E14+E23+E32</f>
        <v>0</v>
      </c>
      <c r="F34" s="120">
        <f>F14+F23+F32</f>
        <v>60</v>
      </c>
      <c r="H34" s="190"/>
      <c r="I34" s="190"/>
      <c r="J34" s="135" t="s">
        <v>28</v>
      </c>
      <c r="K34" s="136">
        <f>SUM(K7:K32)</f>
        <v>76366</v>
      </c>
      <c r="L34" s="224">
        <f>SUM(L7:L32)</f>
        <v>0</v>
      </c>
      <c r="M34" s="132">
        <f>SUM(M7:M32)</f>
        <v>1471928</v>
      </c>
      <c r="N34" s="167"/>
    </row>
    <row r="35" spans="1:14" ht="13.5" thickBot="1">
      <c r="A35" s="191"/>
      <c r="B35" s="192"/>
      <c r="C35" s="116">
        <f>C34/($C$34+$D$34+$E$34)</f>
        <v>0.99573624711512132</v>
      </c>
      <c r="D35" s="116">
        <f>D34/($C$34+$D$34+$E$34)</f>
        <v>4.2637528848786721E-3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(17*1440)/1440*G42*2.77*1440/1000000</f>
        <v>81.537201456000005</v>
      </c>
      <c r="J37" s="137">
        <f>+I37+'23'!J37</f>
        <v>1647.6344321825504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60</v>
      </c>
      <c r="D38" s="130">
        <f>+C38+'23'!D38</f>
        <v>1118</v>
      </c>
      <c r="E38" s="155">
        <f t="shared" ref="E38:E51" si="0">D38/60</f>
        <v>18.633333333333333</v>
      </c>
      <c r="F38" s="340">
        <v>1210</v>
      </c>
      <c r="G38" s="340">
        <v>1205.7650000000001</v>
      </c>
      <c r="H38" s="199" t="s">
        <v>65</v>
      </c>
      <c r="I38" s="549">
        <f>27.104+22.787+25.276</f>
        <v>75.167000000000002</v>
      </c>
      <c r="J38" s="139">
        <f>+I38+'23'!J38</f>
        <v>1526.7222220100002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+C39+'23'!D39</f>
        <v>0</v>
      </c>
      <c r="E39" s="155">
        <f t="shared" si="0"/>
        <v>0</v>
      </c>
      <c r="F39" s="340">
        <v>1210</v>
      </c>
      <c r="G39" s="340">
        <v>1205.7650000000001</v>
      </c>
      <c r="H39" s="199" t="s">
        <v>66</v>
      </c>
      <c r="I39" s="154"/>
      <c r="J39" s="141">
        <f>J37/G4</f>
        <v>68.651434674272934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+C40+'23'!D40</f>
        <v>49</v>
      </c>
      <c r="E40" s="155">
        <f t="shared" si="0"/>
        <v>0.81666666666666665</v>
      </c>
      <c r="F40" s="340">
        <v>1200</v>
      </c>
      <c r="G40" s="340">
        <v>1195.8</v>
      </c>
      <c r="H40" s="199" t="s">
        <v>68</v>
      </c>
      <c r="I40" s="130">
        <f>(K34+L34)/1000</f>
        <v>76.366</v>
      </c>
      <c r="J40" s="143">
        <f>+I40+'23'!J40</f>
        <v>1471.9279999999999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+C41+'23'!D41</f>
        <v>125</v>
      </c>
      <c r="E41" s="155">
        <f t="shared" si="0"/>
        <v>2.0833333333333335</v>
      </c>
      <c r="F41" s="340"/>
      <c r="G41" s="340"/>
      <c r="H41" s="199" t="s">
        <v>70</v>
      </c>
      <c r="I41" s="154"/>
      <c r="J41" s="141">
        <f>J40/G4</f>
        <v>61.330333333333328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+C42+'23'!D42</f>
        <v>0</v>
      </c>
      <c r="E42" s="155">
        <f t="shared" si="0"/>
        <v>0</v>
      </c>
      <c r="F42" s="340">
        <f>+(F38*480+F39*480+F40*480)/1440</f>
        <v>1206.6666666666667</v>
      </c>
      <c r="G42" s="340">
        <f>+(G38*480+G39*480+G40*480)/1440</f>
        <v>1202.4433333333334</v>
      </c>
      <c r="H42" s="199" t="s">
        <v>71</v>
      </c>
      <c r="I42" s="257"/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+C43+'23'!D43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+Report1!T32</f>
        <v>171.874</v>
      </c>
      <c r="J43" s="145">
        <f>+I43+'23'!J43</f>
        <v>3284.9419999999996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+C44+'23'!D44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2.2865619221200792</v>
      </c>
      <c r="J44" s="146">
        <f>J43/J38</f>
        <v>2.151630435872756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+C45+'23'!D45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2.2506612890553388</v>
      </c>
      <c r="J45" s="146">
        <f>J43/J40</f>
        <v>2.2317273670994777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+C46+'23'!D46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+SUMIF(Listrik!AR31,"&gt;0")</f>
        <v>54469.379999999044</v>
      </c>
      <c r="J46" s="147">
        <f>+I46+'23'!J46</f>
        <v>1295219.4399999972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+C47+'23'!D47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724.64485745073023</v>
      </c>
      <c r="J47" s="147">
        <f>J46/J38</f>
        <v>848.36614108805009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+C48+'23'!D48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713.26742267499992</v>
      </c>
      <c r="J48" s="147">
        <f>J46/J40</f>
        <v>879.94755178242224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+C49+'23'!D49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+I49+'23'!J49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+C50+'23'!D50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+C51+'23'!D51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60</v>
      </c>
      <c r="D52" s="156">
        <f>SUM(D38:D51)</f>
        <v>2240</v>
      </c>
      <c r="E52" s="157">
        <f>SUM(E38:E51)</f>
        <v>37.333333333333329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4.1666666666666664E-2</v>
      </c>
      <c r="D53" s="158">
        <f>D52/(24*60*G4)</f>
        <v>6.4814814814814811E-2</v>
      </c>
      <c r="E53" s="159">
        <f>E52/(G4*24)</f>
        <v>6.4814814814814811E-2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+D34+'23'!J56</f>
        <v>36795</v>
      </c>
      <c r="K56" s="213">
        <f>J56/(J40+J56/1000)/1000</f>
        <v>2.4388174635105318E-2</v>
      </c>
    </row>
    <row r="57" spans="1:11">
      <c r="A57" s="188"/>
      <c r="I57" s="211" t="s">
        <v>90</v>
      </c>
      <c r="J57" s="212">
        <f>+E34+'23'!J57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3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10" zoomScale="80" zoomScaleNormal="80" workbookViewId="0">
      <selection activeCell="H13" sqref="H13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3.7109375" style="161" customWidth="1"/>
    <col min="14" max="16384" width="9.140625" style="161"/>
  </cols>
  <sheetData>
    <row r="1" spans="1:19" ht="15.75">
      <c r="A1" s="160"/>
    </row>
    <row r="2" spans="1:19" ht="15.75">
      <c r="A2" s="160" t="s">
        <v>149</v>
      </c>
    </row>
    <row r="3" spans="1:19" ht="15">
      <c r="A3" s="162"/>
    </row>
    <row r="4" spans="1:19" ht="20.25">
      <c r="A4" s="163" t="s">
        <v>3</v>
      </c>
      <c r="B4" s="164"/>
      <c r="F4" s="165" t="s">
        <v>30</v>
      </c>
      <c r="G4" s="166">
        <v>23</v>
      </c>
      <c r="H4" s="166" t="str">
        <f>+'1'!H4</f>
        <v>.12.25</v>
      </c>
      <c r="J4" s="161">
        <f>187+180+203</f>
        <v>570</v>
      </c>
    </row>
    <row r="5" spans="1:19" ht="13.5" thickBot="1">
      <c r="C5" s="167"/>
      <c r="D5" s="167"/>
    </row>
    <row r="6" spans="1:19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 t="s">
        <v>468</v>
      </c>
      <c r="O6" s="161">
        <v>1210</v>
      </c>
      <c r="P6" s="161">
        <f>+O6-(O6*0.0035)</f>
        <v>1205.7650000000001</v>
      </c>
      <c r="Q6" s="161">
        <v>480</v>
      </c>
      <c r="R6" s="161">
        <f>+O6*Q6</f>
        <v>580800</v>
      </c>
      <c r="S6" s="161">
        <f>+P6*Q6</f>
        <v>578767.20000000007</v>
      </c>
    </row>
    <row r="7" spans="1:19" ht="13.5" customHeight="1" thickBot="1">
      <c r="A7" s="1007" t="s">
        <v>502</v>
      </c>
      <c r="B7" s="227" t="s">
        <v>454</v>
      </c>
      <c r="C7" s="228">
        <f>339+4504</f>
        <v>4843</v>
      </c>
      <c r="D7" s="229"/>
      <c r="E7" s="230"/>
      <c r="F7" s="239"/>
      <c r="G7" s="240" t="s">
        <v>12</v>
      </c>
      <c r="H7" s="241" t="s">
        <v>492</v>
      </c>
      <c r="I7" s="1010" t="s">
        <v>751</v>
      </c>
      <c r="J7" s="226" t="str">
        <f>+'22'!J7</f>
        <v>F 13 VP OW</v>
      </c>
      <c r="K7" s="249"/>
      <c r="L7" s="253"/>
      <c r="M7" s="129">
        <f>+K7+'22'!M7+L7</f>
        <v>224237</v>
      </c>
      <c r="N7" s="161" t="s">
        <v>512</v>
      </c>
      <c r="O7" s="161">
        <v>1230</v>
      </c>
      <c r="P7" s="161">
        <f>+O7-(O7*0.0035)</f>
        <v>1225.6949999999999</v>
      </c>
      <c r="Q7" s="161">
        <v>480</v>
      </c>
      <c r="R7" s="161">
        <f>+O7*Q7</f>
        <v>590400</v>
      </c>
      <c r="S7" s="161">
        <f>+P7*Q7</f>
        <v>588333.6</v>
      </c>
    </row>
    <row r="8" spans="1:19" ht="13.5" thickBot="1">
      <c r="A8" s="1008"/>
      <c r="B8" s="227" t="s">
        <v>507</v>
      </c>
      <c r="C8" s="228">
        <f>1786+1371+2176</f>
        <v>5333</v>
      </c>
      <c r="D8" s="229"/>
      <c r="E8" s="231"/>
      <c r="F8" s="242"/>
      <c r="G8" s="243" t="s">
        <v>12</v>
      </c>
      <c r="H8" s="241" t="s">
        <v>448</v>
      </c>
      <c r="I8" s="1011"/>
      <c r="J8" s="226" t="str">
        <f>+'22'!J8</f>
        <v>MG 15,5 VP OW</v>
      </c>
      <c r="K8" s="250"/>
      <c r="L8" s="250"/>
      <c r="M8" s="129">
        <f>+K8+'22'!M8+L8</f>
        <v>40782</v>
      </c>
      <c r="N8" s="161" t="s">
        <v>512</v>
      </c>
      <c r="O8" s="161">
        <v>1230</v>
      </c>
      <c r="P8" s="161">
        <f>+O8-(O8*0.0035)</f>
        <v>1225.6949999999999</v>
      </c>
      <c r="Q8" s="161">
        <v>480</v>
      </c>
      <c r="R8" s="161">
        <f>+O8*Q8</f>
        <v>590400</v>
      </c>
      <c r="S8" s="161">
        <f>+P8*Q8</f>
        <v>588333.6</v>
      </c>
    </row>
    <row r="9" spans="1:19" ht="13.5" thickBot="1">
      <c r="A9" s="1008"/>
      <c r="B9" s="227" t="s">
        <v>754</v>
      </c>
      <c r="C9" s="228">
        <f>11337+1310+2659</f>
        <v>15306</v>
      </c>
      <c r="D9" s="229">
        <v>620</v>
      </c>
      <c r="E9" s="232"/>
      <c r="F9" s="239">
        <v>8</v>
      </c>
      <c r="G9" s="243" t="s">
        <v>12</v>
      </c>
      <c r="H9" s="574" t="s">
        <v>447</v>
      </c>
      <c r="I9" s="1011"/>
      <c r="J9" s="226" t="str">
        <f>+'22'!J9</f>
        <v>MG 16,5 VP HW/OW</v>
      </c>
      <c r="K9" s="250">
        <f>+C7</f>
        <v>4843</v>
      </c>
      <c r="L9" s="250"/>
      <c r="M9" s="129">
        <f>+K9+'22'!M9+L9</f>
        <v>166590</v>
      </c>
    </row>
    <row r="10" spans="1:19" ht="26.25" thickBot="1">
      <c r="A10" s="1008"/>
      <c r="B10" s="227"/>
      <c r="C10" s="228"/>
      <c r="D10" s="229"/>
      <c r="E10" s="231"/>
      <c r="F10" s="239"/>
      <c r="G10" s="243"/>
      <c r="H10" s="574" t="s">
        <v>745</v>
      </c>
      <c r="I10" s="1011"/>
      <c r="J10" s="226" t="str">
        <f>+'22'!J10</f>
        <v>MG 17 VP HW</v>
      </c>
      <c r="K10" s="250">
        <f>+C8+C16+C25+C9+C17+C26</f>
        <v>75392</v>
      </c>
      <c r="L10" s="250"/>
      <c r="M10" s="129">
        <f>+K10+'22'!M10+L10</f>
        <v>392143</v>
      </c>
    </row>
    <row r="11" spans="1:19" ht="13.5" thickBot="1">
      <c r="A11" s="1008"/>
      <c r="B11" s="227"/>
      <c r="C11" s="228"/>
      <c r="D11" s="229"/>
      <c r="E11" s="231"/>
      <c r="F11" s="239"/>
      <c r="G11" s="243"/>
      <c r="H11" s="244" t="s">
        <v>717</v>
      </c>
      <c r="I11" s="1011"/>
      <c r="J11" s="226" t="str">
        <f>+'22'!J11</f>
        <v>MG 14 VP OW</v>
      </c>
      <c r="K11" s="250"/>
      <c r="L11" s="250"/>
      <c r="M11" s="129">
        <f>+K11+'22'!M11+L11</f>
        <v>151802</v>
      </c>
    </row>
    <row r="12" spans="1:19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+'22'!J12</f>
        <v>MG 19 VP HW</v>
      </c>
      <c r="K12" s="250"/>
      <c r="L12" s="250"/>
      <c r="M12" s="129">
        <f>+K12+'22'!M12+L12</f>
        <v>20052</v>
      </c>
    </row>
    <row r="13" spans="1:19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+'22'!J13</f>
        <v>MG 17 VP OW</v>
      </c>
      <c r="K13" s="250"/>
      <c r="L13" s="250"/>
      <c r="M13" s="129">
        <f>+K13+'22'!M13+L13</f>
        <v>6479</v>
      </c>
    </row>
    <row r="14" spans="1:19" ht="13.5" thickBot="1">
      <c r="A14" s="1009"/>
      <c r="B14" s="177" t="s">
        <v>2</v>
      </c>
      <c r="C14" s="111">
        <f>SUM(C7:C13)</f>
        <v>25482</v>
      </c>
      <c r="D14" s="123">
        <f>SUM(D7:D13)</f>
        <v>620</v>
      </c>
      <c r="E14" s="124">
        <f>SUM(E5:E13)</f>
        <v>0</v>
      </c>
      <c r="F14" s="128">
        <f>SUM(F7:F13)</f>
        <v>8</v>
      </c>
      <c r="G14" s="171"/>
      <c r="H14" s="178"/>
      <c r="I14" s="179"/>
      <c r="J14" s="226" t="str">
        <f>+'22'!J14</f>
        <v>MG 21,5 VP OW</v>
      </c>
      <c r="K14" s="250"/>
      <c r="L14" s="250"/>
      <c r="M14" s="129">
        <f>+K14+'22'!M14+L14</f>
        <v>65067</v>
      </c>
      <c r="Q14" s="188">
        <f>SUM(Q6:Q11)</f>
        <v>1440</v>
      </c>
      <c r="R14" s="188">
        <f>SUM(R6:R11)</f>
        <v>1761600</v>
      </c>
      <c r="S14" s="188">
        <f>SUM(S6:S11)</f>
        <v>1755434.4</v>
      </c>
    </row>
    <row r="15" spans="1:19" ht="13.5" customHeight="1" thickBot="1">
      <c r="A15" s="1007" t="s">
        <v>753</v>
      </c>
      <c r="B15" s="177"/>
      <c r="C15" s="125"/>
      <c r="D15" s="126"/>
      <c r="E15" s="127"/>
      <c r="F15" s="239">
        <v>6</v>
      </c>
      <c r="G15" s="240" t="s">
        <v>12</v>
      </c>
      <c r="H15" s="241" t="s">
        <v>477</v>
      </c>
      <c r="I15" s="1010" t="s">
        <v>752</v>
      </c>
      <c r="J15" s="226" t="str">
        <f>+'22'!J15</f>
        <v>F 10,5 VP OW</v>
      </c>
      <c r="K15" s="250"/>
      <c r="L15" s="250"/>
      <c r="M15" s="129">
        <f>+K15+'22'!M15+L15</f>
        <v>0</v>
      </c>
      <c r="Q15" s="161">
        <f>480-Q14</f>
        <v>-960</v>
      </c>
      <c r="R15" s="188">
        <f>+R14/Q14</f>
        <v>1223.3333333333333</v>
      </c>
      <c r="S15" s="188">
        <f>+S14/Q14</f>
        <v>1219.0516666666665</v>
      </c>
    </row>
    <row r="16" spans="1:19" ht="13.5" thickBot="1">
      <c r="A16" s="1013"/>
      <c r="B16" s="227" t="s">
        <v>507</v>
      </c>
      <c r="C16" s="233">
        <f>5264+6890</f>
        <v>12154</v>
      </c>
      <c r="D16" s="234">
        <v>380</v>
      </c>
      <c r="E16" s="235"/>
      <c r="F16" s="239"/>
      <c r="G16" s="243" t="s">
        <v>12</v>
      </c>
      <c r="H16" s="241" t="s">
        <v>448</v>
      </c>
      <c r="I16" s="1011"/>
      <c r="J16" s="226" t="str">
        <f>+'22'!J16</f>
        <v>F 10,3 VP OW</v>
      </c>
      <c r="K16" s="250"/>
      <c r="L16" s="240"/>
      <c r="M16" s="129">
        <f>+K16+'22'!M16+L16</f>
        <v>112662</v>
      </c>
    </row>
    <row r="17" spans="1:17" ht="13.5" thickBot="1">
      <c r="A17" s="1013"/>
      <c r="B17" s="227" t="s">
        <v>754</v>
      </c>
      <c r="C17" s="228">
        <f>9734+1135+2133</f>
        <v>13002</v>
      </c>
      <c r="D17" s="229">
        <f>426+400</f>
        <v>826</v>
      </c>
      <c r="E17" s="236"/>
      <c r="F17" s="239">
        <v>7</v>
      </c>
      <c r="G17" s="243" t="s">
        <v>12</v>
      </c>
      <c r="H17" s="574" t="s">
        <v>450</v>
      </c>
      <c r="I17" s="1011"/>
      <c r="J17" s="226" t="str">
        <f>+'22'!J17</f>
        <v>SN 13 VP OW</v>
      </c>
      <c r="K17" s="250"/>
      <c r="L17" s="240"/>
      <c r="M17" s="129">
        <f>+K17+'22'!M17+L17</f>
        <v>132429</v>
      </c>
    </row>
    <row r="18" spans="1:17" ht="13.5" thickBot="1">
      <c r="A18" s="1013"/>
      <c r="B18" s="227"/>
      <c r="C18" s="228"/>
      <c r="D18" s="229"/>
      <c r="E18" s="236"/>
      <c r="F18" s="239"/>
      <c r="G18" s="243"/>
      <c r="H18" s="574" t="s">
        <v>746</v>
      </c>
      <c r="I18" s="1011"/>
      <c r="J18" s="226" t="str">
        <f>+'22'!J18</f>
        <v>SN 14 VP OW</v>
      </c>
      <c r="K18" s="250"/>
      <c r="L18" s="250"/>
      <c r="M18" s="129">
        <f>+K18+'22'!M18+L18</f>
        <v>20814</v>
      </c>
    </row>
    <row r="19" spans="1:17" ht="26.25" thickBot="1">
      <c r="A19" s="1013"/>
      <c r="B19" s="227"/>
      <c r="C19" s="228"/>
      <c r="D19" s="229"/>
      <c r="E19" s="236"/>
      <c r="F19" s="246"/>
      <c r="G19" s="243"/>
      <c r="H19" s="244" t="s">
        <v>749</v>
      </c>
      <c r="I19" s="1011"/>
      <c r="J19" s="226" t="str">
        <f>+'22'!J19</f>
        <v>SN 15 VP OW</v>
      </c>
      <c r="K19" s="250"/>
      <c r="L19" s="250"/>
      <c r="M19" s="129">
        <f>+K19+'22'!M19+L19</f>
        <v>62505</v>
      </c>
    </row>
    <row r="20" spans="1:17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+'22'!J20</f>
        <v>0</v>
      </c>
      <c r="K20" s="250"/>
      <c r="L20" s="251"/>
      <c r="M20" s="129">
        <f>+K20+'22'!M20+L20</f>
        <v>0</v>
      </c>
    </row>
    <row r="21" spans="1:17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+'22'!J21</f>
        <v>0</v>
      </c>
      <c r="K21" s="250"/>
      <c r="L21" s="250"/>
      <c r="M21" s="129">
        <f>+K21+'22'!M21+L21</f>
        <v>0</v>
      </c>
    </row>
    <row r="22" spans="1:17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+'22'!J22</f>
        <v>0</v>
      </c>
      <c r="K22" s="250"/>
      <c r="L22" s="250"/>
      <c r="M22" s="129">
        <f>+K22+'22'!M22+L22</f>
        <v>0</v>
      </c>
    </row>
    <row r="23" spans="1:17" ht="13.5" thickBot="1">
      <c r="A23" s="1014"/>
      <c r="B23" s="180" t="s">
        <v>2</v>
      </c>
      <c r="C23" s="112">
        <f>SUM(C16:C22)</f>
        <v>25156</v>
      </c>
      <c r="D23" s="123">
        <f>SUM(D16:D22)</f>
        <v>1206</v>
      </c>
      <c r="E23" s="124">
        <f>SUM(E18:E22)</f>
        <v>0</v>
      </c>
      <c r="F23" s="128">
        <f>SUM(F15:F22)</f>
        <v>13</v>
      </c>
      <c r="G23" s="171"/>
      <c r="H23" s="178" t="s">
        <v>237</v>
      </c>
      <c r="I23" s="181"/>
      <c r="J23" s="226">
        <f>+'22'!J23</f>
        <v>0</v>
      </c>
      <c r="K23" s="250"/>
      <c r="L23" s="250"/>
      <c r="M23" s="129">
        <f>+K23+'22'!M23+L23</f>
        <v>0</v>
      </c>
    </row>
    <row r="24" spans="1:17" ht="13.5" customHeight="1" thickBot="1">
      <c r="A24" s="1007" t="s">
        <v>463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752</v>
      </c>
      <c r="J24" s="226">
        <f>+'22'!J24</f>
        <v>0</v>
      </c>
      <c r="K24" s="250"/>
      <c r="L24" s="250"/>
      <c r="M24" s="129">
        <f>+K24+'22'!M24+L24</f>
        <v>0</v>
      </c>
    </row>
    <row r="25" spans="1:17" ht="13.5" thickBot="1">
      <c r="A25" s="1013"/>
      <c r="B25" s="227" t="s">
        <v>507</v>
      </c>
      <c r="C25" s="237">
        <f>2536+644+4690+5938</f>
        <v>13808</v>
      </c>
      <c r="D25" s="229">
        <v>190</v>
      </c>
      <c r="E25" s="236"/>
      <c r="F25" s="242"/>
      <c r="G25" s="243" t="s">
        <v>12</v>
      </c>
      <c r="H25" s="241" t="s">
        <v>448</v>
      </c>
      <c r="I25" s="1011"/>
      <c r="J25" s="226">
        <f>+'22'!J25</f>
        <v>0</v>
      </c>
      <c r="K25" s="250"/>
      <c r="L25" s="250"/>
      <c r="M25" s="129">
        <f>+K25+'22'!M25+L25</f>
        <v>0</v>
      </c>
    </row>
    <row r="26" spans="1:17" ht="13.5" thickBot="1">
      <c r="A26" s="1013"/>
      <c r="B26" s="227" t="s">
        <v>754</v>
      </c>
      <c r="C26" s="237">
        <f>11549+1306+2934</f>
        <v>15789</v>
      </c>
      <c r="D26" s="229"/>
      <c r="E26" s="238"/>
      <c r="F26" s="242">
        <v>3</v>
      </c>
      <c r="G26" s="243" t="s">
        <v>12</v>
      </c>
      <c r="H26" s="574" t="s">
        <v>476</v>
      </c>
      <c r="I26" s="1011"/>
      <c r="J26" s="226">
        <f>+'22'!J26</f>
        <v>0</v>
      </c>
      <c r="K26" s="250"/>
      <c r="L26" s="250"/>
      <c r="M26" s="129">
        <f>+K26+'22'!M26+L26</f>
        <v>0</v>
      </c>
    </row>
    <row r="27" spans="1:17" ht="26.25" thickBot="1">
      <c r="A27" s="1013"/>
      <c r="B27" s="227"/>
      <c r="C27" s="228"/>
      <c r="D27" s="229"/>
      <c r="E27" s="236"/>
      <c r="F27" s="242"/>
      <c r="G27" s="243"/>
      <c r="H27" s="574" t="s">
        <v>747</v>
      </c>
      <c r="I27" s="1011"/>
      <c r="J27" s="226">
        <f>+'22'!J27</f>
        <v>0</v>
      </c>
      <c r="K27" s="250"/>
      <c r="L27" s="250"/>
      <c r="M27" s="129">
        <f>+K27+'22'!M27+L27</f>
        <v>0</v>
      </c>
    </row>
    <row r="28" spans="1:17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+'22'!J28</f>
        <v>0</v>
      </c>
      <c r="K28" s="250"/>
      <c r="L28" s="250"/>
      <c r="M28" s="129">
        <f>+K28+'22'!M28+L28</f>
        <v>0</v>
      </c>
    </row>
    <row r="29" spans="1:17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+'22'!J29</f>
        <v>0</v>
      </c>
      <c r="K29" s="250"/>
      <c r="L29" s="250"/>
      <c r="M29" s="129">
        <f>+K29+'22'!M29+L29</f>
        <v>0</v>
      </c>
    </row>
    <row r="30" spans="1:17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+'22'!J30</f>
        <v>0</v>
      </c>
      <c r="K30" s="250"/>
      <c r="L30" s="250"/>
      <c r="M30" s="129">
        <f>+K30+'22'!M30+L30</f>
        <v>0</v>
      </c>
      <c r="N30" s="167"/>
    </row>
    <row r="31" spans="1:17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+'22'!J31</f>
        <v>0</v>
      </c>
      <c r="K31" s="250"/>
      <c r="L31" s="250"/>
      <c r="M31" s="129">
        <f>+K31+'22'!M31+L31</f>
        <v>0</v>
      </c>
    </row>
    <row r="32" spans="1:17" ht="13.5" thickBot="1">
      <c r="A32" s="1014"/>
      <c r="B32" s="177" t="s">
        <v>2</v>
      </c>
      <c r="C32" s="111">
        <f>SUM(C25:C31)</f>
        <v>29597</v>
      </c>
      <c r="D32" s="112">
        <f>SUM(D25:D31)</f>
        <v>190</v>
      </c>
      <c r="E32" s="113">
        <f>SUM(E25:E31)</f>
        <v>0</v>
      </c>
      <c r="F32" s="114">
        <f>SUM(F24:F31)</f>
        <v>3</v>
      </c>
      <c r="G32" s="183"/>
      <c r="H32" s="184"/>
      <c r="I32" s="181"/>
      <c r="J32" s="226">
        <f>+'22'!J32</f>
        <v>0</v>
      </c>
      <c r="K32" s="252"/>
      <c r="L32" s="254"/>
      <c r="M32" s="129">
        <f>+K32+'22'!M32+L32</f>
        <v>0</v>
      </c>
      <c r="N32" s="161" t="s">
        <v>468</v>
      </c>
      <c r="O32" s="161">
        <v>1210</v>
      </c>
      <c r="P32" s="161">
        <v>1205.7650000000001</v>
      </c>
      <c r="Q32" s="161">
        <v>480</v>
      </c>
    </row>
    <row r="33" spans="1:17" ht="13.5" thickBot="1">
      <c r="A33" s="185"/>
      <c r="B33" s="186"/>
      <c r="C33" s="115">
        <f>C32/($C$32+$D$32+$E$32)</f>
        <v>0.99362137845368781</v>
      </c>
      <c r="D33" s="116">
        <f>D32/($C$32+$D$32+$E$32)</f>
        <v>6.3786215463121493E-3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  <c r="N33" s="161" t="s">
        <v>512</v>
      </c>
      <c r="O33" s="161">
        <v>1230</v>
      </c>
      <c r="P33" s="161">
        <v>1225.6949999999999</v>
      </c>
      <c r="Q33" s="161">
        <f>480+480</f>
        <v>960</v>
      </c>
    </row>
    <row r="34" spans="1:17" ht="13.5" thickBot="1">
      <c r="A34" s="1015" t="s">
        <v>58</v>
      </c>
      <c r="B34" s="1016"/>
      <c r="C34" s="119">
        <f>C14+C23+C32</f>
        <v>80235</v>
      </c>
      <c r="D34" s="119">
        <f>D14+D23+D32</f>
        <v>2016</v>
      </c>
      <c r="E34" s="119">
        <f>E14+E23+E32</f>
        <v>0</v>
      </c>
      <c r="F34" s="120">
        <f>F14+F23+F32</f>
        <v>24</v>
      </c>
      <c r="H34" s="190"/>
      <c r="I34" s="190"/>
      <c r="J34" s="135" t="s">
        <v>28</v>
      </c>
      <c r="K34" s="136">
        <f>SUM(K7:K32)</f>
        <v>80235</v>
      </c>
      <c r="L34" s="224">
        <f>SUM(L7:L32)</f>
        <v>0</v>
      </c>
      <c r="M34" s="132">
        <f>SUM(M7:M32)</f>
        <v>1395562</v>
      </c>
      <c r="N34" s="167"/>
      <c r="Q34" s="161">
        <f>+Q32+Q33</f>
        <v>1440</v>
      </c>
    </row>
    <row r="35" spans="1:17" ht="13.5" thickBot="1">
      <c r="A35" s="191"/>
      <c r="B35" s="192"/>
      <c r="C35" s="116">
        <f>C34/($C$34+$D$34+$E$34)</f>
        <v>0.97548965970018597</v>
      </c>
      <c r="D35" s="116">
        <f>D34/($C$34+$D$34+$E$34)</f>
        <v>2.4510340299813985E-2</v>
      </c>
      <c r="E35" s="121">
        <f>E34/($C$34+$D$34+$E$34)</f>
        <v>0</v>
      </c>
      <c r="K35" s="167"/>
    </row>
    <row r="36" spans="1:17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7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(16.5*480+960*17)/1440*G42*2.77*1440/1000000</f>
        <v>81.852980347999974</v>
      </c>
      <c r="J37" s="137">
        <f>+I37+'22'!J37</f>
        <v>1566.0972307265504</v>
      </c>
      <c r="K37" s="138" t="s">
        <v>64</v>
      </c>
    </row>
    <row r="38" spans="1:17" ht="17.45" customHeight="1">
      <c r="A38" s="1005" t="s">
        <v>12</v>
      </c>
      <c r="B38" s="1006"/>
      <c r="C38" s="176">
        <f>SUMIF($G$7:$G$31,"Process",$F$7:$F$31)</f>
        <v>24</v>
      </c>
      <c r="D38" s="130">
        <f>+C38+'22'!D38</f>
        <v>1058</v>
      </c>
      <c r="E38" s="155">
        <f t="shared" ref="E38:E51" si="0">D38/60</f>
        <v>17.633333333333333</v>
      </c>
      <c r="F38" s="340">
        <v>1210</v>
      </c>
      <c r="G38" s="340">
        <v>1205.7650000000001</v>
      </c>
      <c r="H38" s="199" t="s">
        <v>65</v>
      </c>
      <c r="I38" s="549">
        <f>26.169+22.805+28.764</f>
        <v>77.738</v>
      </c>
      <c r="J38" s="139">
        <f>+I38+'22'!J38</f>
        <v>1451.5552220100003</v>
      </c>
      <c r="K38" s="140" t="s">
        <v>64</v>
      </c>
    </row>
    <row r="39" spans="1:17" ht="17.45" customHeight="1">
      <c r="A39" s="1001" t="s">
        <v>13</v>
      </c>
      <c r="B39" s="1002"/>
      <c r="C39" s="176">
        <f>SUMIF($G$7:$G$31,"Cleaning",$F$7:$F$31)</f>
        <v>0</v>
      </c>
      <c r="D39" s="130">
        <f>+C39+'22'!D39</f>
        <v>0</v>
      </c>
      <c r="E39" s="155">
        <f t="shared" si="0"/>
        <v>0</v>
      </c>
      <c r="F39" s="340">
        <v>1230</v>
      </c>
      <c r="G39" s="340">
        <v>1225.6949999999999</v>
      </c>
      <c r="H39" s="199" t="s">
        <v>66</v>
      </c>
      <c r="I39" s="154"/>
      <c r="J39" s="141">
        <f>J37/G4</f>
        <v>68.091183944632618</v>
      </c>
      <c r="K39" s="142" t="s">
        <v>64</v>
      </c>
      <c r="L39" s="558"/>
    </row>
    <row r="40" spans="1:17" ht="17.45" customHeight="1">
      <c r="A40" s="1001" t="s">
        <v>67</v>
      </c>
      <c r="B40" s="1002"/>
      <c r="C40" s="176">
        <f>SUMIF($G$7:$G$31,"Mechanical",$F$7:$F$31)</f>
        <v>0</v>
      </c>
      <c r="D40" s="130">
        <f>+C40+'22'!D40</f>
        <v>49</v>
      </c>
      <c r="E40" s="155">
        <f t="shared" si="0"/>
        <v>0.81666666666666665</v>
      </c>
      <c r="F40" s="340">
        <v>1230</v>
      </c>
      <c r="G40" s="340">
        <v>1225.6949999999999</v>
      </c>
      <c r="H40" s="199" t="s">
        <v>68</v>
      </c>
      <c r="I40" s="130">
        <f>(K34+L34)/1000</f>
        <v>80.234999999999999</v>
      </c>
      <c r="J40" s="143">
        <f>+I40+'22'!J40</f>
        <v>1395.5619999999999</v>
      </c>
      <c r="K40" s="142" t="s">
        <v>64</v>
      </c>
    </row>
    <row r="41" spans="1:17" ht="17.45" customHeight="1">
      <c r="A41" s="1001" t="s">
        <v>69</v>
      </c>
      <c r="B41" s="1002"/>
      <c r="C41" s="176">
        <f>SUMIF($G$7:$G$31,"Electrical",$F$7:$F$31)</f>
        <v>0</v>
      </c>
      <c r="D41" s="130">
        <f>+C41+'22'!D41</f>
        <v>125</v>
      </c>
      <c r="E41" s="155">
        <f t="shared" si="0"/>
        <v>2.0833333333333335</v>
      </c>
      <c r="F41" s="340"/>
      <c r="G41" s="340"/>
      <c r="H41" s="199" t="s">
        <v>70</v>
      </c>
      <c r="I41" s="154"/>
      <c r="J41" s="141">
        <f>J40/G4</f>
        <v>60.67660869565217</v>
      </c>
      <c r="K41" s="142" t="s">
        <v>64</v>
      </c>
    </row>
    <row r="42" spans="1:17" ht="17.45" customHeight="1">
      <c r="A42" s="1001" t="s">
        <v>16</v>
      </c>
      <c r="B42" s="1002"/>
      <c r="C42" s="176">
        <f>SUMIF($G$7:$G$31,"Instrument",$F$7:$F$31)</f>
        <v>0</v>
      </c>
      <c r="D42" s="130">
        <f>+C42+'22'!D42</f>
        <v>0</v>
      </c>
      <c r="E42" s="155">
        <f t="shared" si="0"/>
        <v>0</v>
      </c>
      <c r="F42" s="340">
        <f>+(F38*480+F39*480+F40*480)/1440</f>
        <v>1223.3333333333333</v>
      </c>
      <c r="G42" s="340">
        <f>+(G38*480+G39*480+G40*480)/1440</f>
        <v>1219.0516666666665</v>
      </c>
      <c r="H42" s="199" t="s">
        <v>71</v>
      </c>
      <c r="I42" s="257" t="s">
        <v>748</v>
      </c>
      <c r="J42" s="144"/>
      <c r="K42" s="142" t="s">
        <v>72</v>
      </c>
    </row>
    <row r="43" spans="1:17" ht="17.45" customHeight="1">
      <c r="A43" s="1001" t="s">
        <v>204</v>
      </c>
      <c r="B43" s="1002"/>
      <c r="C43" s="176">
        <f>SUMIF($G$7:$G$31,"Change Grade",$F$7:$F$31)</f>
        <v>0</v>
      </c>
      <c r="D43" s="130">
        <f>+C43+'22'!D43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+Report1!T31</f>
        <v>171.33599999999998</v>
      </c>
      <c r="J43" s="145">
        <f>+I43+'22'!J43</f>
        <v>3113.0679999999998</v>
      </c>
      <c r="K43" s="142" t="s">
        <v>64</v>
      </c>
      <c r="L43" s="201"/>
    </row>
    <row r="44" spans="1:17" ht="17.45" customHeight="1">
      <c r="A44" s="1001" t="s">
        <v>17</v>
      </c>
      <c r="B44" s="1002"/>
      <c r="C44" s="176">
        <f>SUMIF($G$7:$G$31,"PLN",$F$7:$F$31)</f>
        <v>0</v>
      </c>
      <c r="D44" s="130">
        <f>+C44+'22'!D44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2.2040186266690678</v>
      </c>
      <c r="J44" s="146">
        <f>J43/J38</f>
        <v>2.1446431749866646</v>
      </c>
      <c r="K44" s="142" t="s">
        <v>64</v>
      </c>
    </row>
    <row r="45" spans="1:17" ht="17.45" customHeight="1">
      <c r="A45" s="1001" t="s">
        <v>18</v>
      </c>
      <c r="B45" s="1002"/>
      <c r="C45" s="176">
        <f>SUMIF($G$7:$G$31,"Boiler",$F$7:$F$31)</f>
        <v>0</v>
      </c>
      <c r="D45" s="130">
        <f>+C45+'22'!D45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2.1354271826509628</v>
      </c>
      <c r="J45" s="146">
        <f>J43/J40</f>
        <v>2.2306912913937182</v>
      </c>
      <c r="K45" s="142" t="s">
        <v>64</v>
      </c>
    </row>
    <row r="46" spans="1:17" ht="17.45" customHeight="1">
      <c r="A46" s="1001" t="s">
        <v>77</v>
      </c>
      <c r="B46" s="1002"/>
      <c r="C46" s="176">
        <f>SUMIF($G$7:$G$31,"Gas",$F$7:$F$31)</f>
        <v>0</v>
      </c>
      <c r="D46" s="130">
        <f>+C46+'22'!D46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+SUMIF(Listrik!AR30,"&gt;0")</f>
        <v>55782.399999998808</v>
      </c>
      <c r="J46" s="147">
        <f>+I46+'22'!J46</f>
        <v>1240750.0599999982</v>
      </c>
      <c r="K46" s="142" t="s">
        <v>79</v>
      </c>
    </row>
    <row r="47" spans="1:17" ht="17.45" customHeight="1">
      <c r="A47" s="1001" t="s">
        <v>80</v>
      </c>
      <c r="B47" s="1002"/>
      <c r="C47" s="176">
        <f>SUMIF($G$7:$G$31,"Gas",$F$7:$F$31)</f>
        <v>0</v>
      </c>
      <c r="D47" s="130">
        <f>+C47+'22'!D47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717.56927114151131</v>
      </c>
      <c r="J47" s="147">
        <f>J46/J38</f>
        <v>854.77289543411541</v>
      </c>
      <c r="K47" s="142" t="s">
        <v>24</v>
      </c>
    </row>
    <row r="48" spans="1:17" ht="17.45" customHeight="1">
      <c r="A48" s="1001" t="s">
        <v>14</v>
      </c>
      <c r="B48" s="1002"/>
      <c r="C48" s="176">
        <f>SUMIF($G$7:$G$31,"Start Up",$F$7:$F$31)</f>
        <v>0</v>
      </c>
      <c r="D48" s="130">
        <f>+C48+'22'!D48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695.23773914125763</v>
      </c>
      <c r="J48" s="147">
        <f>J46/J40</f>
        <v>889.06838965233953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+C49+'22'!D49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+I49+'22'!J49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+C50+'22'!D50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+C51+'22'!D51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24</v>
      </c>
      <c r="D52" s="156">
        <f>SUM(D38:D51)</f>
        <v>2180</v>
      </c>
      <c r="E52" s="157">
        <f>SUM(E38:E51)</f>
        <v>36.333333333333329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1.6666666666666666E-2</v>
      </c>
      <c r="D53" s="158">
        <f>D52/(24*60*G4)</f>
        <v>6.5821256038647344E-2</v>
      </c>
      <c r="E53" s="159">
        <f>E52/(G4*24)</f>
        <v>6.582125603864733E-2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+D34+'22'!J56</f>
        <v>36468</v>
      </c>
      <c r="K56" s="213">
        <f>J56/(J40+J56/1000)/1000</f>
        <v>2.5465946942452324E-2</v>
      </c>
    </row>
    <row r="57" spans="1:11">
      <c r="A57" s="188"/>
      <c r="I57" s="211" t="s">
        <v>90</v>
      </c>
      <c r="J57" s="212">
        <f>+E34+'22'!J57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3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opLeftCell="A13"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7109375" style="161" bestFit="1" customWidth="1"/>
    <col min="12" max="12" width="8.28515625" style="161" customWidth="1"/>
    <col min="13" max="13" width="15.28515625" style="161" customWidth="1"/>
    <col min="14" max="16384" width="9.140625" style="161"/>
  </cols>
  <sheetData>
    <row r="1" spans="1:15" ht="15.75">
      <c r="A1" s="160"/>
    </row>
    <row r="2" spans="1:15" ht="15.75">
      <c r="A2" s="347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22</v>
      </c>
      <c r="H4" s="166" t="str">
        <f>+'1'!H4</f>
        <v>.12.25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180+302+178</f>
        <v>660</v>
      </c>
    </row>
    <row r="7" spans="1:15" ht="13.5" customHeight="1" thickBot="1">
      <c r="A7" s="1007" t="s">
        <v>502</v>
      </c>
      <c r="B7" s="227" t="s">
        <v>454</v>
      </c>
      <c r="C7" s="228">
        <f>10192+3112+754</f>
        <v>14058</v>
      </c>
      <c r="D7" s="229"/>
      <c r="E7" s="230"/>
      <c r="F7" s="239"/>
      <c r="G7" s="240" t="s">
        <v>12</v>
      </c>
      <c r="H7" s="241" t="s">
        <v>492</v>
      </c>
      <c r="I7" s="1010" t="s">
        <v>725</v>
      </c>
      <c r="J7" s="226" t="str">
        <f>+'21'!J7</f>
        <v>F 13 VP OW</v>
      </c>
      <c r="K7" s="249"/>
      <c r="L7" s="253"/>
      <c r="M7" s="129">
        <f>+K7+'21'!M7+L7</f>
        <v>224237</v>
      </c>
    </row>
    <row r="8" spans="1:15" ht="13.5" thickBot="1">
      <c r="A8" s="1008"/>
      <c r="B8" s="227" t="s">
        <v>507</v>
      </c>
      <c r="C8" s="228">
        <v>9081</v>
      </c>
      <c r="D8" s="229">
        <v>474</v>
      </c>
      <c r="E8" s="231"/>
      <c r="F8" s="242"/>
      <c r="G8" s="243" t="s">
        <v>12</v>
      </c>
      <c r="H8" s="241" t="s">
        <v>448</v>
      </c>
      <c r="I8" s="1011"/>
      <c r="J8" s="226" t="str">
        <f>+'21'!J8</f>
        <v>MG 15,5 VP OW</v>
      </c>
      <c r="K8" s="250"/>
      <c r="L8" s="250"/>
      <c r="M8" s="129">
        <f>+K8+'21'!M8+L8</f>
        <v>40782</v>
      </c>
      <c r="N8" s="161">
        <v>1180</v>
      </c>
      <c r="O8" s="161">
        <f>+N8-N8*0.0035</f>
        <v>1175.8699999999999</v>
      </c>
    </row>
    <row r="9" spans="1:15" ht="13.5" thickBot="1">
      <c r="A9" s="1008"/>
      <c r="B9" s="227"/>
      <c r="C9" s="228"/>
      <c r="D9" s="229"/>
      <c r="E9" s="232"/>
      <c r="F9" s="239">
        <v>10</v>
      </c>
      <c r="G9" s="243" t="s">
        <v>12</v>
      </c>
      <c r="H9" s="574" t="s">
        <v>447</v>
      </c>
      <c r="I9" s="1011"/>
      <c r="J9" s="226" t="str">
        <f>+'21'!J9</f>
        <v>MG 16,5 VP HW/OW</v>
      </c>
      <c r="K9" s="250">
        <f>+C7+C16+C25</f>
        <v>40792</v>
      </c>
      <c r="L9" s="250"/>
      <c r="M9" s="129">
        <f>+K9+'21'!M9+L9</f>
        <v>161747</v>
      </c>
      <c r="N9" s="161">
        <v>1210</v>
      </c>
      <c r="O9" s="161">
        <f>+N9-N9*0.0035</f>
        <v>1205.7650000000001</v>
      </c>
    </row>
    <row r="10" spans="1:15" ht="13.5" thickBot="1">
      <c r="A10" s="1008"/>
      <c r="B10" s="227"/>
      <c r="C10" s="228"/>
      <c r="D10" s="229"/>
      <c r="E10" s="231"/>
      <c r="F10" s="239"/>
      <c r="G10" s="243"/>
      <c r="H10" s="574" t="s">
        <v>720</v>
      </c>
      <c r="I10" s="1011"/>
      <c r="J10" s="226" t="str">
        <f>+'21'!J10</f>
        <v>MG 17 VP HW</v>
      </c>
      <c r="K10" s="250">
        <f>+C8+C17+C26</f>
        <v>33801</v>
      </c>
      <c r="L10" s="250"/>
      <c r="M10" s="129">
        <f>+K10+'21'!M10+L10</f>
        <v>316751</v>
      </c>
      <c r="N10" s="161">
        <v>1215</v>
      </c>
      <c r="O10" s="161">
        <f>+N10-N10*0.0035</f>
        <v>1210.7474999999999</v>
      </c>
    </row>
    <row r="11" spans="1:15" ht="13.5" thickBot="1">
      <c r="A11" s="1008"/>
      <c r="B11" s="227"/>
      <c r="C11" s="228"/>
      <c r="D11" s="229"/>
      <c r="E11" s="231"/>
      <c r="F11" s="239"/>
      <c r="G11" s="243"/>
      <c r="H11" s="244" t="s">
        <v>717</v>
      </c>
      <c r="I11" s="1011"/>
      <c r="J11" s="226" t="str">
        <f>+'21'!J11</f>
        <v>MG 14 VP OW</v>
      </c>
      <c r="K11" s="250"/>
      <c r="L11" s="250"/>
      <c r="M11" s="129">
        <f>+K11+'21'!M11+L11</f>
        <v>151802</v>
      </c>
    </row>
    <row r="12" spans="1:15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+'21'!J12</f>
        <v>MG 19 VP HW</v>
      </c>
      <c r="K12" s="250"/>
      <c r="L12" s="250"/>
      <c r="M12" s="129">
        <f>+K12+'21'!M12+L12</f>
        <v>20052</v>
      </c>
    </row>
    <row r="13" spans="1:15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+'21'!J13</f>
        <v>MG 17 VP OW</v>
      </c>
      <c r="K13" s="250"/>
      <c r="L13" s="250"/>
      <c r="M13" s="129">
        <f>+K13+'21'!M13+L13</f>
        <v>6479</v>
      </c>
    </row>
    <row r="14" spans="1:15" ht="13.5" thickBot="1">
      <c r="A14" s="1009"/>
      <c r="B14" s="177" t="s">
        <v>2</v>
      </c>
      <c r="C14" s="111">
        <f>SUM(C7:C13)</f>
        <v>23139</v>
      </c>
      <c r="D14" s="123">
        <f>SUM(D7:D13)</f>
        <v>474</v>
      </c>
      <c r="E14" s="124">
        <f>SUM(E5:E13)</f>
        <v>0</v>
      </c>
      <c r="F14" s="128">
        <f>SUM(F7:F13)</f>
        <v>10</v>
      </c>
      <c r="G14" s="171"/>
      <c r="H14" s="178"/>
      <c r="I14" s="179"/>
      <c r="J14" s="226" t="str">
        <f>+'21'!J14</f>
        <v>MG 21,5 VP OW</v>
      </c>
      <c r="K14" s="250"/>
      <c r="L14" s="250"/>
      <c r="M14" s="129">
        <f>+K14+'21'!M14+L14</f>
        <v>65067</v>
      </c>
    </row>
    <row r="15" spans="1:15" ht="13.5" customHeight="1" thickBot="1">
      <c r="A15" s="1007" t="s">
        <v>461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742</v>
      </c>
      <c r="J15" s="226" t="str">
        <f>+'21'!J15</f>
        <v>F 10,5 VP OW</v>
      </c>
      <c r="K15" s="250"/>
      <c r="L15" s="250"/>
      <c r="M15" s="129">
        <f>+K15+'21'!M15+L15</f>
        <v>0</v>
      </c>
    </row>
    <row r="16" spans="1:15" ht="13.5" thickBot="1">
      <c r="A16" s="1013"/>
      <c r="B16" s="227" t="s">
        <v>454</v>
      </c>
      <c r="C16" s="233">
        <f>9372+2731+716</f>
        <v>12819</v>
      </c>
      <c r="D16" s="234">
        <v>430</v>
      </c>
      <c r="E16" s="235"/>
      <c r="F16" s="239"/>
      <c r="G16" s="243" t="s">
        <v>12</v>
      </c>
      <c r="H16" s="241" t="s">
        <v>448</v>
      </c>
      <c r="I16" s="1011"/>
      <c r="J16" s="226" t="str">
        <f>+'21'!J16</f>
        <v>F 10,3 VP OW</v>
      </c>
      <c r="K16" s="250"/>
      <c r="L16" s="240"/>
      <c r="M16" s="129">
        <f>+K16+'21'!M16+L16</f>
        <v>112662</v>
      </c>
    </row>
    <row r="17" spans="1:14" ht="13.5" thickBot="1">
      <c r="A17" s="1013"/>
      <c r="B17" s="227" t="s">
        <v>507</v>
      </c>
      <c r="C17" s="228">
        <f>862+2024+8234</f>
        <v>11120</v>
      </c>
      <c r="D17" s="229"/>
      <c r="E17" s="236"/>
      <c r="F17" s="239">
        <v>14</v>
      </c>
      <c r="G17" s="243" t="s">
        <v>12</v>
      </c>
      <c r="H17" s="574" t="s">
        <v>447</v>
      </c>
      <c r="I17" s="1011"/>
      <c r="J17" s="226" t="str">
        <f>+'21'!J17</f>
        <v>SN 13 VP OW</v>
      </c>
      <c r="K17" s="250"/>
      <c r="L17" s="240"/>
      <c r="M17" s="129">
        <f>+K17+'21'!M17+L17</f>
        <v>132429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739</v>
      </c>
      <c r="I18" s="1011"/>
      <c r="J18" s="226" t="str">
        <f>+'21'!J18</f>
        <v>SN 14 VP OW</v>
      </c>
      <c r="K18" s="250"/>
      <c r="L18" s="250"/>
      <c r="M18" s="129">
        <f>+K18+'21'!M18+L18</f>
        <v>20814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 t="s">
        <v>717</v>
      </c>
      <c r="I19" s="1011"/>
      <c r="J19" s="226" t="str">
        <f>+'21'!J19</f>
        <v>SN 15 VP OW</v>
      </c>
      <c r="K19" s="240"/>
      <c r="L19" s="250"/>
      <c r="M19" s="129">
        <f>+K19+'21'!M19+L19</f>
        <v>62505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+'21'!J20</f>
        <v>0</v>
      </c>
      <c r="K20" s="240"/>
      <c r="L20" s="251"/>
      <c r="M20" s="129">
        <f>+K20+'21'!M20+L20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+'21'!J21</f>
        <v>0</v>
      </c>
      <c r="K21" s="240"/>
      <c r="L21" s="250"/>
      <c r="M21" s="129">
        <f>+K21+'21'!M21+L21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+'21'!J22</f>
        <v>0</v>
      </c>
      <c r="K22" s="240"/>
      <c r="L22" s="250"/>
      <c r="M22" s="129">
        <f>+K22+'21'!M22+L22</f>
        <v>0</v>
      </c>
    </row>
    <row r="23" spans="1:14" ht="13.5" thickBot="1">
      <c r="A23" s="1014"/>
      <c r="B23" s="180" t="s">
        <v>2</v>
      </c>
      <c r="C23" s="112">
        <f>SUM(C16:C22)</f>
        <v>23939</v>
      </c>
      <c r="D23" s="123">
        <f>SUM(D16:D22)</f>
        <v>430</v>
      </c>
      <c r="E23" s="124">
        <f>SUM(E18:E22)</f>
        <v>0</v>
      </c>
      <c r="F23" s="128">
        <f>SUM(F15:F22)</f>
        <v>14</v>
      </c>
      <c r="G23" s="171"/>
      <c r="H23" s="178" t="s">
        <v>237</v>
      </c>
      <c r="I23" s="181"/>
      <c r="J23" s="226">
        <f>+'21'!J23</f>
        <v>0</v>
      </c>
      <c r="K23" s="240"/>
      <c r="L23" s="250"/>
      <c r="M23" s="129">
        <f>+K23+'21'!M23+L23</f>
        <v>0</v>
      </c>
    </row>
    <row r="24" spans="1:14" ht="13.5" customHeight="1" thickBot="1">
      <c r="A24" s="1007" t="s">
        <v>463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743</v>
      </c>
      <c r="J24" s="226">
        <f>+'21'!J24</f>
        <v>0</v>
      </c>
      <c r="K24" s="240"/>
      <c r="L24" s="250"/>
      <c r="M24" s="129">
        <f>+K24+'21'!M24+L24</f>
        <v>0</v>
      </c>
    </row>
    <row r="25" spans="1:14" ht="13.5" thickBot="1">
      <c r="A25" s="1013"/>
      <c r="B25" s="227" t="s">
        <v>454</v>
      </c>
      <c r="C25" s="237">
        <f>10210+2930+775</f>
        <v>13915</v>
      </c>
      <c r="D25" s="229">
        <v>160</v>
      </c>
      <c r="E25" s="236"/>
      <c r="F25" s="242"/>
      <c r="G25" s="243" t="s">
        <v>12</v>
      </c>
      <c r="H25" s="241" t="s">
        <v>448</v>
      </c>
      <c r="I25" s="1011"/>
      <c r="J25" s="226">
        <f>+'21'!J25</f>
        <v>0</v>
      </c>
      <c r="K25" s="240"/>
      <c r="L25" s="250"/>
      <c r="M25" s="129">
        <f>+K25+'21'!M25+L25</f>
        <v>0</v>
      </c>
    </row>
    <row r="26" spans="1:14" ht="13.5" thickBot="1">
      <c r="A26" s="1013"/>
      <c r="B26" s="227" t="s">
        <v>507</v>
      </c>
      <c r="C26" s="237">
        <f>1090+2476+10034</f>
        <v>13600</v>
      </c>
      <c r="D26" s="229"/>
      <c r="E26" s="238"/>
      <c r="F26" s="242">
        <v>11</v>
      </c>
      <c r="G26" s="243" t="s">
        <v>12</v>
      </c>
      <c r="H26" s="574" t="s">
        <v>447</v>
      </c>
      <c r="I26" s="1011"/>
      <c r="J26" s="226">
        <f>+'21'!J26</f>
        <v>0</v>
      </c>
      <c r="K26" s="240"/>
      <c r="L26" s="250"/>
      <c r="M26" s="129">
        <f>+K26+'21'!M26+L26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740</v>
      </c>
      <c r="I27" s="1011"/>
      <c r="J27" s="226">
        <f>+'21'!J27</f>
        <v>0</v>
      </c>
      <c r="K27" s="240"/>
      <c r="L27" s="250"/>
      <c r="M27" s="129">
        <f>+K27+'21'!M27+L27</f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244" t="s">
        <v>717</v>
      </c>
      <c r="I28" s="1011"/>
      <c r="J28" s="226">
        <f>+'21'!J28</f>
        <v>0</v>
      </c>
      <c r="K28" s="240"/>
      <c r="L28" s="250"/>
      <c r="M28" s="129">
        <f>+K28+'21'!M28+L28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+'21'!J29</f>
        <v>0</v>
      </c>
      <c r="K29" s="240"/>
      <c r="L29" s="250"/>
      <c r="M29" s="129">
        <f>+K29+'21'!M29+L29</f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+'21'!J30</f>
        <v>0</v>
      </c>
      <c r="K30" s="250"/>
      <c r="L30" s="250"/>
      <c r="M30" s="129">
        <f>+K30+'21'!M30+L30</f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+'21'!J31</f>
        <v>0</v>
      </c>
      <c r="K31" s="250"/>
      <c r="L31" s="250"/>
      <c r="M31" s="129">
        <f>+K31+'21'!M31+L31</f>
        <v>0</v>
      </c>
    </row>
    <row r="32" spans="1:14" ht="13.5" thickBot="1">
      <c r="A32" s="1014"/>
      <c r="B32" s="177" t="s">
        <v>2</v>
      </c>
      <c r="C32" s="111">
        <f>SUM(C25:C31)</f>
        <v>27515</v>
      </c>
      <c r="D32" s="112">
        <f>SUM(D25:D31)</f>
        <v>160</v>
      </c>
      <c r="E32" s="113">
        <f>SUM(E25:E31)</f>
        <v>0</v>
      </c>
      <c r="F32" s="114">
        <f>SUM(F24:F31)</f>
        <v>11</v>
      </c>
      <c r="G32" s="183"/>
      <c r="H32" s="184"/>
      <c r="I32" s="181"/>
      <c r="J32" s="226">
        <f>+'21'!J32</f>
        <v>0</v>
      </c>
      <c r="K32" s="252"/>
      <c r="L32" s="254"/>
      <c r="M32" s="129">
        <f>+K32+'21'!M32+L32</f>
        <v>0</v>
      </c>
    </row>
    <row r="33" spans="1:14" ht="13.5" thickBot="1">
      <c r="A33" s="185"/>
      <c r="B33" s="186"/>
      <c r="C33" s="115">
        <f>C32/($C$32+$D$32+$E$32)</f>
        <v>0.99421860885275515</v>
      </c>
      <c r="D33" s="116">
        <f>D32/($C$32+$D$32+$E$32)</f>
        <v>5.7813911472448061E-3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74593</v>
      </c>
      <c r="D34" s="119">
        <f>D14+D23+D32</f>
        <v>1064</v>
      </c>
      <c r="E34" s="119">
        <f>E14+E23+E32</f>
        <v>0</v>
      </c>
      <c r="F34" s="120">
        <f>F14+F23+F32</f>
        <v>35</v>
      </c>
      <c r="H34" s="190"/>
      <c r="I34" s="190"/>
      <c r="J34" s="135" t="s">
        <v>28</v>
      </c>
      <c r="K34" s="136">
        <f>SUM(K7:K32)</f>
        <v>74593</v>
      </c>
      <c r="L34" s="224">
        <f>SUM(L7:L32)</f>
        <v>0</v>
      </c>
      <c r="M34" s="132">
        <f>SUM(M7:M32)</f>
        <v>1315327</v>
      </c>
      <c r="N34" s="167"/>
    </row>
    <row r="35" spans="1:14" ht="13.5" thickBot="1">
      <c r="A35" s="191"/>
      <c r="B35" s="192"/>
      <c r="C35" s="116">
        <f>C34/($C$34+$D$34+$E$34)</f>
        <v>0.9859365293363469</v>
      </c>
      <c r="D35" s="116">
        <f>D34/($C$34+$D$34+$E$34)</f>
        <v>1.4063470663653066E-2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(16.5*1440)/1440*G42*2.77*1440/1000000</f>
        <v>78.811124237999991</v>
      </c>
      <c r="J37" s="137">
        <f>+I37+'21'!J37</f>
        <v>1484.2442503785503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35</v>
      </c>
      <c r="D38" s="130">
        <f>+C38+'21'!D38</f>
        <v>1034</v>
      </c>
      <c r="E38" s="155">
        <f t="shared" ref="E38:E51" si="0">D38/60</f>
        <v>17.233333333333334</v>
      </c>
      <c r="F38" s="340">
        <v>1180</v>
      </c>
      <c r="G38" s="340">
        <f>+F38-F38*0.0035</f>
        <v>1175.8699999999999</v>
      </c>
      <c r="H38" s="199" t="s">
        <v>65</v>
      </c>
      <c r="I38" s="549">
        <f>24.214+25.994+26.138</f>
        <v>76.346000000000004</v>
      </c>
      <c r="J38" s="139">
        <f>+I38+'21'!J38</f>
        <v>1373.8172220100003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+C39+'21'!D39</f>
        <v>0</v>
      </c>
      <c r="E39" s="155">
        <f t="shared" si="0"/>
        <v>0</v>
      </c>
      <c r="F39" s="340">
        <v>1210</v>
      </c>
      <c r="G39" s="340">
        <f>+F39-F39*0.0035</f>
        <v>1205.7650000000001</v>
      </c>
      <c r="H39" s="199" t="s">
        <v>66</v>
      </c>
      <c r="I39" s="154"/>
      <c r="J39" s="141">
        <f>J37/G4</f>
        <v>67.465647744479554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+C40+'21'!D40</f>
        <v>49</v>
      </c>
      <c r="E40" s="155">
        <f t="shared" si="0"/>
        <v>0.81666666666666665</v>
      </c>
      <c r="F40" s="340">
        <v>1215</v>
      </c>
      <c r="G40" s="340">
        <f>+F40-F40*0.0035</f>
        <v>1210.7474999999999</v>
      </c>
      <c r="H40" s="199" t="s">
        <v>68</v>
      </c>
      <c r="I40" s="130">
        <f>(K34+L34)/1000</f>
        <v>74.593000000000004</v>
      </c>
      <c r="J40" s="143">
        <f>+I40+'21'!J40</f>
        <v>1315.327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+C41+'21'!D41</f>
        <v>125</v>
      </c>
      <c r="E41" s="155">
        <f t="shared" si="0"/>
        <v>2.0833333333333335</v>
      </c>
      <c r="F41" s="340"/>
      <c r="G41" s="340"/>
      <c r="H41" s="199" t="s">
        <v>70</v>
      </c>
      <c r="I41" s="154"/>
      <c r="J41" s="141">
        <f>J40/G4</f>
        <v>59.787590909090909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+C42+'21'!D42</f>
        <v>0</v>
      </c>
      <c r="E42" s="155">
        <f t="shared" si="0"/>
        <v>0</v>
      </c>
      <c r="F42" s="340">
        <f>+(F38*480+F39*480+F40*480)/1440</f>
        <v>1201.6666666666667</v>
      </c>
      <c r="G42" s="340">
        <f>+(G38*480+G39*480+G40*480)/1440</f>
        <v>1197.4608333333333</v>
      </c>
      <c r="H42" s="199" t="s">
        <v>71</v>
      </c>
      <c r="I42" s="257" t="s">
        <v>741</v>
      </c>
      <c r="J42" s="144"/>
      <c r="K42" s="142" t="s">
        <v>72</v>
      </c>
    </row>
    <row r="43" spans="1:14" ht="17.45" customHeight="1">
      <c r="A43" s="1001" t="s">
        <v>204</v>
      </c>
      <c r="B43" s="1002"/>
      <c r="C43" s="176">
        <f>SUMIF($G$7:$G$31,"Change Grade",$F$7:$F$31)</f>
        <v>0</v>
      </c>
      <c r="D43" s="130">
        <f>+C43+'21'!D43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+Report1!T30</f>
        <v>160.667</v>
      </c>
      <c r="J43" s="145">
        <f>+I43+'21'!J43</f>
        <v>2941.732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+C44+'21'!D44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2.1044586487831713</v>
      </c>
      <c r="J44" s="146">
        <f>J43/J38</f>
        <v>2.141283391174861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+C45+'21'!D45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2.1539152467389702</v>
      </c>
      <c r="J45" s="146">
        <f>J43/J40</f>
        <v>2.2365024058656138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+C46+'21'!D46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+SUMIF(Listrik!AR29,"&gt;0")</f>
        <v>54310.780000000152</v>
      </c>
      <c r="J46" s="147">
        <f>+I46+'21'!J46</f>
        <v>1184967.6599999995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+C47+'21'!D47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711.37688942446425</v>
      </c>
      <c r="J47" s="147">
        <f>J46/J38</f>
        <v>862.53661769234532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+C48+'21'!D48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728.09486144812718</v>
      </c>
      <c r="J48" s="147">
        <f>J46/J40</f>
        <v>900.89206714375928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+C49+'21'!D49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+I49+'21'!J49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+C50+'21'!D50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+C51+'21'!D51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35</v>
      </c>
      <c r="D52" s="156">
        <f>SUM(D38:D51)</f>
        <v>2156</v>
      </c>
      <c r="E52" s="157">
        <f>SUM(E38:E51)</f>
        <v>35.93333333333333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2.4305555555555556E-2</v>
      </c>
      <c r="D53" s="158">
        <f>D52/(24*60*G4)</f>
        <v>6.805555555555555E-2</v>
      </c>
      <c r="E53" s="159">
        <f>E52/(G4*24)</f>
        <v>6.805555555555555E-2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+D34+'21'!J56</f>
        <v>34452</v>
      </c>
      <c r="K56" s="213">
        <f>J56/(J40+J56/1000)/1000</f>
        <v>2.552417840253849E-2</v>
      </c>
    </row>
    <row r="57" spans="1:11">
      <c r="A57" s="188"/>
      <c r="I57" s="211" t="s">
        <v>90</v>
      </c>
      <c r="J57" s="212">
        <f>+E34+'21'!J57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3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D26" sqref="D26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710937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7109375" style="161" customWidth="1"/>
    <col min="14" max="16384" width="9.140625" style="161"/>
  </cols>
  <sheetData>
    <row r="1" spans="1:18" ht="15.75">
      <c r="A1" s="160"/>
    </row>
    <row r="2" spans="1:18" ht="15.75">
      <c r="A2" s="347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21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175+195+201</f>
        <v>571</v>
      </c>
    </row>
    <row r="7" spans="1:18" ht="13.5" customHeight="1" thickBot="1">
      <c r="A7" s="1007" t="s">
        <v>502</v>
      </c>
      <c r="B7" s="227" t="s">
        <v>507</v>
      </c>
      <c r="C7" s="228">
        <v>13125</v>
      </c>
      <c r="D7" s="229">
        <v>313</v>
      </c>
      <c r="E7" s="230"/>
      <c r="F7" s="239">
        <v>30</v>
      </c>
      <c r="G7" s="240" t="s">
        <v>12</v>
      </c>
      <c r="H7" s="241" t="s">
        <v>449</v>
      </c>
      <c r="I7" s="1010" t="s">
        <v>703</v>
      </c>
      <c r="J7" s="345" t="str">
        <f>+'20'!J7</f>
        <v>F 13 VP OW</v>
      </c>
      <c r="K7" s="249"/>
      <c r="L7" s="253"/>
      <c r="M7" s="129">
        <f>+K7+'20'!M7+L7</f>
        <v>224237</v>
      </c>
    </row>
    <row r="8" spans="1:18" ht="13.5" thickBot="1">
      <c r="A8" s="1008"/>
      <c r="B8" s="227" t="s">
        <v>454</v>
      </c>
      <c r="C8" s="228">
        <f>1528+5100</f>
        <v>6628</v>
      </c>
      <c r="D8" s="229"/>
      <c r="E8" s="231"/>
      <c r="F8" s="242"/>
      <c r="G8" s="243" t="s">
        <v>12</v>
      </c>
      <c r="H8" s="241" t="s">
        <v>448</v>
      </c>
      <c r="I8" s="1011"/>
      <c r="J8" s="226" t="str">
        <f>+'20'!J8</f>
        <v>MG 15,5 VP OW</v>
      </c>
      <c r="K8" s="250"/>
      <c r="L8" s="250"/>
      <c r="M8" s="129">
        <f>+K8+'20'!M8+L8</f>
        <v>40782</v>
      </c>
      <c r="N8" s="161">
        <v>1200</v>
      </c>
      <c r="O8" s="161">
        <f>+N8-N8*0.0035</f>
        <v>1195.8</v>
      </c>
      <c r="P8" s="161">
        <v>480</v>
      </c>
      <c r="Q8" s="161">
        <f>+N8*P8</f>
        <v>576000</v>
      </c>
      <c r="R8" s="161">
        <f>+O8*P8</f>
        <v>573984</v>
      </c>
    </row>
    <row r="9" spans="1:18" ht="13.5" thickBot="1">
      <c r="A9" s="1008"/>
      <c r="B9" s="227"/>
      <c r="C9" s="228"/>
      <c r="D9" s="229"/>
      <c r="E9" s="232"/>
      <c r="F9" s="239">
        <v>12</v>
      </c>
      <c r="G9" s="243" t="s">
        <v>12</v>
      </c>
      <c r="H9" s="574" t="s">
        <v>450</v>
      </c>
      <c r="I9" s="1011"/>
      <c r="J9" s="226" t="str">
        <f>+'20'!J9</f>
        <v>MG 16,5 VP HW/OW</v>
      </c>
      <c r="K9" s="250">
        <f>+C8+C17+C26</f>
        <v>29797</v>
      </c>
      <c r="L9" s="250"/>
      <c r="M9" s="129">
        <f>+K9+'20'!M9+L9</f>
        <v>120955</v>
      </c>
      <c r="N9" s="161">
        <v>1220</v>
      </c>
      <c r="O9" s="161">
        <f>+N9-N9*0.0035</f>
        <v>1215.73</v>
      </c>
      <c r="P9" s="161">
        <v>184</v>
      </c>
      <c r="Q9" s="161">
        <f>+N9*P9</f>
        <v>224480</v>
      </c>
      <c r="R9" s="161">
        <f>+O9*P9</f>
        <v>223694.32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721</v>
      </c>
      <c r="I10" s="1011"/>
      <c r="J10" s="226" t="str">
        <f>+'20'!J10</f>
        <v>MG 17 VP HW</v>
      </c>
      <c r="K10" s="250">
        <f>+C7+C16+C25</f>
        <v>36372</v>
      </c>
      <c r="L10" s="250"/>
      <c r="M10" s="129">
        <f>+K10+'20'!M10+L10</f>
        <v>282950</v>
      </c>
      <c r="P10" s="161">
        <f>SUM(P7:P9)</f>
        <v>664</v>
      </c>
      <c r="Q10" s="161">
        <f>SUM(Q7:Q9)</f>
        <v>800480</v>
      </c>
      <c r="R10" s="161">
        <f>SUM(R7:R9)</f>
        <v>797678.32000000007</v>
      </c>
    </row>
    <row r="11" spans="1:18" ht="26.25" thickBot="1">
      <c r="A11" s="1008"/>
      <c r="B11" s="227"/>
      <c r="C11" s="228"/>
      <c r="D11" s="229"/>
      <c r="E11" s="231"/>
      <c r="F11" s="239"/>
      <c r="G11" s="243"/>
      <c r="H11" s="244" t="s">
        <v>715</v>
      </c>
      <c r="I11" s="1011"/>
      <c r="J11" s="226" t="str">
        <f>+'20'!J11</f>
        <v>MG 14 VP OW</v>
      </c>
      <c r="K11" s="250"/>
      <c r="L11" s="250"/>
      <c r="M11" s="129">
        <f>+K11+'20'!M11+L11</f>
        <v>151802</v>
      </c>
      <c r="Q11" s="161">
        <f>+Q10/P10</f>
        <v>1205.5421686746988</v>
      </c>
      <c r="R11" s="161">
        <f>+R10/P10</f>
        <v>1201.3227710843375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+'20'!J12</f>
        <v>MG 19 VP HW</v>
      </c>
      <c r="K12" s="250"/>
      <c r="L12" s="250"/>
      <c r="M12" s="129">
        <f>+K12+'20'!M12+L12</f>
        <v>20052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+'20'!J13</f>
        <v>MG 17 VP OW</v>
      </c>
      <c r="K13" s="250"/>
      <c r="L13" s="250"/>
      <c r="M13" s="129">
        <f>+K13+'20'!M13+L13</f>
        <v>6479</v>
      </c>
    </row>
    <row r="14" spans="1:18" ht="13.5" thickBot="1">
      <c r="A14" s="1009"/>
      <c r="B14" s="177" t="s">
        <v>2</v>
      </c>
      <c r="C14" s="111">
        <f>SUM(C7:C13)</f>
        <v>19753</v>
      </c>
      <c r="D14" s="123">
        <f>SUM(D7:D13)</f>
        <v>313</v>
      </c>
      <c r="E14" s="124">
        <f>SUM(E5:E13)</f>
        <v>0</v>
      </c>
      <c r="F14" s="128">
        <f>SUM(F7:F13)</f>
        <v>42</v>
      </c>
      <c r="G14" s="171"/>
      <c r="H14" s="178"/>
      <c r="I14" s="179"/>
      <c r="J14" s="226" t="str">
        <f>+'20'!J14</f>
        <v>MG 21,5 VP OW</v>
      </c>
      <c r="K14" s="250"/>
      <c r="L14" s="250"/>
      <c r="M14" s="129">
        <f>+K14+'20'!M14+L14</f>
        <v>65067</v>
      </c>
    </row>
    <row r="15" spans="1:18" ht="13.5" customHeight="1" thickBot="1">
      <c r="A15" s="1007" t="s">
        <v>461</v>
      </c>
      <c r="B15" s="177"/>
      <c r="C15" s="125"/>
      <c r="D15" s="126"/>
      <c r="E15" s="127"/>
      <c r="F15" s="239">
        <v>10</v>
      </c>
      <c r="G15" s="240" t="s">
        <v>12</v>
      </c>
      <c r="H15" s="241" t="s">
        <v>477</v>
      </c>
      <c r="I15" s="1010" t="s">
        <v>724</v>
      </c>
      <c r="J15" s="226" t="str">
        <f>+'20'!J15</f>
        <v>F 10,5 VP OW</v>
      </c>
      <c r="K15" s="250"/>
      <c r="L15" s="250"/>
      <c r="M15" s="129">
        <f>+K15+'20'!M15+L15</f>
        <v>0</v>
      </c>
    </row>
    <row r="16" spans="1:18" ht="13.5" thickBot="1">
      <c r="A16" s="1013"/>
      <c r="B16" s="227" t="s">
        <v>507</v>
      </c>
      <c r="C16" s="233">
        <f>25013-C17</f>
        <v>12628</v>
      </c>
      <c r="D16" s="234"/>
      <c r="E16" s="235"/>
      <c r="F16" s="239"/>
      <c r="G16" s="243" t="s">
        <v>12</v>
      </c>
      <c r="H16" s="241" t="s">
        <v>448</v>
      </c>
      <c r="I16" s="1011"/>
      <c r="J16" s="226" t="str">
        <f>+'20'!J16</f>
        <v>F 10,3 VP OW</v>
      </c>
      <c r="K16" s="250"/>
      <c r="L16" s="240"/>
      <c r="M16" s="129">
        <f>+K16+'20'!M16+L16</f>
        <v>112662</v>
      </c>
      <c r="N16" s="161">
        <v>1220</v>
      </c>
      <c r="O16" s="161">
        <f>+N16-N16*0.0035</f>
        <v>1215.73</v>
      </c>
      <c r="P16" s="161">
        <f>180+4</f>
        <v>184</v>
      </c>
      <c r="Q16" s="161">
        <f>+N16*P16</f>
        <v>224480</v>
      </c>
      <c r="R16" s="161">
        <f>+O16*P16</f>
        <v>223694.32</v>
      </c>
    </row>
    <row r="17" spans="1:18" ht="13.5" thickBot="1">
      <c r="A17" s="1013"/>
      <c r="B17" s="227" t="s">
        <v>454</v>
      </c>
      <c r="C17" s="228">
        <f>369+1227+7827+2394+568</f>
        <v>12385</v>
      </c>
      <c r="D17" s="229"/>
      <c r="E17" s="236"/>
      <c r="F17" s="239">
        <v>12</v>
      </c>
      <c r="G17" s="243" t="s">
        <v>12</v>
      </c>
      <c r="H17" s="574" t="s">
        <v>450</v>
      </c>
      <c r="I17" s="1011"/>
      <c r="J17" s="226" t="str">
        <f>+'20'!J17</f>
        <v>SN 13 VP OW</v>
      </c>
      <c r="K17" s="250"/>
      <c r="L17" s="240"/>
      <c r="M17" s="129">
        <f>+K17+'20'!M17+L17</f>
        <v>132429</v>
      </c>
      <c r="N17" s="161">
        <v>1220</v>
      </c>
      <c r="O17" s="161">
        <f>+N17-N17*0.0035</f>
        <v>1215.73</v>
      </c>
      <c r="P17" s="161">
        <f>56+180+10</f>
        <v>246</v>
      </c>
      <c r="Q17" s="161">
        <f>+N17*P17</f>
        <v>300120</v>
      </c>
      <c r="R17" s="161">
        <f>+O17*P17</f>
        <v>299069.58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727</v>
      </c>
      <c r="I18" s="1011"/>
      <c r="J18" s="226" t="str">
        <f>+'20'!J18</f>
        <v>SN 14 VP OW</v>
      </c>
      <c r="K18" s="250"/>
      <c r="L18" s="250"/>
      <c r="M18" s="129">
        <f>+K18+'20'!M18+L18</f>
        <v>20814</v>
      </c>
      <c r="N18" s="161">
        <v>1180</v>
      </c>
      <c r="O18" s="161">
        <f>+N18-N18*0.0035</f>
        <v>1175.8699999999999</v>
      </c>
      <c r="P18" s="161">
        <v>50</v>
      </c>
      <c r="Q18" s="161">
        <f>+N18*P18</f>
        <v>59000</v>
      </c>
      <c r="R18" s="161">
        <f>+O18*P18</f>
        <v>58793.499999999993</v>
      </c>
    </row>
    <row r="19" spans="1:18" ht="13.5" thickBot="1">
      <c r="A19" s="1013"/>
      <c r="B19" s="227"/>
      <c r="C19" s="228"/>
      <c r="D19" s="229"/>
      <c r="E19" s="236"/>
      <c r="F19" s="246"/>
      <c r="G19" s="243"/>
      <c r="H19" s="244" t="s">
        <v>723</v>
      </c>
      <c r="I19" s="1011"/>
      <c r="J19" s="226" t="str">
        <f>+'20'!J19</f>
        <v>SN 15 VP OW</v>
      </c>
      <c r="K19" s="250"/>
      <c r="L19" s="250"/>
      <c r="M19" s="129">
        <f>+K19+'20'!M19+L19</f>
        <v>62505</v>
      </c>
      <c r="P19" s="161">
        <f>SUM(P16:P18)</f>
        <v>480</v>
      </c>
      <c r="Q19" s="161">
        <f>SUM(Q16:Q18)</f>
        <v>583600</v>
      </c>
      <c r="R19" s="161">
        <f>SUM(R16:R18)</f>
        <v>581557.4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565" t="s">
        <v>722</v>
      </c>
      <c r="I20" s="1011"/>
      <c r="J20" s="226">
        <f>+'20'!J20</f>
        <v>0</v>
      </c>
      <c r="K20" s="250"/>
      <c r="L20" s="251"/>
      <c r="M20" s="129">
        <f>+K20+'20'!M20+L20</f>
        <v>0</v>
      </c>
      <c r="Q20" s="161">
        <f>+Q19/P19</f>
        <v>1215.8333333333333</v>
      </c>
      <c r="R20" s="161">
        <f>+R19/P19</f>
        <v>1211.5779166666666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244" t="s">
        <v>716</v>
      </c>
      <c r="I21" s="1011"/>
      <c r="J21" s="226">
        <f>+'20'!J21</f>
        <v>0</v>
      </c>
      <c r="K21" s="250"/>
      <c r="L21" s="250"/>
      <c r="M21" s="129">
        <f>+K21+'20'!M21+L21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+'20'!J22</f>
        <v>0</v>
      </c>
      <c r="K22" s="250"/>
      <c r="L22" s="250"/>
      <c r="M22" s="129">
        <f>+K22+'20'!M22+L22</f>
        <v>0</v>
      </c>
    </row>
    <row r="23" spans="1:18" ht="13.5" thickBot="1">
      <c r="A23" s="1014"/>
      <c r="B23" s="180" t="s">
        <v>2</v>
      </c>
      <c r="C23" s="112">
        <f>SUM(C16:C22)</f>
        <v>25013</v>
      </c>
      <c r="D23" s="123">
        <f>SUM(D16:D22)</f>
        <v>0</v>
      </c>
      <c r="E23" s="124">
        <f>SUM(E18:E22)</f>
        <v>0</v>
      </c>
      <c r="F23" s="128">
        <f>SUM(F15:F22)</f>
        <v>22</v>
      </c>
      <c r="G23" s="171"/>
      <c r="H23" s="178" t="s">
        <v>237</v>
      </c>
      <c r="I23" s="181"/>
      <c r="J23" s="226">
        <f>+'20'!J23</f>
        <v>0</v>
      </c>
      <c r="K23" s="250"/>
      <c r="L23" s="250"/>
      <c r="M23" s="129">
        <f>+K23+'20'!M23+L23</f>
        <v>0</v>
      </c>
    </row>
    <row r="24" spans="1:18" ht="13.5" customHeight="1" thickBot="1">
      <c r="A24" s="1007" t="s">
        <v>463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725</v>
      </c>
      <c r="J24" s="226">
        <f>+'20'!J24</f>
        <v>0</v>
      </c>
      <c r="K24" s="250"/>
      <c r="L24" s="250"/>
      <c r="M24" s="129">
        <f>+K24+'20'!M24+L24</f>
        <v>0</v>
      </c>
    </row>
    <row r="25" spans="1:18" ht="13.5" thickBot="1">
      <c r="A25" s="1013"/>
      <c r="B25" s="227" t="s">
        <v>507</v>
      </c>
      <c r="C25" s="237">
        <v>10619</v>
      </c>
      <c r="D25" s="229">
        <v>340</v>
      </c>
      <c r="E25" s="236"/>
      <c r="F25" s="242"/>
      <c r="G25" s="243" t="s">
        <v>12</v>
      </c>
      <c r="H25" s="241" t="s">
        <v>448</v>
      </c>
      <c r="I25" s="1011"/>
      <c r="J25" s="226">
        <f>+'20'!J25</f>
        <v>0</v>
      </c>
      <c r="K25" s="250"/>
      <c r="L25" s="250"/>
      <c r="M25" s="129">
        <f>+K25+'20'!M25+L25</f>
        <v>0</v>
      </c>
      <c r="N25" s="161">
        <v>1220</v>
      </c>
      <c r="O25" s="161">
        <f>+N25-N25*0.0035</f>
        <v>1215.73</v>
      </c>
      <c r="P25" s="161">
        <f>56+180+10</f>
        <v>246</v>
      </c>
      <c r="Q25" s="161">
        <f>+N25*P25</f>
        <v>300120</v>
      </c>
      <c r="R25" s="161">
        <f>+O25*P25</f>
        <v>299069.58</v>
      </c>
    </row>
    <row r="26" spans="1:18" ht="13.5" thickBot="1">
      <c r="A26" s="1013"/>
      <c r="B26" s="227" t="s">
        <v>454</v>
      </c>
      <c r="C26" s="237">
        <f>7804+2391+589</f>
        <v>10784</v>
      </c>
      <c r="D26" s="229"/>
      <c r="E26" s="238"/>
      <c r="F26" s="242">
        <v>10</v>
      </c>
      <c r="G26" s="243" t="s">
        <v>12</v>
      </c>
      <c r="H26" s="574" t="s">
        <v>447</v>
      </c>
      <c r="I26" s="1011"/>
      <c r="J26" s="226">
        <f>+'20'!J26</f>
        <v>0</v>
      </c>
      <c r="K26" s="250"/>
      <c r="L26" s="250"/>
      <c r="M26" s="129">
        <f>+K26+'20'!M26+L26</f>
        <v>0</v>
      </c>
      <c r="N26" s="161">
        <v>1180</v>
      </c>
      <c r="O26" s="161">
        <f>+N26-N26*0.0035</f>
        <v>1175.8699999999999</v>
      </c>
      <c r="P26" s="161">
        <f>50+480</f>
        <v>530</v>
      </c>
      <c r="Q26" s="161">
        <f>+N26*P26</f>
        <v>625400</v>
      </c>
      <c r="R26" s="161">
        <f>+O26*P26</f>
        <v>623211.1</v>
      </c>
    </row>
    <row r="27" spans="1:18" ht="13.5" thickBot="1">
      <c r="A27" s="1013"/>
      <c r="B27" s="227"/>
      <c r="C27" s="228"/>
      <c r="D27" s="229"/>
      <c r="E27" s="236"/>
      <c r="F27" s="242"/>
      <c r="G27" s="243"/>
      <c r="H27" s="574" t="s">
        <v>720</v>
      </c>
      <c r="I27" s="1011"/>
      <c r="J27" s="226">
        <f>+'20'!J27</f>
        <v>0</v>
      </c>
      <c r="K27" s="250"/>
      <c r="L27" s="250"/>
      <c r="M27" s="129">
        <f>+K27+'20'!M27+L27</f>
        <v>0</v>
      </c>
      <c r="P27" s="161">
        <f>SUM(P24:P26)</f>
        <v>776</v>
      </c>
      <c r="Q27" s="161">
        <f>SUM(Q24:Q26)</f>
        <v>925520</v>
      </c>
      <c r="R27" s="161">
        <f>SUM(R24:R26)</f>
        <v>922280.67999999993</v>
      </c>
    </row>
    <row r="28" spans="1:18" ht="13.5" thickBot="1">
      <c r="A28" s="1013"/>
      <c r="B28" s="227"/>
      <c r="C28" s="228"/>
      <c r="D28" s="229"/>
      <c r="E28" s="236"/>
      <c r="F28" s="242"/>
      <c r="G28" s="243"/>
      <c r="H28" s="244" t="s">
        <v>717</v>
      </c>
      <c r="I28" s="1011"/>
      <c r="J28" s="226">
        <f>+'20'!J28</f>
        <v>0</v>
      </c>
      <c r="K28" s="250"/>
      <c r="L28" s="250"/>
      <c r="M28" s="129">
        <f>+K28+'20'!M28+L28</f>
        <v>0</v>
      </c>
      <c r="Q28" s="161">
        <f>+Q27/P27</f>
        <v>1192.680412371134</v>
      </c>
      <c r="R28" s="161">
        <f>+R27/P27</f>
        <v>1188.5060309278349</v>
      </c>
    </row>
    <row r="29" spans="1:18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+'20'!J29</f>
        <v>0</v>
      </c>
      <c r="K29" s="250"/>
      <c r="L29" s="250"/>
      <c r="M29" s="129">
        <f>+K29+'20'!M29+L29</f>
        <v>0</v>
      </c>
    </row>
    <row r="30" spans="1:18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+'20'!J30</f>
        <v>0</v>
      </c>
      <c r="K30" s="250"/>
      <c r="L30" s="250"/>
      <c r="M30" s="129">
        <f>+K30+'20'!M30+L30</f>
        <v>0</v>
      </c>
      <c r="N30" s="167"/>
    </row>
    <row r="31" spans="1:18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+'20'!J31</f>
        <v>0</v>
      </c>
      <c r="K31" s="250"/>
      <c r="L31" s="250"/>
      <c r="M31" s="129">
        <f>+K31+'20'!M31+L31</f>
        <v>0</v>
      </c>
    </row>
    <row r="32" spans="1:18" ht="13.5" thickBot="1">
      <c r="A32" s="1014"/>
      <c r="B32" s="177" t="s">
        <v>2</v>
      </c>
      <c r="C32" s="111">
        <f>SUM(C25:C31)</f>
        <v>21403</v>
      </c>
      <c r="D32" s="112">
        <f>SUM(D25:D31)</f>
        <v>340</v>
      </c>
      <c r="E32" s="113">
        <f>SUM(E25:E31)</f>
        <v>0</v>
      </c>
      <c r="F32" s="114">
        <f>SUM(F24:F31)</f>
        <v>10</v>
      </c>
      <c r="G32" s="183"/>
      <c r="H32" s="184"/>
      <c r="I32" s="181"/>
      <c r="J32" s="226">
        <f>+'20'!J32</f>
        <v>0</v>
      </c>
      <c r="K32" s="252"/>
      <c r="L32" s="254"/>
      <c r="M32" s="129">
        <f>+K32+'20'!M32+L32</f>
        <v>0</v>
      </c>
    </row>
    <row r="33" spans="1:14" ht="13.5" thickBot="1">
      <c r="A33" s="185"/>
      <c r="B33" s="186"/>
      <c r="C33" s="115">
        <f>C32/($C$32+$D$32+$E$32)</f>
        <v>0.98436278342455041</v>
      </c>
      <c r="D33" s="116">
        <f>D32/($C$32+$D$32+$E$32)</f>
        <v>1.5637216575449569E-2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66169</v>
      </c>
      <c r="D34" s="119">
        <f>D14+D23+D32</f>
        <v>653</v>
      </c>
      <c r="E34" s="119">
        <f>E14+E23+E32</f>
        <v>0</v>
      </c>
      <c r="F34" s="120">
        <f>F14+F23+F32</f>
        <v>74</v>
      </c>
      <c r="H34" s="190"/>
      <c r="I34" s="190"/>
      <c r="J34" s="135" t="s">
        <v>28</v>
      </c>
      <c r="K34" s="136">
        <f>SUM(K7:K32)</f>
        <v>66169</v>
      </c>
      <c r="L34" s="224">
        <f>SUM(L7:L32)</f>
        <v>0</v>
      </c>
      <c r="M34" s="132">
        <f>SUM(M7:M32)</f>
        <v>1240734</v>
      </c>
      <c r="N34" s="167"/>
    </row>
    <row r="35" spans="1:14" ht="13.5" thickBot="1">
      <c r="A35" s="191"/>
      <c r="B35" s="192"/>
      <c r="C35" s="116">
        <f>C34/($C$34+$D$34+$E$34)</f>
        <v>0.99022776929753675</v>
      </c>
      <c r="D35" s="116">
        <f>D34/($C$34+$D$34+$E$34)</f>
        <v>9.772230702463261E-3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(17*664+16.5*776)/1440*G42*2.77*1440/1000000</f>
        <v>79.70915879969445</v>
      </c>
      <c r="J37" s="137">
        <f>+I37+'20'!J37</f>
        <v>1405.4331261405503</v>
      </c>
      <c r="K37" s="138" t="s">
        <v>64</v>
      </c>
      <c r="L37" s="558">
        <f>24.272+3.316+3.23</f>
        <v>30.817999999999998</v>
      </c>
    </row>
    <row r="38" spans="1:14" ht="17.45" customHeight="1">
      <c r="A38" s="1005" t="s">
        <v>12</v>
      </c>
      <c r="B38" s="1006"/>
      <c r="C38" s="176">
        <f>SUMIF($G$7:$G$31,"Process",$F$7:$F$31)</f>
        <v>74</v>
      </c>
      <c r="D38" s="130">
        <f>+C38+'20'!D38</f>
        <v>999</v>
      </c>
      <c r="E38" s="155">
        <f t="shared" ref="E38:E51" si="0">D38/60</f>
        <v>16.649999999999999</v>
      </c>
      <c r="F38" s="340">
        <v>1200</v>
      </c>
      <c r="G38" s="340">
        <v>1195.8</v>
      </c>
      <c r="H38" s="199" t="s">
        <v>65</v>
      </c>
      <c r="I38" s="549">
        <f>24.272+21.797+25.689</f>
        <v>71.75800000000001</v>
      </c>
      <c r="J38" s="139">
        <f>+I38+'20'!J38</f>
        <v>1297.4712220100002</v>
      </c>
      <c r="K38" s="140" t="s">
        <v>64</v>
      </c>
      <c r="L38" s="608">
        <f>+I38-L37</f>
        <v>40.940000000000012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+C39+'20'!D39</f>
        <v>0</v>
      </c>
      <c r="E39" s="155">
        <f t="shared" si="0"/>
        <v>0</v>
      </c>
      <c r="F39" s="340">
        <v>1215.8333333333333</v>
      </c>
      <c r="G39" s="340">
        <v>1211.5779166666666</v>
      </c>
      <c r="H39" s="199" t="s">
        <v>66</v>
      </c>
      <c r="I39" s="154"/>
      <c r="J39" s="141">
        <f>J37/G4</f>
        <v>66.925386959073819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+C40+'20'!D40</f>
        <v>49</v>
      </c>
      <c r="E40" s="155">
        <f t="shared" si="0"/>
        <v>0.81666666666666665</v>
      </c>
      <c r="F40" s="340">
        <v>1180</v>
      </c>
      <c r="G40" s="340">
        <v>1175.8699999999999</v>
      </c>
      <c r="H40" s="199" t="s">
        <v>68</v>
      </c>
      <c r="I40" s="130">
        <f>(K34+L34)/1000</f>
        <v>66.168999999999997</v>
      </c>
      <c r="J40" s="143">
        <f>+I40+'20'!J40</f>
        <v>1240.7339999999999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+C41+'20'!D41</f>
        <v>125</v>
      </c>
      <c r="E41" s="155">
        <f t="shared" si="0"/>
        <v>2.0833333333333335</v>
      </c>
      <c r="F41" s="340"/>
      <c r="G41" s="340"/>
      <c r="H41" s="199" t="s">
        <v>70</v>
      </c>
      <c r="I41" s="154"/>
      <c r="J41" s="141">
        <f>J40/G4</f>
        <v>59.082571428571427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+C42+'20'!D42</f>
        <v>0</v>
      </c>
      <c r="E42" s="155">
        <f t="shared" si="0"/>
        <v>0</v>
      </c>
      <c r="F42" s="340">
        <f>+(F38*480+F39*480+F40*480)/1440</f>
        <v>1198.6111111111111</v>
      </c>
      <c r="G42" s="340">
        <f>+(G38*480+G39*480+G40*480)/1440</f>
        <v>1194.4159722222223</v>
      </c>
      <c r="H42" s="199" t="s">
        <v>71</v>
      </c>
      <c r="I42" s="257" t="s">
        <v>726</v>
      </c>
      <c r="J42" s="144"/>
      <c r="K42" s="142" t="s">
        <v>72</v>
      </c>
    </row>
    <row r="43" spans="1:14" ht="17.45" customHeight="1">
      <c r="A43" s="1001" t="s">
        <v>204</v>
      </c>
      <c r="B43" s="1002"/>
      <c r="C43" s="176">
        <f>SUMIF($G$7:$G$31,"Change Grade",$F$7:$F$31)</f>
        <v>0</v>
      </c>
      <c r="D43" s="130">
        <f>+C43+'20'!D43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+Report1!T29</f>
        <v>159.37700000000001</v>
      </c>
      <c r="J43" s="145">
        <f>+I43+'20'!J43</f>
        <v>2781.0650000000001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+C44+'20'!D44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2.2210345884779397</v>
      </c>
      <c r="J44" s="146">
        <f>J43/J38</f>
        <v>2.1434502382963565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+C45+'20'!D45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2.4086354637367955</v>
      </c>
      <c r="J45" s="146">
        <f>J43/J40</f>
        <v>2.2414675506595292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+C46+'20'!D46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+SUMIF(Listrik!AR28,"&gt;0")</f>
        <v>56979.180000001819</v>
      </c>
      <c r="J46" s="147">
        <f>+I46+'20'!J46</f>
        <v>1130656.8799999992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+C47+'20'!D47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794.04637810420877</v>
      </c>
      <c r="J47" s="147">
        <f>J46/J38</f>
        <v>871.43118153204375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+C48+'20'!D48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861.11593042061725</v>
      </c>
      <c r="J48" s="147">
        <f>J46/J40</f>
        <v>911.28064516648953</v>
      </c>
      <c r="K48" s="142" t="s">
        <v>24</v>
      </c>
    </row>
    <row r="49" spans="1:11" ht="17.45" customHeight="1">
      <c r="A49" s="1019" t="s">
        <v>20</v>
      </c>
      <c r="B49" s="1002"/>
      <c r="C49" s="176">
        <f>SUMIF($G$7:$G$31,"Others",$F$7:$F$31)</f>
        <v>0</v>
      </c>
      <c r="D49" s="130">
        <f>+C49+'20'!D49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+I49+'20'!J49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+C50+'20'!D50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+C51+'20'!D51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74</v>
      </c>
      <c r="D52" s="156">
        <f>SUM(D38:D51)</f>
        <v>2121</v>
      </c>
      <c r="E52" s="157">
        <f>SUM(E38:E51)</f>
        <v>35.349999999999994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5.1388888888888887E-2</v>
      </c>
      <c r="D53" s="158">
        <f>D52/(24*60*G4)</f>
        <v>7.013888888888889E-2</v>
      </c>
      <c r="E53" s="159">
        <f>E52/(G4*24)</f>
        <v>7.0138888888888876E-2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+D34+'20'!J56</f>
        <v>33388</v>
      </c>
      <c r="K56" s="213">
        <f>J56/(J40+J56/1000)/1000</f>
        <v>2.6204711950660931E-2</v>
      </c>
    </row>
    <row r="57" spans="1:11">
      <c r="A57" s="188"/>
      <c r="I57" s="211" t="s">
        <v>90</v>
      </c>
      <c r="J57" s="212">
        <f>+E34+'20'!J57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3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opLeftCell="A7" zoomScale="80" zoomScaleNormal="80" workbookViewId="0">
      <selection activeCell="I37" sqref="I37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5.425781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20</v>
      </c>
      <c r="H4" s="166" t="str">
        <f>+'1'!H4</f>
        <v>.12.25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172+219+201</f>
        <v>592</v>
      </c>
    </row>
    <row r="7" spans="1:15" ht="13.5" customHeight="1" thickBot="1">
      <c r="A7" s="1007" t="s">
        <v>502</v>
      </c>
      <c r="B7" s="227" t="s">
        <v>507</v>
      </c>
      <c r="C7" s="228">
        <v>24202</v>
      </c>
      <c r="D7" s="229"/>
      <c r="E7" s="230"/>
      <c r="F7" s="239"/>
      <c r="G7" s="240" t="s">
        <v>12</v>
      </c>
      <c r="H7" s="241" t="s">
        <v>492</v>
      </c>
      <c r="I7" s="1010" t="s">
        <v>703</v>
      </c>
      <c r="J7" s="226" t="str">
        <f>+'19'!J7</f>
        <v>F 13 VP OW</v>
      </c>
      <c r="K7" s="249"/>
      <c r="L7" s="253"/>
      <c r="M7" s="129">
        <f>+K7+'19'!M7+L7</f>
        <v>224237</v>
      </c>
    </row>
    <row r="8" spans="1:15" ht="13.5" thickBot="1">
      <c r="A8" s="1008"/>
      <c r="B8" s="227" t="s">
        <v>454</v>
      </c>
      <c r="C8" s="228">
        <f>565+1881</f>
        <v>2446</v>
      </c>
      <c r="D8" s="229"/>
      <c r="E8" s="231"/>
      <c r="F8" s="242"/>
      <c r="G8" s="243" t="s">
        <v>12</v>
      </c>
      <c r="H8" s="241" t="s">
        <v>448</v>
      </c>
      <c r="I8" s="1011"/>
      <c r="J8" s="226" t="str">
        <f>+'19'!J8</f>
        <v>MG 15,5 VP OW</v>
      </c>
      <c r="K8" s="250"/>
      <c r="L8" s="250"/>
      <c r="M8" s="129">
        <f>+K8+'19'!M8+L8</f>
        <v>40782</v>
      </c>
      <c r="N8" s="161">
        <v>1260</v>
      </c>
      <c r="O8" s="161">
        <f>+N8-N8*0.0035</f>
        <v>1255.5899999999999</v>
      </c>
    </row>
    <row r="9" spans="1:15" ht="13.5" thickBot="1">
      <c r="A9" s="1008"/>
      <c r="B9" s="227"/>
      <c r="C9" s="228"/>
      <c r="D9" s="229"/>
      <c r="E9" s="232"/>
      <c r="F9" s="239">
        <v>7</v>
      </c>
      <c r="G9" s="243" t="s">
        <v>12</v>
      </c>
      <c r="H9" s="574" t="s">
        <v>447</v>
      </c>
      <c r="I9" s="1011"/>
      <c r="J9" s="226" t="str">
        <f>+'19'!J9</f>
        <v>MG 16,5 VP HW/OW</v>
      </c>
      <c r="K9" s="250">
        <f>+C8+C17+C25</f>
        <v>13174</v>
      </c>
      <c r="L9" s="250"/>
      <c r="M9" s="129">
        <f>+K9+'19'!M9+L9</f>
        <v>91158</v>
      </c>
      <c r="N9" s="161">
        <v>1200</v>
      </c>
      <c r="O9" s="161">
        <f>+N9-N9*0.0035</f>
        <v>1195.8</v>
      </c>
    </row>
    <row r="10" spans="1:15" ht="13.5" thickBot="1">
      <c r="A10" s="1008"/>
      <c r="B10" s="227"/>
      <c r="C10" s="228"/>
      <c r="D10" s="229"/>
      <c r="E10" s="231"/>
      <c r="F10" s="239"/>
      <c r="G10" s="243"/>
      <c r="H10" s="574" t="s">
        <v>700</v>
      </c>
      <c r="I10" s="1011"/>
      <c r="J10" s="226" t="str">
        <f>+'19'!J10</f>
        <v>MG 17 VP HW</v>
      </c>
      <c r="K10" s="250">
        <f>+C7+C16+C26</f>
        <v>54867</v>
      </c>
      <c r="L10" s="250"/>
      <c r="M10" s="129">
        <f>+K10+'19'!M10+L10</f>
        <v>246578</v>
      </c>
    </row>
    <row r="11" spans="1:15" ht="13.5" thickBot="1">
      <c r="A11" s="1008"/>
      <c r="B11" s="227"/>
      <c r="C11" s="228"/>
      <c r="D11" s="229"/>
      <c r="E11" s="231"/>
      <c r="F11" s="239">
        <v>20</v>
      </c>
      <c r="G11" s="243" t="s">
        <v>20</v>
      </c>
      <c r="H11" s="244" t="s">
        <v>709</v>
      </c>
      <c r="I11" s="1011"/>
      <c r="J11" s="226" t="str">
        <f>+'19'!J11</f>
        <v>MG 14 VP OW</v>
      </c>
      <c r="K11" s="250"/>
      <c r="L11" s="250"/>
      <c r="M11" s="129">
        <f>+K11+'19'!M11+L11</f>
        <v>151802</v>
      </c>
    </row>
    <row r="12" spans="1:15" ht="13.5" thickBot="1">
      <c r="A12" s="1008"/>
      <c r="B12" s="227"/>
      <c r="C12" s="228"/>
      <c r="D12" s="229"/>
      <c r="E12" s="231"/>
      <c r="F12" s="239"/>
      <c r="G12" s="243"/>
      <c r="H12" s="244" t="s">
        <v>710</v>
      </c>
      <c r="I12" s="1011"/>
      <c r="J12" s="226" t="str">
        <f>+'19'!J12</f>
        <v>MG 19 VP HW</v>
      </c>
      <c r="K12" s="250"/>
      <c r="L12" s="250"/>
      <c r="M12" s="129">
        <f>+K12+'19'!M12+L12</f>
        <v>20052</v>
      </c>
    </row>
    <row r="13" spans="1:15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+'19'!J13</f>
        <v>MG 17 VP OW</v>
      </c>
      <c r="K13" s="250"/>
      <c r="L13" s="250"/>
      <c r="M13" s="129">
        <f>+K13+'19'!M13+L13</f>
        <v>6479</v>
      </c>
    </row>
    <row r="14" spans="1:15" ht="13.5" thickBot="1">
      <c r="A14" s="1009"/>
      <c r="B14" s="177" t="s">
        <v>2</v>
      </c>
      <c r="C14" s="111">
        <f>SUM(C7:C13)</f>
        <v>26648</v>
      </c>
      <c r="D14" s="123">
        <f>SUM(D7:D13)</f>
        <v>0</v>
      </c>
      <c r="E14" s="124">
        <f>SUM(E5:E13)</f>
        <v>0</v>
      </c>
      <c r="F14" s="128">
        <f>SUM(F7:F13)</f>
        <v>27</v>
      </c>
      <c r="G14" s="171"/>
      <c r="H14" s="178"/>
      <c r="I14" s="179"/>
      <c r="J14" s="226" t="str">
        <f>+'19'!J14</f>
        <v>MG 21,5 VP OW</v>
      </c>
      <c r="K14" s="250"/>
      <c r="L14" s="250"/>
      <c r="M14" s="129">
        <f>+K14+'19'!M14+L14</f>
        <v>65067</v>
      </c>
    </row>
    <row r="15" spans="1:15" ht="13.5" customHeight="1" thickBot="1">
      <c r="A15" s="1007" t="s">
        <v>461</v>
      </c>
      <c r="B15" s="177"/>
      <c r="C15" s="125"/>
      <c r="D15" s="126"/>
      <c r="E15" s="127"/>
      <c r="F15" s="239">
        <v>60</v>
      </c>
      <c r="G15" s="240" t="s">
        <v>12</v>
      </c>
      <c r="H15" s="241" t="s">
        <v>478</v>
      </c>
      <c r="I15" s="1010" t="s">
        <v>703</v>
      </c>
      <c r="J15" s="226" t="str">
        <f>+'19'!J15</f>
        <v>F 10,5 VP OW</v>
      </c>
      <c r="K15" s="250"/>
      <c r="L15" s="250"/>
      <c r="M15" s="129">
        <f>+K15+'19'!M15+L15</f>
        <v>0</v>
      </c>
    </row>
    <row r="16" spans="1:15" ht="13.5" thickBot="1">
      <c r="A16" s="1013"/>
      <c r="B16" s="227" t="s">
        <v>507</v>
      </c>
      <c r="C16" s="233">
        <f>1828+6405+2733+3453+3262+770</f>
        <v>18451</v>
      </c>
      <c r="D16" s="234">
        <v>712</v>
      </c>
      <c r="E16" s="235"/>
      <c r="F16" s="239">
        <v>0</v>
      </c>
      <c r="G16" s="243" t="s">
        <v>12</v>
      </c>
      <c r="H16" s="241" t="s">
        <v>448</v>
      </c>
      <c r="I16" s="1011"/>
      <c r="J16" s="226" t="str">
        <f>+'19'!J16</f>
        <v>F 10,3 VP OW</v>
      </c>
      <c r="K16" s="250"/>
      <c r="L16" s="240"/>
      <c r="M16" s="129">
        <f>+K16+'19'!M16+L16</f>
        <v>112662</v>
      </c>
    </row>
    <row r="17" spans="1:18" ht="13.5" thickBot="1">
      <c r="A17" s="1013"/>
      <c r="B17" s="227" t="s">
        <v>454</v>
      </c>
      <c r="C17" s="228">
        <v>2011</v>
      </c>
      <c r="D17" s="229"/>
      <c r="E17" s="236"/>
      <c r="F17" s="239">
        <v>4</v>
      </c>
      <c r="G17" s="243" t="s">
        <v>12</v>
      </c>
      <c r="H17" s="574" t="s">
        <v>447</v>
      </c>
      <c r="I17" s="1011"/>
      <c r="J17" s="226" t="str">
        <f>+'19'!J17</f>
        <v>SN 13 VP OW</v>
      </c>
      <c r="K17" s="250"/>
      <c r="L17" s="240"/>
      <c r="M17" s="129">
        <f>+K17+'19'!M17+L17</f>
        <v>132429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712</v>
      </c>
      <c r="I18" s="1011"/>
      <c r="J18" s="226" t="str">
        <f>+'19'!J18</f>
        <v>SN 14 VP OW</v>
      </c>
      <c r="K18" s="250"/>
      <c r="L18" s="250"/>
      <c r="M18" s="129">
        <f>+K18+'19'!M18+L18</f>
        <v>20814</v>
      </c>
    </row>
    <row r="19" spans="1:18" ht="13.5" thickBot="1">
      <c r="A19" s="1013"/>
      <c r="B19" s="227"/>
      <c r="C19" s="228"/>
      <c r="D19" s="229"/>
      <c r="E19" s="236"/>
      <c r="F19" s="246"/>
      <c r="G19" s="243"/>
      <c r="H19" s="244" t="s">
        <v>711</v>
      </c>
      <c r="I19" s="1011"/>
      <c r="J19" s="226" t="str">
        <f>+'19'!J19</f>
        <v>SN 15 VP OW</v>
      </c>
      <c r="K19" s="250"/>
      <c r="L19" s="250"/>
      <c r="M19" s="129">
        <f>+K19+'19'!M19+L19</f>
        <v>62505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+'19'!J20</f>
        <v>0</v>
      </c>
      <c r="K20" s="251"/>
      <c r="L20" s="251"/>
      <c r="M20" s="129">
        <f>+K20+'19'!M20+L20</f>
        <v>0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+'19'!J21</f>
        <v>0</v>
      </c>
      <c r="K21" s="251"/>
      <c r="L21" s="250"/>
      <c r="M21" s="129">
        <f>+K21+'19'!M21+L21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+'19'!J22</f>
        <v>0</v>
      </c>
      <c r="K22" s="251"/>
      <c r="L22" s="250"/>
      <c r="M22" s="129">
        <f>+K22+'19'!M22+L22</f>
        <v>0</v>
      </c>
    </row>
    <row r="23" spans="1:18" ht="13.5" thickBot="1">
      <c r="A23" s="1014"/>
      <c r="B23" s="180" t="s">
        <v>2</v>
      </c>
      <c r="C23" s="112">
        <f>SUM(C16:C22)</f>
        <v>20462</v>
      </c>
      <c r="D23" s="123">
        <f>SUM(D16:D22)</f>
        <v>712</v>
      </c>
      <c r="E23" s="124">
        <f>SUM(E18:E22)</f>
        <v>0</v>
      </c>
      <c r="F23" s="128">
        <f>SUM(F15:F22)</f>
        <v>64</v>
      </c>
      <c r="G23" s="171"/>
      <c r="H23" s="178" t="s">
        <v>237</v>
      </c>
      <c r="I23" s="181"/>
      <c r="J23" s="226">
        <f>+'19'!J23</f>
        <v>0</v>
      </c>
      <c r="K23" s="251"/>
      <c r="L23" s="250"/>
      <c r="M23" s="129">
        <f>+K23+'19'!M23+L23</f>
        <v>0</v>
      </c>
    </row>
    <row r="24" spans="1:18" ht="13.5" customHeight="1" thickBot="1">
      <c r="A24" s="1007" t="s">
        <v>462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703</v>
      </c>
      <c r="J24" s="226">
        <f>+'19'!J24</f>
        <v>0</v>
      </c>
      <c r="K24" s="251"/>
      <c r="L24" s="250"/>
      <c r="M24" s="129">
        <f>+K24+'19'!M24+L24</f>
        <v>0</v>
      </c>
    </row>
    <row r="25" spans="1:18" ht="13.5" thickBot="1">
      <c r="A25" s="1013"/>
      <c r="B25" s="227" t="s">
        <v>454</v>
      </c>
      <c r="C25" s="237">
        <f>2006+6387+324</f>
        <v>8717</v>
      </c>
      <c r="D25" s="229"/>
      <c r="E25" s="236"/>
      <c r="F25" s="242"/>
      <c r="G25" s="243" t="s">
        <v>12</v>
      </c>
      <c r="H25" s="241" t="s">
        <v>448</v>
      </c>
      <c r="I25" s="1011"/>
      <c r="J25" s="226">
        <f>+'19'!J25</f>
        <v>0</v>
      </c>
      <c r="K25" s="251"/>
      <c r="L25" s="250"/>
      <c r="M25" s="129">
        <f>+K25+'19'!M25+L25</f>
        <v>0</v>
      </c>
    </row>
    <row r="26" spans="1:18" ht="13.5" thickBot="1">
      <c r="A26" s="1013"/>
      <c r="B26" s="227" t="s">
        <v>507</v>
      </c>
      <c r="C26" s="237">
        <v>12214</v>
      </c>
      <c r="D26" s="229">
        <v>300</v>
      </c>
      <c r="E26" s="238"/>
      <c r="F26" s="242">
        <v>8</v>
      </c>
      <c r="G26" s="243" t="s">
        <v>12</v>
      </c>
      <c r="H26" s="574" t="s">
        <v>447</v>
      </c>
      <c r="I26" s="1011"/>
      <c r="J26" s="226">
        <f>+'19'!J26</f>
        <v>0</v>
      </c>
      <c r="K26" s="251"/>
      <c r="L26" s="250"/>
      <c r="M26" s="129">
        <f>+K26+'19'!M26+L26</f>
        <v>0</v>
      </c>
      <c r="N26" s="161">
        <v>1260</v>
      </c>
      <c r="O26" s="161">
        <f>+N26-N26*0.0035</f>
        <v>1255.5899999999999</v>
      </c>
      <c r="P26" s="161">
        <v>480</v>
      </c>
      <c r="Q26" s="161">
        <f>+N26*P26</f>
        <v>604800</v>
      </c>
      <c r="R26" s="161">
        <f>+O26*P26</f>
        <v>602683.19999999995</v>
      </c>
    </row>
    <row r="27" spans="1:18" ht="13.5" thickBot="1">
      <c r="A27" s="1013"/>
      <c r="B27" s="227"/>
      <c r="C27" s="228"/>
      <c r="D27" s="229"/>
      <c r="E27" s="236"/>
      <c r="F27" s="242"/>
      <c r="G27" s="243"/>
      <c r="H27" s="574" t="s">
        <v>718</v>
      </c>
      <c r="I27" s="1011"/>
      <c r="J27" s="226">
        <f>+'19'!J27</f>
        <v>0</v>
      </c>
      <c r="K27" s="250"/>
      <c r="L27" s="250"/>
      <c r="M27" s="129">
        <f>+K27+'19'!M27+L27</f>
        <v>0</v>
      </c>
      <c r="N27" s="161">
        <v>1200</v>
      </c>
      <c r="O27" s="161">
        <f>+N27-N27*0.0035</f>
        <v>1195.8</v>
      </c>
      <c r="P27" s="161">
        <v>480</v>
      </c>
      <c r="Q27" s="161">
        <f>+N27*P27</f>
        <v>576000</v>
      </c>
      <c r="R27" s="161">
        <f>+O27*P27</f>
        <v>573984</v>
      </c>
    </row>
    <row r="28" spans="1:18" ht="26.25" thickBot="1">
      <c r="A28" s="1013"/>
      <c r="B28" s="227"/>
      <c r="C28" s="228"/>
      <c r="D28" s="229"/>
      <c r="E28" s="236"/>
      <c r="F28" s="242"/>
      <c r="G28" s="243"/>
      <c r="H28" s="244" t="s">
        <v>714</v>
      </c>
      <c r="I28" s="1011"/>
      <c r="J28" s="226">
        <f>+'19'!J28</f>
        <v>0</v>
      </c>
      <c r="K28" s="250"/>
      <c r="L28" s="250"/>
      <c r="M28" s="129">
        <f>+K28+'19'!M28+L28</f>
        <v>0</v>
      </c>
      <c r="P28" s="161">
        <f>+P26+P27</f>
        <v>960</v>
      </c>
      <c r="Q28" s="161">
        <f>+Q26+Q27</f>
        <v>1180800</v>
      </c>
      <c r="R28" s="161">
        <f>+R26+R27</f>
        <v>1176667.2</v>
      </c>
    </row>
    <row r="29" spans="1:18" ht="26.25" thickBot="1">
      <c r="A29" s="1013"/>
      <c r="B29" s="227"/>
      <c r="C29" s="228"/>
      <c r="D29" s="229"/>
      <c r="E29" s="236"/>
      <c r="F29" s="247"/>
      <c r="G29" s="243"/>
      <c r="H29" s="244" t="s">
        <v>713</v>
      </c>
      <c r="I29" s="1011"/>
      <c r="J29" s="226">
        <f>+'19'!J29</f>
        <v>0</v>
      </c>
      <c r="K29" s="250"/>
      <c r="L29" s="250"/>
      <c r="M29" s="129">
        <f>+K29+'19'!M29+L29</f>
        <v>0</v>
      </c>
      <c r="Q29" s="161">
        <f>+Q28/P28</f>
        <v>1230</v>
      </c>
      <c r="R29" s="161">
        <f>+R28/P28</f>
        <v>1225.6949999999999</v>
      </c>
    </row>
    <row r="30" spans="1:18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+'19'!J30</f>
        <v>0</v>
      </c>
      <c r="K30" s="250"/>
      <c r="L30" s="250"/>
      <c r="M30" s="129">
        <f>+K30+'19'!M30+L30</f>
        <v>0</v>
      </c>
      <c r="N30" s="167"/>
    </row>
    <row r="31" spans="1:18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+'19'!J31</f>
        <v>0</v>
      </c>
      <c r="K31" s="250"/>
      <c r="L31" s="250"/>
      <c r="M31" s="129">
        <f>+K31+'19'!M31+L31</f>
        <v>0</v>
      </c>
    </row>
    <row r="32" spans="1:18" ht="13.5" thickBot="1">
      <c r="A32" s="1014"/>
      <c r="B32" s="177" t="s">
        <v>2</v>
      </c>
      <c r="C32" s="111">
        <f>SUM(C25:C31)</f>
        <v>20931</v>
      </c>
      <c r="D32" s="112">
        <f>SUM(D25:D31)</f>
        <v>300</v>
      </c>
      <c r="E32" s="113">
        <f>SUM(E25:E31)</f>
        <v>0</v>
      </c>
      <c r="F32" s="114">
        <f>SUM(F24:F31)</f>
        <v>8</v>
      </c>
      <c r="G32" s="183"/>
      <c r="H32" s="184"/>
      <c r="I32" s="181"/>
      <c r="J32" s="226">
        <f>+'19'!J32</f>
        <v>0</v>
      </c>
      <c r="K32" s="252"/>
      <c r="L32" s="254"/>
      <c r="M32" s="129">
        <f>+K32+'19'!M32+L32</f>
        <v>0</v>
      </c>
    </row>
    <row r="33" spans="1:14" ht="13.5" thickBot="1">
      <c r="A33" s="185"/>
      <c r="B33" s="186"/>
      <c r="C33" s="115">
        <f>C32/($C$32+$D$32+$E$32)</f>
        <v>0.98586971880740426</v>
      </c>
      <c r="D33" s="116">
        <f>D32/($C$32+$D$32+$E$32)</f>
        <v>1.4130281192595733E-2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68041</v>
      </c>
      <c r="D34" s="119">
        <f>D14+D23+D32</f>
        <v>1012</v>
      </c>
      <c r="E34" s="119">
        <f>E14+E23+E32</f>
        <v>0</v>
      </c>
      <c r="F34" s="120">
        <f>F14+F23+F32</f>
        <v>99</v>
      </c>
      <c r="H34" s="190"/>
      <c r="I34" s="190"/>
      <c r="J34" s="135" t="s">
        <v>28</v>
      </c>
      <c r="K34" s="136">
        <f>SUM(K7:K32)</f>
        <v>68041</v>
      </c>
      <c r="L34" s="224">
        <f>SUM(L7:L32)</f>
        <v>0</v>
      </c>
      <c r="M34" s="132">
        <f>SUM(M7:M32)</f>
        <v>1174565</v>
      </c>
      <c r="N34" s="167"/>
    </row>
    <row r="35" spans="1:14" ht="13.5" thickBot="1">
      <c r="A35" s="191"/>
      <c r="B35" s="192"/>
      <c r="C35" s="116">
        <f>C34/($C$34+$D$34+$E$34)</f>
        <v>0.98534459038709399</v>
      </c>
      <c r="D35" s="116">
        <f>D34/($C$34+$D$34+$E$34)</f>
        <v>1.4655409612906029E-2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(17*480+16.5*960)/1440*G42*2.77*1440/1000000</f>
        <v>82.146676799999995</v>
      </c>
      <c r="J37" s="137">
        <f>+I37+'19'!J37</f>
        <v>1325.7239673408558</v>
      </c>
      <c r="K37" s="138" t="s">
        <v>64</v>
      </c>
      <c r="L37" s="161">
        <v>25.003</v>
      </c>
    </row>
    <row r="38" spans="1:14" ht="17.45" customHeight="1">
      <c r="A38" s="1005" t="s">
        <v>12</v>
      </c>
      <c r="B38" s="1006"/>
      <c r="C38" s="176">
        <f>SUMIF($G$7:$G$31,"Process",$F$7:$F$31)</f>
        <v>79</v>
      </c>
      <c r="D38" s="130">
        <f>+C38+'19'!D38</f>
        <v>925</v>
      </c>
      <c r="E38" s="155">
        <f t="shared" ref="E38:E51" si="0">D38/60</f>
        <v>15.416666666666666</v>
      </c>
      <c r="F38" s="340">
        <v>1260</v>
      </c>
      <c r="G38" s="340">
        <f>+F38-F38*0.0035</f>
        <v>1255.5899999999999</v>
      </c>
      <c r="H38" s="199" t="s">
        <v>65</v>
      </c>
      <c r="I38" s="549">
        <f>25.003+21.347+26.298</f>
        <v>72.647999999999996</v>
      </c>
      <c r="J38" s="139">
        <f>+I38+'19'!J38</f>
        <v>1225.7132220100002</v>
      </c>
      <c r="K38" s="140" t="s">
        <v>64</v>
      </c>
      <c r="L38" s="558">
        <f>+I38-L37</f>
        <v>47.644999999999996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+C39+'19'!D39</f>
        <v>0</v>
      </c>
      <c r="E39" s="155">
        <f t="shared" si="0"/>
        <v>0</v>
      </c>
      <c r="F39" s="340">
        <v>1260</v>
      </c>
      <c r="G39" s="340">
        <f>+F39-F39*0.0035</f>
        <v>1255.5899999999999</v>
      </c>
      <c r="H39" s="199" t="s">
        <v>66</v>
      </c>
      <c r="I39" s="154"/>
      <c r="J39" s="141">
        <f>J37/G4</f>
        <v>66.286198367042786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+C40+'19'!D40</f>
        <v>49</v>
      </c>
      <c r="E40" s="155">
        <f t="shared" si="0"/>
        <v>0.81666666666666665</v>
      </c>
      <c r="F40" s="340">
        <v>1200</v>
      </c>
      <c r="G40" s="340">
        <f>+F40-F40*0.0035</f>
        <v>1195.8</v>
      </c>
      <c r="H40" s="199" t="s">
        <v>68</v>
      </c>
      <c r="I40" s="130">
        <f>(K34+L34)/1000</f>
        <v>68.040999999999997</v>
      </c>
      <c r="J40" s="143">
        <f>+I40+'19'!J40</f>
        <v>1174.5649999999998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+C41+'19'!D41</f>
        <v>125</v>
      </c>
      <c r="E41" s="155">
        <f t="shared" si="0"/>
        <v>2.0833333333333335</v>
      </c>
      <c r="F41" s="340"/>
      <c r="G41" s="340"/>
      <c r="H41" s="199" t="s">
        <v>70</v>
      </c>
      <c r="I41" s="154"/>
      <c r="J41" s="141">
        <f>J40/G4</f>
        <v>58.728249999999989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+C42+'19'!D42</f>
        <v>0</v>
      </c>
      <c r="E42" s="155">
        <f t="shared" si="0"/>
        <v>0</v>
      </c>
      <c r="F42" s="340">
        <f>+(F38*480+F39*480+F40*480)/1440</f>
        <v>1240</v>
      </c>
      <c r="G42" s="340">
        <f>+(G38*480+G39*480+G40*480)/1440</f>
        <v>1235.6599999999999</v>
      </c>
      <c r="H42" s="199" t="s">
        <v>71</v>
      </c>
      <c r="I42" s="257" t="s">
        <v>719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+C43+'19'!D43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+Report1!T28</f>
        <v>163.53299999999999</v>
      </c>
      <c r="J43" s="145">
        <f>+I43+'19'!J43</f>
        <v>2621.6880000000001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+C44+'19'!D44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2.2510323752890651</v>
      </c>
      <c r="J44" s="146">
        <f>J43/J38</f>
        <v>2.1389081499021398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+C45+'19'!D45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2.4034479211063915</v>
      </c>
      <c r="J45" s="146">
        <f>J43/J40</f>
        <v>2.2320501632519276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+C46+'19'!D46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+SUMIF(Listrik!AR27,"&gt;0")</f>
        <v>51383.719999999084</v>
      </c>
      <c r="J46" s="147">
        <f>+I46+'19'!J46</f>
        <v>1073677.6999999974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+C47+'19'!D47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707.2971038431765</v>
      </c>
      <c r="J47" s="147">
        <f>J46/J38</f>
        <v>875.96158768632222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+C48+'19'!D48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755.18760747195199</v>
      </c>
      <c r="J48" s="147">
        <f>J46/J40</f>
        <v>914.10666927756029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20</v>
      </c>
      <c r="D49" s="130">
        <f>+C49+'19'!D49</f>
        <v>80</v>
      </c>
      <c r="E49" s="155">
        <f t="shared" si="0"/>
        <v>1.3333333333333333</v>
      </c>
      <c r="F49" s="197"/>
      <c r="H49" s="200" t="s">
        <v>83</v>
      </c>
      <c r="I49" s="130">
        <v>0</v>
      </c>
      <c r="J49" s="147">
        <f>+I49+'19'!J49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+C50+'19'!D50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+C51+'19'!D51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99</v>
      </c>
      <c r="D52" s="156">
        <f>SUM(D38:D51)</f>
        <v>2047</v>
      </c>
      <c r="E52" s="157">
        <f>SUM(E38:E51)</f>
        <v>34.116666666666667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6.8750000000000006E-2</v>
      </c>
      <c r="D53" s="158">
        <f>D52/(24*60*G4)</f>
        <v>7.1076388888888883E-2</v>
      </c>
      <c r="E53" s="159">
        <f>E52/(G4*24)</f>
        <v>7.1076388888888883E-2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+D34+'19'!J56</f>
        <v>32735</v>
      </c>
      <c r="K56" s="213">
        <f>J56/(J40+J56/1000)/1000</f>
        <v>2.7114221817278232E-2</v>
      </c>
    </row>
    <row r="57" spans="1:11">
      <c r="A57" s="188"/>
      <c r="I57" s="211" t="s">
        <v>90</v>
      </c>
      <c r="J57" s="212">
        <f>+E34+'19'!J57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3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4"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8.7109375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9.42578125" style="161" bestFit="1" customWidth="1"/>
    <col min="11" max="11" width="12.5703125" style="161" bestFit="1" customWidth="1"/>
    <col min="12" max="12" width="8.28515625" style="161" customWidth="1"/>
    <col min="13" max="13" width="14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19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228+224+196</f>
        <v>648</v>
      </c>
    </row>
    <row r="7" spans="1:18" ht="13.5" customHeight="1" thickBot="1">
      <c r="A7" s="1007" t="s">
        <v>502</v>
      </c>
      <c r="B7" s="227" t="s">
        <v>528</v>
      </c>
      <c r="C7" s="228">
        <f>1470+8740</f>
        <v>10210</v>
      </c>
      <c r="D7" s="229">
        <f>606+309</f>
        <v>915</v>
      </c>
      <c r="E7" s="230"/>
      <c r="F7" s="239">
        <v>30</v>
      </c>
      <c r="G7" s="240" t="s">
        <v>12</v>
      </c>
      <c r="H7" s="241" t="s">
        <v>449</v>
      </c>
      <c r="I7" s="1010" t="s">
        <v>701</v>
      </c>
      <c r="J7" s="226" t="str">
        <f>+'18'!J7</f>
        <v>F 13 VP OW</v>
      </c>
      <c r="K7" s="249">
        <f>+C8</f>
        <v>4996</v>
      </c>
      <c r="L7" s="253"/>
      <c r="M7" s="129">
        <f>+K7+'18'!M7+L7</f>
        <v>224237</v>
      </c>
    </row>
    <row r="8" spans="1:18" ht="13.5" thickBot="1">
      <c r="A8" s="1008"/>
      <c r="B8" s="227" t="s">
        <v>452</v>
      </c>
      <c r="C8" s="228">
        <f>4011+985</f>
        <v>4996</v>
      </c>
      <c r="D8" s="229">
        <f>462+114</f>
        <v>576</v>
      </c>
      <c r="E8" s="231"/>
      <c r="F8" s="242"/>
      <c r="G8" s="243" t="s">
        <v>12</v>
      </c>
      <c r="H8" s="241" t="s">
        <v>448</v>
      </c>
      <c r="I8" s="1011"/>
      <c r="J8" s="226" t="str">
        <f>+'18'!J8</f>
        <v>MG 15,5 VP OW</v>
      </c>
      <c r="K8" s="250"/>
      <c r="L8" s="250"/>
      <c r="M8" s="129">
        <f>+K8+'18'!M8+L8</f>
        <v>40782</v>
      </c>
      <c r="N8" s="161">
        <v>1300</v>
      </c>
      <c r="O8" s="161">
        <f>+N8-N8*0.0035</f>
        <v>1295.45</v>
      </c>
      <c r="P8" s="161">
        <v>40</v>
      </c>
      <c r="Q8" s="161">
        <f>+N8*P8</f>
        <v>52000</v>
      </c>
      <c r="R8" s="161">
        <f>+O8*P8</f>
        <v>51818</v>
      </c>
    </row>
    <row r="9" spans="1:18" ht="13.5" thickBot="1">
      <c r="A9" s="1008"/>
      <c r="B9" s="227"/>
      <c r="C9" s="228"/>
      <c r="D9" s="229"/>
      <c r="E9" s="232"/>
      <c r="F9" s="239">
        <v>11</v>
      </c>
      <c r="G9" s="243" t="s">
        <v>12</v>
      </c>
      <c r="H9" s="574" t="s">
        <v>447</v>
      </c>
      <c r="I9" s="1011"/>
      <c r="J9" s="226" t="s">
        <v>706</v>
      </c>
      <c r="K9" s="250">
        <f>+C17+C25</f>
        <v>12088</v>
      </c>
      <c r="L9" s="250"/>
      <c r="M9" s="129">
        <f>+K9+'18'!M9+L9</f>
        <v>77984</v>
      </c>
      <c r="N9" s="161">
        <v>1270</v>
      </c>
      <c r="O9" s="161">
        <f>+N9-N9*0.0035</f>
        <v>1265.5550000000001</v>
      </c>
      <c r="P9" s="161">
        <f>440+120</f>
        <v>560</v>
      </c>
      <c r="Q9" s="161">
        <f>+N9*P9</f>
        <v>711200</v>
      </c>
      <c r="R9" s="161">
        <f>+O9*P9</f>
        <v>708710.8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694</v>
      </c>
      <c r="I10" s="1011"/>
      <c r="J10" s="226" t="str">
        <f>+'18'!J10</f>
        <v>MG 17 VP HW</v>
      </c>
      <c r="K10" s="250">
        <f>+C26</f>
        <v>20898</v>
      </c>
      <c r="L10" s="250"/>
      <c r="M10" s="129">
        <f>+K10+'18'!M10+L10</f>
        <v>191711</v>
      </c>
      <c r="P10" s="161">
        <f>SUM(P8:P9)</f>
        <v>600</v>
      </c>
      <c r="Q10" s="161">
        <f>SUM(Q8:Q9)</f>
        <v>763200</v>
      </c>
      <c r="R10" s="161">
        <f>SUM(R8:R9)</f>
        <v>760528.8</v>
      </c>
    </row>
    <row r="11" spans="1:18" ht="26.25" thickBot="1">
      <c r="A11" s="1008"/>
      <c r="B11" s="227"/>
      <c r="C11" s="228"/>
      <c r="D11" s="229"/>
      <c r="E11" s="231"/>
      <c r="F11" s="239"/>
      <c r="G11" s="243"/>
      <c r="H11" s="244" t="s">
        <v>695</v>
      </c>
      <c r="I11" s="1011"/>
      <c r="J11" s="226" t="str">
        <f>+'18'!J11</f>
        <v>MG 14 VP OW</v>
      </c>
      <c r="K11" s="250">
        <f>+C7+C16</f>
        <v>21423</v>
      </c>
      <c r="L11" s="250"/>
      <c r="M11" s="129">
        <f>+K11+'18'!M11+L11</f>
        <v>151802</v>
      </c>
      <c r="Q11" s="161">
        <f>+Q10/P10</f>
        <v>1272</v>
      </c>
      <c r="R11" s="161">
        <f>+R10/P10</f>
        <v>1267.548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 t="s">
        <v>696</v>
      </c>
      <c r="I12" s="1011"/>
      <c r="J12" s="226" t="str">
        <f>+'18'!J12</f>
        <v>MG 19 VP HW</v>
      </c>
      <c r="K12" s="250"/>
      <c r="L12" s="250"/>
      <c r="M12" s="129">
        <f>+K12+'18'!M12+L12</f>
        <v>20052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+'18'!J13</f>
        <v>MG 17 VP OW</v>
      </c>
      <c r="K13" s="250"/>
      <c r="L13" s="250"/>
      <c r="M13" s="129">
        <f>+K13+'18'!M13+L13</f>
        <v>6479</v>
      </c>
    </row>
    <row r="14" spans="1:18" ht="13.5" thickBot="1">
      <c r="A14" s="1009"/>
      <c r="B14" s="177" t="s">
        <v>2</v>
      </c>
      <c r="C14" s="111">
        <f>SUM(C7:C13)</f>
        <v>15206</v>
      </c>
      <c r="D14" s="123">
        <f>SUM(D7:D13)</f>
        <v>1491</v>
      </c>
      <c r="E14" s="124">
        <f>SUM(E5:E13)</f>
        <v>0</v>
      </c>
      <c r="F14" s="128">
        <f>SUM(F7:F13)</f>
        <v>41</v>
      </c>
      <c r="G14" s="171"/>
      <c r="H14" s="178"/>
      <c r="I14" s="179"/>
      <c r="J14" s="226" t="str">
        <f>+'18'!J14</f>
        <v>MG 21,5 VP OW</v>
      </c>
      <c r="K14" s="250"/>
      <c r="L14" s="250"/>
      <c r="M14" s="129">
        <f>+K14+'18'!M14+L14</f>
        <v>65067</v>
      </c>
    </row>
    <row r="15" spans="1:18" ht="13.5" customHeight="1" thickBot="1">
      <c r="A15" s="1007" t="s">
        <v>461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702</v>
      </c>
      <c r="J15" s="226" t="str">
        <f>+'18'!J15</f>
        <v>F 10,5 VP OW</v>
      </c>
      <c r="K15" s="250"/>
      <c r="L15" s="250"/>
      <c r="M15" s="129">
        <f>+K15+'18'!M15+L15</f>
        <v>0</v>
      </c>
    </row>
    <row r="16" spans="1:18" ht="13.5" thickBot="1">
      <c r="A16" s="1013"/>
      <c r="B16" s="227" t="s">
        <v>528</v>
      </c>
      <c r="C16" s="233">
        <f>1478+9735</f>
        <v>11213</v>
      </c>
      <c r="D16" s="234">
        <f>720+284</f>
        <v>1004</v>
      </c>
      <c r="E16" s="235"/>
      <c r="F16" s="239"/>
      <c r="G16" s="243" t="s">
        <v>12</v>
      </c>
      <c r="H16" s="241" t="s">
        <v>448</v>
      </c>
      <c r="I16" s="1011"/>
      <c r="J16" s="226" t="str">
        <f>+'18'!J16</f>
        <v>F 10,3 VP OW</v>
      </c>
      <c r="K16" s="250"/>
      <c r="L16" s="240"/>
      <c r="M16" s="129">
        <f>+K16+'18'!M16+L16</f>
        <v>112662</v>
      </c>
      <c r="N16" s="161">
        <v>1270</v>
      </c>
      <c r="O16" s="161">
        <f>+N16-N16*0.0035</f>
        <v>1265.5550000000001</v>
      </c>
      <c r="Q16" s="161">
        <f>+N16*P16</f>
        <v>0</v>
      </c>
      <c r="R16" s="161">
        <f>+O16*P16</f>
        <v>0</v>
      </c>
    </row>
    <row r="17" spans="1:18" ht="13.5" thickBot="1">
      <c r="A17" s="1013"/>
      <c r="B17" s="227" t="s">
        <v>706</v>
      </c>
      <c r="C17" s="228">
        <f>5976+361+382</f>
        <v>6719</v>
      </c>
      <c r="D17" s="229">
        <f>620+212</f>
        <v>832</v>
      </c>
      <c r="E17" s="236"/>
      <c r="F17" s="239">
        <v>2</v>
      </c>
      <c r="G17" s="243" t="s">
        <v>12</v>
      </c>
      <c r="H17" s="574" t="s">
        <v>450</v>
      </c>
      <c r="I17" s="1011"/>
      <c r="J17" s="226" t="str">
        <f>+'18'!J17</f>
        <v>SN 13 VP OW</v>
      </c>
      <c r="K17" s="250"/>
      <c r="L17" s="240"/>
      <c r="M17" s="129">
        <f>+K17+'18'!M17+L17</f>
        <v>132429</v>
      </c>
      <c r="N17" s="161">
        <v>1270</v>
      </c>
      <c r="O17" s="161">
        <f>+N17-N17*0.0035</f>
        <v>1265.5550000000001</v>
      </c>
      <c r="P17" s="161">
        <v>240</v>
      </c>
      <c r="Q17" s="161">
        <f>+N17*P17</f>
        <v>304800</v>
      </c>
      <c r="R17" s="161">
        <f>+O17*P17</f>
        <v>303733.2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697</v>
      </c>
      <c r="I18" s="1011"/>
      <c r="J18" s="226" t="str">
        <f>+'18'!J18</f>
        <v>SN 14 VP OW</v>
      </c>
      <c r="K18" s="250"/>
      <c r="L18" s="250"/>
      <c r="M18" s="129">
        <f>+K18+'18'!M18+L18</f>
        <v>20814</v>
      </c>
      <c r="N18" s="161">
        <v>1260</v>
      </c>
      <c r="O18" s="161">
        <f>+N18-N18*0.0035</f>
        <v>1255.5899999999999</v>
      </c>
      <c r="P18" s="161">
        <v>120</v>
      </c>
      <c r="Q18" s="161">
        <f>+N18*P18</f>
        <v>151200</v>
      </c>
      <c r="R18" s="161">
        <f>+O18*P18</f>
        <v>150670.79999999999</v>
      </c>
    </row>
    <row r="19" spans="1:18" ht="13.5" thickBot="1">
      <c r="A19" s="1013"/>
      <c r="B19" s="227"/>
      <c r="C19" s="228"/>
      <c r="D19" s="229"/>
      <c r="E19" s="236"/>
      <c r="F19" s="246"/>
      <c r="G19" s="243"/>
      <c r="H19" s="244" t="s">
        <v>699</v>
      </c>
      <c r="I19" s="1011"/>
      <c r="J19" s="226" t="str">
        <f>+'18'!J19</f>
        <v>SN 15 VP OW</v>
      </c>
      <c r="K19" s="250"/>
      <c r="L19" s="250"/>
      <c r="M19" s="129">
        <f>+K19+'18'!M19+L19</f>
        <v>62505</v>
      </c>
      <c r="P19" s="161">
        <f>SUM(P16:P18)</f>
        <v>360</v>
      </c>
      <c r="Q19" s="161">
        <f>SUM(Q16:Q18)</f>
        <v>456000</v>
      </c>
      <c r="R19" s="161">
        <f>SUM(R16:R18)</f>
        <v>454404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 t="s">
        <v>698</v>
      </c>
      <c r="I20" s="1011"/>
      <c r="J20" s="226"/>
      <c r="K20" s="250"/>
      <c r="L20" s="251"/>
      <c r="M20" s="129">
        <f>+K20+'18'!M20+L20</f>
        <v>0</v>
      </c>
      <c r="Q20" s="161">
        <f>+Q19/P19</f>
        <v>1266.6666666666667</v>
      </c>
      <c r="R20" s="161">
        <f>+R19/P19</f>
        <v>1262.2333333333333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+'18'!J21</f>
        <v>0</v>
      </c>
      <c r="K21" s="250"/>
      <c r="L21" s="250"/>
      <c r="M21" s="129">
        <f>+K21+'18'!M21+L21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+'18'!J22</f>
        <v>0</v>
      </c>
      <c r="K22" s="250"/>
      <c r="L22" s="250"/>
      <c r="M22" s="129">
        <f>+K22+'18'!M22+L22</f>
        <v>0</v>
      </c>
    </row>
    <row r="23" spans="1:18" ht="13.5" thickBot="1">
      <c r="A23" s="1014"/>
      <c r="B23" s="180" t="s">
        <v>2</v>
      </c>
      <c r="C23" s="112">
        <f>SUM(C16:C22)</f>
        <v>17932</v>
      </c>
      <c r="D23" s="123">
        <f>SUM(D16:D22)</f>
        <v>1836</v>
      </c>
      <c r="E23" s="124">
        <f>SUM(E18:E22)</f>
        <v>0</v>
      </c>
      <c r="F23" s="128">
        <f>SUM(F15:F22)</f>
        <v>2</v>
      </c>
      <c r="G23" s="171"/>
      <c r="H23" s="178" t="s">
        <v>237</v>
      </c>
      <c r="I23" s="181"/>
      <c r="J23" s="226">
        <f>+'18'!J23</f>
        <v>0</v>
      </c>
      <c r="K23" s="250"/>
      <c r="L23" s="250"/>
      <c r="M23" s="129">
        <f>+K23+'18'!M23+L23</f>
        <v>0</v>
      </c>
    </row>
    <row r="24" spans="1:18" ht="13.5" customHeight="1" thickBot="1">
      <c r="A24" s="1007" t="s">
        <v>462</v>
      </c>
      <c r="B24" s="182"/>
      <c r="C24" s="125"/>
      <c r="D24" s="126"/>
      <c r="E24" s="127"/>
      <c r="F24" s="247">
        <v>10</v>
      </c>
      <c r="G24" s="240" t="s">
        <v>12</v>
      </c>
      <c r="H24" s="241" t="s">
        <v>477</v>
      </c>
      <c r="I24" s="1010" t="s">
        <v>703</v>
      </c>
      <c r="J24" s="226">
        <f>+'18'!J24</f>
        <v>0</v>
      </c>
      <c r="K24" s="250"/>
      <c r="L24" s="250"/>
      <c r="M24" s="129">
        <f>+K24+'18'!M24+L24</f>
        <v>0</v>
      </c>
    </row>
    <row r="25" spans="1:18" ht="13.5" thickBot="1">
      <c r="A25" s="1013"/>
      <c r="B25" s="227" t="s">
        <v>706</v>
      </c>
      <c r="C25" s="237">
        <f>4724+289+356</f>
        <v>5369</v>
      </c>
      <c r="D25" s="229">
        <f>206+152</f>
        <v>358</v>
      </c>
      <c r="E25" s="236"/>
      <c r="F25" s="242"/>
      <c r="G25" s="243" t="s">
        <v>12</v>
      </c>
      <c r="H25" s="241" t="s">
        <v>448</v>
      </c>
      <c r="I25" s="1011"/>
      <c r="J25" s="226">
        <f>+'18'!J25</f>
        <v>0</v>
      </c>
      <c r="K25" s="250"/>
      <c r="L25" s="250"/>
      <c r="M25" s="129">
        <f>+K25+'18'!M25+L25</f>
        <v>0</v>
      </c>
    </row>
    <row r="26" spans="1:18" ht="13.5" thickBot="1">
      <c r="A26" s="1013"/>
      <c r="B26" s="227" t="s">
        <v>507</v>
      </c>
      <c r="C26" s="237">
        <v>20898</v>
      </c>
      <c r="D26" s="229">
        <v>448</v>
      </c>
      <c r="E26" s="238"/>
      <c r="F26" s="242">
        <v>8</v>
      </c>
      <c r="G26" s="243" t="s">
        <v>12</v>
      </c>
      <c r="H26" s="574" t="s">
        <v>447</v>
      </c>
      <c r="I26" s="1011"/>
      <c r="J26" s="226">
        <f>+'18'!J26</f>
        <v>0</v>
      </c>
      <c r="K26" s="250"/>
      <c r="L26" s="250"/>
      <c r="M26" s="129">
        <f>+K26+'18'!M26+L26</f>
        <v>0</v>
      </c>
      <c r="N26" s="161">
        <v>1260</v>
      </c>
      <c r="O26" s="161">
        <f>+N26-N26*0.0035</f>
        <v>1255.5899999999999</v>
      </c>
      <c r="P26" s="161">
        <v>480</v>
      </c>
    </row>
    <row r="27" spans="1:18" ht="13.5" thickBot="1">
      <c r="A27" s="1013"/>
      <c r="B27" s="227"/>
      <c r="C27" s="228"/>
      <c r="D27" s="229"/>
      <c r="E27" s="236"/>
      <c r="F27" s="242"/>
      <c r="G27" s="243"/>
      <c r="H27" s="574" t="s">
        <v>700</v>
      </c>
      <c r="I27" s="1011"/>
      <c r="J27" s="226">
        <f>+'18'!J27</f>
        <v>0</v>
      </c>
      <c r="K27" s="250"/>
      <c r="L27" s="250"/>
      <c r="M27" s="129">
        <f>+K27+'18'!M27+L27</f>
        <v>0</v>
      </c>
    </row>
    <row r="28" spans="1:18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+'18'!J28</f>
        <v>0</v>
      </c>
      <c r="K28" s="250"/>
      <c r="L28" s="250"/>
      <c r="M28" s="129">
        <f>+K28+'18'!M28+L28</f>
        <v>0</v>
      </c>
    </row>
    <row r="29" spans="1:18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+'18'!J29</f>
        <v>0</v>
      </c>
      <c r="K29" s="250"/>
      <c r="L29" s="250"/>
      <c r="M29" s="129">
        <f>+K29+'18'!M29+L29</f>
        <v>0</v>
      </c>
    </row>
    <row r="30" spans="1:18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+'18'!J30</f>
        <v>0</v>
      </c>
      <c r="K30" s="250"/>
      <c r="L30" s="250"/>
      <c r="M30" s="129">
        <f>+K30+'18'!M30+L30</f>
        <v>0</v>
      </c>
    </row>
    <row r="31" spans="1:18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+'18'!J31</f>
        <v>0</v>
      </c>
      <c r="K31" s="250"/>
      <c r="L31" s="250"/>
      <c r="M31" s="129">
        <f>+K31+'18'!M31+L31</f>
        <v>0</v>
      </c>
      <c r="N31" s="167"/>
    </row>
    <row r="32" spans="1:18" ht="13.5" thickBot="1">
      <c r="A32" s="1014"/>
      <c r="B32" s="177" t="s">
        <v>2</v>
      </c>
      <c r="C32" s="111">
        <f>SUM(C25:C31)</f>
        <v>26267</v>
      </c>
      <c r="D32" s="112">
        <f>SUM(D25:D31)</f>
        <v>806</v>
      </c>
      <c r="E32" s="113">
        <f>SUM(E25:E31)</f>
        <v>0</v>
      </c>
      <c r="F32" s="114">
        <f>SUM(F24:F31)</f>
        <v>18</v>
      </c>
      <c r="G32" s="183"/>
      <c r="H32" s="184"/>
      <c r="I32" s="181"/>
      <c r="J32" s="226">
        <f>+'18'!J32</f>
        <v>0</v>
      </c>
      <c r="K32" s="252"/>
      <c r="L32" s="254"/>
      <c r="M32" s="129">
        <f>+K32+'18'!M32+L32</f>
        <v>0</v>
      </c>
    </row>
    <row r="33" spans="1:14" ht="13.5" thickBot="1">
      <c r="A33" s="185"/>
      <c r="B33" s="186"/>
      <c r="C33" s="115">
        <f>C32/($C$32+$D$32+$E$32)</f>
        <v>0.97022864108152029</v>
      </c>
      <c r="D33" s="116">
        <f>D32/($C$32+$D$32+$E$32)</f>
        <v>2.9771358918479665E-2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59405</v>
      </c>
      <c r="D34" s="119">
        <f>D14+D23+D32</f>
        <v>4133</v>
      </c>
      <c r="E34" s="119">
        <f>E14+E23+E32</f>
        <v>0</v>
      </c>
      <c r="F34" s="120">
        <f>F14+F23+F32</f>
        <v>61</v>
      </c>
      <c r="H34" s="190"/>
      <c r="I34" s="190"/>
      <c r="J34" s="135" t="s">
        <v>28</v>
      </c>
      <c r="K34" s="136">
        <f>SUM(K7:K32)</f>
        <v>59405</v>
      </c>
      <c r="L34" s="224">
        <f>SUM(L7:L32)</f>
        <v>0</v>
      </c>
      <c r="M34" s="132">
        <f>SUM(M7:M32)</f>
        <v>1106524</v>
      </c>
    </row>
    <row r="35" spans="1:14" ht="13.5" thickBot="1">
      <c r="A35" s="191"/>
      <c r="B35" s="192"/>
      <c r="C35" s="116">
        <f>C34/($C$34+$D$34+$E$34)</f>
        <v>0.93495231200226636</v>
      </c>
      <c r="D35" s="116">
        <f>D34/($C$34+$D$34+$E$34)</f>
        <v>6.5047687997733639E-2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(14*600+16.5*360+17*480)/1440*G42*2.77*1440/1000000</f>
        <v>78.66869250000002</v>
      </c>
      <c r="J37" s="137">
        <f>+I37+'18'!J37</f>
        <v>1243.5772905408558</v>
      </c>
      <c r="K37" s="138" t="s">
        <v>64</v>
      </c>
      <c r="L37" s="558">
        <f>19.564+3.364+3.365</f>
        <v>26.292999999999999</v>
      </c>
    </row>
    <row r="38" spans="1:14" ht="17.45" customHeight="1">
      <c r="A38" s="1005" t="s">
        <v>12</v>
      </c>
      <c r="B38" s="1006"/>
      <c r="C38" s="176">
        <f>SUMIF($G$7:$G$31,"Process",$F$7:$F$31)</f>
        <v>61</v>
      </c>
      <c r="D38" s="130">
        <f>+C38+'18'!D38</f>
        <v>846</v>
      </c>
      <c r="E38" s="155">
        <f t="shared" ref="E38:E51" si="0">D38/60</f>
        <v>14.1</v>
      </c>
      <c r="F38" s="340">
        <v>1272.5</v>
      </c>
      <c r="G38" s="340">
        <v>1268.0462500000001</v>
      </c>
      <c r="H38" s="199" t="s">
        <v>65</v>
      </c>
      <c r="I38" s="256">
        <f>19.564+23.686+26.65</f>
        <v>69.900000000000006</v>
      </c>
      <c r="J38" s="139">
        <f>+I38+'18'!J38</f>
        <v>1153.0652220100003</v>
      </c>
      <c r="K38" s="140" t="s">
        <v>64</v>
      </c>
      <c r="L38" s="167">
        <f>+I38-L37-L39</f>
        <v>16.957000000000008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+C39+'18'!D39</f>
        <v>0</v>
      </c>
      <c r="E39" s="155">
        <f t="shared" si="0"/>
        <v>0</v>
      </c>
      <c r="F39" s="340">
        <v>1267.5</v>
      </c>
      <c r="G39" s="340">
        <v>1263.0637500000003</v>
      </c>
      <c r="H39" s="199" t="s">
        <v>66</v>
      </c>
      <c r="I39" s="154"/>
      <c r="J39" s="141">
        <f>J37/G4</f>
        <v>65.451436344255569</v>
      </c>
      <c r="K39" s="142" t="s">
        <v>64</v>
      </c>
      <c r="L39" s="161">
        <v>26.65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+C40+'18'!D40</f>
        <v>49</v>
      </c>
      <c r="E40" s="155">
        <f t="shared" si="0"/>
        <v>0.81666666666666665</v>
      </c>
      <c r="F40" s="340">
        <v>1260</v>
      </c>
      <c r="G40" s="340">
        <v>1255.5899999999999</v>
      </c>
      <c r="H40" s="199" t="s">
        <v>68</v>
      </c>
      <c r="I40" s="130">
        <f>(K34+L34)/1000</f>
        <v>59.405000000000001</v>
      </c>
      <c r="J40" s="143">
        <f>+I40+'18'!J40</f>
        <v>1106.5239999999999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+C41+'18'!D41</f>
        <v>125</v>
      </c>
      <c r="E41" s="155">
        <f t="shared" si="0"/>
        <v>2.0833333333333335</v>
      </c>
      <c r="F41" s="340"/>
      <c r="G41" s="340"/>
      <c r="H41" s="199" t="s">
        <v>70</v>
      </c>
      <c r="I41" s="154"/>
      <c r="J41" s="141">
        <f>J40/G4</f>
        <v>58.238105263157891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+C42+'18'!D42</f>
        <v>0</v>
      </c>
      <c r="E42" s="155">
        <f t="shared" si="0"/>
        <v>0</v>
      </c>
      <c r="F42" s="340">
        <f>+(F38*480+F39*480+F40*480)/1440</f>
        <v>1266.6666666666667</v>
      </c>
      <c r="G42" s="340">
        <f>+(G38*480+G39*480+G40*480)/1440</f>
        <v>1262.2333333333336</v>
      </c>
      <c r="H42" s="199" t="s">
        <v>71</v>
      </c>
      <c r="I42" s="257" t="s">
        <v>704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+C43+'18'!D43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+Report1!T27</f>
        <v>156.50800000000001</v>
      </c>
      <c r="J43" s="145">
        <f>+I43+'18'!J43</f>
        <v>2458.1550000000002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+C44+'18'!D44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2.239027181688126</v>
      </c>
      <c r="J44" s="146">
        <f>J43/J38</f>
        <v>2.1318438480999311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+C45+'18'!D45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2.6345930477232558</v>
      </c>
      <c r="J45" s="146">
        <f>J43/J40</f>
        <v>2.2215107851253117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+C46+'18'!D46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+SUMIF(Listrik!AR26,"&gt;0")</f>
        <v>56285.459999999293</v>
      </c>
      <c r="J46" s="147">
        <f>+I46+'18'!J46</f>
        <v>1022293.9799999984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+C47+'18'!D47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805.22832618024734</v>
      </c>
      <c r="J47" s="147">
        <f>J46/J38</f>
        <v>886.58816560086325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+C48+'18'!D48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947.48691187609279</v>
      </c>
      <c r="J48" s="147">
        <f>J46/J40</f>
        <v>923.87872291970029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+C49+'18'!D49</f>
        <v>60</v>
      </c>
      <c r="E49" s="155">
        <f t="shared" si="0"/>
        <v>1</v>
      </c>
      <c r="F49" s="197"/>
      <c r="H49" s="200" t="s">
        <v>83</v>
      </c>
      <c r="I49" s="130">
        <v>0</v>
      </c>
      <c r="J49" s="147">
        <f>+I49+'18'!J49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+C50+'18'!D50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+C51+'18'!D51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61</v>
      </c>
      <c r="D52" s="156">
        <f>SUM(D38:D51)</f>
        <v>1948</v>
      </c>
      <c r="E52" s="157">
        <f>SUM(E38:E51)</f>
        <v>32.466666666666669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4.2361111111111113E-2</v>
      </c>
      <c r="D53" s="158">
        <f>D52/(24*60*G4)</f>
        <v>7.119883040935672E-2</v>
      </c>
      <c r="E53" s="159">
        <f>E52/(G4*24)</f>
        <v>7.1198830409356734E-2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+D34+'18'!J56</f>
        <v>31723</v>
      </c>
      <c r="K56" s="213">
        <f>J56/(J40+J56/1000)/1000</f>
        <v>2.7870049295100275E-2</v>
      </c>
    </row>
    <row r="57" spans="1:11">
      <c r="A57" s="188"/>
      <c r="I57" s="211" t="s">
        <v>90</v>
      </c>
      <c r="J57" s="212">
        <f>+E34+'18'!J57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3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7"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2.28515625" style="161" customWidth="1"/>
    <col min="8" max="8" width="64.85546875" style="161" customWidth="1"/>
    <col min="9" max="9" width="14.7109375" style="161" bestFit="1" customWidth="1"/>
    <col min="10" max="10" width="19.42578125" style="161" bestFit="1" customWidth="1"/>
    <col min="11" max="11" width="12.5703125" style="161" bestFit="1" customWidth="1"/>
    <col min="12" max="12" width="8.28515625" style="161" customWidth="1"/>
    <col min="13" max="13" width="15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18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160+172+162</f>
        <v>494</v>
      </c>
    </row>
    <row r="7" spans="1:18" ht="13.5" customHeight="1" thickBot="1">
      <c r="A7" s="1007" t="s">
        <v>463</v>
      </c>
      <c r="B7" s="227" t="s">
        <v>452</v>
      </c>
      <c r="C7" s="228">
        <v>19317</v>
      </c>
      <c r="D7" s="229">
        <v>70</v>
      </c>
      <c r="E7" s="230"/>
      <c r="F7" s="239"/>
      <c r="G7" s="240" t="s">
        <v>12</v>
      </c>
      <c r="H7" s="241" t="s">
        <v>492</v>
      </c>
      <c r="I7" s="1010" t="s">
        <v>689</v>
      </c>
      <c r="J7" s="226" t="str">
        <f>+'17'!J7</f>
        <v>F 13 VP OW</v>
      </c>
      <c r="K7" s="249">
        <f>+C34</f>
        <v>59009</v>
      </c>
      <c r="L7" s="253"/>
      <c r="M7" s="129">
        <f>+K7+'17'!M7+L7</f>
        <v>219241</v>
      </c>
    </row>
    <row r="8" spans="1:18" ht="13.5" thickBot="1">
      <c r="A8" s="1008"/>
      <c r="B8" s="227"/>
      <c r="C8" s="228"/>
      <c r="D8" s="229"/>
      <c r="E8" s="231"/>
      <c r="F8" s="242">
        <v>5</v>
      </c>
      <c r="G8" s="243" t="s">
        <v>12</v>
      </c>
      <c r="H8" s="241" t="s">
        <v>563</v>
      </c>
      <c r="I8" s="1011"/>
      <c r="J8" s="226" t="str">
        <f>+'17'!J8</f>
        <v>MG 15,5 VP OW</v>
      </c>
      <c r="K8" s="250"/>
      <c r="L8" s="250"/>
      <c r="M8" s="129">
        <f>+K8+'17'!M8+L8</f>
        <v>40782</v>
      </c>
      <c r="N8" s="161">
        <v>1610</v>
      </c>
      <c r="O8" s="161">
        <f>+N8-N8*0.24</f>
        <v>1223.5999999999999</v>
      </c>
      <c r="P8" s="161">
        <v>480</v>
      </c>
      <c r="Q8" s="161">
        <f>+N8*P8</f>
        <v>772800</v>
      </c>
      <c r="R8" s="161">
        <f>+O8*P8</f>
        <v>587328</v>
      </c>
    </row>
    <row r="9" spans="1:18" ht="13.5" thickBot="1">
      <c r="A9" s="1008"/>
      <c r="B9" s="227"/>
      <c r="C9" s="228"/>
      <c r="D9" s="229"/>
      <c r="E9" s="232"/>
      <c r="F9" s="239">
        <v>10</v>
      </c>
      <c r="G9" s="243" t="s">
        <v>12</v>
      </c>
      <c r="H9" s="574" t="s">
        <v>447</v>
      </c>
      <c r="I9" s="1011"/>
      <c r="J9" s="226" t="str">
        <f>+'17'!J9</f>
        <v>MG 16,5 VP HW</v>
      </c>
      <c r="K9" s="250"/>
      <c r="L9" s="250"/>
      <c r="M9" s="129">
        <f>+K9+'17'!M9+L9</f>
        <v>65896</v>
      </c>
      <c r="N9" s="161">
        <v>1625</v>
      </c>
      <c r="O9" s="161">
        <f>+N9-N9*0.24</f>
        <v>1235</v>
      </c>
      <c r="P9" s="161">
        <v>480</v>
      </c>
      <c r="Q9" s="161">
        <f>+N9*P9</f>
        <v>780000</v>
      </c>
      <c r="R9" s="161">
        <f>+O9*P9</f>
        <v>592800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684</v>
      </c>
      <c r="I10" s="1011"/>
      <c r="J10" s="226" t="str">
        <f>+'17'!J10</f>
        <v>MG 17 VP HW</v>
      </c>
      <c r="K10" s="250"/>
      <c r="L10" s="250"/>
      <c r="M10" s="129">
        <f>+K10+'17'!M10+L10</f>
        <v>170813</v>
      </c>
      <c r="N10" s="161">
        <v>1620</v>
      </c>
      <c r="O10" s="161">
        <f>+N10-N10*0.24</f>
        <v>1231.2</v>
      </c>
      <c r="P10" s="161">
        <v>445</v>
      </c>
      <c r="Q10" s="161">
        <f>+N10*P10</f>
        <v>720900</v>
      </c>
      <c r="R10" s="161">
        <f>+O10*P10</f>
        <v>547884</v>
      </c>
    </row>
    <row r="11" spans="1:18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tr">
        <f>+'17'!J11</f>
        <v>MG 14 VP OW</v>
      </c>
      <c r="K11" s="250"/>
      <c r="L11" s="250"/>
      <c r="M11" s="129">
        <f>+K11+'17'!M11+L11</f>
        <v>130379</v>
      </c>
      <c r="P11" s="161">
        <f>SUM(P8:P10)</f>
        <v>1405</v>
      </c>
      <c r="Q11" s="161">
        <f>SUM(Q8:Q10)</f>
        <v>2273700</v>
      </c>
      <c r="R11" s="161">
        <f>SUM(R8:R10)</f>
        <v>1728012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+'17'!J12</f>
        <v>MG 19 VP HW</v>
      </c>
      <c r="K12" s="250"/>
      <c r="L12" s="250"/>
      <c r="M12" s="129">
        <f>+K12+'17'!M12+L12</f>
        <v>20052</v>
      </c>
      <c r="Q12" s="161">
        <f>+Q11/P11</f>
        <v>1618.2918149466193</v>
      </c>
      <c r="R12" s="161">
        <f>+R11/P11</f>
        <v>1229.9017793594305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+'17'!J13</f>
        <v>MG 17 VP OW</v>
      </c>
      <c r="K13" s="250"/>
      <c r="L13" s="250"/>
      <c r="M13" s="129">
        <f>+K13+'17'!M13+L13</f>
        <v>6479</v>
      </c>
    </row>
    <row r="14" spans="1:18" ht="13.5" thickBot="1">
      <c r="A14" s="1009"/>
      <c r="B14" s="177" t="s">
        <v>2</v>
      </c>
      <c r="C14" s="111">
        <f>SUM(C7:C13)</f>
        <v>19317</v>
      </c>
      <c r="D14" s="123">
        <f>SUM(D7:D13)</f>
        <v>70</v>
      </c>
      <c r="E14" s="124">
        <f>SUM(E5:E13)</f>
        <v>0</v>
      </c>
      <c r="F14" s="128">
        <f>SUM(F7:F13)</f>
        <v>15</v>
      </c>
      <c r="G14" s="171"/>
      <c r="H14" s="178"/>
      <c r="I14" s="179"/>
      <c r="J14" s="226" t="str">
        <f>+'17'!J14</f>
        <v>MG 21,5 VP OW</v>
      </c>
      <c r="K14" s="250"/>
      <c r="L14" s="250"/>
      <c r="M14" s="129">
        <f>+K14+'17'!M14+L14</f>
        <v>65067</v>
      </c>
    </row>
    <row r="15" spans="1:18" ht="13.5" customHeight="1" thickBot="1">
      <c r="A15" s="1007" t="s">
        <v>461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688</v>
      </c>
      <c r="J15" s="226" t="str">
        <f>+'17'!J15</f>
        <v>F 10,5 VP OW</v>
      </c>
      <c r="K15" s="250"/>
      <c r="L15" s="250"/>
      <c r="M15" s="129">
        <f>+K15+'17'!M15+L15</f>
        <v>0</v>
      </c>
    </row>
    <row r="16" spans="1:18" ht="13.5" thickBot="1">
      <c r="A16" s="1013"/>
      <c r="B16" s="227" t="s">
        <v>452</v>
      </c>
      <c r="C16" s="233">
        <v>19843</v>
      </c>
      <c r="D16" s="234">
        <v>255</v>
      </c>
      <c r="E16" s="235"/>
      <c r="F16" s="239">
        <v>3</v>
      </c>
      <c r="G16" s="243" t="s">
        <v>12</v>
      </c>
      <c r="H16" s="241" t="s">
        <v>563</v>
      </c>
      <c r="I16" s="1011"/>
      <c r="J16" s="226" t="str">
        <f>+'17'!J16</f>
        <v>F 10,3 VP OW</v>
      </c>
      <c r="K16" s="240"/>
      <c r="L16" s="240"/>
      <c r="M16" s="129">
        <f>+K16+'17'!M16+L16</f>
        <v>112662</v>
      </c>
    </row>
    <row r="17" spans="1:18" ht="13.5" thickBot="1">
      <c r="A17" s="1013"/>
      <c r="B17" s="227"/>
      <c r="C17" s="228"/>
      <c r="D17" s="229"/>
      <c r="E17" s="236"/>
      <c r="F17" s="239">
        <v>8</v>
      </c>
      <c r="G17" s="243" t="s">
        <v>12</v>
      </c>
      <c r="H17" s="574" t="s">
        <v>476</v>
      </c>
      <c r="I17" s="1011"/>
      <c r="J17" s="226" t="str">
        <f>+'17'!J17</f>
        <v>SN 13 VP OW</v>
      </c>
      <c r="K17" s="240"/>
      <c r="L17" s="240"/>
      <c r="M17" s="129">
        <f>+K17+'17'!M17+L17</f>
        <v>132429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685</v>
      </c>
      <c r="I18" s="1011"/>
      <c r="J18" s="226" t="str">
        <f>+'17'!J18</f>
        <v>SN 14 VP OW</v>
      </c>
      <c r="K18" s="250"/>
      <c r="L18" s="250"/>
      <c r="M18" s="129">
        <f>+K18+'17'!M18+L18</f>
        <v>20814</v>
      </c>
    </row>
    <row r="19" spans="1:18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 t="str">
        <f>+'17'!J19</f>
        <v>SN 15 VP OW</v>
      </c>
      <c r="K19" s="250"/>
      <c r="L19" s="250"/>
      <c r="M19" s="129">
        <f>+K19+'17'!M19+L19</f>
        <v>62505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+'17'!J20</f>
        <v>0</v>
      </c>
      <c r="K20" s="251"/>
      <c r="L20" s="251"/>
      <c r="M20" s="129">
        <f>+K20+'17'!M20+L20</f>
        <v>0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+'17'!J21</f>
        <v>0</v>
      </c>
      <c r="K21" s="250"/>
      <c r="L21" s="250"/>
      <c r="M21" s="129">
        <f>+K21+'17'!M21+L21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+'17'!J22</f>
        <v>0</v>
      </c>
      <c r="K22" s="250"/>
      <c r="L22" s="250"/>
      <c r="M22" s="129">
        <f>+K22+'17'!M22+L22</f>
        <v>0</v>
      </c>
    </row>
    <row r="23" spans="1:18" ht="13.5" thickBot="1">
      <c r="A23" s="1014"/>
      <c r="B23" s="180" t="s">
        <v>2</v>
      </c>
      <c r="C23" s="112">
        <f>SUM(C16:C22)</f>
        <v>19843</v>
      </c>
      <c r="D23" s="123">
        <f>SUM(D16:D22)</f>
        <v>255</v>
      </c>
      <c r="E23" s="124">
        <f>SUM(E18:E22)</f>
        <v>0</v>
      </c>
      <c r="F23" s="128">
        <f>SUM(F15:F22)</f>
        <v>11</v>
      </c>
      <c r="G23" s="171"/>
      <c r="H23" s="178" t="s">
        <v>237</v>
      </c>
      <c r="I23" s="181"/>
      <c r="J23" s="226">
        <f>+'17'!J23</f>
        <v>0</v>
      </c>
      <c r="K23" s="250"/>
      <c r="L23" s="250"/>
      <c r="M23" s="129">
        <f>+K23+'17'!M23+L23</f>
        <v>0</v>
      </c>
    </row>
    <row r="24" spans="1:18" ht="13.5" customHeight="1" thickBot="1">
      <c r="A24" s="1007" t="s">
        <v>462</v>
      </c>
      <c r="B24" s="182"/>
      <c r="C24" s="125"/>
      <c r="D24" s="126"/>
      <c r="E24" s="127"/>
      <c r="F24" s="239"/>
      <c r="G24" s="240" t="s">
        <v>12</v>
      </c>
      <c r="H24" s="241" t="s">
        <v>492</v>
      </c>
      <c r="I24" s="1010" t="s">
        <v>687</v>
      </c>
      <c r="J24" s="226">
        <f>+'17'!J24</f>
        <v>0</v>
      </c>
      <c r="K24" s="250"/>
      <c r="L24" s="250"/>
      <c r="M24" s="129">
        <f>+K24+'17'!M24+L24</f>
        <v>0</v>
      </c>
    </row>
    <row r="25" spans="1:18" ht="13.5" thickBot="1">
      <c r="A25" s="1013"/>
      <c r="B25" s="227" t="s">
        <v>452</v>
      </c>
      <c r="C25" s="237">
        <v>19849</v>
      </c>
      <c r="D25" s="229"/>
      <c r="E25" s="236"/>
      <c r="F25" s="239">
        <v>2</v>
      </c>
      <c r="G25" s="243" t="s">
        <v>12</v>
      </c>
      <c r="H25" s="241" t="s">
        <v>445</v>
      </c>
      <c r="I25" s="1011"/>
      <c r="J25" s="226">
        <f>+'17'!J25</f>
        <v>0</v>
      </c>
      <c r="K25" s="250"/>
      <c r="L25" s="250"/>
      <c r="M25" s="129">
        <f>+K25+'17'!M25+L25</f>
        <v>0</v>
      </c>
    </row>
    <row r="26" spans="1:18" ht="13.5" thickBot="1">
      <c r="A26" s="1013"/>
      <c r="B26" s="227" t="s">
        <v>528</v>
      </c>
      <c r="C26" s="237"/>
      <c r="D26" s="229"/>
      <c r="E26" s="238"/>
      <c r="F26" s="239">
        <v>8</v>
      </c>
      <c r="G26" s="243" t="s">
        <v>12</v>
      </c>
      <c r="H26" s="574" t="s">
        <v>447</v>
      </c>
      <c r="I26" s="1011"/>
      <c r="J26" s="226">
        <f>+'17'!J26</f>
        <v>0</v>
      </c>
      <c r="K26" s="250"/>
      <c r="L26" s="250"/>
      <c r="M26" s="129">
        <f>+K26+'17'!M26+L26</f>
        <v>0</v>
      </c>
      <c r="N26" s="161">
        <v>1620</v>
      </c>
      <c r="O26" s="161">
        <f>+N26-N26*0.24</f>
        <v>1231.2</v>
      </c>
      <c r="P26" s="161">
        <f>480-P27</f>
        <v>445</v>
      </c>
      <c r="Q26" s="161">
        <f>+N26*P26</f>
        <v>720900</v>
      </c>
      <c r="R26" s="161">
        <f>+O26*P26</f>
        <v>547884</v>
      </c>
    </row>
    <row r="27" spans="1:18" ht="13.5" thickBot="1">
      <c r="A27" s="1013"/>
      <c r="B27" s="227"/>
      <c r="C27" s="228"/>
      <c r="D27" s="229"/>
      <c r="E27" s="236"/>
      <c r="F27" s="239"/>
      <c r="G27" s="243"/>
      <c r="H27" s="574" t="s">
        <v>681</v>
      </c>
      <c r="I27" s="1011"/>
      <c r="J27" s="226">
        <f>+'17'!J27</f>
        <v>0</v>
      </c>
      <c r="K27" s="250"/>
      <c r="L27" s="250"/>
      <c r="M27" s="129">
        <f>+K27+'17'!M27+L27</f>
        <v>0</v>
      </c>
      <c r="N27" s="161">
        <v>1300</v>
      </c>
      <c r="O27" s="161">
        <f>+N27-N27*0.0035</f>
        <v>1295.45</v>
      </c>
      <c r="P27" s="161">
        <v>35</v>
      </c>
      <c r="Q27" s="161">
        <f>+N27*P27</f>
        <v>45500</v>
      </c>
      <c r="R27" s="161">
        <f>+O27*P27</f>
        <v>45340.75</v>
      </c>
    </row>
    <row r="28" spans="1:18" ht="13.5" thickBot="1">
      <c r="A28" s="1013"/>
      <c r="B28" s="227"/>
      <c r="C28" s="228"/>
      <c r="D28" s="229"/>
      <c r="E28" s="236"/>
      <c r="F28" s="246"/>
      <c r="G28" s="243"/>
      <c r="H28" s="244" t="s">
        <v>686</v>
      </c>
      <c r="I28" s="1011"/>
      <c r="J28" s="226">
        <f>+'17'!J28</f>
        <v>0</v>
      </c>
      <c r="K28" s="250"/>
      <c r="L28" s="250"/>
      <c r="M28" s="129">
        <f>+K28+'17'!M28+L28</f>
        <v>0</v>
      </c>
      <c r="P28" s="161">
        <f>+P26+P27</f>
        <v>480</v>
      </c>
      <c r="Q28" s="161">
        <f>+Q26+Q27</f>
        <v>766400</v>
      </c>
      <c r="R28" s="161">
        <f>+R26+R27</f>
        <v>593224.75</v>
      </c>
    </row>
    <row r="29" spans="1:18" ht="13.5" thickBot="1">
      <c r="A29" s="1013"/>
      <c r="B29" s="227"/>
      <c r="C29" s="228"/>
      <c r="D29" s="229"/>
      <c r="E29" s="236"/>
      <c r="F29" s="239"/>
      <c r="G29" s="243"/>
      <c r="H29" s="244"/>
      <c r="I29" s="1011"/>
      <c r="J29" s="226">
        <f>+'17'!J29</f>
        <v>0</v>
      </c>
      <c r="K29" s="250"/>
      <c r="L29" s="250"/>
      <c r="M29" s="129">
        <f>+K29+'17'!M29+L29</f>
        <v>0</v>
      </c>
      <c r="Q29" s="161">
        <f>+Q28/P28</f>
        <v>1596.6666666666667</v>
      </c>
      <c r="R29" s="161">
        <f>+R28/P28</f>
        <v>1235.8848958333333</v>
      </c>
    </row>
    <row r="30" spans="1:18" ht="13.5" thickBot="1">
      <c r="A30" s="1013"/>
      <c r="B30" s="227"/>
      <c r="C30" s="237"/>
      <c r="D30" s="229"/>
      <c r="E30" s="236"/>
      <c r="F30" s="242"/>
      <c r="G30" s="243"/>
      <c r="H30" s="502"/>
      <c r="I30" s="1011"/>
      <c r="J30" s="226">
        <f>+'17'!J30</f>
        <v>0</v>
      </c>
      <c r="K30" s="250"/>
      <c r="L30" s="250"/>
      <c r="M30" s="129">
        <f>+K30+'17'!M30+L30</f>
        <v>0</v>
      </c>
      <c r="N30" s="167"/>
    </row>
    <row r="31" spans="1:18" ht="13.5" thickBot="1">
      <c r="A31" s="1013"/>
      <c r="B31" s="227"/>
      <c r="C31" s="237"/>
      <c r="D31" s="229"/>
      <c r="E31" s="236"/>
      <c r="F31" s="247"/>
      <c r="G31" s="243"/>
      <c r="H31" s="244"/>
      <c r="I31" s="1012"/>
      <c r="J31" s="226">
        <f>+'17'!J31</f>
        <v>0</v>
      </c>
      <c r="K31" s="250"/>
      <c r="L31" s="250"/>
      <c r="M31" s="129">
        <f>+K31+'17'!M31+L31</f>
        <v>0</v>
      </c>
    </row>
    <row r="32" spans="1:18" ht="13.5" thickBot="1">
      <c r="A32" s="1014"/>
      <c r="B32" s="177" t="s">
        <v>2</v>
      </c>
      <c r="C32" s="111">
        <f>SUM(C25:C31)</f>
        <v>19849</v>
      </c>
      <c r="D32" s="112">
        <f>SUM(D25:D31)</f>
        <v>0</v>
      </c>
      <c r="E32" s="113">
        <f>SUM(E25:E31)</f>
        <v>0</v>
      </c>
      <c r="F32" s="114">
        <f>SUM(F24:F31)</f>
        <v>10</v>
      </c>
      <c r="G32" s="183"/>
      <c r="H32" s="184"/>
      <c r="I32" s="181"/>
      <c r="J32" s="226">
        <f>+'17'!J32</f>
        <v>0</v>
      </c>
      <c r="K32" s="252"/>
      <c r="L32" s="254"/>
      <c r="M32" s="129">
        <f>+K32+'17'!M32+L32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59009</v>
      </c>
      <c r="D34" s="119">
        <f>D14+D23+D32</f>
        <v>325</v>
      </c>
      <c r="E34" s="119">
        <f>E14+E23+E32</f>
        <v>0</v>
      </c>
      <c r="F34" s="120">
        <f>F14+F23+F32</f>
        <v>36</v>
      </c>
      <c r="H34" s="190"/>
      <c r="I34" s="190"/>
      <c r="J34" s="135" t="s">
        <v>28</v>
      </c>
      <c r="K34" s="136">
        <f>SUM(K7:K32)</f>
        <v>59009</v>
      </c>
      <c r="L34" s="224">
        <f>SUM(L7:L32)</f>
        <v>0</v>
      </c>
      <c r="M34" s="132">
        <f>SUM(M7:M32)</f>
        <v>1047119</v>
      </c>
      <c r="N34" s="167"/>
    </row>
    <row r="35" spans="1:14" ht="13.5" thickBot="1">
      <c r="A35" s="191"/>
      <c r="B35" s="192"/>
      <c r="C35" s="116">
        <f>C34/($C$34+$D$34+$E$34)</f>
        <v>0.99452253345468034</v>
      </c>
      <c r="D35" s="116">
        <f>D34/($C$34+$D$34+$E$34)</f>
        <v>5.4774665453197159E-3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(13*1405+14*35)/1440*G42*2.77*1440/1000000</f>
        <v>65.009321822499984</v>
      </c>
      <c r="J37" s="137">
        <f>+I37+'17'!J37</f>
        <v>1164.9085980408558</v>
      </c>
      <c r="K37" s="138" t="s">
        <v>64</v>
      </c>
      <c r="L37" s="161">
        <v>61.581000000000003</v>
      </c>
    </row>
    <row r="38" spans="1:14" ht="17.45" customHeight="1">
      <c r="A38" s="1005" t="s">
        <v>12</v>
      </c>
      <c r="B38" s="1006"/>
      <c r="C38" s="176">
        <f>SUMIF($G$7:$G$31,"Process",$F$7:$F$31)</f>
        <v>36</v>
      </c>
      <c r="D38" s="130">
        <f>+C38+'17'!D38</f>
        <v>785</v>
      </c>
      <c r="E38" s="155">
        <f t="shared" ref="E38:E51" si="0">D38/60</f>
        <v>13.083333333333334</v>
      </c>
      <c r="F38" s="340">
        <v>1610</v>
      </c>
      <c r="G38" s="340">
        <f>+F38-F38*0.24</f>
        <v>1223.5999999999999</v>
      </c>
      <c r="H38" s="199" t="s">
        <v>65</v>
      </c>
      <c r="I38" s="549">
        <f>19.972+21.892+19.717</f>
        <v>61.581000000000003</v>
      </c>
      <c r="J38" s="139">
        <f>+I38+'17'!J38</f>
        <v>1083.1652220100002</v>
      </c>
      <c r="K38" s="140" t="s">
        <v>64</v>
      </c>
      <c r="L38" s="161">
        <v>0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+C39+'17'!D39</f>
        <v>0</v>
      </c>
      <c r="E39" s="155">
        <f t="shared" si="0"/>
        <v>0</v>
      </c>
      <c r="F39" s="340">
        <v>1625</v>
      </c>
      <c r="G39" s="340">
        <f>+F39-F39*0.24</f>
        <v>1235</v>
      </c>
      <c r="H39" s="199" t="s">
        <v>66</v>
      </c>
      <c r="I39" s="154"/>
      <c r="J39" s="141">
        <f>J37/G4</f>
        <v>64.717144335603109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+C40+'17'!D40</f>
        <v>49</v>
      </c>
      <c r="E40" s="155">
        <f t="shared" si="0"/>
        <v>0.81666666666666665</v>
      </c>
      <c r="F40" s="340">
        <v>1300</v>
      </c>
      <c r="G40" s="340">
        <v>1295.45</v>
      </c>
      <c r="H40" s="199" t="s">
        <v>68</v>
      </c>
      <c r="I40" s="130">
        <f>(K34+L34)/1000</f>
        <v>59.009</v>
      </c>
      <c r="J40" s="143">
        <f>+I40+'17'!J40</f>
        <v>1047.1189999999999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+C41+'17'!D41</f>
        <v>125</v>
      </c>
      <c r="E41" s="155">
        <f t="shared" si="0"/>
        <v>2.0833333333333335</v>
      </c>
      <c r="F41" s="340"/>
      <c r="G41" s="340"/>
      <c r="H41" s="199" t="s">
        <v>70</v>
      </c>
      <c r="I41" s="154"/>
      <c r="J41" s="141">
        <f>J40/G4</f>
        <v>58.17327777777777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+C42+'17'!D42</f>
        <v>0</v>
      </c>
      <c r="E42" s="155">
        <f t="shared" si="0"/>
        <v>0</v>
      </c>
      <c r="F42" s="340">
        <f>+(F38*480+F39*480+F40*480)/1440</f>
        <v>1511.6666666666667</v>
      </c>
      <c r="G42" s="340">
        <f>+(G38*480+G39*480+G40*480)/1440</f>
        <v>1251.3499999999999</v>
      </c>
      <c r="H42" s="199" t="s">
        <v>71</v>
      </c>
      <c r="I42" s="257" t="s">
        <v>690</v>
      </c>
      <c r="J42" s="144"/>
      <c r="K42" s="142" t="s">
        <v>72</v>
      </c>
    </row>
    <row r="43" spans="1:14" ht="17.45" customHeight="1">
      <c r="A43" s="1001" t="s">
        <v>204</v>
      </c>
      <c r="B43" s="1002"/>
      <c r="C43" s="176">
        <f>SUMIF($G$7:$G$31,"Change GRade",$F$7:$F$31)</f>
        <v>0</v>
      </c>
      <c r="D43" s="130">
        <f>+C43+'17'!D43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+Report1!T26</f>
        <v>125.08</v>
      </c>
      <c r="J43" s="145">
        <f>+I43+'17'!J43</f>
        <v>2301.6470000000004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+C44+'17'!D44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2.0311459703479966</v>
      </c>
      <c r="J44" s="146">
        <f>J43/J38</f>
        <v>2.1249269762639691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+C45+'17'!D45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2.1196766594926197</v>
      </c>
      <c r="J45" s="146">
        <f>J43/J40</f>
        <v>2.1980758633927953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+C46+'17'!D46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+SUMIF(Listrik!AR25,"&gt;0")</f>
        <v>59751.799999999617</v>
      </c>
      <c r="J46" s="147">
        <f>+I46+'17'!J46</f>
        <v>966008.51999999909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+C47+'17'!D47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970.29603286727422</v>
      </c>
      <c r="J47" s="147">
        <f>J46/J38</f>
        <v>891.83856753395696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+C48+'17'!D48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1012.5879103187584</v>
      </c>
      <c r="J48" s="147">
        <f>J46/J40</f>
        <v>922.53938664086809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+C49+'17'!D49</f>
        <v>60</v>
      </c>
      <c r="E49" s="155">
        <f t="shared" si="0"/>
        <v>1</v>
      </c>
      <c r="F49" s="197"/>
      <c r="H49" s="200" t="s">
        <v>83</v>
      </c>
      <c r="I49" s="130">
        <v>0</v>
      </c>
      <c r="J49" s="147">
        <f>+I49+'17'!J49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+C50+'17'!D50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+C51+'17'!D51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36</v>
      </c>
      <c r="D52" s="156">
        <f>SUM(D38:D51)</f>
        <v>1887</v>
      </c>
      <c r="E52" s="157">
        <f>SUM(E38:E51)</f>
        <v>31.450000000000003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2.5000000000000001E-2</v>
      </c>
      <c r="D53" s="158">
        <f>D52/(24*60*G4)</f>
        <v>7.2800925925925922E-2</v>
      </c>
      <c r="E53" s="159">
        <f>E52/(G4*24)</f>
        <v>7.2800925925925936E-2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+D34+'17'!J56</f>
        <v>27590</v>
      </c>
      <c r="K56" s="213">
        <f>J56/(J40+J56/1000)/1000</f>
        <v>2.5672065647538083E-2</v>
      </c>
    </row>
    <row r="57" spans="1:11">
      <c r="A57" s="188"/>
      <c r="I57" s="211" t="s">
        <v>90</v>
      </c>
      <c r="J57" s="212">
        <f>+E34+'17'!J57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3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17</v>
      </c>
      <c r="H4" s="166" t="str">
        <f>+'1'!H4</f>
        <v>.12.25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170+172+205</f>
        <v>547</v>
      </c>
    </row>
    <row r="7" spans="1:15" ht="13.5" customHeight="1" thickBot="1">
      <c r="A7" s="1007" t="s">
        <v>463</v>
      </c>
      <c r="B7" s="227" t="s">
        <v>602</v>
      </c>
      <c r="C7" s="228">
        <v>5205</v>
      </c>
      <c r="D7" s="229">
        <v>398</v>
      </c>
      <c r="E7" s="230"/>
      <c r="F7" s="239"/>
      <c r="G7" s="240" t="s">
        <v>12</v>
      </c>
      <c r="H7" s="241" t="s">
        <v>492</v>
      </c>
      <c r="I7" s="1010" t="s">
        <v>682</v>
      </c>
      <c r="J7" s="226" t="str">
        <f>+'16'!J7</f>
        <v>F 13 VP OW</v>
      </c>
      <c r="K7" s="249">
        <f>+C9+C16+C25</f>
        <v>51134</v>
      </c>
      <c r="L7" s="253"/>
      <c r="M7" s="129">
        <f>+K7+'16'!M7+L7</f>
        <v>160232</v>
      </c>
    </row>
    <row r="8" spans="1:15" ht="13.5" thickBot="1">
      <c r="A8" s="1008"/>
      <c r="B8" s="227" t="s">
        <v>640</v>
      </c>
      <c r="C8" s="228">
        <f>109+140</f>
        <v>249</v>
      </c>
      <c r="D8" s="229">
        <f>322+432</f>
        <v>754</v>
      </c>
      <c r="E8" s="231"/>
      <c r="F8" s="242">
        <v>5</v>
      </c>
      <c r="G8" s="243" t="s">
        <v>12</v>
      </c>
      <c r="H8" s="241" t="s">
        <v>445</v>
      </c>
      <c r="I8" s="1011"/>
      <c r="J8" s="226" t="str">
        <f>+'16'!J8</f>
        <v>MG 15,5 VP OW</v>
      </c>
      <c r="K8" s="250"/>
      <c r="L8" s="250"/>
      <c r="M8" s="129">
        <f>+K8+'16'!M8+L8</f>
        <v>40782</v>
      </c>
      <c r="N8" s="161">
        <v>1620</v>
      </c>
      <c r="O8" s="161">
        <f>+N8-N8*0.24</f>
        <v>1231.2</v>
      </c>
    </row>
    <row r="9" spans="1:15" ht="13.5" thickBot="1">
      <c r="A9" s="1008"/>
      <c r="B9" s="227" t="s">
        <v>452</v>
      </c>
      <c r="C9" s="228">
        <f>867+12224</f>
        <v>13091</v>
      </c>
      <c r="D9" s="229">
        <v>464</v>
      </c>
      <c r="E9" s="232"/>
      <c r="F9" s="239">
        <v>10</v>
      </c>
      <c r="G9" s="243" t="s">
        <v>12</v>
      </c>
      <c r="H9" s="574" t="s">
        <v>447</v>
      </c>
      <c r="I9" s="1011"/>
      <c r="J9" s="226" t="str">
        <f>+'16'!J9</f>
        <v>MG 16,5 VP HW</v>
      </c>
      <c r="K9" s="250"/>
      <c r="L9" s="250"/>
      <c r="M9" s="129">
        <f>+K9+'16'!M9+L9</f>
        <v>65896</v>
      </c>
    </row>
    <row r="10" spans="1:15" ht="13.5" thickBot="1">
      <c r="A10" s="1008"/>
      <c r="B10" s="227"/>
      <c r="C10" s="228"/>
      <c r="D10" s="229"/>
      <c r="E10" s="231"/>
      <c r="F10" s="239"/>
      <c r="G10" s="243"/>
      <c r="H10" s="574" t="s">
        <v>681</v>
      </c>
      <c r="I10" s="1011"/>
      <c r="J10" s="226" t="str">
        <f>+'16'!J10</f>
        <v>MG 17 VP HW</v>
      </c>
      <c r="K10" s="250"/>
      <c r="L10" s="250"/>
      <c r="M10" s="129">
        <f>+K10+'16'!M10+L10</f>
        <v>170813</v>
      </c>
    </row>
    <row r="11" spans="1:15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tr">
        <f>+'16'!J11</f>
        <v>MG 14 VP OW</v>
      </c>
      <c r="K11" s="250"/>
      <c r="L11" s="250"/>
      <c r="M11" s="129">
        <f>+K11+'16'!M11+L11</f>
        <v>130379</v>
      </c>
    </row>
    <row r="12" spans="1:15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+'16'!J12</f>
        <v>MG 19 VP HW</v>
      </c>
      <c r="K12" s="250"/>
      <c r="L12" s="250"/>
      <c r="M12" s="129">
        <f>+K12+'16'!M12+L12</f>
        <v>20052</v>
      </c>
    </row>
    <row r="13" spans="1:15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+'16'!J13</f>
        <v>MG 17 VP OW</v>
      </c>
      <c r="K13" s="250"/>
      <c r="L13" s="250"/>
      <c r="M13" s="129">
        <f>+K13+'16'!M13+L13</f>
        <v>6479</v>
      </c>
    </row>
    <row r="14" spans="1:15" ht="13.5" thickBot="1">
      <c r="A14" s="1009"/>
      <c r="B14" s="177" t="s">
        <v>2</v>
      </c>
      <c r="C14" s="111">
        <f>SUM(C7:C13)</f>
        <v>18545</v>
      </c>
      <c r="D14" s="123">
        <f>SUM(D7:D13)</f>
        <v>1616</v>
      </c>
      <c r="E14" s="124">
        <f>SUM(E5:E13)</f>
        <v>0</v>
      </c>
      <c r="F14" s="128">
        <f>SUM(F7:F13)</f>
        <v>15</v>
      </c>
      <c r="G14" s="171"/>
      <c r="H14" s="178"/>
      <c r="I14" s="179"/>
      <c r="J14" s="226" t="str">
        <f>+'16'!J14</f>
        <v>MG 21,5 VP OW</v>
      </c>
      <c r="K14" s="250"/>
      <c r="L14" s="250"/>
      <c r="M14" s="129">
        <f>+K14+'16'!M14+L14</f>
        <v>65067</v>
      </c>
    </row>
    <row r="15" spans="1:15" ht="13.5" customHeight="1" thickBot="1">
      <c r="A15" s="1007" t="s">
        <v>461</v>
      </c>
      <c r="B15" s="177"/>
      <c r="C15" s="125"/>
      <c r="D15" s="126"/>
      <c r="E15" s="127"/>
      <c r="F15" s="239">
        <v>10</v>
      </c>
      <c r="G15" s="240" t="s">
        <v>12</v>
      </c>
      <c r="H15" s="241" t="s">
        <v>477</v>
      </c>
      <c r="I15" s="1010" t="s">
        <v>682</v>
      </c>
      <c r="J15" s="226" t="str">
        <f>+'16'!J15</f>
        <v>F 10,5 VP OW</v>
      </c>
      <c r="K15" s="250"/>
      <c r="L15" s="250"/>
      <c r="M15" s="129">
        <f>+K15+'16'!M15+L15</f>
        <v>0</v>
      </c>
    </row>
    <row r="16" spans="1:15" ht="13.5" thickBot="1">
      <c r="A16" s="1013"/>
      <c r="B16" s="227" t="s">
        <v>452</v>
      </c>
      <c r="C16" s="233">
        <v>19312</v>
      </c>
      <c r="D16" s="234">
        <v>804</v>
      </c>
      <c r="E16" s="235"/>
      <c r="F16" s="239">
        <v>9</v>
      </c>
      <c r="G16" s="243" t="s">
        <v>12</v>
      </c>
      <c r="H16" s="241" t="s">
        <v>627</v>
      </c>
      <c r="I16" s="1011"/>
      <c r="J16" s="226" t="str">
        <f>+'16'!J16</f>
        <v>F 10,3 VP OW</v>
      </c>
      <c r="K16" s="250">
        <f>+C7</f>
        <v>5205</v>
      </c>
      <c r="L16" s="240"/>
      <c r="M16" s="129">
        <f>+K16+'16'!M16+L16</f>
        <v>112662</v>
      </c>
    </row>
    <row r="17" spans="1:14" ht="13.5" thickBot="1">
      <c r="A17" s="1013"/>
      <c r="B17" s="227"/>
      <c r="C17" s="228"/>
      <c r="D17" s="229"/>
      <c r="E17" s="236"/>
      <c r="F17" s="239">
        <v>10</v>
      </c>
      <c r="G17" s="243" t="s">
        <v>12</v>
      </c>
      <c r="H17" s="574" t="s">
        <v>497</v>
      </c>
      <c r="I17" s="1011"/>
      <c r="J17" s="226" t="str">
        <f>+'16'!J17</f>
        <v>SN 13 VP OW</v>
      </c>
      <c r="K17" s="250"/>
      <c r="L17" s="240"/>
      <c r="M17" s="129">
        <f>+K17+'16'!M17+L17</f>
        <v>132429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681</v>
      </c>
      <c r="I18" s="1011"/>
      <c r="J18" s="226" t="str">
        <f>+'16'!J18</f>
        <v>SN 14 VP OW</v>
      </c>
      <c r="K18" s="250"/>
      <c r="L18" s="250"/>
      <c r="M18" s="129">
        <f>+K18+'16'!M18+L18</f>
        <v>20814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 t="s">
        <v>677</v>
      </c>
      <c r="I19" s="1011"/>
      <c r="J19" s="226" t="str">
        <f>+'16'!J19</f>
        <v>SN 15 VP OW</v>
      </c>
      <c r="K19" s="250">
        <f>+C8</f>
        <v>249</v>
      </c>
      <c r="L19" s="250"/>
      <c r="M19" s="129">
        <f>+K19+'16'!M19+L19</f>
        <v>62505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 t="s">
        <v>678</v>
      </c>
      <c r="I20" s="1011"/>
      <c r="J20" s="226">
        <f>+'16'!J20</f>
        <v>0</v>
      </c>
      <c r="K20" s="251"/>
      <c r="L20" s="251"/>
      <c r="M20" s="129">
        <f>+K20+'16'!M20+L20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+'16'!J21</f>
        <v>0</v>
      </c>
      <c r="K21" s="250"/>
      <c r="L21" s="250"/>
      <c r="M21" s="129">
        <f>+K21+'16'!M21+L21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+'16'!J22</f>
        <v>0</v>
      </c>
      <c r="K22" s="250"/>
      <c r="L22" s="250"/>
      <c r="M22" s="129">
        <f>+K22+'16'!M22+L22</f>
        <v>0</v>
      </c>
    </row>
    <row r="23" spans="1:14" ht="13.5" thickBot="1">
      <c r="A23" s="1014"/>
      <c r="B23" s="180" t="s">
        <v>2</v>
      </c>
      <c r="C23" s="112">
        <f>SUM(C16:C22)</f>
        <v>19312</v>
      </c>
      <c r="D23" s="123">
        <f>SUM(D16:D22)</f>
        <v>804</v>
      </c>
      <c r="E23" s="124">
        <f>SUM(E18:E22)</f>
        <v>0</v>
      </c>
      <c r="F23" s="128">
        <f>SUM(F15:F22)</f>
        <v>29</v>
      </c>
      <c r="G23" s="171"/>
      <c r="H23" s="178" t="s">
        <v>237</v>
      </c>
      <c r="I23" s="181"/>
      <c r="J23" s="226">
        <f>+'16'!J23</f>
        <v>0</v>
      </c>
      <c r="K23" s="250"/>
      <c r="L23" s="250"/>
      <c r="M23" s="129">
        <f>+K23+'16'!M23+L23</f>
        <v>0</v>
      </c>
    </row>
    <row r="24" spans="1:14" ht="13.5" customHeight="1" thickBot="1">
      <c r="A24" s="1007" t="s">
        <v>462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682</v>
      </c>
      <c r="J24" s="226">
        <f>+'16'!J24</f>
        <v>0</v>
      </c>
      <c r="K24" s="250"/>
      <c r="L24" s="250"/>
      <c r="M24" s="129">
        <f>+K24+'16'!M24+L24</f>
        <v>0</v>
      </c>
    </row>
    <row r="25" spans="1:14" ht="13.5" thickBot="1">
      <c r="A25" s="1013"/>
      <c r="B25" s="227" t="s">
        <v>452</v>
      </c>
      <c r="C25" s="237">
        <v>18731</v>
      </c>
      <c r="D25" s="229">
        <v>257</v>
      </c>
      <c r="E25" s="236"/>
      <c r="F25" s="242">
        <v>3</v>
      </c>
      <c r="G25" s="243" t="s">
        <v>12</v>
      </c>
      <c r="H25" s="241" t="s">
        <v>563</v>
      </c>
      <c r="I25" s="1011"/>
      <c r="J25" s="226">
        <f>+'16'!J25</f>
        <v>0</v>
      </c>
      <c r="K25" s="250"/>
      <c r="L25" s="250"/>
      <c r="M25" s="129">
        <f>+K25+'16'!M25+L25</f>
        <v>0</v>
      </c>
    </row>
    <row r="26" spans="1:14" ht="13.5" thickBot="1">
      <c r="A26" s="1013"/>
      <c r="B26" s="227"/>
      <c r="C26" s="237"/>
      <c r="D26" s="229"/>
      <c r="E26" s="238"/>
      <c r="F26" s="242">
        <v>3</v>
      </c>
      <c r="G26" s="243" t="s">
        <v>12</v>
      </c>
      <c r="H26" s="574" t="s">
        <v>447</v>
      </c>
      <c r="I26" s="1011"/>
      <c r="J26" s="226">
        <f>+'16'!J26</f>
        <v>0</v>
      </c>
      <c r="K26" s="250"/>
      <c r="L26" s="250"/>
      <c r="M26" s="129">
        <f>+K26+'16'!M26+L26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681</v>
      </c>
      <c r="I27" s="1011"/>
      <c r="J27" s="226">
        <f>+'16'!J27</f>
        <v>0</v>
      </c>
      <c r="K27" s="250"/>
      <c r="L27" s="250"/>
      <c r="M27" s="129">
        <f>+K27+'16'!M27+L27</f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244" t="s">
        <v>661</v>
      </c>
      <c r="I28" s="1011"/>
      <c r="J28" s="226">
        <f>+'16'!J28</f>
        <v>0</v>
      </c>
      <c r="K28" s="250"/>
      <c r="L28" s="250"/>
      <c r="M28" s="129">
        <f>+K28+'16'!M28+L28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 t="s">
        <v>662</v>
      </c>
      <c r="I29" s="1011"/>
      <c r="J29" s="226">
        <f>+'16'!J29</f>
        <v>0</v>
      </c>
      <c r="K29" s="250"/>
      <c r="L29" s="250"/>
      <c r="M29" s="129">
        <f>+K29+'16'!M29+L29</f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+'16'!J30</f>
        <v>0</v>
      </c>
      <c r="K30" s="250"/>
      <c r="L30" s="250"/>
      <c r="M30" s="129">
        <f>+K30+'16'!M30+L30</f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+'16'!J31</f>
        <v>0</v>
      </c>
      <c r="K31" s="250"/>
      <c r="L31" s="250"/>
      <c r="M31" s="129">
        <f>+K31+'16'!M31+L31</f>
        <v>0</v>
      </c>
    </row>
    <row r="32" spans="1:14" ht="13.5" thickBot="1">
      <c r="A32" s="1014"/>
      <c r="B32" s="177" t="s">
        <v>2</v>
      </c>
      <c r="C32" s="111">
        <f>SUM(C25:C31)</f>
        <v>18731</v>
      </c>
      <c r="D32" s="112">
        <f>SUM(D25:D31)</f>
        <v>257</v>
      </c>
      <c r="E32" s="113">
        <f>SUM(E25:E31)</f>
        <v>0</v>
      </c>
      <c r="F32" s="114">
        <f>SUM(F24:F31)</f>
        <v>6</v>
      </c>
      <c r="G32" s="183"/>
      <c r="H32" s="184"/>
      <c r="I32" s="181"/>
      <c r="J32" s="226">
        <f>+'16'!J32</f>
        <v>0</v>
      </c>
      <c r="K32" s="252"/>
      <c r="L32" s="254"/>
      <c r="M32" s="129">
        <f>+K32+'16'!M32+L32</f>
        <v>0</v>
      </c>
    </row>
    <row r="33" spans="1:14" ht="13.5" thickBot="1">
      <c r="A33" s="185"/>
      <c r="B33" s="186"/>
      <c r="C33" s="115">
        <f>C32/($C$32+$D$32+$E$32)</f>
        <v>0.98646513587528961</v>
      </c>
      <c r="D33" s="116">
        <f>D32/($C$32+$D$32+$E$32)</f>
        <v>1.3534864124710343E-2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56588</v>
      </c>
      <c r="D34" s="119">
        <f>D14+D23+D32</f>
        <v>2677</v>
      </c>
      <c r="E34" s="119">
        <f>E14+E23+E32</f>
        <v>0</v>
      </c>
      <c r="F34" s="120">
        <f>F14+F23+F32</f>
        <v>50</v>
      </c>
      <c r="H34" s="190"/>
      <c r="I34" s="190"/>
      <c r="J34" s="135" t="s">
        <v>28</v>
      </c>
      <c r="K34" s="136">
        <f>SUM(K7:K32)</f>
        <v>56588</v>
      </c>
      <c r="L34" s="224">
        <f>SUM(L7:L32)</f>
        <v>0</v>
      </c>
      <c r="M34" s="132">
        <f>SUM(M7:M32)</f>
        <v>988110</v>
      </c>
      <c r="N34" s="167"/>
    </row>
    <row r="35" spans="1:14" ht="13.5" thickBot="1">
      <c r="A35" s="191"/>
      <c r="B35" s="192"/>
      <c r="C35" s="116">
        <f>C34/($C$34+$D$34+$E$34)</f>
        <v>0.95483000084366831</v>
      </c>
      <c r="D35" s="116">
        <f>D34/($C$34+$D$34+$E$34)</f>
        <v>4.5169999156331728E-2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(13*1440)/1440*G42*2.77*1440/1000000</f>
        <v>63.843137280000001</v>
      </c>
      <c r="J37" s="137">
        <f>+I37+'16'!J37</f>
        <v>1099.8992762183559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50</v>
      </c>
      <c r="D38" s="130">
        <f>+C38+'16'!D38</f>
        <v>749</v>
      </c>
      <c r="E38" s="155">
        <f t="shared" ref="E38:E51" si="0">D38/60</f>
        <v>12.483333333333333</v>
      </c>
      <c r="F38" s="340">
        <v>1620</v>
      </c>
      <c r="G38" s="340">
        <f>+F38-F38*0.24</f>
        <v>1231.2</v>
      </c>
      <c r="H38" s="199" t="s">
        <v>65</v>
      </c>
      <c r="I38" s="549">
        <f>21.248+19.443+20.986</f>
        <v>61.677000000000007</v>
      </c>
      <c r="J38" s="139">
        <f>+I38+'16'!J38</f>
        <v>1021.5842220100002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+C39+'16'!D39</f>
        <v>0</v>
      </c>
      <c r="E39" s="155">
        <f t="shared" si="0"/>
        <v>0</v>
      </c>
      <c r="F39" s="340">
        <v>1620</v>
      </c>
      <c r="G39" s="340">
        <f>+F39-F39*0.24</f>
        <v>1231.2</v>
      </c>
      <c r="H39" s="199" t="s">
        <v>66</v>
      </c>
      <c r="I39" s="154"/>
      <c r="J39" s="141">
        <f>J37/G4</f>
        <v>64.699957424609167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+C40+'16'!D40</f>
        <v>49</v>
      </c>
      <c r="E40" s="155">
        <f t="shared" si="0"/>
        <v>0.81666666666666665</v>
      </c>
      <c r="F40" s="340">
        <v>1620</v>
      </c>
      <c r="G40" s="340">
        <f>+F40-F40*0.24</f>
        <v>1231.2</v>
      </c>
      <c r="H40" s="199" t="s">
        <v>68</v>
      </c>
      <c r="I40" s="130">
        <f>(K34+L34)/1000</f>
        <v>56.588000000000001</v>
      </c>
      <c r="J40" s="143">
        <f>+I40+'16'!J40</f>
        <v>988.1099999999999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+C41+'16'!D41</f>
        <v>125</v>
      </c>
      <c r="E41" s="155">
        <f t="shared" si="0"/>
        <v>2.0833333333333335</v>
      </c>
      <c r="F41" s="340"/>
      <c r="G41" s="340"/>
      <c r="H41" s="199" t="s">
        <v>70</v>
      </c>
      <c r="I41" s="154"/>
      <c r="J41" s="141">
        <f>J40/G4</f>
        <v>58.124117647058817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+C42+'16'!D42</f>
        <v>0</v>
      </c>
      <c r="E42" s="155">
        <f t="shared" si="0"/>
        <v>0</v>
      </c>
      <c r="F42" s="340">
        <f>+(F38*480+F39*480+F40*480)/1440</f>
        <v>1620</v>
      </c>
      <c r="G42" s="340">
        <f>+(G38*480+G39*480+G40*480)/1440</f>
        <v>1231.2</v>
      </c>
      <c r="H42" s="199" t="s">
        <v>71</v>
      </c>
      <c r="I42" s="257" t="s">
        <v>682</v>
      </c>
      <c r="J42" s="144"/>
      <c r="K42" s="142" t="s">
        <v>72</v>
      </c>
    </row>
    <row r="43" spans="1:14" ht="17.45" customHeight="1">
      <c r="A43" s="1001" t="s">
        <v>204</v>
      </c>
      <c r="B43" s="1002"/>
      <c r="C43" s="176">
        <f>SUMIF($G$7:$G$31,"Change Grade",$F$7:$F$31)</f>
        <v>0</v>
      </c>
      <c r="D43" s="130">
        <f>+C43+'16'!D43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+Report1!T25</f>
        <v>125.66800000000001</v>
      </c>
      <c r="J43" s="145">
        <f>+I43+'16'!J43</f>
        <v>2176.5670000000005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+C44+'16'!D44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2.0375180375180375</v>
      </c>
      <c r="J44" s="146">
        <f>J43/J38</f>
        <v>2.1305800864049504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+C45+'16'!D45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2.220753516646639</v>
      </c>
      <c r="J45" s="146">
        <f>J43/J40</f>
        <v>2.2027577901245818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+C46+'16'!D46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+SUMIF(Listrik!AR24,"&gt;0")</f>
        <v>50645.119999999821</v>
      </c>
      <c r="J46" s="147">
        <f>+I46+'16'!J46</f>
        <v>906256.71999999951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+C47+'16'!D47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821.13462068517947</v>
      </c>
      <c r="J47" s="147">
        <f>J46/J38</f>
        <v>887.10915896577762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+C48+'16'!D48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894.97985438608578</v>
      </c>
      <c r="J48" s="147">
        <f>J46/J40</f>
        <v>917.16177348675717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+C49+'16'!D49</f>
        <v>60</v>
      </c>
      <c r="E49" s="155">
        <f t="shared" si="0"/>
        <v>1</v>
      </c>
      <c r="F49" s="197"/>
      <c r="H49" s="200" t="s">
        <v>83</v>
      </c>
      <c r="I49" s="130">
        <v>0</v>
      </c>
      <c r="J49" s="147">
        <f>+I49+'16'!J49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+C50+'16'!D50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+C51+'16'!D51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50</v>
      </c>
      <c r="D52" s="156">
        <f>SUM(D38:D51)</f>
        <v>1851</v>
      </c>
      <c r="E52" s="157">
        <f>SUM(E38:E51)</f>
        <v>30.85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3.4722222222222224E-2</v>
      </c>
      <c r="D53" s="158">
        <f>D52/(24*60*G4)</f>
        <v>7.5612745098039211E-2</v>
      </c>
      <c r="E53" s="159">
        <f>E52/(G4*24)</f>
        <v>7.5612745098039225E-2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+D34+'16'!J56</f>
        <v>27265</v>
      </c>
      <c r="K56" s="213">
        <f>J56/(J40+J56/1000)/1000</f>
        <v>2.6852148221100582E-2</v>
      </c>
    </row>
    <row r="57" spans="1:11">
      <c r="A57" s="188"/>
      <c r="I57" s="211" t="s">
        <v>90</v>
      </c>
      <c r="J57" s="212">
        <f>+E34+'16'!J57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3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topLeftCell="D1" zoomScale="80" zoomScaleNormal="80" workbookViewId="0">
      <selection activeCell="H25" sqref="H25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23" ht="15.75">
      <c r="A1" s="160"/>
    </row>
    <row r="2" spans="1:23" ht="15.75">
      <c r="A2" s="160" t="s">
        <v>149</v>
      </c>
    </row>
    <row r="3" spans="1:23" ht="15">
      <c r="A3" s="162"/>
    </row>
    <row r="4" spans="1:23" ht="20.25">
      <c r="A4" s="163" t="s">
        <v>3</v>
      </c>
      <c r="B4" s="164"/>
      <c r="F4" s="165" t="s">
        <v>30</v>
      </c>
      <c r="G4" s="166">
        <v>16</v>
      </c>
      <c r="H4" s="166" t="str">
        <f>+'1'!H4</f>
        <v>.12.25</v>
      </c>
    </row>
    <row r="5" spans="1:23" ht="13.5" thickBot="1">
      <c r="C5" s="167"/>
      <c r="D5" s="167"/>
    </row>
    <row r="6" spans="1:23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200+183+159</f>
        <v>542</v>
      </c>
    </row>
    <row r="7" spans="1:23" ht="13.5" customHeight="1" thickBot="1">
      <c r="A7" s="1007" t="s">
        <v>463</v>
      </c>
      <c r="B7" s="227" t="s">
        <v>602</v>
      </c>
      <c r="C7" s="228">
        <v>14954</v>
      </c>
      <c r="D7" s="229">
        <v>1600</v>
      </c>
      <c r="E7" s="230"/>
      <c r="F7" s="239">
        <v>15</v>
      </c>
      <c r="G7" s="240" t="s">
        <v>12</v>
      </c>
      <c r="H7" s="241" t="s">
        <v>671</v>
      </c>
      <c r="I7" s="1010" t="s">
        <v>647</v>
      </c>
      <c r="J7" s="226" t="str">
        <f>+'15'!J7</f>
        <v>F 13 VP OW</v>
      </c>
      <c r="K7" s="249"/>
      <c r="L7" s="253"/>
      <c r="M7" s="129">
        <f>+K7+'15'!M7+L7</f>
        <v>109098</v>
      </c>
    </row>
    <row r="8" spans="1:23" ht="13.5" thickBot="1">
      <c r="A8" s="1008"/>
      <c r="B8" s="227"/>
      <c r="C8" s="228"/>
      <c r="D8" s="229"/>
      <c r="E8" s="231"/>
      <c r="F8" s="242">
        <v>2</v>
      </c>
      <c r="G8" s="243" t="s">
        <v>12</v>
      </c>
      <c r="H8" s="241" t="s">
        <v>494</v>
      </c>
      <c r="I8" s="1011"/>
      <c r="J8" s="226" t="str">
        <f>+'15'!J8</f>
        <v>MG 15,5 VP OW</v>
      </c>
      <c r="K8" s="250"/>
      <c r="L8" s="250"/>
      <c r="M8" s="129">
        <f>+K8+'15'!M8+L8</f>
        <v>40782</v>
      </c>
      <c r="N8" s="161">
        <v>1610</v>
      </c>
      <c r="O8" s="161">
        <f>+N8-N8*0.16</f>
        <v>1352.4</v>
      </c>
      <c r="P8" s="161">
        <f>480+480+480-P9</f>
        <v>1405</v>
      </c>
    </row>
    <row r="9" spans="1:23" ht="13.5" thickBot="1">
      <c r="A9" s="1008"/>
      <c r="B9" s="227"/>
      <c r="C9" s="228"/>
      <c r="D9" s="229"/>
      <c r="E9" s="232"/>
      <c r="F9" s="239">
        <v>5</v>
      </c>
      <c r="G9" s="243" t="s">
        <v>12</v>
      </c>
      <c r="H9" s="574" t="s">
        <v>649</v>
      </c>
      <c r="I9" s="1011"/>
      <c r="J9" s="226" t="str">
        <f>+'15'!J9</f>
        <v>MG 16,5 VP HW</v>
      </c>
      <c r="K9" s="250"/>
      <c r="L9" s="250"/>
      <c r="M9" s="129">
        <f>+K9+'15'!M9+L9</f>
        <v>65896</v>
      </c>
      <c r="N9" s="161">
        <v>1620</v>
      </c>
      <c r="O9" s="161">
        <f>+N9-N9*0.16</f>
        <v>1360.8</v>
      </c>
      <c r="P9" s="161">
        <f>60-25</f>
        <v>35</v>
      </c>
    </row>
    <row r="10" spans="1:23" ht="13.5" thickBot="1">
      <c r="A10" s="1008"/>
      <c r="B10" s="227"/>
      <c r="C10" s="228"/>
      <c r="D10" s="229"/>
      <c r="E10" s="231"/>
      <c r="F10" s="239"/>
      <c r="G10" s="243"/>
      <c r="H10" s="574" t="s">
        <v>643</v>
      </c>
      <c r="I10" s="1011"/>
      <c r="J10" s="226" t="str">
        <f>+'15'!J10</f>
        <v>MG 17 VP HW</v>
      </c>
      <c r="K10" s="250"/>
      <c r="L10" s="250"/>
      <c r="M10" s="129">
        <f>+K10+'15'!M10+L10</f>
        <v>170813</v>
      </c>
    </row>
    <row r="11" spans="1:23" ht="13.5" thickBot="1">
      <c r="A11" s="1008"/>
      <c r="B11" s="227"/>
      <c r="C11" s="228"/>
      <c r="D11" s="229"/>
      <c r="E11" s="231"/>
      <c r="F11" s="239">
        <v>49</v>
      </c>
      <c r="G11" s="243" t="s">
        <v>67</v>
      </c>
      <c r="H11" s="244" t="s">
        <v>656</v>
      </c>
      <c r="I11" s="1011"/>
      <c r="J11" s="226" t="str">
        <f>+'15'!J11</f>
        <v>MG 14 VP OW</v>
      </c>
      <c r="K11" s="250"/>
      <c r="L11" s="250"/>
      <c r="M11" s="129">
        <f>+K11+'15'!M11+L11</f>
        <v>130379</v>
      </c>
    </row>
    <row r="12" spans="1:23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+'15'!J12</f>
        <v>MG 19 VP HW</v>
      </c>
      <c r="K12" s="250"/>
      <c r="L12" s="250"/>
      <c r="M12" s="129">
        <f>+K12+'15'!M12+L12</f>
        <v>20052</v>
      </c>
    </row>
    <row r="13" spans="1:23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+'15'!J13</f>
        <v>MG 17 VP OW</v>
      </c>
      <c r="K13" s="250"/>
      <c r="L13" s="250"/>
      <c r="M13" s="129">
        <f>+K13+'15'!M13+L13</f>
        <v>6479</v>
      </c>
      <c r="N13" s="193" t="s">
        <v>94</v>
      </c>
      <c r="O13" s="596" t="s">
        <v>663</v>
      </c>
      <c r="P13" s="596" t="s">
        <v>663</v>
      </c>
      <c r="Q13" s="596" t="s">
        <v>664</v>
      </c>
      <c r="R13" s="596" t="s">
        <v>665</v>
      </c>
      <c r="S13" s="596" t="s">
        <v>666</v>
      </c>
      <c r="T13" s="596" t="s">
        <v>667</v>
      </c>
      <c r="U13" s="597" t="s">
        <v>668</v>
      </c>
      <c r="V13" s="596" t="s">
        <v>669</v>
      </c>
      <c r="W13" s="596" t="s">
        <v>670</v>
      </c>
    </row>
    <row r="14" spans="1:23" ht="13.5" thickBot="1">
      <c r="A14" s="1009"/>
      <c r="B14" s="177" t="s">
        <v>2</v>
      </c>
      <c r="C14" s="111">
        <f>SUM(C7:C13)</f>
        <v>14954</v>
      </c>
      <c r="D14" s="123">
        <f>SUM(D7:D13)</f>
        <v>1600</v>
      </c>
      <c r="E14" s="124">
        <f>SUM(E5:E13)</f>
        <v>0</v>
      </c>
      <c r="F14" s="128">
        <f>SUM(F7:F13)</f>
        <v>71</v>
      </c>
      <c r="G14" s="171"/>
      <c r="H14" s="178"/>
      <c r="I14" s="179"/>
      <c r="J14" s="226" t="str">
        <f>+'15'!J14</f>
        <v>MG 21,5 VP OW</v>
      </c>
      <c r="K14" s="250"/>
      <c r="L14" s="250"/>
      <c r="M14" s="129">
        <f>+K14+'15'!M14+L14</f>
        <v>65067</v>
      </c>
      <c r="N14" s="598">
        <v>10.3</v>
      </c>
      <c r="O14" s="211">
        <v>1610</v>
      </c>
      <c r="P14" s="211">
        <v>1610</v>
      </c>
      <c r="Q14" s="211">
        <f>+P14-P14*0.16</f>
        <v>1352.4</v>
      </c>
      <c r="R14" s="599">
        <f>1-(Q14/P14)</f>
        <v>0.15999999999999992</v>
      </c>
      <c r="S14" s="600">
        <v>49</v>
      </c>
      <c r="T14" s="601">
        <f>+'Trim Rwd'!H64</f>
        <v>266</v>
      </c>
      <c r="U14" s="602">
        <f>(O14*(1-R14)*N14*T14*S14)/100000000</f>
        <v>1.8155997048000001</v>
      </c>
      <c r="V14" s="603">
        <f>+C21/1000</f>
        <v>0</v>
      </c>
      <c r="W14" s="604">
        <f>SUM(V14:V16)/SUM(U14:U16)</f>
        <v>0</v>
      </c>
    </row>
    <row r="15" spans="1:23" ht="13.5" customHeight="1" thickBot="1">
      <c r="A15" s="1007" t="s">
        <v>601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647</v>
      </c>
      <c r="J15" s="226" t="str">
        <f>+'15'!J15</f>
        <v>F 10,5 VP OW</v>
      </c>
      <c r="K15" s="250"/>
      <c r="L15" s="250"/>
      <c r="M15" s="129">
        <f>+K15+'15'!M15+L15</f>
        <v>0</v>
      </c>
      <c r="U15" s="161">
        <v>1.8</v>
      </c>
    </row>
    <row r="16" spans="1:23" ht="13.5" thickBot="1">
      <c r="A16" s="1013"/>
      <c r="B16" s="227" t="s">
        <v>602</v>
      </c>
      <c r="C16" s="233">
        <v>23164</v>
      </c>
      <c r="D16" s="234"/>
      <c r="E16" s="235"/>
      <c r="F16" s="239">
        <v>3</v>
      </c>
      <c r="G16" s="243" t="s">
        <v>12</v>
      </c>
      <c r="H16" s="241" t="s">
        <v>563</v>
      </c>
      <c r="I16" s="1011"/>
      <c r="J16" s="226" t="str">
        <f>+'15'!J16</f>
        <v>F 10,3 VP OW</v>
      </c>
      <c r="K16" s="250">
        <f>+C34</f>
        <v>58548</v>
      </c>
      <c r="L16" s="240"/>
      <c r="M16" s="129">
        <f>+K16+'15'!M16+L16</f>
        <v>107457</v>
      </c>
    </row>
    <row r="17" spans="1:18" ht="13.5" thickBot="1">
      <c r="A17" s="1013"/>
      <c r="B17" s="227"/>
      <c r="C17" s="228"/>
      <c r="D17" s="229"/>
      <c r="E17" s="236"/>
      <c r="F17" s="239">
        <v>6</v>
      </c>
      <c r="G17" s="243" t="s">
        <v>12</v>
      </c>
      <c r="H17" s="574" t="s">
        <v>606</v>
      </c>
      <c r="I17" s="1011"/>
      <c r="J17" s="226" t="str">
        <f>+'15'!J17</f>
        <v>SN 13 VP OW</v>
      </c>
      <c r="K17" s="250"/>
      <c r="L17" s="240"/>
      <c r="M17" s="129">
        <f>+K17+'15'!M17+L17</f>
        <v>132429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643</v>
      </c>
      <c r="I18" s="1011"/>
      <c r="J18" s="226" t="str">
        <f>+'15'!J18</f>
        <v>SN 14 VP OW</v>
      </c>
      <c r="K18" s="250"/>
      <c r="L18" s="250"/>
      <c r="M18" s="129">
        <f>+K18+'15'!M18+L18</f>
        <v>20814</v>
      </c>
    </row>
    <row r="19" spans="1:18" ht="26.25" thickBot="1">
      <c r="A19" s="1013"/>
      <c r="B19" s="227"/>
      <c r="C19" s="228"/>
      <c r="D19" s="229"/>
      <c r="E19" s="236"/>
      <c r="F19" s="246">
        <v>60</v>
      </c>
      <c r="G19" s="243" t="s">
        <v>69</v>
      </c>
      <c r="H19" s="244" t="s">
        <v>657</v>
      </c>
      <c r="I19" s="1011"/>
      <c r="J19" s="226" t="str">
        <f>+'15'!J19</f>
        <v>SN 15 VP OW</v>
      </c>
      <c r="K19" s="250"/>
      <c r="L19" s="250"/>
      <c r="M19" s="129">
        <f>+K19+'15'!M19+L19</f>
        <v>62256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 t="s">
        <v>658</v>
      </c>
      <c r="I20" s="1011"/>
      <c r="J20" s="226">
        <f>+'15'!J20</f>
        <v>0</v>
      </c>
      <c r="K20" s="251"/>
      <c r="L20" s="251"/>
      <c r="M20" s="129">
        <f>+K20+'15'!M20+L20</f>
        <v>0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502" t="s">
        <v>659</v>
      </c>
      <c r="I21" s="1011"/>
      <c r="J21" s="226">
        <f>+'15'!J21</f>
        <v>0</v>
      </c>
      <c r="K21" s="250"/>
      <c r="L21" s="250"/>
      <c r="M21" s="129">
        <f>+K21+'15'!M21+L21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 t="s">
        <v>660</v>
      </c>
      <c r="I22" s="1012"/>
      <c r="J22" s="226">
        <f>+'15'!J22</f>
        <v>0</v>
      </c>
      <c r="K22" s="250"/>
      <c r="L22" s="250"/>
      <c r="M22" s="129">
        <f>+K22+'15'!M22+L22</f>
        <v>0</v>
      </c>
    </row>
    <row r="23" spans="1:18" ht="13.5" thickBot="1">
      <c r="A23" s="1014"/>
      <c r="B23" s="180" t="s">
        <v>2</v>
      </c>
      <c r="C23" s="112">
        <f>SUM(C16:C22)</f>
        <v>23164</v>
      </c>
      <c r="D23" s="123">
        <f>SUM(D16:D22)</f>
        <v>0</v>
      </c>
      <c r="E23" s="124">
        <f>SUM(E18:E22)</f>
        <v>0</v>
      </c>
      <c r="F23" s="128">
        <f>SUM(F15:F22)</f>
        <v>69</v>
      </c>
      <c r="G23" s="171"/>
      <c r="H23" s="178" t="s">
        <v>237</v>
      </c>
      <c r="I23" s="181"/>
      <c r="J23" s="226">
        <f>+'15'!J23</f>
        <v>0</v>
      </c>
      <c r="K23" s="250"/>
      <c r="L23" s="250"/>
      <c r="M23" s="129">
        <f>+K23+'15'!M23+L23</f>
        <v>0</v>
      </c>
    </row>
    <row r="24" spans="1:18" ht="13.5" customHeight="1" thickBot="1">
      <c r="A24" s="1007" t="s">
        <v>462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680</v>
      </c>
      <c r="J24" s="226">
        <f>+'15'!J24</f>
        <v>0</v>
      </c>
      <c r="K24" s="250"/>
      <c r="L24" s="250"/>
      <c r="M24" s="129">
        <f>+K24+'15'!M24+L24</f>
        <v>0</v>
      </c>
    </row>
    <row r="25" spans="1:18" ht="13.5" thickBot="1">
      <c r="A25" s="1013"/>
      <c r="B25" s="227" t="s">
        <v>602</v>
      </c>
      <c r="C25" s="237">
        <v>20430</v>
      </c>
      <c r="D25" s="229"/>
      <c r="E25" s="236"/>
      <c r="F25" s="242">
        <v>3</v>
      </c>
      <c r="G25" s="243" t="s">
        <v>12</v>
      </c>
      <c r="H25" s="241" t="s">
        <v>627</v>
      </c>
      <c r="I25" s="1011"/>
      <c r="J25" s="226">
        <f>+'15'!J25</f>
        <v>0</v>
      </c>
      <c r="K25" s="250"/>
      <c r="L25" s="250"/>
      <c r="M25" s="129">
        <f>+K25+'15'!M25+L25</f>
        <v>0</v>
      </c>
    </row>
    <row r="26" spans="1:18" ht="13.5" thickBot="1">
      <c r="A26" s="1013"/>
      <c r="B26" s="227"/>
      <c r="C26" s="237"/>
      <c r="D26" s="229"/>
      <c r="E26" s="238"/>
      <c r="F26" s="242">
        <v>3</v>
      </c>
      <c r="G26" s="243" t="s">
        <v>12</v>
      </c>
      <c r="H26" s="574" t="s">
        <v>450</v>
      </c>
      <c r="I26" s="1011"/>
      <c r="J26" s="226">
        <f>+'15'!J26</f>
        <v>0</v>
      </c>
      <c r="K26" s="250"/>
      <c r="L26" s="250"/>
      <c r="M26" s="129">
        <f>+K26+'15'!M26+L26</f>
        <v>0</v>
      </c>
      <c r="N26" s="161">
        <v>1610</v>
      </c>
      <c r="O26" s="161">
        <f>+N26-N26*0.16</f>
        <v>1352.4</v>
      </c>
      <c r="P26" s="161">
        <f>480-P27</f>
        <v>445</v>
      </c>
      <c r="Q26" s="161">
        <f>+N26*P26</f>
        <v>716450</v>
      </c>
      <c r="R26" s="161">
        <f>+O26*P26</f>
        <v>601818</v>
      </c>
    </row>
    <row r="27" spans="1:18" ht="13.5" thickBot="1">
      <c r="A27" s="1013"/>
      <c r="B27" s="227"/>
      <c r="C27" s="228"/>
      <c r="D27" s="229"/>
      <c r="E27" s="236"/>
      <c r="F27" s="242"/>
      <c r="G27" s="243"/>
      <c r="H27" s="574" t="s">
        <v>643</v>
      </c>
      <c r="I27" s="1011"/>
      <c r="J27" s="226">
        <f>+'15'!J27</f>
        <v>0</v>
      </c>
      <c r="K27" s="250"/>
      <c r="L27" s="250"/>
      <c r="M27" s="129">
        <f>+K27+'15'!M27+L27</f>
        <v>0</v>
      </c>
      <c r="N27" s="161">
        <v>1620</v>
      </c>
      <c r="O27" s="161">
        <f>+N27-N27*0.24</f>
        <v>1231.2</v>
      </c>
      <c r="P27" s="161">
        <f>60-25</f>
        <v>35</v>
      </c>
      <c r="Q27" s="161">
        <f>+N27*P27</f>
        <v>56700</v>
      </c>
      <c r="R27" s="161">
        <f>+O27*P27</f>
        <v>43092</v>
      </c>
    </row>
    <row r="28" spans="1:18" ht="13.5" thickBot="1">
      <c r="A28" s="1013"/>
      <c r="B28" s="227"/>
      <c r="C28" s="228"/>
      <c r="D28" s="229"/>
      <c r="E28" s="236"/>
      <c r="F28" s="242"/>
      <c r="G28" s="243"/>
      <c r="H28" s="244" t="s">
        <v>679</v>
      </c>
      <c r="I28" s="1011"/>
      <c r="J28" s="226">
        <f>+'15'!J28</f>
        <v>0</v>
      </c>
      <c r="K28" s="250"/>
      <c r="L28" s="250"/>
      <c r="M28" s="129">
        <f>+K28+'15'!M28+L28</f>
        <v>0</v>
      </c>
      <c r="P28" s="161">
        <f>SUM(P26:P27)</f>
        <v>480</v>
      </c>
      <c r="Q28" s="161">
        <f>SUM(Q26:Q27)</f>
        <v>773150</v>
      </c>
      <c r="R28" s="161">
        <f>SUM(R26:R27)</f>
        <v>644910</v>
      </c>
    </row>
    <row r="29" spans="1:18" ht="13.5" thickBot="1">
      <c r="A29" s="1013"/>
      <c r="B29" s="227"/>
      <c r="C29" s="228"/>
      <c r="D29" s="229"/>
      <c r="E29" s="236"/>
      <c r="F29" s="247"/>
      <c r="G29" s="243"/>
      <c r="H29" s="244" t="s">
        <v>661</v>
      </c>
      <c r="I29" s="1011"/>
      <c r="J29" s="226">
        <f>+'15'!J29</f>
        <v>0</v>
      </c>
      <c r="K29" s="250"/>
      <c r="L29" s="250"/>
      <c r="M29" s="129">
        <f>+K29+'15'!M29+L29</f>
        <v>0</v>
      </c>
      <c r="Q29" s="161">
        <f>+Q28/P28</f>
        <v>1610.7291666666667</v>
      </c>
      <c r="R29" s="161">
        <f>+R28/P28</f>
        <v>1343.5625</v>
      </c>
    </row>
    <row r="30" spans="1:18" ht="13.5" thickBot="1">
      <c r="A30" s="1013"/>
      <c r="B30" s="227"/>
      <c r="C30" s="237"/>
      <c r="D30" s="229"/>
      <c r="E30" s="236"/>
      <c r="F30" s="247"/>
      <c r="G30" s="243"/>
      <c r="H30" s="244" t="s">
        <v>662</v>
      </c>
      <c r="I30" s="1011"/>
      <c r="J30" s="226">
        <f>+'15'!J30</f>
        <v>0</v>
      </c>
      <c r="K30" s="250"/>
      <c r="L30" s="250"/>
      <c r="M30" s="129">
        <f>+K30+'15'!M30+L30</f>
        <v>0</v>
      </c>
    </row>
    <row r="31" spans="1:18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+'15'!J31</f>
        <v>0</v>
      </c>
      <c r="K31" s="250"/>
      <c r="L31" s="250"/>
      <c r="M31" s="129">
        <f>+K31+'15'!M31+L31</f>
        <v>0</v>
      </c>
      <c r="N31" s="167"/>
    </row>
    <row r="32" spans="1:18" ht="13.5" thickBot="1">
      <c r="A32" s="1014"/>
      <c r="B32" s="177" t="s">
        <v>2</v>
      </c>
      <c r="C32" s="111">
        <f>SUM(C25:C31)</f>
        <v>20430</v>
      </c>
      <c r="D32" s="112">
        <f>SUM(D25:D31)</f>
        <v>0</v>
      </c>
      <c r="E32" s="113">
        <f>SUM(E25:E31)</f>
        <v>0</v>
      </c>
      <c r="F32" s="114">
        <f>SUM(F24:F31)</f>
        <v>6</v>
      </c>
      <c r="G32" s="183"/>
      <c r="H32" s="184"/>
      <c r="I32" s="181"/>
      <c r="J32" s="226">
        <f>+'15'!J32</f>
        <v>0</v>
      </c>
      <c r="K32" s="252"/>
      <c r="L32" s="254"/>
      <c r="M32" s="129">
        <f>+K32+'15'!M32+L32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58548</v>
      </c>
      <c r="D34" s="119">
        <f>D14+D23+D32</f>
        <v>1600</v>
      </c>
      <c r="E34" s="119">
        <f>E14+E23+E32</f>
        <v>0</v>
      </c>
      <c r="F34" s="120">
        <f>F14+F23+F32</f>
        <v>146</v>
      </c>
      <c r="H34" s="190"/>
      <c r="I34" s="190"/>
      <c r="J34" s="135" t="s">
        <v>28</v>
      </c>
      <c r="K34" s="136">
        <f>SUM(K7:K32)</f>
        <v>58548</v>
      </c>
      <c r="L34" s="224">
        <f>SUM(L7:L32)</f>
        <v>0</v>
      </c>
      <c r="M34" s="132">
        <f>SUM(M7:M32)</f>
        <v>931522</v>
      </c>
    </row>
    <row r="35" spans="1:14" ht="13.5" thickBot="1">
      <c r="A35" s="191"/>
      <c r="B35" s="192"/>
      <c r="C35" s="116">
        <f>C34/($C$34+$D$34+$E$34)</f>
        <v>0.97339894925849568</v>
      </c>
      <c r="D35" s="116">
        <f>D34/($C$34+$D$34+$E$34)</f>
        <v>2.660105074150429E-2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(10.3*1405+13*35)/1440*G42*2.77*1440/1000000</f>
        <v>55.787326053000008</v>
      </c>
      <c r="J37" s="137">
        <f>+I37+'15'!J37</f>
        <v>1036.0561389383558</v>
      </c>
      <c r="K37" s="138" t="s">
        <v>64</v>
      </c>
      <c r="L37" s="558">
        <f>+I38</f>
        <v>54.137</v>
      </c>
    </row>
    <row r="38" spans="1:14" ht="17.45" customHeight="1">
      <c r="A38" s="1005" t="s">
        <v>12</v>
      </c>
      <c r="B38" s="1006"/>
      <c r="C38" s="176">
        <f>SUMIF($G$7:$G$31,"Process",$F$7:$F$31)</f>
        <v>37</v>
      </c>
      <c r="D38" s="130">
        <f>+C38+'15'!D38</f>
        <v>699</v>
      </c>
      <c r="E38" s="155">
        <f t="shared" ref="E38:E51" si="0">D38/60</f>
        <v>11.65</v>
      </c>
      <c r="F38" s="340">
        <v>1610</v>
      </c>
      <c r="G38" s="340">
        <f>+F38-F38*0.16</f>
        <v>1352.4</v>
      </c>
      <c r="H38" s="199" t="s">
        <v>65</v>
      </c>
      <c r="I38" s="549">
        <f>17.04+18.545+18.552</f>
        <v>54.137</v>
      </c>
      <c r="J38" s="139">
        <f>+I38+'15'!J38</f>
        <v>959.90722201000017</v>
      </c>
      <c r="K38" s="140" t="s">
        <v>64</v>
      </c>
      <c r="L38" s="161">
        <v>0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+C39+'15'!D39</f>
        <v>0</v>
      </c>
      <c r="E39" s="155">
        <f t="shared" si="0"/>
        <v>0</v>
      </c>
      <c r="F39" s="340">
        <v>1610</v>
      </c>
      <c r="G39" s="340">
        <f>+F39-F39*0.16</f>
        <v>1352.4</v>
      </c>
      <c r="H39" s="199" t="s">
        <v>66</v>
      </c>
      <c r="I39" s="154"/>
      <c r="J39" s="141">
        <f>J37/G4</f>
        <v>64.75350868364724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49</v>
      </c>
      <c r="D40" s="130">
        <f>+C40+'15'!D40</f>
        <v>49</v>
      </c>
      <c r="E40" s="155">
        <f t="shared" si="0"/>
        <v>0.81666666666666665</v>
      </c>
      <c r="F40" s="340">
        <v>1610.7291666666667</v>
      </c>
      <c r="G40" s="340">
        <v>1343</v>
      </c>
      <c r="H40" s="199" t="s">
        <v>68</v>
      </c>
      <c r="I40" s="130">
        <f>(K34+L34)/1000</f>
        <v>58.548000000000002</v>
      </c>
      <c r="J40" s="143">
        <f>+I40+'15'!J40</f>
        <v>931.52199999999993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60</v>
      </c>
      <c r="D41" s="130">
        <f>+C41+'15'!D41</f>
        <v>125</v>
      </c>
      <c r="E41" s="155">
        <f t="shared" si="0"/>
        <v>2.0833333333333335</v>
      </c>
      <c r="F41" s="340"/>
      <c r="G41" s="340"/>
      <c r="H41" s="199" t="s">
        <v>70</v>
      </c>
      <c r="I41" s="154"/>
      <c r="J41" s="141">
        <f>J40/G4</f>
        <v>58.220124999999996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+C42+'15'!D42</f>
        <v>0</v>
      </c>
      <c r="E42" s="155">
        <f t="shared" si="0"/>
        <v>0</v>
      </c>
      <c r="F42" s="340">
        <f>+(F38*480+F40*480+F39*480)/1440</f>
        <v>1610.2430555555557</v>
      </c>
      <c r="G42" s="340">
        <f>+(G38*480+G40*480+G39*480)/1440</f>
        <v>1349.2666666666667</v>
      </c>
      <c r="H42" s="199" t="s">
        <v>71</v>
      </c>
      <c r="I42" s="257" t="s">
        <v>683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+C43+'15'!D43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+Report1!T24</f>
        <v>122.318</v>
      </c>
      <c r="J43" s="145">
        <f>+I43+'15'!J43</f>
        <v>2050.8990000000003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+C44+'15'!D44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2.2594159262611524</v>
      </c>
      <c r="J44" s="146">
        <f>J43/J38</f>
        <v>2.1365596101105639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+C45+'15'!D45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2.0891917742706836</v>
      </c>
      <c r="J45" s="146">
        <f>J43/J40</f>
        <v>2.2016645876318548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+C46+'15'!D46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+SUMIF(Listrik!AR23,"&gt;0")</f>
        <v>54683.539999999251</v>
      </c>
      <c r="J46" s="147">
        <f>+I46+'15'!J46</f>
        <v>855611.59999999963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+C47+'15'!D47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1010.095498457603</v>
      </c>
      <c r="J47" s="147">
        <f>J46/J38</f>
        <v>891.34822655921846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+C48+'15'!D48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933.99501263918921</v>
      </c>
      <c r="J48" s="147">
        <f>J46/J40</f>
        <v>918.50927836379572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+C49+'15'!D49</f>
        <v>60</v>
      </c>
      <c r="E49" s="155">
        <f t="shared" si="0"/>
        <v>1</v>
      </c>
      <c r="F49" s="197"/>
      <c r="H49" s="200" t="s">
        <v>83</v>
      </c>
      <c r="I49" s="130">
        <v>0</v>
      </c>
      <c r="J49" s="147">
        <f>+I49+'15'!J49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+C50+'15'!D50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+C51+'15'!D51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146</v>
      </c>
      <c r="D52" s="156">
        <f>SUM(D38:D51)</f>
        <v>1801</v>
      </c>
      <c r="E52" s="157">
        <f>SUM(E38:E51)</f>
        <v>30.016666666666666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0.10138888888888889</v>
      </c>
      <c r="D53" s="158">
        <f>D52/(24*60*G4)</f>
        <v>7.8168402777777785E-2</v>
      </c>
      <c r="E53" s="159">
        <f>E52/(G4*24)</f>
        <v>7.8168402777777771E-2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+D34+'15'!J56</f>
        <v>24588</v>
      </c>
      <c r="K56" s="213">
        <f>J56/(J40+J56/1000)/1000</f>
        <v>2.5716706236730086E-2</v>
      </c>
    </row>
    <row r="57" spans="1:11">
      <c r="A57" s="188"/>
      <c r="I57" s="211" t="s">
        <v>90</v>
      </c>
      <c r="J57" s="212">
        <f>+E34+'15'!J57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topLeftCell="A4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15</v>
      </c>
      <c r="H4" s="166" t="str">
        <f>+'1'!H4</f>
        <v>.12.25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160+178+190</f>
        <v>528</v>
      </c>
    </row>
    <row r="7" spans="1:15" ht="13.5" customHeight="1" thickBot="1">
      <c r="A7" s="1007" t="s">
        <v>463</v>
      </c>
      <c r="B7" s="227" t="s">
        <v>602</v>
      </c>
      <c r="C7" s="228">
        <v>18785</v>
      </c>
      <c r="D7" s="229"/>
      <c r="E7" s="230"/>
      <c r="F7" s="239">
        <v>10</v>
      </c>
      <c r="G7" s="240" t="s">
        <v>12</v>
      </c>
      <c r="H7" s="241" t="s">
        <v>477</v>
      </c>
      <c r="I7" s="1010" t="s">
        <v>645</v>
      </c>
      <c r="J7" s="226" t="str">
        <f>+'14'!J7</f>
        <v>F 13 VP OW</v>
      </c>
      <c r="K7" s="249"/>
      <c r="L7" s="253"/>
      <c r="M7" s="129">
        <f>+K7+'14'!M7+L7</f>
        <v>109098</v>
      </c>
    </row>
    <row r="8" spans="1:15" ht="13.5" thickBot="1">
      <c r="A8" s="1008"/>
      <c r="B8" s="227" t="s">
        <v>640</v>
      </c>
      <c r="C8" s="228">
        <v>2888</v>
      </c>
      <c r="D8" s="229">
        <v>182</v>
      </c>
      <c r="E8" s="231"/>
      <c r="F8" s="242">
        <v>4</v>
      </c>
      <c r="G8" s="243" t="s">
        <v>12</v>
      </c>
      <c r="H8" s="241" t="s">
        <v>445</v>
      </c>
      <c r="I8" s="1011"/>
      <c r="J8" s="226" t="str">
        <f>+'14'!J8</f>
        <v>MG 15,5 VP OW</v>
      </c>
      <c r="K8" s="250"/>
      <c r="L8" s="250"/>
      <c r="M8" s="129">
        <f>+K8+'14'!M8+L8</f>
        <v>40782</v>
      </c>
      <c r="N8" s="161">
        <v>1560</v>
      </c>
      <c r="O8" s="161">
        <f>+N8-N8*0.16</f>
        <v>1310.4000000000001</v>
      </c>
    </row>
    <row r="9" spans="1:15" ht="13.5" thickBot="1">
      <c r="A9" s="1008"/>
      <c r="B9" s="227"/>
      <c r="C9" s="228"/>
      <c r="D9" s="229"/>
      <c r="E9" s="232"/>
      <c r="F9" s="239">
        <v>5</v>
      </c>
      <c r="G9" s="243" t="s">
        <v>12</v>
      </c>
      <c r="H9" s="574" t="s">
        <v>606</v>
      </c>
      <c r="I9" s="1011"/>
      <c r="J9" s="226" t="str">
        <f>+'14'!J9</f>
        <v>MG 16,5 VP HW</v>
      </c>
      <c r="K9" s="250"/>
      <c r="L9" s="250"/>
      <c r="M9" s="129">
        <f>+K9+'14'!M9+L9</f>
        <v>65896</v>
      </c>
      <c r="N9" s="161">
        <v>1640</v>
      </c>
      <c r="O9" s="161">
        <f>+N9-N9*0.16</f>
        <v>1377.6</v>
      </c>
    </row>
    <row r="10" spans="1:15" ht="13.5" thickBot="1">
      <c r="A10" s="1008"/>
      <c r="B10" s="227"/>
      <c r="C10" s="228"/>
      <c r="D10" s="229"/>
      <c r="E10" s="231"/>
      <c r="F10" s="239"/>
      <c r="G10" s="243"/>
      <c r="H10" s="574" t="s">
        <v>641</v>
      </c>
      <c r="I10" s="1011"/>
      <c r="J10" s="226" t="str">
        <f>+'14'!J10</f>
        <v>MG 17 VP HW</v>
      </c>
      <c r="K10" s="250"/>
      <c r="L10" s="250"/>
      <c r="M10" s="129">
        <f>+K10+'14'!M10+L10</f>
        <v>170813</v>
      </c>
      <c r="N10" s="161">
        <v>1610</v>
      </c>
      <c r="O10" s="161">
        <f>+N10-N10*0.16</f>
        <v>1352.4</v>
      </c>
    </row>
    <row r="11" spans="1:15" ht="13.5" thickBot="1">
      <c r="A11" s="1008"/>
      <c r="B11" s="227"/>
      <c r="C11" s="228"/>
      <c r="D11" s="229"/>
      <c r="E11" s="231"/>
      <c r="F11" s="239"/>
      <c r="G11" s="243"/>
      <c r="H11" s="244" t="s">
        <v>642</v>
      </c>
      <c r="I11" s="1011"/>
      <c r="J11" s="226" t="str">
        <f>+'14'!J11</f>
        <v>MG 14 VP OW</v>
      </c>
      <c r="K11" s="250"/>
      <c r="L11" s="250"/>
      <c r="M11" s="129">
        <f>+K11+'14'!M11+L11</f>
        <v>130379</v>
      </c>
    </row>
    <row r="12" spans="1:15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+'14'!J12</f>
        <v>MG 19 VP HW</v>
      </c>
      <c r="K12" s="250"/>
      <c r="L12" s="250"/>
      <c r="M12" s="129">
        <f>+K12+'14'!M12+L12</f>
        <v>20052</v>
      </c>
    </row>
    <row r="13" spans="1:15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+'14'!J13</f>
        <v>MG 17 VP OW</v>
      </c>
      <c r="K13" s="250"/>
      <c r="L13" s="250"/>
      <c r="M13" s="129">
        <f>+K13+'14'!M13+L13</f>
        <v>6479</v>
      </c>
    </row>
    <row r="14" spans="1:15" ht="13.5" thickBot="1">
      <c r="A14" s="1009"/>
      <c r="B14" s="177" t="s">
        <v>2</v>
      </c>
      <c r="C14" s="111">
        <f>SUM(C7:C13)</f>
        <v>21673</v>
      </c>
      <c r="D14" s="123">
        <f>SUM(D7:D13)</f>
        <v>182</v>
      </c>
      <c r="E14" s="124">
        <f>SUM(E5:E13)</f>
        <v>0</v>
      </c>
      <c r="F14" s="128">
        <f>SUM(F7:F13)</f>
        <v>19</v>
      </c>
      <c r="G14" s="171"/>
      <c r="H14" s="178"/>
      <c r="I14" s="179"/>
      <c r="J14" s="226" t="str">
        <f>+'14'!J14</f>
        <v>MG 21,5 VP OW</v>
      </c>
      <c r="K14" s="250"/>
      <c r="L14" s="250"/>
      <c r="M14" s="129">
        <f>+K14+'14'!M14+L14</f>
        <v>65067</v>
      </c>
    </row>
    <row r="15" spans="1:15" ht="13.5" customHeight="1" thickBot="1">
      <c r="A15" s="1007" t="s">
        <v>601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646</v>
      </c>
      <c r="J15" s="226" t="str">
        <f>+'14'!J15</f>
        <v>F 10,5 VP OW</v>
      </c>
      <c r="K15" s="250"/>
      <c r="L15" s="250"/>
      <c r="M15" s="129">
        <f>+K15+'14'!M15+L15</f>
        <v>0</v>
      </c>
    </row>
    <row r="16" spans="1:15" ht="13.5" thickBot="1">
      <c r="A16" s="1013"/>
      <c r="B16" s="227" t="s">
        <v>602</v>
      </c>
      <c r="C16" s="233">
        <v>7923</v>
      </c>
      <c r="D16" s="234"/>
      <c r="E16" s="235"/>
      <c r="F16" s="239"/>
      <c r="G16" s="243" t="s">
        <v>12</v>
      </c>
      <c r="H16" s="241" t="s">
        <v>448</v>
      </c>
      <c r="I16" s="1011"/>
      <c r="J16" s="226" t="str">
        <f>+'14'!J16</f>
        <v>F 10,3 VP OW</v>
      </c>
      <c r="K16" s="250">
        <f>+C7+C16+C25</f>
        <v>39756</v>
      </c>
      <c r="L16" s="240"/>
      <c r="M16" s="129">
        <f>+K16+'14'!M16+L16</f>
        <v>48909</v>
      </c>
    </row>
    <row r="17" spans="1:14" ht="13.5" thickBot="1">
      <c r="A17" s="1013"/>
      <c r="B17" s="227" t="s">
        <v>640</v>
      </c>
      <c r="C17" s="228">
        <v>12972</v>
      </c>
      <c r="D17" s="229">
        <v>66</v>
      </c>
      <c r="E17" s="236"/>
      <c r="F17" s="239">
        <v>2</v>
      </c>
      <c r="G17" s="243" t="s">
        <v>12</v>
      </c>
      <c r="H17" s="574" t="s">
        <v>649</v>
      </c>
      <c r="I17" s="1011"/>
      <c r="J17" s="226" t="str">
        <f>+'14'!J17</f>
        <v>SN 13 VP OW</v>
      </c>
      <c r="K17" s="250"/>
      <c r="L17" s="240"/>
      <c r="M17" s="129">
        <f>+K17+'14'!M17+L17</f>
        <v>132429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644</v>
      </c>
      <c r="I18" s="1011"/>
      <c r="J18" s="226" t="str">
        <f>+'14'!J18</f>
        <v>SN 14 VP OW</v>
      </c>
      <c r="K18" s="250"/>
      <c r="L18" s="250"/>
      <c r="M18" s="129">
        <f>+K18+'14'!M18+L18</f>
        <v>20814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 t="str">
        <f>+'14'!J19</f>
        <v>SN 15 VP OW</v>
      </c>
      <c r="K19" s="250">
        <f>+C8+C17+C26</f>
        <v>24597</v>
      </c>
      <c r="L19" s="250"/>
      <c r="M19" s="129">
        <f>+K19+'14'!M19+L19</f>
        <v>62256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+'14'!J20</f>
        <v>0</v>
      </c>
      <c r="K20" s="251"/>
      <c r="L20" s="251"/>
      <c r="M20" s="129">
        <f>+K20+'14'!M20+L20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+'14'!J21</f>
        <v>0</v>
      </c>
      <c r="K21" s="250"/>
      <c r="L21" s="250"/>
      <c r="M21" s="129">
        <f>+K21+'14'!M21+L21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+'14'!J22</f>
        <v>0</v>
      </c>
      <c r="K22" s="250"/>
      <c r="L22" s="250"/>
      <c r="M22" s="129">
        <f>+K22+'14'!M22+L22</f>
        <v>0</v>
      </c>
    </row>
    <row r="23" spans="1:14" ht="13.5" thickBot="1">
      <c r="A23" s="1014"/>
      <c r="B23" s="180" t="s">
        <v>2</v>
      </c>
      <c r="C23" s="112">
        <f>SUM(C16:C22)</f>
        <v>20895</v>
      </c>
      <c r="D23" s="123">
        <f>SUM(D16:D22)</f>
        <v>66</v>
      </c>
      <c r="E23" s="124">
        <f>SUM(E18:E22)</f>
        <v>0</v>
      </c>
      <c r="F23" s="128">
        <f>SUM(F15:F22)</f>
        <v>2</v>
      </c>
      <c r="G23" s="171"/>
      <c r="H23" s="178" t="s">
        <v>237</v>
      </c>
      <c r="I23" s="181"/>
      <c r="J23" s="226">
        <f>+'14'!J23</f>
        <v>0</v>
      </c>
      <c r="K23" s="250"/>
      <c r="L23" s="250"/>
      <c r="M23" s="129">
        <f>+K23+'14'!M23+L23</f>
        <v>0</v>
      </c>
    </row>
    <row r="24" spans="1:14" ht="13.5" customHeight="1" thickBot="1">
      <c r="A24" s="1007" t="s">
        <v>462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647</v>
      </c>
      <c r="J24" s="226">
        <f>+'14'!J24</f>
        <v>0</v>
      </c>
      <c r="K24" s="250"/>
      <c r="L24" s="250"/>
      <c r="M24" s="129">
        <f>+K24+'14'!M24+L24</f>
        <v>0</v>
      </c>
    </row>
    <row r="25" spans="1:14" ht="13.5" thickBot="1">
      <c r="A25" s="1013"/>
      <c r="B25" s="227" t="s">
        <v>602</v>
      </c>
      <c r="C25" s="237">
        <v>13048</v>
      </c>
      <c r="D25" s="229"/>
      <c r="E25" s="236"/>
      <c r="F25" s="242"/>
      <c r="G25" s="243" t="s">
        <v>12</v>
      </c>
      <c r="H25" s="241" t="s">
        <v>448</v>
      </c>
      <c r="I25" s="1011"/>
      <c r="J25" s="226">
        <f>+'14'!J25</f>
        <v>0</v>
      </c>
      <c r="K25" s="250"/>
      <c r="L25" s="250"/>
      <c r="M25" s="129">
        <f>+K25+'14'!M25+L25</f>
        <v>0</v>
      </c>
    </row>
    <row r="26" spans="1:14" ht="13.5" thickBot="1">
      <c r="A26" s="1013"/>
      <c r="B26" s="227" t="s">
        <v>640</v>
      </c>
      <c r="C26" s="237">
        <f>3403+5334</f>
        <v>8737</v>
      </c>
      <c r="D26" s="229">
        <v>146</v>
      </c>
      <c r="E26" s="238"/>
      <c r="F26" s="242">
        <v>9</v>
      </c>
      <c r="G26" s="243" t="s">
        <v>12</v>
      </c>
      <c r="H26" s="574" t="s">
        <v>606</v>
      </c>
      <c r="I26" s="1011"/>
      <c r="J26" s="226">
        <f>+'14'!J26</f>
        <v>0</v>
      </c>
      <c r="K26" s="250"/>
      <c r="L26" s="250"/>
      <c r="M26" s="129">
        <f>+K26+'14'!M26+L26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643</v>
      </c>
      <c r="I27" s="1011"/>
      <c r="J27" s="226">
        <f>+'14'!J27</f>
        <v>0</v>
      </c>
      <c r="K27" s="250"/>
      <c r="L27" s="250"/>
      <c r="M27" s="129">
        <f>+K27+'14'!M27+L27</f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+'14'!J28</f>
        <v>0</v>
      </c>
      <c r="K28" s="250"/>
      <c r="L28" s="250"/>
      <c r="M28" s="129">
        <f>+K28+'14'!M28+L28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+'14'!J29</f>
        <v>0</v>
      </c>
      <c r="K29" s="250"/>
      <c r="L29" s="250"/>
      <c r="M29" s="129">
        <f>+K29+'14'!M29+L29</f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+'14'!J30</f>
        <v>0</v>
      </c>
      <c r="K30" s="250"/>
      <c r="L30" s="250"/>
      <c r="M30" s="129">
        <f>+K30+'14'!M30+L30</f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+'14'!J31</f>
        <v>0</v>
      </c>
      <c r="K31" s="250"/>
      <c r="L31" s="250"/>
      <c r="M31" s="129">
        <f>+K31+'14'!M31+L31</f>
        <v>0</v>
      </c>
    </row>
    <row r="32" spans="1:14" ht="13.5" thickBot="1">
      <c r="A32" s="1014"/>
      <c r="B32" s="177" t="s">
        <v>2</v>
      </c>
      <c r="C32" s="111">
        <f>SUM(C25:C31)</f>
        <v>21785</v>
      </c>
      <c r="D32" s="112">
        <f>SUM(D25:D31)</f>
        <v>146</v>
      </c>
      <c r="E32" s="113">
        <f>SUM(E25:E31)</f>
        <v>0</v>
      </c>
      <c r="F32" s="114">
        <f>SUM(F24:F31)</f>
        <v>9</v>
      </c>
      <c r="G32" s="183"/>
      <c r="H32" s="184"/>
      <c r="I32" s="181"/>
      <c r="J32" s="226">
        <f>+'14'!J32</f>
        <v>0</v>
      </c>
      <c r="K32" s="252"/>
      <c r="L32" s="254"/>
      <c r="M32" s="129">
        <f>+K32+'14'!M32+L32</f>
        <v>0</v>
      </c>
    </row>
    <row r="33" spans="1:14" ht="13.5" thickBot="1">
      <c r="A33" s="185"/>
      <c r="B33" s="186"/>
      <c r="C33" s="115">
        <f>C32/($C$32+$D$32+$E$32)</f>
        <v>0.99334275682823403</v>
      </c>
      <c r="D33" s="116">
        <f>D32/($C$32+$D$32+$E$32)</f>
        <v>6.6572431717659931E-3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64353</v>
      </c>
      <c r="D34" s="119">
        <f>D14+D23+D32</f>
        <v>394</v>
      </c>
      <c r="E34" s="119">
        <f>E14+E23+E32</f>
        <v>0</v>
      </c>
      <c r="F34" s="120">
        <f>F14+F23+F32</f>
        <v>30</v>
      </c>
      <c r="H34" s="190"/>
      <c r="I34" s="190"/>
      <c r="J34" s="135" t="s">
        <v>28</v>
      </c>
      <c r="K34" s="136">
        <f>SUM(K7:K32)</f>
        <v>64353</v>
      </c>
      <c r="L34" s="224">
        <f>SUM(L7:L32)</f>
        <v>0</v>
      </c>
      <c r="M34" s="132">
        <f>SUM(M7:M32)</f>
        <v>872974</v>
      </c>
      <c r="N34" s="167"/>
    </row>
    <row r="35" spans="1:14" ht="13.5" thickBot="1">
      <c r="A35" s="191"/>
      <c r="B35" s="192"/>
      <c r="C35" s="116">
        <f>C34/($C$34+$D$34+$E$34)</f>
        <v>0.99391477597417643</v>
      </c>
      <c r="D35" s="116">
        <f>D34/($C$34+$D$34+$E$34)</f>
        <v>6.08522402582359E-3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(10.3*1440)/1440*G42*2.77*1440/1000000</f>
        <v>55.332793152000008</v>
      </c>
      <c r="J37" s="137">
        <f>+I37+'14'!J37</f>
        <v>980.26881288535583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30</v>
      </c>
      <c r="D38" s="130">
        <f>+C38+'14'!D38</f>
        <v>662</v>
      </c>
      <c r="E38" s="155">
        <f t="shared" ref="E38:E51" si="0">D38/60</f>
        <v>11.033333333333333</v>
      </c>
      <c r="F38" s="340">
        <v>1560</v>
      </c>
      <c r="G38" s="340">
        <f>+F38-F38*0.16</f>
        <v>1310.4000000000001</v>
      </c>
      <c r="H38" s="199" t="s">
        <v>65</v>
      </c>
      <c r="I38" s="256">
        <f>17.305+16.683+19.231</f>
        <v>53.219000000000001</v>
      </c>
      <c r="J38" s="139">
        <f>+I38+'14'!J38</f>
        <v>905.77022201000011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+C39+'14'!D39</f>
        <v>0</v>
      </c>
      <c r="E39" s="155">
        <f t="shared" si="0"/>
        <v>0</v>
      </c>
      <c r="F39" s="340">
        <v>1640</v>
      </c>
      <c r="G39" s="340">
        <f>+F39-F39*0.16</f>
        <v>1377.6</v>
      </c>
      <c r="H39" s="199" t="s">
        <v>66</v>
      </c>
      <c r="I39" s="154"/>
      <c r="J39" s="141">
        <f>J37/G4</f>
        <v>65.351254192357061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+C40+'14'!D40</f>
        <v>0</v>
      </c>
      <c r="E40" s="155">
        <f t="shared" si="0"/>
        <v>0</v>
      </c>
      <c r="F40" s="340">
        <v>1610</v>
      </c>
      <c r="G40" s="340">
        <f>+F40-F40*0.16</f>
        <v>1352.4</v>
      </c>
      <c r="H40" s="199" t="s">
        <v>68</v>
      </c>
      <c r="I40" s="130">
        <f>(K34+L34)/1000</f>
        <v>64.352999999999994</v>
      </c>
      <c r="J40" s="143">
        <f>+I40+'14'!J40</f>
        <v>872.97399999999993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+C41+'14'!D41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58.198266666666662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+C42+'14'!D42</f>
        <v>0</v>
      </c>
      <c r="E42" s="155">
        <f t="shared" si="0"/>
        <v>0</v>
      </c>
      <c r="F42" s="340">
        <f>+(F38*480+F39*480+F40*480)/1440</f>
        <v>1603.3333333333333</v>
      </c>
      <c r="G42" s="340">
        <f>+(G38*480+G39*480+G40*480)/1440</f>
        <v>1346.8</v>
      </c>
      <c r="H42" s="199" t="s">
        <v>71</v>
      </c>
      <c r="I42" s="257" t="s">
        <v>648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+C43+'14'!D43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+Report1!T23</f>
        <v>120.38500000000001</v>
      </c>
      <c r="J43" s="145">
        <f>+I43+'14'!J43</f>
        <v>1928.5810000000001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+C44+'14'!D44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2.2620680584001955</v>
      </c>
      <c r="J44" s="146">
        <f>J43/J38</f>
        <v>2.1292166082919732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+C45+'14'!D45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1.8706975587773689</v>
      </c>
      <c r="J45" s="146">
        <f>J43/J40</f>
        <v>2.2092078343684922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+C46+'14'!D46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+SUMIF(Listrik!AR22,"&gt;0")</f>
        <v>55241.10000000197</v>
      </c>
      <c r="J46" s="147">
        <f>+I46+'14'!J46</f>
        <v>800928.06000000041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+C47+'14'!D47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1037.9958285575071</v>
      </c>
      <c r="J47" s="147">
        <f>J46/J38</f>
        <v>884.25081829545707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+C48+'14'!D48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858.4075334483548</v>
      </c>
      <c r="J48" s="147">
        <f>J46/J40</f>
        <v>917.47069213974351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+C49+'14'!D49</f>
        <v>60</v>
      </c>
      <c r="E49" s="155">
        <f t="shared" si="0"/>
        <v>1</v>
      </c>
      <c r="F49" s="197"/>
      <c r="H49" s="200" t="s">
        <v>83</v>
      </c>
      <c r="I49" s="130">
        <v>0</v>
      </c>
      <c r="J49" s="147">
        <f>+I49+'14'!J49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+C50+'14'!D50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+C51+'14'!D51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30</v>
      </c>
      <c r="D52" s="156">
        <f>SUM(D38:D51)</f>
        <v>1655</v>
      </c>
      <c r="E52" s="157">
        <f>SUM(E38:E51)</f>
        <v>27.583333333333336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2.0833333333333332E-2</v>
      </c>
      <c r="D53" s="158">
        <f>D52/(24*60*G4)</f>
        <v>7.6620370370370366E-2</v>
      </c>
      <c r="E53" s="159">
        <f>E52/(G4*24)</f>
        <v>7.662037037037038E-2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+D34+'14'!J56</f>
        <v>22988</v>
      </c>
      <c r="K56" s="213">
        <f>J56/(J40+J56/1000)/1000</f>
        <v>2.5657338146037444E-2</v>
      </c>
    </row>
    <row r="57" spans="1:11">
      <c r="A57" s="188"/>
      <c r="I57" s="211" t="s">
        <v>90</v>
      </c>
      <c r="J57" s="212">
        <f>+E34+'14'!J57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7:I13"/>
    <mergeCell ref="A15:A23"/>
    <mergeCell ref="I15:I22"/>
    <mergeCell ref="A44:B44"/>
    <mergeCell ref="A45:B45"/>
    <mergeCell ref="A42:B42"/>
    <mergeCell ref="I24:I31"/>
    <mergeCell ref="A24:A3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A53:B53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0" zoomScale="80" zoomScaleNormal="75" zoomScaleSheetLayoutView="80" workbookViewId="0">
      <selection activeCell="G29" sqref="G29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6" ht="15.75">
      <c r="A1" s="160"/>
    </row>
    <row r="2" spans="1:16" ht="15.75">
      <c r="A2" s="160" t="s">
        <v>149</v>
      </c>
    </row>
    <row r="3" spans="1:16" ht="15">
      <c r="A3" s="162"/>
    </row>
    <row r="4" spans="1:16" ht="20.25">
      <c r="A4" s="163" t="s">
        <v>3</v>
      </c>
      <c r="B4" s="164"/>
      <c r="F4" s="165" t="s">
        <v>30</v>
      </c>
      <c r="G4" s="166">
        <v>14</v>
      </c>
      <c r="H4" s="166" t="str">
        <f>+'1'!H4</f>
        <v>.12.25</v>
      </c>
    </row>
    <row r="5" spans="1:16" ht="13.5" thickBot="1">
      <c r="C5" s="167"/>
      <c r="D5" s="167"/>
    </row>
    <row r="6" spans="1:16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180+192+205</f>
        <v>577</v>
      </c>
    </row>
    <row r="7" spans="1:16" ht="13.5" customHeight="1" thickBot="1">
      <c r="A7" s="1007" t="s">
        <v>463</v>
      </c>
      <c r="B7" s="227" t="s">
        <v>631</v>
      </c>
      <c r="C7" s="228">
        <v>10017</v>
      </c>
      <c r="D7" s="229">
        <v>82</v>
      </c>
      <c r="E7" s="230"/>
      <c r="F7" s="239"/>
      <c r="G7" s="240" t="s">
        <v>12</v>
      </c>
      <c r="H7" s="241" t="s">
        <v>492</v>
      </c>
      <c r="I7" s="1010" t="s">
        <v>595</v>
      </c>
      <c r="J7" s="226" t="str">
        <f>+'13'!J7</f>
        <v>F 13 VP OW</v>
      </c>
      <c r="K7" s="249"/>
      <c r="L7" s="253"/>
      <c r="M7" s="129">
        <f>+K7+'13'!M7+L7</f>
        <v>109098</v>
      </c>
    </row>
    <row r="8" spans="1:16" ht="13.5" thickBot="1">
      <c r="A8" s="1008"/>
      <c r="B8" s="227" t="s">
        <v>640</v>
      </c>
      <c r="C8" s="228">
        <v>3168</v>
      </c>
      <c r="D8" s="229">
        <f>727+106</f>
        <v>833</v>
      </c>
      <c r="E8" s="231"/>
      <c r="F8" s="242"/>
      <c r="G8" s="243" t="s">
        <v>12</v>
      </c>
      <c r="H8" s="241" t="s">
        <v>448</v>
      </c>
      <c r="I8" s="1011"/>
      <c r="J8" s="226" t="str">
        <f>+'13'!J8</f>
        <v>MG 15,5 VP OW</v>
      </c>
      <c r="K8" s="250"/>
      <c r="L8" s="250"/>
      <c r="M8" s="129">
        <f>+K8+'13'!M8+L8</f>
        <v>40782</v>
      </c>
      <c r="N8" s="161">
        <v>1350</v>
      </c>
      <c r="O8" s="161">
        <f>+N8-N8*0.2</f>
        <v>1080</v>
      </c>
      <c r="P8" s="161">
        <f>480+480+445</f>
        <v>1405</v>
      </c>
    </row>
    <row r="9" spans="1:16" ht="13.5" thickBot="1">
      <c r="A9" s="1008"/>
      <c r="B9" s="227"/>
      <c r="C9" s="228"/>
      <c r="D9" s="229"/>
      <c r="E9" s="232"/>
      <c r="F9" s="239">
        <v>3</v>
      </c>
      <c r="G9" s="243" t="s">
        <v>12</v>
      </c>
      <c r="H9" s="574" t="s">
        <v>450</v>
      </c>
      <c r="I9" s="1011"/>
      <c r="J9" s="226" t="str">
        <f>+'13'!J9</f>
        <v>MG 16,5 VP HW</v>
      </c>
      <c r="K9" s="250"/>
      <c r="L9" s="250"/>
      <c r="M9" s="129">
        <f>+K9+'13'!M9+L9</f>
        <v>65896</v>
      </c>
    </row>
    <row r="10" spans="1:16" ht="13.5" thickBot="1">
      <c r="A10" s="1008"/>
      <c r="B10" s="227"/>
      <c r="C10" s="228"/>
      <c r="D10" s="229"/>
      <c r="E10" s="231"/>
      <c r="F10" s="239"/>
      <c r="G10" s="243"/>
      <c r="H10" s="574" t="s">
        <v>613</v>
      </c>
      <c r="I10" s="1011"/>
      <c r="J10" s="226" t="str">
        <f>+'13'!J10</f>
        <v>MG 17 VP HW</v>
      </c>
      <c r="K10" s="250"/>
      <c r="L10" s="250"/>
      <c r="M10" s="129">
        <f>+K10+'13'!M10+L10</f>
        <v>170813</v>
      </c>
    </row>
    <row r="11" spans="1:16" ht="39" thickBot="1">
      <c r="A11" s="1008"/>
      <c r="B11" s="227"/>
      <c r="C11" s="228"/>
      <c r="D11" s="229"/>
      <c r="E11" s="231"/>
      <c r="F11" s="239"/>
      <c r="G11" s="243"/>
      <c r="H11" s="244" t="s">
        <v>614</v>
      </c>
      <c r="I11" s="1011"/>
      <c r="J11" s="226" t="str">
        <f>+'13'!J11</f>
        <v>MG 14 VP OW</v>
      </c>
      <c r="K11" s="250"/>
      <c r="L11" s="250"/>
      <c r="M11" s="129">
        <f>+K11+'13'!M11+L11</f>
        <v>130379</v>
      </c>
    </row>
    <row r="12" spans="1:16" ht="13.5" thickBot="1">
      <c r="A12" s="1008"/>
      <c r="B12" s="227"/>
      <c r="C12" s="228"/>
      <c r="D12" s="229"/>
      <c r="E12" s="231"/>
      <c r="F12" s="239"/>
      <c r="G12" s="243"/>
      <c r="H12" s="244" t="s">
        <v>615</v>
      </c>
      <c r="I12" s="1011"/>
      <c r="J12" s="226" t="str">
        <f>+'13'!J12</f>
        <v>MG 19 VP HW</v>
      </c>
      <c r="K12" s="250"/>
      <c r="L12" s="250"/>
      <c r="M12" s="129">
        <f>+K12+'13'!M12+L12</f>
        <v>20052</v>
      </c>
    </row>
    <row r="13" spans="1:16" ht="39" thickBot="1">
      <c r="A13" s="1008"/>
      <c r="B13" s="227"/>
      <c r="C13" s="228"/>
      <c r="D13" s="228"/>
      <c r="E13" s="231"/>
      <c r="F13" s="239"/>
      <c r="G13" s="243"/>
      <c r="H13" s="244" t="s">
        <v>616</v>
      </c>
      <c r="I13" s="1012"/>
      <c r="J13" s="226" t="str">
        <f>+'13'!J13</f>
        <v>MG 17 VP OW</v>
      </c>
      <c r="K13" s="250"/>
      <c r="L13" s="250"/>
      <c r="M13" s="129">
        <f>+K13+'13'!M13+L13</f>
        <v>6479</v>
      </c>
    </row>
    <row r="14" spans="1:16" ht="13.5" thickBot="1">
      <c r="A14" s="1009"/>
      <c r="B14" s="177" t="s">
        <v>2</v>
      </c>
      <c r="C14" s="111">
        <f>SUM(C7:C13)</f>
        <v>13185</v>
      </c>
      <c r="D14" s="123">
        <f>SUM(D7:D13)</f>
        <v>915</v>
      </c>
      <c r="E14" s="124">
        <f>SUM(E5:E13)</f>
        <v>0</v>
      </c>
      <c r="F14" s="128">
        <f>SUM(F7:F13)</f>
        <v>3</v>
      </c>
      <c r="G14" s="171"/>
      <c r="H14" s="178"/>
      <c r="I14" s="179"/>
      <c r="J14" s="226" t="str">
        <f>+'13'!J14</f>
        <v>MG 21,5 VP OW</v>
      </c>
      <c r="K14" s="250"/>
      <c r="L14" s="250"/>
      <c r="M14" s="129">
        <f>+K14+'13'!M14+L14</f>
        <v>65067</v>
      </c>
    </row>
    <row r="15" spans="1:16" ht="13.5" customHeight="1" thickBot="1">
      <c r="A15" s="1007" t="s">
        <v>601</v>
      </c>
      <c r="B15" s="177"/>
      <c r="C15" s="125"/>
      <c r="D15" s="126"/>
      <c r="E15" s="127"/>
      <c r="F15" s="239">
        <v>10</v>
      </c>
      <c r="G15" s="240" t="s">
        <v>12</v>
      </c>
      <c r="H15" s="241" t="s">
        <v>477</v>
      </c>
      <c r="I15" s="1010" t="s">
        <v>595</v>
      </c>
      <c r="J15" s="226" t="str">
        <f>+'13'!J15</f>
        <v>F 10,5 VP OW</v>
      </c>
      <c r="K15" s="250"/>
      <c r="L15" s="250"/>
      <c r="M15" s="129">
        <f>+K15+'13'!M15+L15</f>
        <v>0</v>
      </c>
    </row>
    <row r="16" spans="1:16" ht="13.5" thickBot="1">
      <c r="A16" s="1013"/>
      <c r="B16" s="227" t="s">
        <v>640</v>
      </c>
      <c r="C16" s="233">
        <v>15428</v>
      </c>
      <c r="D16" s="234">
        <f>225+90</f>
        <v>315</v>
      </c>
      <c r="E16" s="235"/>
      <c r="F16" s="239">
        <v>5</v>
      </c>
      <c r="G16" s="243" t="s">
        <v>12</v>
      </c>
      <c r="H16" s="241" t="s">
        <v>627</v>
      </c>
      <c r="I16" s="1011"/>
      <c r="J16" s="226" t="str">
        <f>+'13'!J16</f>
        <v>F 10,3 VP OW</v>
      </c>
      <c r="K16" s="250"/>
      <c r="L16" s="240"/>
      <c r="M16" s="129">
        <f>+K16+'13'!M16+L16</f>
        <v>9153</v>
      </c>
    </row>
    <row r="17" spans="1:18" ht="13.5" thickBot="1">
      <c r="A17" s="1013"/>
      <c r="B17" s="227" t="s">
        <v>631</v>
      </c>
      <c r="C17" s="228"/>
      <c r="D17" s="229">
        <f>57+348</f>
        <v>405</v>
      </c>
      <c r="E17" s="236"/>
      <c r="F17" s="239">
        <v>10</v>
      </c>
      <c r="G17" s="243" t="s">
        <v>12</v>
      </c>
      <c r="H17" s="574" t="s">
        <v>606</v>
      </c>
      <c r="I17" s="1011"/>
      <c r="J17" s="226" t="str">
        <f>+'13'!J17</f>
        <v>SN 13 VP OW</v>
      </c>
      <c r="K17" s="250"/>
      <c r="L17" s="240"/>
      <c r="M17" s="129">
        <f>+K17+'13'!M17+L17</f>
        <v>132429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613</v>
      </c>
      <c r="I18" s="1011"/>
      <c r="J18" s="226" t="str">
        <f>+'13'!J18</f>
        <v>SN 14 VP OW</v>
      </c>
      <c r="K18" s="250">
        <f>+C7</f>
        <v>10017</v>
      </c>
      <c r="L18" s="250"/>
      <c r="M18" s="129">
        <f>+K18+'13'!M18+L18</f>
        <v>20814</v>
      </c>
    </row>
    <row r="19" spans="1:18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 t="s">
        <v>640</v>
      </c>
      <c r="K19" s="250">
        <f>+C8+C16+C25</f>
        <v>37659</v>
      </c>
      <c r="L19" s="250"/>
      <c r="M19" s="129">
        <f>+K19+'13'!M19+L19</f>
        <v>37659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+'13'!J20</f>
        <v>0</v>
      </c>
      <c r="K20" s="251"/>
      <c r="L20" s="251"/>
      <c r="M20" s="129">
        <f>+K20+'13'!M20+L20</f>
        <v>0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+'13'!J21</f>
        <v>0</v>
      </c>
      <c r="K21" s="250"/>
      <c r="L21" s="250"/>
      <c r="M21" s="129">
        <f>+K21+'13'!M21+L21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+'13'!J22</f>
        <v>0</v>
      </c>
      <c r="K22" s="250"/>
      <c r="L22" s="250"/>
      <c r="M22" s="129">
        <f>+K22+'13'!M22+L22</f>
        <v>0</v>
      </c>
    </row>
    <row r="23" spans="1:18" ht="13.5" thickBot="1">
      <c r="A23" s="1014"/>
      <c r="B23" s="180" t="s">
        <v>2</v>
      </c>
      <c r="C23" s="112">
        <f>SUM(C16:C22)</f>
        <v>15428</v>
      </c>
      <c r="D23" s="123">
        <f>SUM(D16:D22)</f>
        <v>720</v>
      </c>
      <c r="E23" s="124">
        <f>SUM(E18:E22)</f>
        <v>0</v>
      </c>
      <c r="F23" s="128">
        <f>SUM(F15:F22)</f>
        <v>25</v>
      </c>
      <c r="G23" s="171"/>
      <c r="H23" s="178" t="s">
        <v>237</v>
      </c>
      <c r="I23" s="181"/>
      <c r="J23" s="226">
        <f>+'13'!J23</f>
        <v>0</v>
      </c>
      <c r="K23" s="250"/>
      <c r="L23" s="250"/>
      <c r="M23" s="129">
        <f>+K23+'13'!M23+L23</f>
        <v>0</v>
      </c>
    </row>
    <row r="24" spans="1:18" ht="13.5" customHeight="1" thickBot="1">
      <c r="A24" s="1007" t="s">
        <v>461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626</v>
      </c>
      <c r="J24" s="226">
        <f>+'13'!J24</f>
        <v>0</v>
      </c>
      <c r="K24" s="250"/>
      <c r="L24" s="250"/>
      <c r="M24" s="129">
        <f>+K24+'13'!M24+L24</f>
        <v>0</v>
      </c>
    </row>
    <row r="25" spans="1:18" ht="13.5" thickBot="1">
      <c r="A25" s="1013"/>
      <c r="B25" s="227" t="s">
        <v>640</v>
      </c>
      <c r="C25" s="237">
        <v>19063</v>
      </c>
      <c r="D25" s="229">
        <f>186+188</f>
        <v>374</v>
      </c>
      <c r="E25" s="236"/>
      <c r="F25" s="242">
        <v>5</v>
      </c>
      <c r="G25" s="243" t="s">
        <v>12</v>
      </c>
      <c r="H25" s="241" t="s">
        <v>581</v>
      </c>
      <c r="I25" s="1011"/>
      <c r="J25" s="226">
        <f>+'13'!J25</f>
        <v>0</v>
      </c>
      <c r="K25" s="250"/>
      <c r="L25" s="250"/>
      <c r="M25" s="129">
        <f>+K25+'13'!M25+L25</f>
        <v>0</v>
      </c>
      <c r="N25" s="161">
        <v>1350</v>
      </c>
      <c r="O25" s="161">
        <f>+N25-N25*0.2</f>
        <v>1080</v>
      </c>
      <c r="P25" s="161">
        <f>480-P26</f>
        <v>445</v>
      </c>
      <c r="Q25" s="161">
        <f>+N25*P25</f>
        <v>600750</v>
      </c>
      <c r="R25" s="161">
        <f>+O25*P25</f>
        <v>480600</v>
      </c>
    </row>
    <row r="26" spans="1:18" ht="13.5" thickBot="1">
      <c r="A26" s="1013"/>
      <c r="B26" s="227" t="s">
        <v>631</v>
      </c>
      <c r="C26" s="237"/>
      <c r="D26" s="229">
        <v>117</v>
      </c>
      <c r="E26" s="238"/>
      <c r="F26" s="242">
        <v>8</v>
      </c>
      <c r="G26" s="243" t="s">
        <v>12</v>
      </c>
      <c r="H26" s="574" t="s">
        <v>450</v>
      </c>
      <c r="I26" s="1011"/>
      <c r="J26" s="226">
        <f>+'13'!J26</f>
        <v>0</v>
      </c>
      <c r="K26" s="250"/>
      <c r="L26" s="250"/>
      <c r="M26" s="129">
        <f>+K26+'13'!M26+L26</f>
        <v>0</v>
      </c>
      <c r="N26" s="161">
        <v>1560</v>
      </c>
      <c r="O26" s="161">
        <f>+N26-N26*0.16</f>
        <v>1310.4000000000001</v>
      </c>
      <c r="P26" s="161">
        <f>60-25</f>
        <v>35</v>
      </c>
      <c r="Q26" s="161">
        <f>+N26*P26</f>
        <v>54600</v>
      </c>
      <c r="R26" s="161">
        <f>+O26*P26</f>
        <v>45864</v>
      </c>
    </row>
    <row r="27" spans="1:18" ht="13.5" thickBot="1">
      <c r="A27" s="1013"/>
      <c r="B27" s="227"/>
      <c r="C27" s="228"/>
      <c r="D27" s="229"/>
      <c r="E27" s="236"/>
      <c r="F27" s="242"/>
      <c r="G27" s="243"/>
      <c r="H27" s="574" t="s">
        <v>613</v>
      </c>
      <c r="I27" s="1011"/>
      <c r="J27" s="226">
        <f>+'13'!J27</f>
        <v>0</v>
      </c>
      <c r="K27" s="250"/>
      <c r="L27" s="250"/>
      <c r="M27" s="129">
        <f>+K27+'13'!M27+L27</f>
        <v>0</v>
      </c>
      <c r="P27" s="161">
        <f>SUM(P25:P26)</f>
        <v>480</v>
      </c>
      <c r="Q27" s="161">
        <f>SUM(Q25:Q26)</f>
        <v>655350</v>
      </c>
      <c r="R27" s="161">
        <f>SUM(R25:R26)</f>
        <v>526464</v>
      </c>
    </row>
    <row r="28" spans="1:18" ht="13.5" thickBot="1">
      <c r="A28" s="1013"/>
      <c r="B28" s="227"/>
      <c r="C28" s="228"/>
      <c r="D28" s="229"/>
      <c r="E28" s="236"/>
      <c r="F28" s="242">
        <v>15</v>
      </c>
      <c r="G28" s="243" t="s">
        <v>12</v>
      </c>
      <c r="H28" s="244" t="s">
        <v>617</v>
      </c>
      <c r="I28" s="1011"/>
      <c r="J28" s="226">
        <f>+'13'!J28</f>
        <v>0</v>
      </c>
      <c r="K28" s="250"/>
      <c r="L28" s="250"/>
      <c r="M28" s="129">
        <f>+K28+'13'!M28+L28</f>
        <v>0</v>
      </c>
      <c r="Q28" s="161">
        <f>+Q27/P27</f>
        <v>1365.3125</v>
      </c>
      <c r="R28" s="161">
        <f>+R27/P27</f>
        <v>1096.8</v>
      </c>
    </row>
    <row r="29" spans="1:18" ht="13.5" thickBot="1">
      <c r="A29" s="1013"/>
      <c r="B29" s="227"/>
      <c r="C29" s="228"/>
      <c r="D29" s="229"/>
      <c r="E29" s="236"/>
      <c r="F29" s="247">
        <v>10</v>
      </c>
      <c r="G29" s="243" t="s">
        <v>12</v>
      </c>
      <c r="H29" s="244" t="s">
        <v>619</v>
      </c>
      <c r="I29" s="1011"/>
      <c r="J29" s="226">
        <f>+'13'!J29</f>
        <v>0</v>
      </c>
      <c r="K29" s="250"/>
      <c r="L29" s="250"/>
      <c r="M29" s="129">
        <f>+K29+'13'!M29+L29</f>
        <v>0</v>
      </c>
    </row>
    <row r="30" spans="1:18" ht="13.5" thickBot="1">
      <c r="A30" s="1013"/>
      <c r="B30" s="227"/>
      <c r="C30" s="237"/>
      <c r="D30" s="229"/>
      <c r="E30" s="236"/>
      <c r="F30" s="247"/>
      <c r="G30" s="243"/>
      <c r="H30" s="244" t="s">
        <v>620</v>
      </c>
      <c r="I30" s="1011"/>
      <c r="J30" s="226">
        <f>+'13'!J30</f>
        <v>0</v>
      </c>
      <c r="K30" s="250"/>
      <c r="L30" s="250"/>
      <c r="M30" s="129">
        <f>+K30+'13'!M30+L30</f>
        <v>0</v>
      </c>
      <c r="N30" s="167"/>
    </row>
    <row r="31" spans="1:18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+'13'!J31</f>
        <v>0</v>
      </c>
      <c r="K31" s="250"/>
      <c r="L31" s="250"/>
      <c r="M31" s="129">
        <f>+K31+'13'!M31+L31</f>
        <v>0</v>
      </c>
    </row>
    <row r="32" spans="1:18" ht="13.5" thickBot="1">
      <c r="A32" s="1014"/>
      <c r="B32" s="177" t="s">
        <v>2</v>
      </c>
      <c r="C32" s="111">
        <f>SUM(C25:C31)</f>
        <v>19063</v>
      </c>
      <c r="D32" s="112">
        <f>SUM(D25:D31)</f>
        <v>491</v>
      </c>
      <c r="E32" s="113">
        <f>SUM(E25:E31)</f>
        <v>0</v>
      </c>
      <c r="F32" s="114">
        <f>SUM(F24:F31)</f>
        <v>38</v>
      </c>
      <c r="G32" s="183"/>
      <c r="H32" s="184"/>
      <c r="I32" s="181"/>
      <c r="J32" s="226">
        <f>+'13'!J32</f>
        <v>0</v>
      </c>
      <c r="K32" s="252"/>
      <c r="L32" s="254"/>
      <c r="M32" s="129">
        <f>+K32+'13'!M32+L32</f>
        <v>0</v>
      </c>
    </row>
    <row r="33" spans="1:14" ht="13.5" thickBot="1">
      <c r="A33" s="185"/>
      <c r="B33" s="186"/>
      <c r="C33" s="115">
        <f>C32/($C$32+$D$32+$E$32)</f>
        <v>0.97489004807200574</v>
      </c>
      <c r="D33" s="116">
        <f>D32/($C$32+$D$32+$E$32)</f>
        <v>2.5109951927994274E-2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47676</v>
      </c>
      <c r="D34" s="119">
        <f>D14+D23+D32</f>
        <v>2126</v>
      </c>
      <c r="E34" s="119">
        <f>E14+E23+E32</f>
        <v>0</v>
      </c>
      <c r="F34" s="120">
        <f>F14+F23+F32</f>
        <v>66</v>
      </c>
      <c r="H34" s="190"/>
      <c r="I34" s="190"/>
      <c r="J34" s="135" t="s">
        <v>28</v>
      </c>
      <c r="K34" s="136">
        <f>SUM(K7:K32)</f>
        <v>47676</v>
      </c>
      <c r="L34" s="224">
        <f>SUM(L7:L32)</f>
        <v>0</v>
      </c>
      <c r="M34" s="132">
        <f>SUM(M7:M32)</f>
        <v>808621</v>
      </c>
      <c r="N34" s="167"/>
    </row>
    <row r="35" spans="1:14" ht="13.5" thickBot="1">
      <c r="A35" s="191"/>
      <c r="B35" s="192"/>
      <c r="C35" s="116">
        <f>C34/($C$34+$D$34+$E$34)</f>
        <v>0.95731095136741495</v>
      </c>
      <c r="D35" s="116">
        <f>D34/($C$34+$D$34+$E$34)</f>
        <v>4.268904863258504E-2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(15*1405+10.3*35)/1440*G42*2.77*1440/1000000</f>
        <v>64.458949275999998</v>
      </c>
      <c r="J37" s="137">
        <f>+I37+'13'!J37</f>
        <v>924.93601973335581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66</v>
      </c>
      <c r="D38" s="130">
        <f>+C38+'13'!D38</f>
        <v>632</v>
      </c>
      <c r="E38" s="155">
        <f t="shared" ref="E38:E51" si="0">D38/60</f>
        <v>10.533333333333333</v>
      </c>
      <c r="F38" s="340">
        <v>1350</v>
      </c>
      <c r="G38" s="340">
        <f>+F38-F38*0.2</f>
        <v>1080</v>
      </c>
      <c r="H38" s="199" t="s">
        <v>65</v>
      </c>
      <c r="I38" s="549">
        <f>21.294+18.794+20.656</f>
        <v>60.744</v>
      </c>
      <c r="J38" s="139">
        <f>+I38+'13'!J38</f>
        <v>852.55122201000006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+C39+'13'!D39</f>
        <v>0</v>
      </c>
      <c r="E39" s="155">
        <f t="shared" si="0"/>
        <v>0</v>
      </c>
      <c r="F39" s="340">
        <v>1350</v>
      </c>
      <c r="G39" s="340">
        <f>+F39-F39*0.2</f>
        <v>1080</v>
      </c>
      <c r="H39" s="199" t="s">
        <v>66</v>
      </c>
      <c r="I39" s="154"/>
      <c r="J39" s="141">
        <f>J37/G4</f>
        <v>66.066858552382556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+C40+'13'!D40</f>
        <v>0</v>
      </c>
      <c r="E40" s="155">
        <f t="shared" si="0"/>
        <v>0</v>
      </c>
      <c r="F40" s="340">
        <v>1365.3125</v>
      </c>
      <c r="G40" s="340">
        <v>1096.8</v>
      </c>
      <c r="H40" s="199" t="s">
        <v>68</v>
      </c>
      <c r="I40" s="130">
        <f>(K34+L34)/1000</f>
        <v>47.676000000000002</v>
      </c>
      <c r="J40" s="143">
        <f>+I40+'13'!J40</f>
        <v>808.62099999999998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+C41+'13'!D41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57.758642857142853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+C42+'13'!D42</f>
        <v>0</v>
      </c>
      <c r="E42" s="155">
        <f t="shared" si="0"/>
        <v>0</v>
      </c>
      <c r="F42" s="340">
        <f>+(F38*480+F39*480+F40*480)/1440</f>
        <v>1355.1041666666667</v>
      </c>
      <c r="G42" s="340">
        <f>+(G38*480+G39*480+G40*480)/1440</f>
        <v>1085.5999999999999</v>
      </c>
      <c r="H42" s="199" t="s">
        <v>71</v>
      </c>
      <c r="I42" s="257" t="s">
        <v>650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+C43+'13'!D43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+Report1!T22</f>
        <v>130.70099999999999</v>
      </c>
      <c r="J43" s="145">
        <f>+I43+'13'!J43</f>
        <v>1808.1960000000001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+C44+'13'!D44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2.1516693006716712</v>
      </c>
      <c r="J44" s="146">
        <f>J43/J38</f>
        <v>2.1209235918247158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+C45+'13'!D45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2.7414422350868359</v>
      </c>
      <c r="J45" s="146">
        <f>J43/J40</f>
        <v>2.2361477132055687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+C46+'13'!D46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+SUMIF(Listrik!AR21,"&gt;0")</f>
        <v>51936.819999999789</v>
      </c>
      <c r="J46" s="147">
        <f>+I46+'13'!J46</f>
        <v>745686.95999999845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+C47+'13'!D47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855.01152377189169</v>
      </c>
      <c r="J47" s="147">
        <f>J46/J38</f>
        <v>874.65355834215416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+C48+'13'!D48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1089.37033308163</v>
      </c>
      <c r="J48" s="147">
        <f>J46/J40</f>
        <v>922.17115311128259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+C49+'13'!D49</f>
        <v>60</v>
      </c>
      <c r="E49" s="155">
        <f t="shared" si="0"/>
        <v>1</v>
      </c>
      <c r="F49" s="197"/>
      <c r="H49" s="200" t="s">
        <v>83</v>
      </c>
      <c r="I49" s="130">
        <v>0</v>
      </c>
      <c r="J49" s="147">
        <f>+I49+'13'!J49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+C50+'13'!D50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+C51+'13'!D51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66</v>
      </c>
      <c r="D52" s="156">
        <f>SUM(D38:D51)</f>
        <v>1625</v>
      </c>
      <c r="E52" s="157">
        <f>SUM(E38:E51)</f>
        <v>27.083333333333336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4.583333333333333E-2</v>
      </c>
      <c r="D53" s="158">
        <f>D52/(24*60*G4)</f>
        <v>8.0605158730158735E-2</v>
      </c>
      <c r="E53" s="159">
        <f>E52/(G4*24)</f>
        <v>8.0605158730158735E-2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+D34+'13'!J56</f>
        <v>22594</v>
      </c>
      <c r="K56" s="213">
        <f>J56/(J40+J56/1000)/1000</f>
        <v>2.7181896380599483E-2</v>
      </c>
    </row>
    <row r="57" spans="1:11">
      <c r="A57" s="188"/>
      <c r="I57" s="211" t="s">
        <v>90</v>
      </c>
      <c r="J57" s="212">
        <f>+E34+'13'!J57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6:B46"/>
    <mergeCell ref="A47:B47"/>
    <mergeCell ref="A52:B52"/>
    <mergeCell ref="A53:B53"/>
    <mergeCell ref="A48:B48"/>
    <mergeCell ref="A49:B49"/>
    <mergeCell ref="A50:B50"/>
    <mergeCell ref="A51:B51"/>
    <mergeCell ref="A40:B40"/>
    <mergeCell ref="A41:B41"/>
    <mergeCell ref="A44:B44"/>
    <mergeCell ref="A45:B45"/>
    <mergeCell ref="A42:B42"/>
    <mergeCell ref="A43:B43"/>
    <mergeCell ref="A37:B37"/>
    <mergeCell ref="I24:I31"/>
    <mergeCell ref="A24:A32"/>
    <mergeCell ref="A38:B38"/>
    <mergeCell ref="A39:B39"/>
    <mergeCell ref="A7:A14"/>
    <mergeCell ref="I7:I13"/>
    <mergeCell ref="A15:A23"/>
    <mergeCell ref="I15:I22"/>
    <mergeCell ref="A34:B34"/>
  </mergeCells>
  <phoneticPr fontId="33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0" zoomScale="85" zoomScaleNormal="70" zoomScaleSheetLayoutView="85" workbookViewId="0">
      <selection activeCell="D34" sqref="D34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13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190+239+218</f>
        <v>647</v>
      </c>
    </row>
    <row r="7" spans="1:18" ht="13.5" customHeight="1" thickBot="1">
      <c r="A7" s="1007" t="s">
        <v>463</v>
      </c>
      <c r="B7" s="227" t="s">
        <v>603</v>
      </c>
      <c r="C7" s="228">
        <v>18045</v>
      </c>
      <c r="D7" s="229">
        <v>93</v>
      </c>
      <c r="E7" s="230"/>
      <c r="F7" s="239"/>
      <c r="G7" s="240" t="s">
        <v>12</v>
      </c>
      <c r="H7" s="241" t="s">
        <v>492</v>
      </c>
      <c r="I7" s="1010" t="s">
        <v>595</v>
      </c>
      <c r="J7" s="226" t="str">
        <f>+'12'!J7</f>
        <v>F 13 VP OW</v>
      </c>
      <c r="K7" s="249"/>
      <c r="L7" s="253"/>
      <c r="M7" s="129">
        <f>+K7+'12'!M7+L7</f>
        <v>109098</v>
      </c>
    </row>
    <row r="8" spans="1:18" ht="13.5" thickBot="1">
      <c r="A8" s="1008"/>
      <c r="B8" s="227"/>
      <c r="C8" s="228"/>
      <c r="D8" s="229"/>
      <c r="E8" s="231"/>
      <c r="F8" s="242">
        <v>1</v>
      </c>
      <c r="G8" s="243" t="s">
        <v>12</v>
      </c>
      <c r="H8" s="241" t="s">
        <v>494</v>
      </c>
      <c r="I8" s="1011"/>
      <c r="J8" s="226" t="str">
        <f>+'12'!J8</f>
        <v>MG 15,5 VP OW</v>
      </c>
      <c r="K8" s="250"/>
      <c r="L8" s="250"/>
      <c r="M8" s="129">
        <f>+K8+'12'!M8+L8</f>
        <v>40782</v>
      </c>
      <c r="N8" s="161">
        <v>1350</v>
      </c>
      <c r="O8" s="161">
        <f>+N8-N8*0.2</f>
        <v>1080</v>
      </c>
      <c r="P8" s="161">
        <v>480</v>
      </c>
      <c r="Q8" s="161">
        <f>+N8*P8</f>
        <v>648000</v>
      </c>
      <c r="R8" s="161">
        <f>+O8*P8</f>
        <v>518400</v>
      </c>
    </row>
    <row r="9" spans="1:18" ht="13.5" thickBot="1">
      <c r="A9" s="1008"/>
      <c r="B9" s="227"/>
      <c r="C9" s="228"/>
      <c r="D9" s="229"/>
      <c r="E9" s="232"/>
      <c r="F9" s="239">
        <v>2</v>
      </c>
      <c r="G9" s="243" t="s">
        <v>12</v>
      </c>
      <c r="H9" s="574" t="s">
        <v>606</v>
      </c>
      <c r="I9" s="1011"/>
      <c r="J9" s="226" t="str">
        <f>+'12'!J9</f>
        <v>MG 16,5 VP HW</v>
      </c>
      <c r="K9" s="250"/>
      <c r="L9" s="250"/>
      <c r="M9" s="129">
        <f>+K9+'12'!M9+L9</f>
        <v>65896</v>
      </c>
      <c r="N9" s="161">
        <v>1350</v>
      </c>
      <c r="O9" s="161">
        <f>+N9-N9*0.2</f>
        <v>1080</v>
      </c>
      <c r="P9" s="161">
        <f>240+40</f>
        <v>280</v>
      </c>
      <c r="Q9" s="161">
        <f>+N9*P9</f>
        <v>378000</v>
      </c>
      <c r="R9" s="161">
        <f>+O9*P9</f>
        <v>302400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624</v>
      </c>
      <c r="I10" s="1011"/>
      <c r="J10" s="226" t="str">
        <f>+'12'!J10</f>
        <v>MG 17 VP HW</v>
      </c>
      <c r="K10" s="250"/>
      <c r="L10" s="250"/>
      <c r="M10" s="129">
        <f>+K10+'12'!M10+L10</f>
        <v>170813</v>
      </c>
      <c r="P10" s="161">
        <f>SUM(P8:P9)</f>
        <v>760</v>
      </c>
      <c r="Q10" s="161">
        <f>SUM(Q8:Q9)</f>
        <v>1026000</v>
      </c>
      <c r="R10" s="161">
        <f>SUM(R8:R9)</f>
        <v>820800</v>
      </c>
    </row>
    <row r="11" spans="1:18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tr">
        <f>+'12'!J11</f>
        <v>MG 14 VP OW</v>
      </c>
      <c r="K11" s="250"/>
      <c r="L11" s="250"/>
      <c r="M11" s="129">
        <f>+K11+'12'!M11+L11</f>
        <v>130379</v>
      </c>
      <c r="Q11" s="161">
        <f>+Q10/P10</f>
        <v>1350</v>
      </c>
      <c r="R11" s="161">
        <f>+R10/P10</f>
        <v>1080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+'12'!J12</f>
        <v>MG 19 VP HW</v>
      </c>
      <c r="K12" s="250"/>
      <c r="L12" s="250"/>
      <c r="M12" s="129">
        <f>+K12+'12'!M12+L12</f>
        <v>20052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+'12'!J13</f>
        <v>MG 17 VP OW</v>
      </c>
      <c r="K13" s="250"/>
      <c r="L13" s="250"/>
      <c r="M13" s="129">
        <f>+K13+'12'!M13+L13</f>
        <v>6479</v>
      </c>
    </row>
    <row r="14" spans="1:18" ht="13.5" thickBot="1">
      <c r="A14" s="1009"/>
      <c r="B14" s="177" t="s">
        <v>2</v>
      </c>
      <c r="C14" s="111">
        <f>SUM(C7:C13)</f>
        <v>18045</v>
      </c>
      <c r="D14" s="123">
        <f>SUM(D7:D13)</f>
        <v>93</v>
      </c>
      <c r="E14" s="124">
        <f>SUM(E5:E13)</f>
        <v>0</v>
      </c>
      <c r="F14" s="128">
        <f>SUM(F7:F13)</f>
        <v>3</v>
      </c>
      <c r="G14" s="171"/>
      <c r="H14" s="178"/>
      <c r="I14" s="179"/>
      <c r="J14" s="226" t="str">
        <f>+'12'!J14</f>
        <v>MG 21,5 VP OW</v>
      </c>
      <c r="K14" s="250"/>
      <c r="L14" s="250"/>
      <c r="M14" s="129">
        <f>+K14+'12'!M14+L14</f>
        <v>65067</v>
      </c>
    </row>
    <row r="15" spans="1:18" ht="13.5" customHeight="1" thickBot="1">
      <c r="A15" s="1007" t="s">
        <v>601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622</v>
      </c>
      <c r="J15" s="226" t="str">
        <f>+'12'!J15</f>
        <v>F 10,5 VP OW</v>
      </c>
      <c r="K15" s="250"/>
      <c r="L15" s="250"/>
      <c r="M15" s="129">
        <f>+K15+'12'!M15+L15</f>
        <v>0</v>
      </c>
    </row>
    <row r="16" spans="1:18" ht="13.5" thickBot="1">
      <c r="A16" s="1013"/>
      <c r="B16" s="227" t="s">
        <v>603</v>
      </c>
      <c r="C16" s="233">
        <v>15910</v>
      </c>
      <c r="D16" s="234">
        <v>381</v>
      </c>
      <c r="E16" s="235"/>
      <c r="F16" s="239"/>
      <c r="G16" s="243" t="s">
        <v>12</v>
      </c>
      <c r="H16" s="241" t="s">
        <v>448</v>
      </c>
      <c r="I16" s="1011"/>
      <c r="J16" s="226" t="str">
        <f>+'12'!J16</f>
        <v>F 10,3 VP OW</v>
      </c>
      <c r="K16" s="240"/>
      <c r="L16" s="240"/>
      <c r="M16" s="129">
        <f>+K16+'12'!M16+L16</f>
        <v>9153</v>
      </c>
      <c r="N16" s="161">
        <v>1350</v>
      </c>
      <c r="O16" s="161">
        <f>+N16-N16*0.2</f>
        <v>1080</v>
      </c>
      <c r="P16" s="161">
        <f>240+40</f>
        <v>280</v>
      </c>
      <c r="Q16" s="161">
        <f>+N16*P16</f>
        <v>378000</v>
      </c>
      <c r="R16" s="161">
        <f>+O16*P16</f>
        <v>302400</v>
      </c>
    </row>
    <row r="17" spans="1:18" ht="13.5" thickBot="1">
      <c r="A17" s="1013"/>
      <c r="B17" s="227"/>
      <c r="C17" s="228"/>
      <c r="D17" s="229"/>
      <c r="E17" s="236"/>
      <c r="F17" s="239">
        <v>3</v>
      </c>
      <c r="G17" s="243" t="s">
        <v>12</v>
      </c>
      <c r="H17" s="574" t="s">
        <v>450</v>
      </c>
      <c r="I17" s="1011"/>
      <c r="J17" s="226" t="str">
        <f>+'12'!J17</f>
        <v>SN 13 VP OW</v>
      </c>
      <c r="K17" s="240">
        <f>+C7+C16+C25</f>
        <v>39388</v>
      </c>
      <c r="L17" s="240"/>
      <c r="M17" s="129">
        <f>+K17+'12'!M17+L17</f>
        <v>132429</v>
      </c>
      <c r="N17" s="161">
        <v>1350</v>
      </c>
      <c r="O17" s="161">
        <f>+N17-N17*0.2</f>
        <v>1080</v>
      </c>
      <c r="P17" s="161">
        <f>20+180</f>
        <v>200</v>
      </c>
      <c r="Q17" s="161">
        <f>+N17*P17</f>
        <v>270000</v>
      </c>
      <c r="R17" s="161">
        <f>+O17*P17</f>
        <v>216000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624</v>
      </c>
      <c r="I18" s="1011"/>
      <c r="J18" s="226" t="s">
        <v>631</v>
      </c>
      <c r="K18" s="250">
        <f>+C26</f>
        <v>10797</v>
      </c>
      <c r="L18" s="250"/>
      <c r="M18" s="129">
        <f>+K18+'12'!M18+L18</f>
        <v>10797</v>
      </c>
      <c r="P18" s="161">
        <f>SUM(P16:P17)</f>
        <v>480</v>
      </c>
      <c r="Q18" s="161">
        <f>SUM(Q16:Q17)</f>
        <v>648000</v>
      </c>
      <c r="R18" s="161">
        <f>SUM(R16:R17)</f>
        <v>518400</v>
      </c>
    </row>
    <row r="19" spans="1:18" ht="13.5" thickBot="1">
      <c r="A19" s="1013"/>
      <c r="B19" s="227"/>
      <c r="C19" s="228"/>
      <c r="D19" s="229"/>
      <c r="E19" s="236"/>
      <c r="F19" s="246">
        <v>8</v>
      </c>
      <c r="G19" s="243" t="s">
        <v>12</v>
      </c>
      <c r="H19" s="244" t="s">
        <v>621</v>
      </c>
      <c r="I19" s="1011"/>
      <c r="J19" s="226">
        <f>+'12'!J19</f>
        <v>0</v>
      </c>
      <c r="K19" s="250"/>
      <c r="L19" s="250"/>
      <c r="M19" s="129">
        <f>+K19+'12'!M19+L19</f>
        <v>0</v>
      </c>
      <c r="Q19" s="161">
        <f>+Q18/P18</f>
        <v>1350</v>
      </c>
      <c r="R19" s="161">
        <f>+R18/P18</f>
        <v>1080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+'12'!J20</f>
        <v>0</v>
      </c>
      <c r="K20" s="251"/>
      <c r="L20" s="251"/>
      <c r="M20" s="129">
        <f>+K20+'12'!M20+L20</f>
        <v>0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+'12'!J21</f>
        <v>0</v>
      </c>
      <c r="K21" s="250"/>
      <c r="L21" s="250"/>
      <c r="M21" s="129">
        <f>+K21+'12'!M21+L21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+'12'!J22</f>
        <v>0</v>
      </c>
      <c r="K22" s="250"/>
      <c r="L22" s="250"/>
      <c r="M22" s="129">
        <f>+K22+'12'!M22+L22</f>
        <v>0</v>
      </c>
    </row>
    <row r="23" spans="1:18" ht="13.5" thickBot="1">
      <c r="A23" s="1014"/>
      <c r="B23" s="180" t="s">
        <v>2</v>
      </c>
      <c r="C23" s="112">
        <f>SUM(C16:C22)</f>
        <v>15910</v>
      </c>
      <c r="D23" s="123">
        <f>SUM(D16:D22)</f>
        <v>381</v>
      </c>
      <c r="E23" s="124">
        <f>SUM(E18:E22)</f>
        <v>0</v>
      </c>
      <c r="F23" s="128">
        <f>SUM(F15:F22)</f>
        <v>11</v>
      </c>
      <c r="G23" s="171"/>
      <c r="H23" s="178" t="s">
        <v>237</v>
      </c>
      <c r="I23" s="181"/>
      <c r="J23" s="226">
        <f>+'12'!J23</f>
        <v>0</v>
      </c>
      <c r="K23" s="250"/>
      <c r="L23" s="250"/>
      <c r="M23" s="129">
        <f>+K23+'12'!M23+L23</f>
        <v>0</v>
      </c>
    </row>
    <row r="24" spans="1:18" ht="13.5" customHeight="1" thickBot="1">
      <c r="A24" s="1007" t="s">
        <v>461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595</v>
      </c>
      <c r="J24" s="226">
        <f>+'12'!J24</f>
        <v>0</v>
      </c>
      <c r="K24" s="250"/>
      <c r="L24" s="250"/>
      <c r="M24" s="129">
        <f>+K24+'12'!M24+L24</f>
        <v>0</v>
      </c>
    </row>
    <row r="25" spans="1:18" ht="13.5" thickBot="1">
      <c r="A25" s="1013"/>
      <c r="B25" s="227" t="s">
        <v>603</v>
      </c>
      <c r="C25" s="237">
        <f>4036+1138+259</f>
        <v>5433</v>
      </c>
      <c r="D25" s="229">
        <v>953</v>
      </c>
      <c r="E25" s="236"/>
      <c r="F25" s="242"/>
      <c r="G25" s="243" t="s">
        <v>12</v>
      </c>
      <c r="H25" s="241" t="s">
        <v>448</v>
      </c>
      <c r="I25" s="1011"/>
      <c r="J25" s="226">
        <f>+'12'!J25</f>
        <v>0</v>
      </c>
      <c r="K25" s="250"/>
      <c r="L25" s="250"/>
      <c r="M25" s="129">
        <f>+K25+'12'!M25+L25</f>
        <v>0</v>
      </c>
    </row>
    <row r="26" spans="1:18" ht="13.5" thickBot="1">
      <c r="A26" s="1013"/>
      <c r="B26" s="227" t="s">
        <v>631</v>
      </c>
      <c r="C26" s="237">
        <f>6431+4366</f>
        <v>10797</v>
      </c>
      <c r="D26" s="229"/>
      <c r="E26" s="238"/>
      <c r="F26" s="242">
        <v>2</v>
      </c>
      <c r="G26" s="243" t="s">
        <v>12</v>
      </c>
      <c r="H26" s="574" t="s">
        <v>450</v>
      </c>
      <c r="I26" s="1011"/>
      <c r="J26" s="226">
        <f>+'12'!J26</f>
        <v>0</v>
      </c>
      <c r="K26" s="250"/>
      <c r="L26" s="250"/>
      <c r="M26" s="129">
        <f>+K26+'12'!M26+L26</f>
        <v>0</v>
      </c>
      <c r="N26" s="161">
        <v>1350</v>
      </c>
      <c r="O26" s="161">
        <f>+N26-N26*0.2</f>
        <v>1080</v>
      </c>
      <c r="P26" s="161">
        <f>120+30</f>
        <v>150</v>
      </c>
      <c r="Q26" s="161">
        <f>+N26*P26</f>
        <v>202500</v>
      </c>
      <c r="R26" s="161">
        <f>+O26*P26</f>
        <v>162000</v>
      </c>
    </row>
    <row r="27" spans="1:18" ht="13.5" thickBot="1">
      <c r="A27" s="1013"/>
      <c r="B27" s="227"/>
      <c r="C27" s="228"/>
      <c r="D27" s="229"/>
      <c r="E27" s="236"/>
      <c r="F27" s="242"/>
      <c r="G27" s="243"/>
      <c r="H27" s="574" t="s">
        <v>611</v>
      </c>
      <c r="I27" s="1011"/>
      <c r="J27" s="226">
        <f>+'12'!J27</f>
        <v>0</v>
      </c>
      <c r="K27" s="250"/>
      <c r="L27" s="250"/>
      <c r="M27" s="129">
        <f>+K27+'12'!M27+L27</f>
        <v>0</v>
      </c>
      <c r="N27" s="161">
        <v>1350</v>
      </c>
      <c r="O27" s="161">
        <f>+N27-N27*0.2</f>
        <v>1080</v>
      </c>
      <c r="P27" s="161">
        <f>30+300</f>
        <v>330</v>
      </c>
      <c r="Q27" s="161">
        <f>+N27*P27</f>
        <v>445500</v>
      </c>
      <c r="R27" s="161">
        <f>+O27*P27</f>
        <v>356400</v>
      </c>
    </row>
    <row r="28" spans="1:18" ht="13.5" thickBot="1">
      <c r="A28" s="1013"/>
      <c r="B28" s="227"/>
      <c r="C28" s="228"/>
      <c r="D28" s="229"/>
      <c r="E28" s="236"/>
      <c r="F28" s="242"/>
      <c r="G28" s="243"/>
      <c r="H28" s="244" t="s">
        <v>612</v>
      </c>
      <c r="I28" s="1011"/>
      <c r="J28" s="226">
        <f>+'12'!J28</f>
        <v>0</v>
      </c>
      <c r="K28" s="250"/>
      <c r="L28" s="250"/>
      <c r="M28" s="129">
        <f>+K28+'12'!M28+L28</f>
        <v>0</v>
      </c>
      <c r="P28" s="161">
        <f>SUM(P26:P27)</f>
        <v>480</v>
      </c>
      <c r="Q28" s="161">
        <f>SUM(Q26:Q27)</f>
        <v>648000</v>
      </c>
      <c r="R28" s="161">
        <f>SUM(R26:R27)</f>
        <v>518400</v>
      </c>
    </row>
    <row r="29" spans="1:18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+'12'!J29</f>
        <v>0</v>
      </c>
      <c r="K29" s="250"/>
      <c r="L29" s="250"/>
      <c r="M29" s="129">
        <f>+K29+'12'!M29+L29</f>
        <v>0</v>
      </c>
      <c r="Q29" s="161">
        <f>+Q28/P28</f>
        <v>1350</v>
      </c>
      <c r="R29" s="161">
        <f>+R28/P28</f>
        <v>1080</v>
      </c>
    </row>
    <row r="30" spans="1:18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+'12'!J30</f>
        <v>0</v>
      </c>
      <c r="K30" s="250"/>
      <c r="L30" s="250"/>
      <c r="M30" s="129">
        <f>+K30+'12'!M30+L30</f>
        <v>0</v>
      </c>
      <c r="N30" s="167"/>
    </row>
    <row r="31" spans="1:18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+'12'!J31</f>
        <v>0</v>
      </c>
      <c r="K31" s="250"/>
      <c r="L31" s="250"/>
      <c r="M31" s="129">
        <f>+K31+'12'!M31+L31</f>
        <v>0</v>
      </c>
    </row>
    <row r="32" spans="1:18" ht="13.5" thickBot="1">
      <c r="A32" s="1014"/>
      <c r="B32" s="177" t="s">
        <v>2</v>
      </c>
      <c r="C32" s="111">
        <f>SUM(C25:C31)</f>
        <v>16230</v>
      </c>
      <c r="D32" s="112">
        <f>SUM(D25:D31)</f>
        <v>953</v>
      </c>
      <c r="E32" s="113">
        <f>SUM(E25:E31)</f>
        <v>0</v>
      </c>
      <c r="F32" s="114">
        <f>SUM(F24:F31)</f>
        <v>2</v>
      </c>
      <c r="G32" s="183"/>
      <c r="H32" s="184"/>
      <c r="I32" s="181"/>
      <c r="J32" s="226">
        <f>+'12'!J32</f>
        <v>0</v>
      </c>
      <c r="K32" s="252"/>
      <c r="L32" s="254"/>
      <c r="M32" s="129">
        <f>+K32+'12'!M32+L32</f>
        <v>0</v>
      </c>
    </row>
    <row r="33" spans="1:14" ht="13.5" thickBot="1">
      <c r="A33" s="185"/>
      <c r="B33" s="186"/>
      <c r="C33" s="115">
        <f>C32/($C$32+$D$32+$E$32)</f>
        <v>0.94453820636675789</v>
      </c>
      <c r="D33" s="116">
        <f>D32/($C$32+$D$32+$E$32)</f>
        <v>5.5461793633242155E-2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50185</v>
      </c>
      <c r="D34" s="119">
        <f>D14+D23+D32</f>
        <v>1427</v>
      </c>
      <c r="E34" s="119">
        <f>E14+E23+E32</f>
        <v>0</v>
      </c>
      <c r="F34" s="120">
        <f>F14+F23+F32</f>
        <v>16</v>
      </c>
      <c r="H34" s="190"/>
      <c r="I34" s="190"/>
      <c r="J34" s="135" t="s">
        <v>28</v>
      </c>
      <c r="K34" s="136">
        <f>SUM(K7:K32)</f>
        <v>50185</v>
      </c>
      <c r="L34" s="224">
        <f>SUM(L7:L32)</f>
        <v>0</v>
      </c>
      <c r="M34" s="132">
        <f>SUM(M7:M32)</f>
        <v>760945</v>
      </c>
      <c r="N34" s="167"/>
    </row>
    <row r="35" spans="1:14" ht="13.5" thickBot="1">
      <c r="A35" s="191"/>
      <c r="B35" s="192"/>
      <c r="C35" s="116">
        <f>C34/($C$34+$D$34+$E$34)</f>
        <v>0.9723513911493451</v>
      </c>
      <c r="D35" s="116">
        <f>D34/($C$34+$D$34+$E$34)</f>
        <v>2.7648608850654885E-2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(13*760+14*350+15*330)/1440*G42*2.77*1440/1000000</f>
        <v>59.449339888888893</v>
      </c>
      <c r="J37" s="137">
        <f>+I37+'12'!J37</f>
        <v>860.47707045735581</v>
      </c>
      <c r="K37" s="138" t="s">
        <v>64</v>
      </c>
      <c r="N37" s="558">
        <f>+I38-N38-N39</f>
        <v>30.842000000000002</v>
      </c>
    </row>
    <row r="38" spans="1:14" ht="17.45" customHeight="1">
      <c r="A38" s="1005" t="s">
        <v>12</v>
      </c>
      <c r="B38" s="1006"/>
      <c r="C38" s="176">
        <f>SUMIF($G$7:$G$31,"Process",$F$7:$F$31)</f>
        <v>16</v>
      </c>
      <c r="D38" s="130">
        <f>+C38+'12'!D38</f>
        <v>566</v>
      </c>
      <c r="E38" s="155">
        <f t="shared" ref="E38:E51" si="0">D38/60</f>
        <v>9.4333333333333336</v>
      </c>
      <c r="F38" s="340">
        <v>1350</v>
      </c>
      <c r="G38" s="340">
        <v>1080</v>
      </c>
      <c r="H38" s="199" t="s">
        <v>65</v>
      </c>
      <c r="I38" s="549">
        <f>17.5+19.445+20.014</f>
        <v>56.959000000000003</v>
      </c>
      <c r="J38" s="139">
        <f>+I38+'12'!J38</f>
        <v>791.80722201000003</v>
      </c>
      <c r="K38" s="140" t="s">
        <v>64</v>
      </c>
      <c r="N38" s="161">
        <f>3.052+3.057+3.104+3.104+2.1</f>
        <v>14.417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+C39+'12'!D39</f>
        <v>0</v>
      </c>
      <c r="E39" s="155">
        <f t="shared" si="0"/>
        <v>0</v>
      </c>
      <c r="F39" s="340">
        <v>1379.1666666666667</v>
      </c>
      <c r="G39" s="340">
        <v>1103.3333333333333</v>
      </c>
      <c r="H39" s="199" t="s">
        <v>66</v>
      </c>
      <c r="I39" s="154"/>
      <c r="J39" s="141">
        <f>J37/G4</f>
        <v>66.19054388133506</v>
      </c>
      <c r="K39" s="142" t="s">
        <v>64</v>
      </c>
      <c r="N39" s="567">
        <f>2.925*4</f>
        <v>11.7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+C40+'12'!D40</f>
        <v>0</v>
      </c>
      <c r="E40" s="155">
        <f t="shared" si="0"/>
        <v>0</v>
      </c>
      <c r="F40" s="340">
        <v>1350</v>
      </c>
      <c r="G40" s="340">
        <v>1080</v>
      </c>
      <c r="H40" s="199" t="s">
        <v>68</v>
      </c>
      <c r="I40" s="130">
        <f>(K34+L34)/1000</f>
        <v>50.185000000000002</v>
      </c>
      <c r="J40" s="143">
        <f>+I40+'12'!J40</f>
        <v>760.94499999999994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+C41+'12'!D41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58.534230769230767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+C42+'12'!D42</f>
        <v>0</v>
      </c>
      <c r="E42" s="155">
        <f t="shared" si="0"/>
        <v>0</v>
      </c>
      <c r="F42" s="340">
        <f>+(F38*480+F39*480+F40*480)/1440</f>
        <v>1359.7222222222222</v>
      </c>
      <c r="G42" s="340">
        <f>+(G38*480+G39*480+G40*480)/1440</f>
        <v>1087.7777777777778</v>
      </c>
      <c r="H42" s="199" t="s">
        <v>71</v>
      </c>
      <c r="I42" s="257" t="s">
        <v>623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+C43+'12'!D43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+Report1!T21</f>
        <v>125.34500000000001</v>
      </c>
      <c r="J43" s="145">
        <f>+I43+'12'!J43</f>
        <v>1677.4950000000001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+C44+'12'!D44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2.2006179883776049</v>
      </c>
      <c r="J44" s="146">
        <f>J43/J38</f>
        <v>2.1185649150075756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+C45+'12'!D45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2.4976586629470958</v>
      </c>
      <c r="J45" s="146">
        <f>J43/J40</f>
        <v>2.2044891549323542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+C46+'12'!D46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+SUMIF(Listrik!AR20,"&gt;0")</f>
        <v>57170.81999999965</v>
      </c>
      <c r="J46" s="147">
        <f>+I46+'12'!J46</f>
        <v>693750.13999999862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+C47+'12'!D47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1003.7188152881836</v>
      </c>
      <c r="J47" s="147">
        <f>J46/J38</f>
        <v>876.16040964985916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+C48+'12'!D48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1139.2013549865428</v>
      </c>
      <c r="J48" s="147">
        <f>J46/J40</f>
        <v>911.69551018798825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+C49+'12'!D49</f>
        <v>60</v>
      </c>
      <c r="E49" s="155">
        <f t="shared" si="0"/>
        <v>1</v>
      </c>
      <c r="F49" s="197"/>
      <c r="H49" s="200" t="s">
        <v>83</v>
      </c>
      <c r="I49" s="130">
        <v>0</v>
      </c>
      <c r="J49" s="147">
        <f>+I49+'12'!J49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+C50+'12'!D50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+C51+'12'!D51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16</v>
      </c>
      <c r="D52" s="156">
        <f>SUM(D38:D51)</f>
        <v>1559</v>
      </c>
      <c r="E52" s="157">
        <f>SUM(E38:E51)</f>
        <v>25.983333333333334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1.1111111111111112E-2</v>
      </c>
      <c r="D53" s="158">
        <f>D52/(24*60*G4)</f>
        <v>8.3279914529914525E-2</v>
      </c>
      <c r="E53" s="159">
        <f>E52/(G4*24)</f>
        <v>8.3279914529914539E-2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+D34+'12'!J56</f>
        <v>20468</v>
      </c>
      <c r="K56" s="213">
        <f>J56/(J40+J56/1000)/1000</f>
        <v>2.6193574972517737E-2</v>
      </c>
    </row>
    <row r="57" spans="1:11">
      <c r="A57" s="188"/>
      <c r="I57" s="211" t="s">
        <v>90</v>
      </c>
      <c r="J57" s="212">
        <f>+E34+'12'!J57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5" style="161" bestFit="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12</v>
      </c>
      <c r="H4" s="166" t="str">
        <f>+'1'!H4</f>
        <v>.12.25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180+200+215</f>
        <v>595</v>
      </c>
    </row>
    <row r="7" spans="1:15" ht="13.5" customHeight="1" thickBot="1">
      <c r="A7" s="1007" t="s">
        <v>462</v>
      </c>
      <c r="B7" s="227" t="s">
        <v>603</v>
      </c>
      <c r="C7" s="228">
        <v>19046</v>
      </c>
      <c r="D7" s="229">
        <v>58</v>
      </c>
      <c r="E7" s="230"/>
      <c r="F7" s="239"/>
      <c r="G7" s="240" t="s">
        <v>12</v>
      </c>
      <c r="H7" s="241" t="s">
        <v>492</v>
      </c>
      <c r="I7" s="1010" t="s">
        <v>595</v>
      </c>
      <c r="J7" s="226" t="str">
        <f>+'11'!J7</f>
        <v>F 13 VP OW</v>
      </c>
      <c r="K7" s="249"/>
      <c r="L7" s="253"/>
      <c r="M7" s="129">
        <f>+K7+'11'!M7+L7</f>
        <v>109098</v>
      </c>
    </row>
    <row r="8" spans="1:15" ht="13.5" thickBot="1">
      <c r="A8" s="1008"/>
      <c r="B8" s="227"/>
      <c r="C8" s="228"/>
      <c r="D8" s="229"/>
      <c r="E8" s="231"/>
      <c r="F8" s="242"/>
      <c r="G8" s="243" t="s">
        <v>12</v>
      </c>
      <c r="H8" s="241" t="s">
        <v>448</v>
      </c>
      <c r="I8" s="1011"/>
      <c r="J8" s="226" t="str">
        <f>+'11'!J8</f>
        <v>MG 15,5 VP OW</v>
      </c>
      <c r="K8" s="250"/>
      <c r="L8" s="250"/>
      <c r="M8" s="129">
        <f>+K8+'11'!M8+L8</f>
        <v>40782</v>
      </c>
    </row>
    <row r="9" spans="1:15" ht="13.5" thickBot="1">
      <c r="A9" s="1008"/>
      <c r="B9" s="227"/>
      <c r="C9" s="228"/>
      <c r="D9" s="229"/>
      <c r="E9" s="232"/>
      <c r="F9" s="239">
        <v>0</v>
      </c>
      <c r="G9" s="243" t="s">
        <v>12</v>
      </c>
      <c r="H9" s="574" t="s">
        <v>450</v>
      </c>
      <c r="I9" s="1011"/>
      <c r="J9" s="226" t="str">
        <f>+'11'!J9</f>
        <v>MG 16,5 VP HW</v>
      </c>
      <c r="K9" s="250"/>
      <c r="L9" s="250"/>
      <c r="M9" s="129">
        <f>+K9+'11'!M9+L9</f>
        <v>65896</v>
      </c>
      <c r="N9" s="161">
        <v>1350</v>
      </c>
      <c r="O9" s="161">
        <f>+N9-N9*0.2</f>
        <v>1080</v>
      </c>
    </row>
    <row r="10" spans="1:15" ht="39" thickBot="1">
      <c r="A10" s="1008"/>
      <c r="B10" s="227"/>
      <c r="C10" s="228"/>
      <c r="D10" s="229"/>
      <c r="E10" s="231"/>
      <c r="F10" s="239"/>
      <c r="G10" s="243"/>
      <c r="H10" s="574" t="s">
        <v>587</v>
      </c>
      <c r="I10" s="1011"/>
      <c r="J10" s="226" t="str">
        <f>+'11'!J10</f>
        <v>MG 17 VP HW</v>
      </c>
      <c r="K10" s="250"/>
      <c r="L10" s="250"/>
      <c r="M10" s="129">
        <f>+K10+'11'!M10+L10</f>
        <v>170813</v>
      </c>
    </row>
    <row r="11" spans="1:15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tr">
        <f>+'11'!J11</f>
        <v>MG 14 VP OW</v>
      </c>
      <c r="K11" s="250"/>
      <c r="L11" s="250"/>
      <c r="M11" s="129">
        <f>+K11+'11'!M11+L11</f>
        <v>130379</v>
      </c>
    </row>
    <row r="12" spans="1:15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+'11'!J12</f>
        <v>MG 19 VP HW</v>
      </c>
      <c r="K12" s="250"/>
      <c r="L12" s="250"/>
      <c r="M12" s="129">
        <f>+K12+'11'!M12+L12</f>
        <v>20052</v>
      </c>
    </row>
    <row r="13" spans="1:15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+'11'!J13</f>
        <v>MG 17 VP OW</v>
      </c>
      <c r="K13" s="250"/>
      <c r="L13" s="250"/>
      <c r="M13" s="129">
        <f>+K13+'11'!M13+L13</f>
        <v>6479</v>
      </c>
    </row>
    <row r="14" spans="1:15" ht="13.5" thickBot="1">
      <c r="A14" s="1009"/>
      <c r="B14" s="177" t="s">
        <v>2</v>
      </c>
      <c r="C14" s="111">
        <f>SUM(C7:C13)</f>
        <v>19046</v>
      </c>
      <c r="D14" s="123">
        <f>SUM(D7:D13)</f>
        <v>58</v>
      </c>
      <c r="E14" s="124">
        <f>SUM(E5:E13)</f>
        <v>0</v>
      </c>
      <c r="F14" s="128">
        <f>SUM(F7:F13)</f>
        <v>0</v>
      </c>
      <c r="G14" s="171"/>
      <c r="H14" s="178"/>
      <c r="I14" s="179"/>
      <c r="J14" s="226" t="str">
        <f>+'11'!J14</f>
        <v>MG 21,5 VP OW</v>
      </c>
      <c r="K14" s="250"/>
      <c r="L14" s="250"/>
      <c r="M14" s="129">
        <f>+K14+'11'!M14+L14</f>
        <v>65067</v>
      </c>
    </row>
    <row r="15" spans="1:15" ht="13.5" customHeight="1" thickBot="1">
      <c r="A15" s="1007" t="s">
        <v>601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595</v>
      </c>
      <c r="J15" s="226" t="str">
        <f>+'11'!J15</f>
        <v>F 10,5 VP OW</v>
      </c>
      <c r="K15" s="250"/>
      <c r="L15" s="250"/>
      <c r="M15" s="129">
        <f>+K15+'11'!M15+L15</f>
        <v>0</v>
      </c>
    </row>
    <row r="16" spans="1:15" ht="13.5" thickBot="1">
      <c r="A16" s="1013"/>
      <c r="B16" s="227" t="s">
        <v>603</v>
      </c>
      <c r="C16" s="233">
        <v>18962</v>
      </c>
      <c r="D16" s="234"/>
      <c r="E16" s="235"/>
      <c r="F16" s="239"/>
      <c r="G16" s="243" t="s">
        <v>12</v>
      </c>
      <c r="H16" s="241" t="s">
        <v>448</v>
      </c>
      <c r="I16" s="1011"/>
      <c r="J16" s="226" t="str">
        <f>+'11'!J16</f>
        <v>F 10,3 VP OW</v>
      </c>
      <c r="K16" s="250"/>
      <c r="L16" s="240"/>
      <c r="M16" s="129">
        <f>+K16+'11'!M16+L16</f>
        <v>9153</v>
      </c>
    </row>
    <row r="17" spans="1:14" ht="13.5" thickBot="1">
      <c r="A17" s="1013"/>
      <c r="B17" s="227"/>
      <c r="C17" s="228"/>
      <c r="D17" s="229"/>
      <c r="E17" s="236"/>
      <c r="F17" s="239">
        <v>0</v>
      </c>
      <c r="G17" s="243" t="s">
        <v>12</v>
      </c>
      <c r="H17" s="574" t="s">
        <v>606</v>
      </c>
      <c r="I17" s="1011"/>
      <c r="J17" s="226" t="str">
        <f>+'11'!J17</f>
        <v>SN 13 VP OW</v>
      </c>
      <c r="K17" s="250">
        <f>+C34</f>
        <v>54315</v>
      </c>
      <c r="L17" s="240"/>
      <c r="M17" s="129">
        <f>+K17+'11'!M17+L17</f>
        <v>93041</v>
      </c>
    </row>
    <row r="18" spans="1:14" ht="39" thickBot="1">
      <c r="A18" s="1013"/>
      <c r="B18" s="227"/>
      <c r="C18" s="228"/>
      <c r="D18" s="229"/>
      <c r="E18" s="236"/>
      <c r="F18" s="239"/>
      <c r="G18" s="243"/>
      <c r="H18" s="574" t="s">
        <v>587</v>
      </c>
      <c r="I18" s="1011"/>
      <c r="J18" s="226">
        <f>+'11'!J18</f>
        <v>0</v>
      </c>
      <c r="K18" s="250"/>
      <c r="L18" s="250"/>
      <c r="M18" s="129">
        <f>+K18+'11'!M18+L18</f>
        <v>0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>
        <f>+'11'!J19</f>
        <v>0</v>
      </c>
      <c r="K19" s="250"/>
      <c r="L19" s="250"/>
      <c r="M19" s="129">
        <f>+K19+'11'!M19+L19</f>
        <v>0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+'11'!J20</f>
        <v>0</v>
      </c>
      <c r="K20" s="251"/>
      <c r="L20" s="251"/>
      <c r="M20" s="129">
        <f>+K20+'11'!M20+L20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+'11'!J21</f>
        <v>0</v>
      </c>
      <c r="K21" s="250"/>
      <c r="L21" s="250"/>
      <c r="M21" s="129">
        <f>+K21+'11'!M21+L21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+'11'!J22</f>
        <v>0</v>
      </c>
      <c r="K22" s="250"/>
      <c r="L22" s="250"/>
      <c r="M22" s="129">
        <f>+K22+'11'!M22+L22</f>
        <v>0</v>
      </c>
    </row>
    <row r="23" spans="1:14" ht="13.5" thickBot="1">
      <c r="A23" s="1014"/>
      <c r="B23" s="180" t="s">
        <v>2</v>
      </c>
      <c r="C23" s="112">
        <f>SUM(C16:C22)</f>
        <v>18962</v>
      </c>
      <c r="D23" s="123">
        <f>SUM(D16:D22)</f>
        <v>0</v>
      </c>
      <c r="E23" s="124">
        <f>SUM(E18:E22)</f>
        <v>0</v>
      </c>
      <c r="F23" s="128">
        <f>SUM(F15:F22)</f>
        <v>0</v>
      </c>
      <c r="G23" s="171"/>
      <c r="H23" s="178" t="s">
        <v>237</v>
      </c>
      <c r="I23" s="181"/>
      <c r="J23" s="226">
        <f>+'11'!J23</f>
        <v>0</v>
      </c>
      <c r="K23" s="250"/>
      <c r="L23" s="250"/>
      <c r="M23" s="129">
        <f>+K23+'11'!M23+L23</f>
        <v>0</v>
      </c>
    </row>
    <row r="24" spans="1:14" ht="13.5" customHeight="1" thickBot="1">
      <c r="A24" s="1007" t="s">
        <v>461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595</v>
      </c>
      <c r="J24" s="226">
        <f>+'11'!J24</f>
        <v>0</v>
      </c>
      <c r="K24" s="250"/>
      <c r="L24" s="250"/>
      <c r="M24" s="129">
        <f>+K24+'11'!M24+L24</f>
        <v>0</v>
      </c>
    </row>
    <row r="25" spans="1:14" ht="13.5" customHeight="1" thickBot="1">
      <c r="A25" s="1013"/>
      <c r="B25" s="227" t="s">
        <v>603</v>
      </c>
      <c r="C25" s="237">
        <v>16307</v>
      </c>
      <c r="D25" s="229">
        <v>215</v>
      </c>
      <c r="E25" s="236"/>
      <c r="F25" s="242"/>
      <c r="G25" s="243" t="s">
        <v>12</v>
      </c>
      <c r="H25" s="241" t="s">
        <v>448</v>
      </c>
      <c r="I25" s="1011"/>
      <c r="J25" s="226">
        <f>+'11'!J25</f>
        <v>0</v>
      </c>
      <c r="K25" s="250"/>
      <c r="L25" s="250"/>
      <c r="M25" s="129">
        <f>+K25+'11'!M25+L25</f>
        <v>0</v>
      </c>
    </row>
    <row r="26" spans="1:14" ht="13.5" customHeight="1" thickBot="1">
      <c r="A26" s="1013"/>
      <c r="B26" s="227"/>
      <c r="C26" s="237"/>
      <c r="D26" s="229"/>
      <c r="E26" s="238"/>
      <c r="F26" s="242">
        <v>4</v>
      </c>
      <c r="G26" s="243" t="s">
        <v>12</v>
      </c>
      <c r="H26" s="574" t="s">
        <v>450</v>
      </c>
      <c r="I26" s="1011"/>
      <c r="J26" s="226">
        <f>+'11'!J26</f>
        <v>0</v>
      </c>
      <c r="K26" s="250"/>
      <c r="L26" s="250"/>
      <c r="M26" s="129">
        <f>+K26+'11'!M26+L26</f>
        <v>0</v>
      </c>
    </row>
    <row r="27" spans="1:14" ht="39" thickBot="1">
      <c r="A27" s="1013"/>
      <c r="B27" s="227"/>
      <c r="C27" s="228"/>
      <c r="D27" s="229"/>
      <c r="E27" s="236"/>
      <c r="F27" s="242"/>
      <c r="G27" s="243"/>
      <c r="H27" s="574" t="s">
        <v>587</v>
      </c>
      <c r="I27" s="1011"/>
      <c r="J27" s="226">
        <f>+'11'!J27</f>
        <v>0</v>
      </c>
      <c r="K27" s="250"/>
      <c r="L27" s="250"/>
      <c r="M27" s="129">
        <f>+K27+'11'!M27+L27</f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+'11'!J28</f>
        <v>0</v>
      </c>
      <c r="K28" s="250"/>
      <c r="L28" s="250"/>
      <c r="M28" s="129">
        <f>+K28+'11'!M28+L28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+'11'!J29</f>
        <v>0</v>
      </c>
      <c r="K29" s="250"/>
      <c r="L29" s="250"/>
      <c r="M29" s="129">
        <f>+K29+'11'!M29+L29</f>
        <v>0</v>
      </c>
    </row>
    <row r="30" spans="1:14" ht="13.5" customHeight="1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+'11'!J30</f>
        <v>0</v>
      </c>
      <c r="K30" s="250"/>
      <c r="L30" s="250"/>
      <c r="M30" s="129">
        <f>+K30+'11'!M30+L30</f>
        <v>0</v>
      </c>
      <c r="N30" s="167"/>
    </row>
    <row r="31" spans="1:14" ht="13.5" customHeight="1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+'11'!J31</f>
        <v>0</v>
      </c>
      <c r="K31" s="250"/>
      <c r="L31" s="250"/>
      <c r="M31" s="129">
        <f>+K31+'11'!M31+L31</f>
        <v>0</v>
      </c>
    </row>
    <row r="32" spans="1:14" ht="13.5" customHeight="1" thickBot="1">
      <c r="A32" s="1014"/>
      <c r="B32" s="177" t="s">
        <v>2</v>
      </c>
      <c r="C32" s="111">
        <f>SUM(C25:C31)</f>
        <v>16307</v>
      </c>
      <c r="D32" s="112">
        <f>SUM(D25:D31)</f>
        <v>215</v>
      </c>
      <c r="E32" s="113">
        <f>SUM(E25:E31)</f>
        <v>0</v>
      </c>
      <c r="F32" s="114">
        <f>SUM(F24:F31)</f>
        <v>4</v>
      </c>
      <c r="G32" s="183"/>
      <c r="H32" s="184"/>
      <c r="I32" s="181"/>
      <c r="J32" s="226">
        <f>+'1'!J32</f>
        <v>0</v>
      </c>
      <c r="K32" s="252"/>
      <c r="L32" s="254"/>
      <c r="M32" s="129">
        <f>+K32+'11'!M32+L32</f>
        <v>0</v>
      </c>
    </row>
    <row r="33" spans="1:14" ht="13.5" thickBot="1">
      <c r="A33" s="185"/>
      <c r="B33" s="186"/>
      <c r="C33" s="115">
        <f>C32/($C$32+$D$32+$E$32)</f>
        <v>0.9869870475729331</v>
      </c>
      <c r="D33" s="116">
        <f>D32/($C$32+$D$32+$E$32)</f>
        <v>1.301295242706694E-2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54315</v>
      </c>
      <c r="D34" s="119">
        <f>D14+D23+D32</f>
        <v>273</v>
      </c>
      <c r="E34" s="119">
        <f>E14+E23+E32</f>
        <v>0</v>
      </c>
      <c r="F34" s="120">
        <f>F14+F23+F32</f>
        <v>4</v>
      </c>
      <c r="H34" s="190"/>
      <c r="I34" s="190"/>
      <c r="J34" s="135" t="s">
        <v>28</v>
      </c>
      <c r="K34" s="136">
        <f>SUM(K7:K32)</f>
        <v>54315</v>
      </c>
      <c r="L34" s="224">
        <f>SUM(L7:L32)</f>
        <v>0</v>
      </c>
      <c r="M34" s="132">
        <f>SUM(M7:M32)</f>
        <v>710760</v>
      </c>
      <c r="N34" s="167"/>
    </row>
    <row r="35" spans="1:14" ht="13.5" thickBot="1">
      <c r="A35" s="191"/>
      <c r="B35" s="192"/>
      <c r="C35" s="116">
        <f>C34/($C$34+$D$34+$E$34)</f>
        <v>0.99499890085733134</v>
      </c>
      <c r="D35" s="116">
        <f>D34/($C$34+$D$34+$E$34)</f>
        <v>5.0010991426687182E-3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(13*1440)/1440*G42*2.77*1440/1000000</f>
        <v>56.002752000000008</v>
      </c>
      <c r="J37" s="137">
        <f>+I37+'11'!J37</f>
        <v>801.02773056846695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4</v>
      </c>
      <c r="D38" s="130">
        <f>+C38+'11'!D38</f>
        <v>550</v>
      </c>
      <c r="E38" s="155">
        <f t="shared" ref="E38:E51" si="0">D38/60</f>
        <v>9.1666666666666661</v>
      </c>
      <c r="F38" s="340">
        <v>1350</v>
      </c>
      <c r="G38" s="340">
        <f>+F38-F38*0.2</f>
        <v>1080</v>
      </c>
      <c r="H38" s="199" t="s">
        <v>65</v>
      </c>
      <c r="I38" s="549">
        <f>19.095+16.83+18.822</f>
        <v>54.747</v>
      </c>
      <c r="J38" s="139">
        <f>+I38+'11'!J38</f>
        <v>734.84822201000009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+C39+'11'!D39</f>
        <v>0</v>
      </c>
      <c r="E39" s="155">
        <f t="shared" si="0"/>
        <v>0</v>
      </c>
      <c r="F39" s="340">
        <v>1350</v>
      </c>
      <c r="G39" s="340">
        <f>+F39-F39*0.2</f>
        <v>1080</v>
      </c>
      <c r="H39" s="199" t="s">
        <v>66</v>
      </c>
      <c r="I39" s="154"/>
      <c r="J39" s="141">
        <f>J37/G4</f>
        <v>66.752310880705579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+C40+'11'!D40</f>
        <v>0</v>
      </c>
      <c r="E40" s="155">
        <f t="shared" si="0"/>
        <v>0</v>
      </c>
      <c r="F40" s="340">
        <v>1350</v>
      </c>
      <c r="G40" s="340">
        <f>+F40-F40*0.2</f>
        <v>1080</v>
      </c>
      <c r="H40" s="199" t="s">
        <v>68</v>
      </c>
      <c r="I40" s="130">
        <f>(K34+L34)/1000</f>
        <v>54.314999999999998</v>
      </c>
      <c r="J40" s="143">
        <f>+I40+'11'!J40</f>
        <v>710.76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+C41+'11'!D41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59.23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+C42+'11'!D42</f>
        <v>0</v>
      </c>
      <c r="E42" s="155">
        <f t="shared" si="0"/>
        <v>0</v>
      </c>
      <c r="F42" s="340">
        <f>+(F38*480+F39*480+F40*480)/1440</f>
        <v>1350</v>
      </c>
      <c r="G42" s="340">
        <f>+(G38*480+G39*480+G40*480)/1440</f>
        <v>1080</v>
      </c>
      <c r="H42" s="199" t="s">
        <v>71</v>
      </c>
      <c r="I42" s="257" t="s">
        <v>595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+C43+'11'!D43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+Report1!T20</f>
        <v>124.252</v>
      </c>
      <c r="J43" s="145">
        <f>+I43+'11'!J43</f>
        <v>1552.15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+C44+'11'!D44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2.26956728222551</v>
      </c>
      <c r="J44" s="146">
        <f>J43/J38</f>
        <v>2.1122048791986843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+C45+'11'!D45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2.2876185215870386</v>
      </c>
      <c r="J45" s="146">
        <f>J43/J40</f>
        <v>2.1837891834093086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+C46+'11'!D46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+SUMIF(Listrik!AR19,"&gt;0")</f>
        <v>59898.479999999836</v>
      </c>
      <c r="J46" s="147">
        <f>+I46+'11'!J46</f>
        <v>636579.31999999902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+C47+'11'!D47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1094.0961148556055</v>
      </c>
      <c r="J47" s="147">
        <f>J46/J38</f>
        <v>866.27319891826073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+C48+'11'!D48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1102.7981220657248</v>
      </c>
      <c r="J48" s="147">
        <f>J46/J40</f>
        <v>895.63188699420198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+C49+'11'!D49</f>
        <v>60</v>
      </c>
      <c r="E49" s="155">
        <f t="shared" si="0"/>
        <v>1</v>
      </c>
      <c r="F49" s="197"/>
      <c r="H49" s="200" t="s">
        <v>83</v>
      </c>
      <c r="I49" s="130">
        <v>0</v>
      </c>
      <c r="J49" s="147">
        <f>+I49+'11'!J49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+C50+'11'!D50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+C51+'11'!D51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4</v>
      </c>
      <c r="D52" s="156">
        <f>SUM(D38:D51)</f>
        <v>1543</v>
      </c>
      <c r="E52" s="157">
        <f>SUM(E38:E51)</f>
        <v>25.716666666666669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2.7777777777777779E-3</v>
      </c>
      <c r="D53" s="158">
        <f>D52/(24*60*G4)</f>
        <v>8.9293981481481488E-2</v>
      </c>
      <c r="E53" s="159">
        <f>E52/(G4*24)</f>
        <v>8.9293981481481488E-2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+D34+'11'!J56</f>
        <v>19041</v>
      </c>
      <c r="K56" s="213">
        <f>J56/(J40+J56/1000)/1000</f>
        <v>2.6090674033058325E-2</v>
      </c>
    </row>
    <row r="57" spans="1:11">
      <c r="A57" s="188"/>
      <c r="I57" s="211" t="s">
        <v>90</v>
      </c>
      <c r="J57" s="212">
        <f>+E34+'11'!J57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  <mergeCell ref="A7:A14"/>
    <mergeCell ref="I7:I13"/>
    <mergeCell ref="A15:A23"/>
    <mergeCell ref="I15:I22"/>
    <mergeCell ref="A46:B46"/>
    <mergeCell ref="A52:B52"/>
    <mergeCell ref="A53:B53"/>
    <mergeCell ref="A48:B48"/>
    <mergeCell ref="A49:B49"/>
    <mergeCell ref="A50:B50"/>
    <mergeCell ref="A51:B51"/>
  </mergeCells>
  <phoneticPr fontId="33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view="pageBreakPreview" zoomScale="80" zoomScaleNormal="70" zoomScaleSheetLayoutView="80" workbookViewId="0">
      <selection activeCell="B25" sqref="B25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5.5703125" style="161" bestFit="1" customWidth="1"/>
    <col min="14" max="16384" width="9.140625" style="161"/>
  </cols>
  <sheetData>
    <row r="1" spans="1:25" ht="15.75">
      <c r="A1" s="160"/>
    </row>
    <row r="2" spans="1:25" ht="15.75">
      <c r="A2" s="160" t="s">
        <v>152</v>
      </c>
    </row>
    <row r="3" spans="1:25" ht="15">
      <c r="A3" s="162"/>
    </row>
    <row r="4" spans="1:25" ht="20.25">
      <c r="A4" s="163" t="s">
        <v>3</v>
      </c>
      <c r="B4" s="164"/>
      <c r="F4" s="165" t="s">
        <v>30</v>
      </c>
      <c r="G4" s="166">
        <v>11</v>
      </c>
      <c r="H4" s="166" t="str">
        <f>+'1'!H4</f>
        <v>.12.25</v>
      </c>
      <c r="J4" s="161">
        <f>189+219+160</f>
        <v>568</v>
      </c>
    </row>
    <row r="5" spans="1:25" ht="13.5" thickBot="1">
      <c r="C5" s="167"/>
      <c r="D5" s="167"/>
    </row>
    <row r="6" spans="1:2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 t="s">
        <v>592</v>
      </c>
      <c r="O6" s="161">
        <v>1510</v>
      </c>
      <c r="P6" s="161">
        <f>+O6-(O6*0.16)</f>
        <v>1268.4000000000001</v>
      </c>
      <c r="Q6" s="161">
        <f>60*2+40</f>
        <v>160</v>
      </c>
      <c r="R6" s="161">
        <f t="shared" ref="R6:R11" si="0">+O6*Q6</f>
        <v>241600</v>
      </c>
      <c r="S6" s="161">
        <f t="shared" ref="S6:S11" si="1">+P6*Q6</f>
        <v>202944</v>
      </c>
      <c r="T6" s="161" t="s">
        <v>593</v>
      </c>
      <c r="U6" s="161">
        <v>1400</v>
      </c>
      <c r="V6" s="161">
        <v>1120</v>
      </c>
      <c r="W6" s="161">
        <v>320</v>
      </c>
      <c r="X6" s="161">
        <f t="shared" ref="X6:X11" si="2">+U6*W6</f>
        <v>448000</v>
      </c>
      <c r="Y6" s="161">
        <f t="shared" ref="Y6:Y11" si="3">+V6*W6</f>
        <v>358400</v>
      </c>
    </row>
    <row r="7" spans="1:25" ht="13.5" customHeight="1" thickBot="1">
      <c r="A7" s="1007" t="s">
        <v>462</v>
      </c>
      <c r="B7" s="227" t="s">
        <v>602</v>
      </c>
      <c r="C7" s="228">
        <f>2773+6380</f>
        <v>9153</v>
      </c>
      <c r="D7" s="229"/>
      <c r="E7" s="230"/>
      <c r="F7" s="239"/>
      <c r="G7" s="240" t="s">
        <v>12</v>
      </c>
      <c r="H7" s="241" t="s">
        <v>492</v>
      </c>
      <c r="I7" s="1010" t="s">
        <v>594</v>
      </c>
      <c r="J7" s="226" t="str">
        <f>+'10'!J7</f>
        <v>F 13 VP OW</v>
      </c>
      <c r="K7" s="249"/>
      <c r="L7" s="253"/>
      <c r="M7" s="129">
        <f>+K7+'10'!M7+L7</f>
        <v>109098</v>
      </c>
      <c r="N7" s="161" t="s">
        <v>593</v>
      </c>
      <c r="O7" s="161">
        <v>1400</v>
      </c>
      <c r="P7" s="161">
        <f>+O7-(O7*0.2)</f>
        <v>1120</v>
      </c>
      <c r="Q7" s="161">
        <f>480-Q6</f>
        <v>320</v>
      </c>
      <c r="R7" s="161">
        <f t="shared" si="0"/>
        <v>448000</v>
      </c>
      <c r="S7" s="161">
        <f t="shared" si="1"/>
        <v>358400</v>
      </c>
      <c r="T7" s="161" t="s">
        <v>593</v>
      </c>
      <c r="U7" s="161">
        <v>1350</v>
      </c>
      <c r="V7" s="161">
        <v>1080</v>
      </c>
      <c r="W7" s="161">
        <v>480</v>
      </c>
      <c r="X7" s="161">
        <f t="shared" si="2"/>
        <v>648000</v>
      </c>
      <c r="Y7" s="161">
        <f t="shared" si="3"/>
        <v>518400</v>
      </c>
    </row>
    <row r="8" spans="1:25" ht="13.5" thickBot="1">
      <c r="A8" s="1008"/>
      <c r="B8" s="227" t="s">
        <v>603</v>
      </c>
      <c r="C8" s="228">
        <f>2616+2211</f>
        <v>4827</v>
      </c>
      <c r="D8" s="229">
        <v>167</v>
      </c>
      <c r="E8" s="231"/>
      <c r="F8" s="242">
        <v>4</v>
      </c>
      <c r="G8" s="243" t="s">
        <v>12</v>
      </c>
      <c r="H8" s="241" t="s">
        <v>445</v>
      </c>
      <c r="I8" s="1011"/>
      <c r="J8" s="226" t="str">
        <f>+'10'!J8</f>
        <v>MG 15,5 VP OW</v>
      </c>
      <c r="K8" s="250"/>
      <c r="L8" s="250"/>
      <c r="M8" s="129">
        <f>+K8+'10'!M8+L8</f>
        <v>40782</v>
      </c>
      <c r="T8" s="161" t="s">
        <v>593</v>
      </c>
      <c r="U8" s="161">
        <v>1350</v>
      </c>
      <c r="V8" s="161">
        <v>1080</v>
      </c>
      <c r="W8" s="161">
        <v>480</v>
      </c>
      <c r="X8" s="161">
        <f t="shared" si="2"/>
        <v>648000</v>
      </c>
      <c r="Y8" s="161">
        <f t="shared" si="3"/>
        <v>518400</v>
      </c>
    </row>
    <row r="9" spans="1:25" ht="13.5" thickBot="1">
      <c r="A9" s="1008"/>
      <c r="B9" s="227"/>
      <c r="C9" s="228"/>
      <c r="D9" s="229"/>
      <c r="E9" s="232"/>
      <c r="F9" s="239">
        <v>16</v>
      </c>
      <c r="G9" s="243" t="s">
        <v>12</v>
      </c>
      <c r="H9" s="574" t="s">
        <v>476</v>
      </c>
      <c r="I9" s="1011"/>
      <c r="J9" s="226" t="str">
        <f>+'10'!J9</f>
        <v>MG 16,5 VP HW</v>
      </c>
      <c r="K9" s="250"/>
      <c r="L9" s="250"/>
      <c r="M9" s="129">
        <f>+K9+'10'!M9+L9</f>
        <v>65896</v>
      </c>
      <c r="P9" s="161">
        <f>+O9-(O9*0.2)</f>
        <v>0</v>
      </c>
      <c r="R9" s="161">
        <f t="shared" si="0"/>
        <v>0</v>
      </c>
      <c r="S9" s="161">
        <f t="shared" si="1"/>
        <v>0</v>
      </c>
      <c r="V9" s="161">
        <f>+U9-(U9*0.2)</f>
        <v>0</v>
      </c>
      <c r="X9" s="161">
        <f t="shared" si="2"/>
        <v>0</v>
      </c>
      <c r="Y9" s="161">
        <f t="shared" si="3"/>
        <v>0</v>
      </c>
    </row>
    <row r="10" spans="1:25" ht="26.25" thickBot="1">
      <c r="A10" s="1008"/>
      <c r="B10" s="227"/>
      <c r="C10" s="228"/>
      <c r="D10" s="229"/>
      <c r="E10" s="231"/>
      <c r="F10" s="239"/>
      <c r="G10" s="243"/>
      <c r="H10" s="574" t="s">
        <v>589</v>
      </c>
      <c r="I10" s="1011"/>
      <c r="J10" s="226" t="str">
        <f>+'10'!J10</f>
        <v>MG 17 VP HW</v>
      </c>
      <c r="K10" s="250"/>
      <c r="L10" s="250"/>
      <c r="M10" s="129">
        <f>+K10+'10'!M10+L10</f>
        <v>170813</v>
      </c>
      <c r="P10" s="161">
        <f>+O10-(O10*0.23)</f>
        <v>0</v>
      </c>
      <c r="R10" s="161">
        <f t="shared" si="0"/>
        <v>0</v>
      </c>
      <c r="S10" s="161">
        <f t="shared" si="1"/>
        <v>0</v>
      </c>
      <c r="V10" s="161">
        <f>+U10-(U10*0.23)</f>
        <v>0</v>
      </c>
      <c r="X10" s="161">
        <f t="shared" si="2"/>
        <v>0</v>
      </c>
      <c r="Y10" s="161">
        <f t="shared" si="3"/>
        <v>0</v>
      </c>
    </row>
    <row r="11" spans="1:25" ht="39" thickBot="1">
      <c r="A11" s="1008"/>
      <c r="B11" s="227"/>
      <c r="C11" s="228"/>
      <c r="D11" s="229"/>
      <c r="E11" s="231" t="s">
        <v>591</v>
      </c>
      <c r="F11" s="239">
        <v>60</v>
      </c>
      <c r="G11" s="243" t="s">
        <v>20</v>
      </c>
      <c r="H11" s="244" t="s">
        <v>590</v>
      </c>
      <c r="I11" s="1011"/>
      <c r="J11" s="226" t="str">
        <f>+'10'!J11</f>
        <v>MG 14 VP OW</v>
      </c>
      <c r="K11" s="250"/>
      <c r="L11" s="250"/>
      <c r="M11" s="129">
        <f>+K11+'10'!M11+L11</f>
        <v>130379</v>
      </c>
      <c r="P11" s="161">
        <f>+O11-(O11*0.23)</f>
        <v>0</v>
      </c>
      <c r="R11" s="161">
        <f t="shared" si="0"/>
        <v>0</v>
      </c>
      <c r="S11" s="161">
        <f t="shared" si="1"/>
        <v>0</v>
      </c>
      <c r="V11" s="161">
        <f>+U11-(U11*0.23)</f>
        <v>0</v>
      </c>
      <c r="X11" s="161">
        <f t="shared" si="2"/>
        <v>0</v>
      </c>
      <c r="Y11" s="161">
        <f t="shared" si="3"/>
        <v>0</v>
      </c>
    </row>
    <row r="12" spans="1:25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+'10'!J12</f>
        <v>MG 19 VP HW</v>
      </c>
      <c r="K12" s="250"/>
      <c r="L12" s="250"/>
      <c r="M12" s="129">
        <f>+K12+'10'!M12+L12</f>
        <v>20052</v>
      </c>
    </row>
    <row r="13" spans="1:25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+'10'!J13</f>
        <v>MG 17 VP OW</v>
      </c>
      <c r="K13" s="250"/>
      <c r="L13" s="250"/>
      <c r="M13" s="129">
        <f>+K13+'10'!M13+L13</f>
        <v>6479</v>
      </c>
    </row>
    <row r="14" spans="1:25" ht="13.5" thickBot="1">
      <c r="A14" s="1009"/>
      <c r="B14" s="177" t="s">
        <v>2</v>
      </c>
      <c r="C14" s="111">
        <f>SUM(C7:C13)</f>
        <v>13980</v>
      </c>
      <c r="D14" s="123">
        <f>SUM(D7:D13)</f>
        <v>167</v>
      </c>
      <c r="E14" s="124">
        <f>SUM(E5:E13)</f>
        <v>0</v>
      </c>
      <c r="F14" s="128">
        <f>SUM(F7:F13)</f>
        <v>80</v>
      </c>
      <c r="G14" s="171"/>
      <c r="H14" s="178"/>
      <c r="I14" s="179"/>
      <c r="J14" s="226" t="str">
        <f>+'10'!J14</f>
        <v>MG 21,5 VP OW</v>
      </c>
      <c r="K14" s="250"/>
      <c r="L14" s="250"/>
      <c r="M14" s="129">
        <f>+K14+'10'!M14+L14</f>
        <v>65067</v>
      </c>
      <c r="Q14" s="188">
        <f>SUM(Q6:Q11)</f>
        <v>480</v>
      </c>
      <c r="R14" s="188">
        <f>SUM(R6:R11)</f>
        <v>689600</v>
      </c>
      <c r="S14" s="188">
        <f>SUM(S6:S11)</f>
        <v>561344</v>
      </c>
      <c r="W14" s="188">
        <f>SUM(W6:W11)</f>
        <v>1280</v>
      </c>
      <c r="X14" s="188">
        <f>SUM(X6:X11)</f>
        <v>1744000</v>
      </c>
      <c r="Y14" s="188">
        <f>SUM(Y6:Y11)</f>
        <v>1395200</v>
      </c>
    </row>
    <row r="15" spans="1:25" ht="13.5" customHeight="1" thickBot="1">
      <c r="A15" s="1007" t="s">
        <v>601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595</v>
      </c>
      <c r="J15" s="226" t="str">
        <f>+'10'!J15</f>
        <v>F 10,5 VP OW</v>
      </c>
      <c r="K15" s="250"/>
      <c r="L15" s="250"/>
      <c r="M15" s="129">
        <f>+K15+'10'!M15+L15</f>
        <v>0</v>
      </c>
      <c r="R15" s="188">
        <f>+R14/Q14</f>
        <v>1436.6666666666667</v>
      </c>
      <c r="S15" s="188">
        <f>+S14/Q14</f>
        <v>1169.4666666666667</v>
      </c>
      <c r="X15" s="188">
        <f>+X14/W14</f>
        <v>1362.5</v>
      </c>
      <c r="Y15" s="188">
        <f>+Y14/W14</f>
        <v>1090</v>
      </c>
    </row>
    <row r="16" spans="1:25" ht="13.5" thickBot="1">
      <c r="A16" s="1013"/>
      <c r="B16" s="227" t="s">
        <v>603</v>
      </c>
      <c r="C16" s="233">
        <v>17203</v>
      </c>
      <c r="D16" s="234">
        <v>539</v>
      </c>
      <c r="E16" s="235"/>
      <c r="F16" s="239"/>
      <c r="G16" s="243" t="s">
        <v>12</v>
      </c>
      <c r="H16" s="241" t="s">
        <v>494</v>
      </c>
      <c r="I16" s="1011"/>
      <c r="J16" s="226" t="s">
        <v>602</v>
      </c>
      <c r="K16" s="250">
        <f>+C7</f>
        <v>9153</v>
      </c>
      <c r="L16" s="240"/>
      <c r="M16" s="129">
        <f>+K16+'10'!M16+L16</f>
        <v>9153</v>
      </c>
      <c r="N16" s="161" t="s">
        <v>593</v>
      </c>
      <c r="O16" s="161">
        <v>1350</v>
      </c>
      <c r="P16" s="161">
        <f>+O16-(O16*0.2)</f>
        <v>1080</v>
      </c>
      <c r="Q16" s="161">
        <v>480</v>
      </c>
      <c r="R16" s="161">
        <f>+O16*Q16</f>
        <v>648000</v>
      </c>
      <c r="S16" s="161">
        <f>+P16*Q16</f>
        <v>518400</v>
      </c>
    </row>
    <row r="17" spans="1:19" ht="13.5" thickBot="1">
      <c r="A17" s="1013"/>
      <c r="B17" s="227"/>
      <c r="C17" s="228"/>
      <c r="D17" s="229"/>
      <c r="E17" s="236"/>
      <c r="F17" s="239"/>
      <c r="G17" s="243" t="s">
        <v>12</v>
      </c>
      <c r="H17" s="574" t="s">
        <v>450</v>
      </c>
      <c r="I17" s="1011"/>
      <c r="J17" s="226" t="s">
        <v>603</v>
      </c>
      <c r="K17" s="250">
        <f>+C8+C16+C25</f>
        <v>38726</v>
      </c>
      <c r="L17" s="240"/>
      <c r="M17" s="129">
        <f>+K17+'10'!M17+L17</f>
        <v>38726</v>
      </c>
      <c r="Q17" s="161">
        <f>480-Q16</f>
        <v>0</v>
      </c>
      <c r="R17" s="161">
        <f>+O17*Q17</f>
        <v>0</v>
      </c>
      <c r="S17" s="161">
        <f>+P17*Q17</f>
        <v>0</v>
      </c>
    </row>
    <row r="18" spans="1:19" ht="26.25" thickBot="1">
      <c r="A18" s="1013"/>
      <c r="B18" s="227"/>
      <c r="C18" s="228"/>
      <c r="D18" s="229"/>
      <c r="E18" s="236"/>
      <c r="F18" s="239"/>
      <c r="G18" s="243"/>
      <c r="H18" s="574" t="s">
        <v>588</v>
      </c>
      <c r="I18" s="1011"/>
      <c r="J18" s="226">
        <f>+'10'!J18</f>
        <v>0</v>
      </c>
      <c r="K18" s="250"/>
      <c r="L18" s="250"/>
      <c r="M18" s="129">
        <f>+K18+'10'!M18+L18</f>
        <v>0</v>
      </c>
    </row>
    <row r="19" spans="1:19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>
        <f>+'10'!J19</f>
        <v>0</v>
      </c>
      <c r="K19" s="250"/>
      <c r="L19" s="250"/>
      <c r="M19" s="129">
        <f>+K19+'10'!M19+L19</f>
        <v>0</v>
      </c>
      <c r="P19" s="161">
        <f>+O19-(O19*0.2)</f>
        <v>0</v>
      </c>
      <c r="R19" s="161">
        <f>+O19*Q19</f>
        <v>0</v>
      </c>
      <c r="S19" s="161">
        <f>+P19*Q19</f>
        <v>0</v>
      </c>
    </row>
    <row r="20" spans="1:19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+'10'!J20</f>
        <v>0</v>
      </c>
      <c r="K20" s="250"/>
      <c r="L20" s="251"/>
      <c r="M20" s="129">
        <f>+K20+'10'!M20+L20</f>
        <v>0</v>
      </c>
      <c r="P20" s="161">
        <f>+O20-(O20*0.23)</f>
        <v>0</v>
      </c>
      <c r="R20" s="161">
        <f>+O20*Q20</f>
        <v>0</v>
      </c>
      <c r="S20" s="161">
        <f>+P20*Q20</f>
        <v>0</v>
      </c>
    </row>
    <row r="21" spans="1:19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+'10'!J21</f>
        <v>0</v>
      </c>
      <c r="K21" s="250"/>
      <c r="L21" s="250"/>
      <c r="M21" s="129">
        <f>+K21+'10'!M21+L21</f>
        <v>0</v>
      </c>
      <c r="P21" s="161">
        <f>+O21-(O21*0.23)</f>
        <v>0</v>
      </c>
      <c r="R21" s="161">
        <f>+O21*Q21</f>
        <v>0</v>
      </c>
      <c r="S21" s="161">
        <f>+P21*Q21</f>
        <v>0</v>
      </c>
    </row>
    <row r="22" spans="1:19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+'10'!J22</f>
        <v>0</v>
      </c>
      <c r="K22" s="250"/>
      <c r="L22" s="250"/>
      <c r="M22" s="129">
        <f>+K22+'10'!M22+L22</f>
        <v>0</v>
      </c>
    </row>
    <row r="23" spans="1:19" ht="13.5" thickBot="1">
      <c r="A23" s="1014"/>
      <c r="B23" s="180" t="s">
        <v>2</v>
      </c>
      <c r="C23" s="112">
        <f>SUM(C16:C22)</f>
        <v>17203</v>
      </c>
      <c r="D23" s="123">
        <f>SUM(D16:D22)</f>
        <v>539</v>
      </c>
      <c r="E23" s="124">
        <f>SUM(E18:E22)</f>
        <v>0</v>
      </c>
      <c r="F23" s="128">
        <f>SUM(F15:F22)</f>
        <v>0</v>
      </c>
      <c r="G23" s="171"/>
      <c r="H23" s="178" t="s">
        <v>237</v>
      </c>
      <c r="I23" s="181"/>
      <c r="J23" s="226">
        <f>+'10'!J23</f>
        <v>0</v>
      </c>
      <c r="K23" s="250"/>
      <c r="L23" s="250"/>
      <c r="M23" s="129">
        <f>+K23+'10'!M23+L23</f>
        <v>0</v>
      </c>
    </row>
    <row r="24" spans="1:19" ht="13.5" customHeight="1" thickBot="1">
      <c r="A24" s="1007" t="s">
        <v>461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595</v>
      </c>
      <c r="J24" s="226">
        <f>+'10'!J24</f>
        <v>0</v>
      </c>
      <c r="K24" s="250"/>
      <c r="L24" s="250"/>
      <c r="M24" s="129">
        <f>+K24+'10'!M24+L24</f>
        <v>0</v>
      </c>
      <c r="Q24" s="188">
        <f>SUM(Q16:Q21)</f>
        <v>480</v>
      </c>
      <c r="R24" s="188">
        <f>SUM(R16:R21)</f>
        <v>648000</v>
      </c>
      <c r="S24" s="188">
        <f>SUM(S16:S21)</f>
        <v>518400</v>
      </c>
    </row>
    <row r="25" spans="1:19" ht="13.5" thickBot="1">
      <c r="A25" s="1013"/>
      <c r="B25" s="227" t="s">
        <v>603</v>
      </c>
      <c r="C25" s="237">
        <v>16696</v>
      </c>
      <c r="D25" s="229">
        <v>555</v>
      </c>
      <c r="E25" s="236"/>
      <c r="F25" s="242"/>
      <c r="G25" s="243" t="s">
        <v>12</v>
      </c>
      <c r="H25" s="241" t="s">
        <v>448</v>
      </c>
      <c r="I25" s="1011"/>
      <c r="J25" s="226">
        <f>+'10'!J25</f>
        <v>0</v>
      </c>
      <c r="K25" s="250"/>
      <c r="L25" s="250"/>
      <c r="M25" s="129">
        <f>+K25+'10'!M25+L25</f>
        <v>0</v>
      </c>
      <c r="R25" s="188">
        <f>+R24/Q24</f>
        <v>1350</v>
      </c>
      <c r="S25" s="188">
        <f>+S24/Q24</f>
        <v>1080</v>
      </c>
    </row>
    <row r="26" spans="1:19" ht="13.5" thickBot="1">
      <c r="A26" s="1013"/>
      <c r="B26" s="227"/>
      <c r="C26" s="237"/>
      <c r="D26" s="229"/>
      <c r="E26" s="238"/>
      <c r="F26" s="242">
        <v>2</v>
      </c>
      <c r="G26" s="243" t="s">
        <v>12</v>
      </c>
      <c r="H26" s="574" t="s">
        <v>450</v>
      </c>
      <c r="I26" s="1011"/>
      <c r="J26" s="226">
        <f>+'10'!J26</f>
        <v>0</v>
      </c>
      <c r="K26" s="240"/>
      <c r="L26" s="240"/>
      <c r="M26" s="129">
        <f>+K26+'10'!M26+L26</f>
        <v>0</v>
      </c>
    </row>
    <row r="27" spans="1:19" ht="39" thickBot="1">
      <c r="A27" s="1013"/>
      <c r="B27" s="227"/>
      <c r="C27" s="228"/>
      <c r="D27" s="229"/>
      <c r="E27" s="236"/>
      <c r="F27" s="242"/>
      <c r="G27" s="243"/>
      <c r="H27" s="574" t="s">
        <v>587</v>
      </c>
      <c r="I27" s="1011"/>
      <c r="J27" s="226">
        <f>+'10'!J27</f>
        <v>0</v>
      </c>
      <c r="K27" s="240"/>
      <c r="L27" s="240"/>
      <c r="M27" s="129">
        <f>+K27+'10'!M27+L27</f>
        <v>0</v>
      </c>
      <c r="N27" s="161" t="s">
        <v>593</v>
      </c>
      <c r="O27" s="161">
        <v>1350</v>
      </c>
      <c r="P27" s="161">
        <f>+O27-(O27*0.2)</f>
        <v>1080</v>
      </c>
      <c r="Q27" s="161">
        <v>480</v>
      </c>
      <c r="R27" s="161">
        <f>+O27*Q27</f>
        <v>648000</v>
      </c>
      <c r="S27" s="161">
        <f>+P27*Q27</f>
        <v>518400</v>
      </c>
    </row>
    <row r="28" spans="1:19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+'10'!J28</f>
        <v>0</v>
      </c>
      <c r="K28" s="250"/>
      <c r="L28" s="250"/>
      <c r="M28" s="129">
        <f>+K28+'10'!M28+L28</f>
        <v>0</v>
      </c>
      <c r="Q28" s="161">
        <f>480-Q27</f>
        <v>0</v>
      </c>
      <c r="R28" s="161">
        <f>+O28*Q28</f>
        <v>0</v>
      </c>
      <c r="S28" s="161">
        <f>+P28*Q28</f>
        <v>0</v>
      </c>
    </row>
    <row r="29" spans="1:19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+'10'!J29</f>
        <v>0</v>
      </c>
      <c r="K29" s="250"/>
      <c r="L29" s="250"/>
      <c r="M29" s="129">
        <f>+K29+'10'!M29+L29</f>
        <v>0</v>
      </c>
    </row>
    <row r="30" spans="1:19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+'10'!J30</f>
        <v>0</v>
      </c>
      <c r="K30" s="251"/>
      <c r="L30" s="251"/>
      <c r="M30" s="129">
        <f>+K30+'10'!M30+L30</f>
        <v>0</v>
      </c>
      <c r="P30" s="161">
        <f>+O30-(O30*0.2)</f>
        <v>0</v>
      </c>
      <c r="R30" s="161">
        <f>+O30*Q30</f>
        <v>0</v>
      </c>
      <c r="S30" s="161">
        <f>+P30*Q30</f>
        <v>0</v>
      </c>
    </row>
    <row r="31" spans="1:19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+'10'!J31</f>
        <v>0</v>
      </c>
      <c r="K31" s="250"/>
      <c r="L31" s="250"/>
      <c r="M31" s="129">
        <f>+K31+'10'!M31+L31</f>
        <v>0</v>
      </c>
      <c r="P31" s="161">
        <f>+O31-(O31*0.23)</f>
        <v>0</v>
      </c>
      <c r="R31" s="161">
        <f>+O31*Q31</f>
        <v>0</v>
      </c>
      <c r="S31" s="161">
        <f>+P31*Q31</f>
        <v>0</v>
      </c>
    </row>
    <row r="32" spans="1:19" ht="13.5" thickBot="1">
      <c r="A32" s="1014"/>
      <c r="B32" s="177" t="s">
        <v>2</v>
      </c>
      <c r="C32" s="111">
        <f>SUM(C25:C31)</f>
        <v>16696</v>
      </c>
      <c r="D32" s="112">
        <f>SUM(D25:D31)</f>
        <v>555</v>
      </c>
      <c r="E32" s="113">
        <f>SUM(E25:E31)</f>
        <v>0</v>
      </c>
      <c r="F32" s="114">
        <f>SUM(F24:F31)</f>
        <v>2</v>
      </c>
      <c r="G32" s="183"/>
      <c r="H32" s="184"/>
      <c r="I32" s="181"/>
      <c r="J32" s="226">
        <f>+'10'!J32</f>
        <v>0</v>
      </c>
      <c r="K32" s="250"/>
      <c r="L32" s="250"/>
      <c r="M32" s="129">
        <f>+K32+'10'!M32+L32</f>
        <v>0</v>
      </c>
      <c r="P32" s="161">
        <f>+O32-(O32*0.23)</f>
        <v>0</v>
      </c>
      <c r="R32" s="161">
        <f>+O32*Q32</f>
        <v>0</v>
      </c>
      <c r="S32" s="161">
        <f>+P32*Q32</f>
        <v>0</v>
      </c>
    </row>
    <row r="33" spans="1:19" ht="13.5" thickBot="1">
      <c r="A33" s="185"/>
      <c r="B33" s="186"/>
      <c r="C33" s="115">
        <f>C32/($C$32+$D$32+$E$32)</f>
        <v>0.96782795200278249</v>
      </c>
      <c r="D33" s="116">
        <f>D32/($C$32+$D$32+$E$32)</f>
        <v>3.2172047997217554E-2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9" ht="13.5" thickBot="1">
      <c r="A34" s="1015" t="s">
        <v>58</v>
      </c>
      <c r="B34" s="1016"/>
      <c r="C34" s="119">
        <f>C14+C23+C32</f>
        <v>47879</v>
      </c>
      <c r="D34" s="119">
        <f>D14+D23+D32</f>
        <v>1261</v>
      </c>
      <c r="E34" s="119">
        <f>E14+E23+E32</f>
        <v>0</v>
      </c>
      <c r="F34" s="120">
        <f>F14+F23+F32</f>
        <v>82</v>
      </c>
      <c r="H34" s="190"/>
      <c r="I34" s="190"/>
      <c r="J34" s="135" t="s">
        <v>28</v>
      </c>
      <c r="K34" s="136">
        <f>SUM(K7:K32)</f>
        <v>47879</v>
      </c>
      <c r="L34" s="224">
        <f>SUM(L7:L32)</f>
        <v>0</v>
      </c>
      <c r="M34" s="132">
        <f>SUM(M7:M32)</f>
        <v>656445</v>
      </c>
    </row>
    <row r="35" spans="1:19" ht="13.5" thickBot="1">
      <c r="A35" s="191"/>
      <c r="B35" s="192"/>
      <c r="C35" s="116">
        <f>C34/($C$34+$D$34+$E$34)</f>
        <v>0.97433862433862439</v>
      </c>
      <c r="D35" s="116">
        <f>D34/($C$34+$D$34+$E$34)</f>
        <v>2.5661375661375663E-2</v>
      </c>
      <c r="E35" s="121">
        <f>E34/($C$34+$D$34+$E$34)</f>
        <v>0</v>
      </c>
      <c r="K35" s="167"/>
      <c r="Q35" s="188">
        <f>SUM(Q27:Q32)</f>
        <v>480</v>
      </c>
      <c r="R35" s="188">
        <f>SUM(R27:R32)</f>
        <v>648000</v>
      </c>
      <c r="S35" s="188">
        <f>SUM(S27:S32)</f>
        <v>518400</v>
      </c>
    </row>
    <row r="36" spans="1:19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  <c r="R36" s="188">
        <f>+R35/Q35</f>
        <v>1350</v>
      </c>
      <c r="S36" s="188">
        <f>+S35/Q35</f>
        <v>1080</v>
      </c>
    </row>
    <row r="37" spans="1:19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(10.3*160+13*1280)/1440*G42*2.77*1440/1000000</f>
        <v>56.221107776000004</v>
      </c>
      <c r="J37" s="137">
        <f>+I37+'10'!J37</f>
        <v>745.02497856846696</v>
      </c>
      <c r="K37" s="138" t="s">
        <v>64</v>
      </c>
    </row>
    <row r="38" spans="1:19" ht="17.45" customHeight="1">
      <c r="A38" s="1005" t="s">
        <v>12</v>
      </c>
      <c r="B38" s="1006"/>
      <c r="C38" s="176">
        <f>SUMIF($G$7:$G$31,"Process",$F$7:$F$31)</f>
        <v>22</v>
      </c>
      <c r="D38" s="130">
        <f>+C38+'10'!D38</f>
        <v>546</v>
      </c>
      <c r="E38" s="155">
        <f t="shared" ref="E38:E51" si="4">D38/60</f>
        <v>9.1</v>
      </c>
      <c r="F38" s="340">
        <v>1436.6666666666667</v>
      </c>
      <c r="G38" s="340">
        <v>1169.4666666666667</v>
      </c>
      <c r="H38" s="199" t="s">
        <v>65</v>
      </c>
      <c r="I38" s="549">
        <f>15.447+18.069+17.305</f>
        <v>50.820999999999998</v>
      </c>
      <c r="J38" s="139">
        <f>+I38+'10'!J38</f>
        <v>680.10122201000013</v>
      </c>
      <c r="K38" s="140" t="s">
        <v>64</v>
      </c>
      <c r="N38" s="161" t="s">
        <v>592</v>
      </c>
      <c r="O38" s="161">
        <v>1510</v>
      </c>
      <c r="P38" s="161">
        <v>1268.4000000000001</v>
      </c>
      <c r="Q38" s="161">
        <v>160</v>
      </c>
    </row>
    <row r="39" spans="1:19" ht="17.45" customHeight="1">
      <c r="A39" s="1001" t="s">
        <v>13</v>
      </c>
      <c r="B39" s="1002"/>
      <c r="C39" s="176">
        <f>SUMIF($G$7:$G$31,"Cleaning",$F$7:$F$31)</f>
        <v>0</v>
      </c>
      <c r="D39" s="130">
        <f>+C39+'10'!D39</f>
        <v>0</v>
      </c>
      <c r="E39" s="155">
        <f t="shared" si="4"/>
        <v>0</v>
      </c>
      <c r="F39" s="340">
        <v>1350</v>
      </c>
      <c r="G39" s="340">
        <v>1080</v>
      </c>
      <c r="H39" s="199" t="s">
        <v>66</v>
      </c>
      <c r="I39" s="154"/>
      <c r="J39" s="141">
        <f>J37/G4</f>
        <v>67.729543506224275</v>
      </c>
      <c r="K39" s="142" t="s">
        <v>64</v>
      </c>
      <c r="N39" s="161" t="s">
        <v>593</v>
      </c>
      <c r="O39" s="161">
        <v>1362.5</v>
      </c>
      <c r="P39" s="161">
        <v>1090</v>
      </c>
      <c r="Q39" s="161">
        <v>1280</v>
      </c>
    </row>
    <row r="40" spans="1:19" ht="17.45" customHeight="1">
      <c r="A40" s="1001" t="s">
        <v>67</v>
      </c>
      <c r="B40" s="1002"/>
      <c r="C40" s="176">
        <f>SUMIF($G$7:$G$31,"Mechanical",$F$7:$F$31)</f>
        <v>0</v>
      </c>
      <c r="D40" s="130">
        <f>+C40+'10'!D40</f>
        <v>0</v>
      </c>
      <c r="E40" s="155">
        <f t="shared" si="4"/>
        <v>0</v>
      </c>
      <c r="F40" s="340">
        <v>1350</v>
      </c>
      <c r="G40" s="340">
        <v>1080</v>
      </c>
      <c r="H40" s="199" t="s">
        <v>68</v>
      </c>
      <c r="I40" s="130">
        <f>(K34+L34)/1000</f>
        <v>47.878999999999998</v>
      </c>
      <c r="J40" s="143">
        <f>+I40+'10'!J40</f>
        <v>656.44500000000005</v>
      </c>
      <c r="K40" s="142" t="s">
        <v>64</v>
      </c>
      <c r="Q40" s="161">
        <f>+Q38+Q39</f>
        <v>1440</v>
      </c>
    </row>
    <row r="41" spans="1:19" ht="17.45" customHeight="1">
      <c r="A41" s="1001" t="s">
        <v>69</v>
      </c>
      <c r="B41" s="1002"/>
      <c r="C41" s="176">
        <f>SUMIF($G$7:$G$31,"Electrical",$F$7:$F$31)</f>
        <v>0</v>
      </c>
      <c r="D41" s="130">
        <f>+C41+'10'!D41</f>
        <v>65</v>
      </c>
      <c r="E41" s="155">
        <f t="shared" si="4"/>
        <v>1.0833333333333333</v>
      </c>
      <c r="F41" s="340"/>
      <c r="G41" s="340"/>
      <c r="H41" s="199" t="s">
        <v>70</v>
      </c>
      <c r="I41" s="154"/>
      <c r="J41" s="141">
        <f>J40/G4</f>
        <v>59.676818181818184</v>
      </c>
      <c r="K41" s="142" t="s">
        <v>64</v>
      </c>
    </row>
    <row r="42" spans="1:19" ht="17.45" customHeight="1">
      <c r="A42" s="1001" t="s">
        <v>16</v>
      </c>
      <c r="B42" s="1002"/>
      <c r="C42" s="176">
        <f>SUMIF($G$7:$G$31,"Instrument",$F$7:$F$31)</f>
        <v>0</v>
      </c>
      <c r="D42" s="130">
        <f>+C42+'10'!D42</f>
        <v>0</v>
      </c>
      <c r="E42" s="155">
        <f t="shared" si="4"/>
        <v>0</v>
      </c>
      <c r="F42" s="340">
        <f>+(F38*480+F39*480+F40*480)/1440</f>
        <v>1378.8888888888889</v>
      </c>
      <c r="G42" s="340">
        <f>+(G38*480+G39*480+G40*480)/1440</f>
        <v>1109.8222222222223</v>
      </c>
      <c r="H42" s="199" t="s">
        <v>71</v>
      </c>
      <c r="I42" s="257" t="s">
        <v>596</v>
      </c>
      <c r="J42" s="144"/>
      <c r="K42" s="142" t="s">
        <v>72</v>
      </c>
    </row>
    <row r="43" spans="1:19" ht="17.45" customHeight="1">
      <c r="A43" s="1001" t="s">
        <v>73</v>
      </c>
      <c r="B43" s="1002"/>
      <c r="C43" s="176">
        <f>SUMIF($G$7:$G$31,"Water",$F$7:$F$31)</f>
        <v>0</v>
      </c>
      <c r="D43" s="130">
        <f>+C43+'10'!D43</f>
        <v>0</v>
      </c>
      <c r="E43" s="155">
        <f t="shared" si="4"/>
        <v>0</v>
      </c>
      <c r="F43" s="340"/>
      <c r="G43" s="341"/>
      <c r="H43" s="200" t="s">
        <v>74</v>
      </c>
      <c r="I43" s="130">
        <f>+Report1!T19</f>
        <v>126.23699999999999</v>
      </c>
      <c r="J43" s="145">
        <f>+I43+'10'!J43</f>
        <v>1427.8980000000001</v>
      </c>
      <c r="K43" s="142" t="s">
        <v>64</v>
      </c>
      <c r="L43" s="201"/>
    </row>
    <row r="44" spans="1:19" ht="17.45" customHeight="1">
      <c r="A44" s="1001" t="s">
        <v>17</v>
      </c>
      <c r="B44" s="1002"/>
      <c r="C44" s="176">
        <f>SUMIF($G$7:$G$31,"PLN",$F$7:$F$31)</f>
        <v>0</v>
      </c>
      <c r="D44" s="130">
        <f>+C44+'10'!D44</f>
        <v>63</v>
      </c>
      <c r="E44" s="155">
        <f t="shared" si="4"/>
        <v>1.05</v>
      </c>
      <c r="F44" s="340"/>
      <c r="G44" s="341"/>
      <c r="H44" s="200" t="s">
        <v>75</v>
      </c>
      <c r="I44" s="130">
        <f>I43/I38</f>
        <v>2.4839534837960686</v>
      </c>
      <c r="J44" s="146">
        <f>J43/J38</f>
        <v>2.099537471466276</v>
      </c>
      <c r="K44" s="142" t="s">
        <v>64</v>
      </c>
    </row>
    <row r="45" spans="1:19" ht="17.45" customHeight="1">
      <c r="A45" s="1001" t="s">
        <v>18</v>
      </c>
      <c r="B45" s="1002"/>
      <c r="C45" s="176">
        <f>SUMIF($G$7:$G$31,"Boiler",$F$7:$F$31)</f>
        <v>0</v>
      </c>
      <c r="D45" s="130">
        <f>+C45+'10'!D45</f>
        <v>0</v>
      </c>
      <c r="E45" s="155">
        <f t="shared" si="4"/>
        <v>0</v>
      </c>
      <c r="F45" s="340"/>
      <c r="G45" s="343"/>
      <c r="H45" s="200" t="s">
        <v>76</v>
      </c>
      <c r="I45" s="130">
        <f>I43/I40</f>
        <v>2.6365838885523925</v>
      </c>
      <c r="J45" s="146">
        <f>J43/J40</f>
        <v>2.1751982268126042</v>
      </c>
      <c r="K45" s="142" t="s">
        <v>64</v>
      </c>
      <c r="O45" s="161">
        <f>+K34/O46</f>
        <v>894.4643791431962</v>
      </c>
    </row>
    <row r="46" spans="1:19" ht="17.45" customHeight="1">
      <c r="A46" s="1001" t="s">
        <v>77</v>
      </c>
      <c r="B46" s="1002"/>
      <c r="C46" s="176">
        <f>SUMIF($G$7:$G$31,"Gas",$F$7:$F$31)</f>
        <v>0</v>
      </c>
      <c r="D46" s="130">
        <f>+C46+'10'!D46</f>
        <v>0</v>
      </c>
      <c r="E46" s="155">
        <f t="shared" si="4"/>
        <v>0</v>
      </c>
      <c r="F46" s="340"/>
      <c r="G46" s="341"/>
      <c r="H46" s="200" t="s">
        <v>78</v>
      </c>
      <c r="I46" s="152">
        <f>+SUMIF(Listrik!AR18,"&gt;0")</f>
        <v>55535.240000001802</v>
      </c>
      <c r="J46" s="147">
        <f>+I46+'10'!J46</f>
        <v>576680.83999999915</v>
      </c>
      <c r="K46" s="142" t="s">
        <v>79</v>
      </c>
      <c r="O46" s="161">
        <f>+Efficiency1!K55+Efficiency1!K56</f>
        <v>53.528123776000001</v>
      </c>
    </row>
    <row r="47" spans="1:19" ht="17.45" customHeight="1">
      <c r="A47" s="1001" t="s">
        <v>80</v>
      </c>
      <c r="B47" s="1002"/>
      <c r="C47" s="176">
        <f>SUMIF($G$7:$G$31,"Gas",$F$7:$F$31)</f>
        <v>0</v>
      </c>
      <c r="D47" s="130">
        <f>+C47+'10'!D47</f>
        <v>0</v>
      </c>
      <c r="E47" s="155">
        <f t="shared" si="4"/>
        <v>0</v>
      </c>
      <c r="F47" s="340"/>
      <c r="G47" s="341"/>
      <c r="H47" s="200" t="s">
        <v>81</v>
      </c>
      <c r="I47" s="130">
        <f>I46/I38</f>
        <v>1092.7616536471498</v>
      </c>
      <c r="J47" s="147">
        <f>J46/J38</f>
        <v>847.9338388712963</v>
      </c>
      <c r="K47" s="142" t="s">
        <v>24</v>
      </c>
    </row>
    <row r="48" spans="1:19" ht="17.45" customHeight="1">
      <c r="A48" s="1001" t="s">
        <v>14</v>
      </c>
      <c r="B48" s="1002"/>
      <c r="C48" s="176">
        <f>SUMIF($G$7:$G$31,"Start Up",$F$7:$F$31)</f>
        <v>0</v>
      </c>
      <c r="D48" s="130">
        <f>+C48+'10'!D48</f>
        <v>0</v>
      </c>
      <c r="E48" s="155">
        <f t="shared" si="4"/>
        <v>0</v>
      </c>
      <c r="F48" s="340"/>
      <c r="G48" s="341"/>
      <c r="H48" s="200" t="s">
        <v>82</v>
      </c>
      <c r="I48" s="130">
        <f>I46/I40</f>
        <v>1159.9081016730049</v>
      </c>
      <c r="J48" s="147">
        <f>J46/J40</f>
        <v>878.49071894827307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60</v>
      </c>
      <c r="D49" s="130">
        <f>+C49+'10'!D49</f>
        <v>60</v>
      </c>
      <c r="E49" s="155">
        <f t="shared" si="4"/>
        <v>1</v>
      </c>
      <c r="F49" s="197"/>
      <c r="H49" s="200" t="s">
        <v>186</v>
      </c>
      <c r="I49" s="130">
        <v>0</v>
      </c>
      <c r="J49" s="147">
        <f>+I49+'10'!J49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+C50+'10'!D50</f>
        <v>0</v>
      </c>
      <c r="E50" s="155">
        <f t="shared" si="4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+C51+'10'!D51</f>
        <v>805</v>
      </c>
      <c r="E51" s="155">
        <f t="shared" si="4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82</v>
      </c>
      <c r="D52" s="156">
        <f>SUM(D38:D51)</f>
        <v>1539</v>
      </c>
      <c r="E52" s="157">
        <f>SUM(E38:E51)</f>
        <v>25.65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5.6944444444444443E-2</v>
      </c>
      <c r="D53" s="158">
        <f>D52/(24*60*G4)</f>
        <v>9.7159090909090903E-2</v>
      </c>
      <c r="E53" s="159">
        <f>E52/(G4*24)</f>
        <v>9.7159090909090903E-2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+D34+'10'!J56</f>
        <v>18768</v>
      </c>
      <c r="K56" s="213">
        <f>J56/(J40+J56/1000)/1000</f>
        <v>2.7795673365293618E-2</v>
      </c>
    </row>
    <row r="57" spans="1:11">
      <c r="A57" s="188"/>
      <c r="I57" s="211" t="s">
        <v>90</v>
      </c>
      <c r="J57" s="212">
        <f>+E34+'10'!J57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3:B53"/>
    <mergeCell ref="A52:B52"/>
    <mergeCell ref="A46:B46"/>
    <mergeCell ref="A51:B51"/>
    <mergeCell ref="A50:B50"/>
    <mergeCell ref="A49:B49"/>
    <mergeCell ref="A47:B47"/>
    <mergeCell ref="A48:B48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</mergeCells>
  <phoneticPr fontId="33" type="noConversion"/>
  <pageMargins left="0.17" right="0.16" top="0.17" bottom="0.16" header="0" footer="0"/>
  <pageSetup paperSize="9" scale="61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10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165+180+185</f>
        <v>530</v>
      </c>
    </row>
    <row r="7" spans="1:18" ht="13.5" customHeight="1" thickBot="1">
      <c r="A7" s="1007" t="s">
        <v>462</v>
      </c>
      <c r="B7" s="227" t="s">
        <v>452</v>
      </c>
      <c r="C7" s="228">
        <v>19928</v>
      </c>
      <c r="D7" s="229"/>
      <c r="E7" s="230"/>
      <c r="F7" s="239"/>
      <c r="G7" s="240" t="s">
        <v>12</v>
      </c>
      <c r="H7" s="241" t="s">
        <v>492</v>
      </c>
      <c r="I7" s="1010" t="s">
        <v>562</v>
      </c>
      <c r="J7" s="226" t="str">
        <f>+'9'!J7</f>
        <v>F 13 VP OW</v>
      </c>
      <c r="K7" s="249">
        <f>+C34</f>
        <v>58977</v>
      </c>
      <c r="L7" s="253"/>
      <c r="M7" s="129">
        <f>+K7+'9'!M7+L7</f>
        <v>109098</v>
      </c>
    </row>
    <row r="8" spans="1:18" ht="13.5" thickBot="1">
      <c r="A8" s="1008"/>
      <c r="B8" s="227"/>
      <c r="C8" s="228"/>
      <c r="D8" s="229"/>
      <c r="E8" s="231"/>
      <c r="F8" s="242">
        <v>9</v>
      </c>
      <c r="G8" s="243" t="s">
        <v>12</v>
      </c>
      <c r="H8" s="241" t="s">
        <v>563</v>
      </c>
      <c r="I8" s="1011"/>
      <c r="J8" s="226" t="str">
        <f>+'9'!J8</f>
        <v>MG 15,5 VP OW</v>
      </c>
      <c r="K8" s="250"/>
      <c r="L8" s="250"/>
      <c r="M8" s="129">
        <f>+K8+'9'!M8+L8</f>
        <v>40782</v>
      </c>
      <c r="N8" s="161">
        <v>1670</v>
      </c>
      <c r="O8" s="161">
        <f>+N8-N8*0.24</f>
        <v>1269.2</v>
      </c>
      <c r="P8" s="161">
        <v>480</v>
      </c>
      <c r="Q8" s="161">
        <f>+N8*P8</f>
        <v>801600</v>
      </c>
      <c r="R8" s="161">
        <f>+O8*P8</f>
        <v>609216</v>
      </c>
    </row>
    <row r="9" spans="1:18" ht="13.5" thickBot="1">
      <c r="A9" s="1008"/>
      <c r="B9" s="227"/>
      <c r="C9" s="228"/>
      <c r="D9" s="229"/>
      <c r="E9" s="232"/>
      <c r="F9" s="239">
        <v>10</v>
      </c>
      <c r="G9" s="243" t="s">
        <v>12</v>
      </c>
      <c r="H9" s="574" t="s">
        <v>447</v>
      </c>
      <c r="I9" s="1011"/>
      <c r="J9" s="226" t="str">
        <f>+'9'!J9</f>
        <v>MG 16,5 VP HW</v>
      </c>
      <c r="K9" s="250"/>
      <c r="L9" s="250"/>
      <c r="M9" s="129">
        <f>+K9+'9'!M9+L9</f>
        <v>65896</v>
      </c>
      <c r="N9" s="161">
        <v>1690</v>
      </c>
      <c r="O9" s="161">
        <f>+N9-N9*0.24</f>
        <v>1284.4000000000001</v>
      </c>
      <c r="P9" s="161">
        <v>480</v>
      </c>
      <c r="Q9" s="161">
        <f>+N9*P9</f>
        <v>811200</v>
      </c>
      <c r="R9" s="161">
        <f>+O9*P9</f>
        <v>616512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570</v>
      </c>
      <c r="I10" s="1011"/>
      <c r="J10" s="226" t="str">
        <f>+'9'!J10</f>
        <v>MG 17 VP HW</v>
      </c>
      <c r="K10" s="250"/>
      <c r="L10" s="250"/>
      <c r="M10" s="129">
        <f>+K10+'9'!M10+L10</f>
        <v>170813</v>
      </c>
      <c r="N10" s="161">
        <v>1670</v>
      </c>
      <c r="O10" s="161">
        <f>+N10-N10*0.24</f>
        <v>1269.2</v>
      </c>
      <c r="P10" s="161">
        <v>100</v>
      </c>
      <c r="Q10" s="161">
        <f>+N10*P10</f>
        <v>167000</v>
      </c>
      <c r="R10" s="161">
        <f>+O10*P10</f>
        <v>126920</v>
      </c>
    </row>
    <row r="11" spans="1:18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tr">
        <f>+'9'!J11</f>
        <v>MG 14 VP OW</v>
      </c>
      <c r="K11" s="250"/>
      <c r="L11" s="250"/>
      <c r="M11" s="129">
        <f>+K11+'9'!M11+L11</f>
        <v>130379</v>
      </c>
      <c r="P11" s="161">
        <f>SUM(P8:P10)</f>
        <v>1060</v>
      </c>
      <c r="Q11" s="161">
        <f>SUM(Q8:Q10)</f>
        <v>1779800</v>
      </c>
      <c r="R11" s="161">
        <f>SUM(R8:R10)</f>
        <v>1352648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+'9'!J12</f>
        <v>MG 19 VP HW</v>
      </c>
      <c r="K12" s="250"/>
      <c r="L12" s="250"/>
      <c r="M12" s="129">
        <f>+K12+'9'!M12+L12</f>
        <v>20052</v>
      </c>
      <c r="Q12" s="161">
        <f>+Q11/P11</f>
        <v>1679.0566037735848</v>
      </c>
      <c r="R12" s="161">
        <f>+R11/P11</f>
        <v>1276.0830188679245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+'9'!J13</f>
        <v>MG 17 VP OW</v>
      </c>
      <c r="K13" s="250"/>
      <c r="L13" s="250"/>
      <c r="M13" s="129">
        <f>+K13+'9'!M13+L13</f>
        <v>6479</v>
      </c>
    </row>
    <row r="14" spans="1:18" ht="13.5" thickBot="1">
      <c r="A14" s="1009"/>
      <c r="B14" s="177" t="s">
        <v>2</v>
      </c>
      <c r="C14" s="111">
        <f>SUM(C7:C13)</f>
        <v>19928</v>
      </c>
      <c r="D14" s="123">
        <f>SUM(D7:D13)</f>
        <v>0</v>
      </c>
      <c r="E14" s="124">
        <f>SUM(E5:E13)</f>
        <v>0</v>
      </c>
      <c r="F14" s="128">
        <f>SUM(F7:F13)</f>
        <v>19</v>
      </c>
      <c r="G14" s="171"/>
      <c r="H14" s="178"/>
      <c r="I14" s="179"/>
      <c r="J14" s="226" t="str">
        <f>+'9'!J14</f>
        <v>MG 21,5 VP OW</v>
      </c>
      <c r="K14" s="250"/>
      <c r="L14" s="250"/>
      <c r="M14" s="129">
        <f>+K14+'9'!M14+L14</f>
        <v>65067</v>
      </c>
    </row>
    <row r="15" spans="1:18" ht="13.5" customHeight="1" thickBot="1">
      <c r="A15" s="1007" t="s">
        <v>463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579</v>
      </c>
      <c r="J15" s="226" t="s">
        <v>584</v>
      </c>
      <c r="K15" s="250">
        <f>+C26</f>
        <v>0</v>
      </c>
      <c r="L15" s="250"/>
      <c r="M15" s="129">
        <f>+K15+'9'!M15+L15</f>
        <v>0</v>
      </c>
    </row>
    <row r="16" spans="1:18" ht="13.5" thickBot="1">
      <c r="A16" s="1013"/>
      <c r="B16" s="227" t="s">
        <v>452</v>
      </c>
      <c r="C16" s="233">
        <v>22548</v>
      </c>
      <c r="D16" s="234"/>
      <c r="E16" s="235"/>
      <c r="F16" s="239">
        <v>5</v>
      </c>
      <c r="G16" s="243" t="s">
        <v>12</v>
      </c>
      <c r="H16" s="241" t="s">
        <v>581</v>
      </c>
      <c r="I16" s="1011"/>
      <c r="J16" s="226">
        <f>+'9'!J16</f>
        <v>0</v>
      </c>
      <c r="K16" s="250"/>
      <c r="L16" s="250"/>
      <c r="M16" s="129">
        <f>+K16+'9'!M16+L16</f>
        <v>0</v>
      </c>
    </row>
    <row r="17" spans="1:18" ht="13.5" thickBot="1">
      <c r="A17" s="1013"/>
      <c r="B17" s="227"/>
      <c r="C17" s="228"/>
      <c r="D17" s="229"/>
      <c r="E17" s="236"/>
      <c r="F17" s="239">
        <v>8</v>
      </c>
      <c r="G17" s="243" t="s">
        <v>12</v>
      </c>
      <c r="H17" s="574" t="s">
        <v>476</v>
      </c>
      <c r="I17" s="1011"/>
      <c r="J17" s="226">
        <f>+'9'!J17</f>
        <v>0</v>
      </c>
      <c r="K17" s="250"/>
      <c r="L17" s="250"/>
      <c r="M17" s="129">
        <f>+K17+'9'!M17+L17</f>
        <v>0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573</v>
      </c>
      <c r="I18" s="1011"/>
      <c r="J18" s="226">
        <f>+'9'!J18</f>
        <v>0</v>
      </c>
      <c r="K18" s="250"/>
      <c r="L18" s="250"/>
      <c r="M18" s="129">
        <f>+K18+'9'!M18+L18</f>
        <v>0</v>
      </c>
    </row>
    <row r="19" spans="1:18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>
        <f>+'9'!J19</f>
        <v>0</v>
      </c>
      <c r="K19" s="250"/>
      <c r="L19" s="250"/>
      <c r="M19" s="129">
        <f>+K19+'9'!M19+L19</f>
        <v>0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+'9'!J20</f>
        <v>0</v>
      </c>
      <c r="K20" s="250"/>
      <c r="L20" s="250"/>
      <c r="M20" s="129">
        <f>+K20+'9'!M20+L20</f>
        <v>0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+'9'!J21</f>
        <v>0</v>
      </c>
      <c r="K21" s="250"/>
      <c r="L21" s="250"/>
      <c r="M21" s="129">
        <f>+K21+'9'!M21+L21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+'9'!J22</f>
        <v>0</v>
      </c>
      <c r="K22" s="250"/>
      <c r="L22" s="250"/>
      <c r="M22" s="129">
        <f>+K22+'9'!M22+L22</f>
        <v>0</v>
      </c>
    </row>
    <row r="23" spans="1:18" ht="13.5" thickBot="1">
      <c r="A23" s="1014"/>
      <c r="B23" s="180" t="s">
        <v>2</v>
      </c>
      <c r="C23" s="112">
        <f>SUM(C16:C22)</f>
        <v>22548</v>
      </c>
      <c r="D23" s="123">
        <f>SUM(D16:D22)</f>
        <v>0</v>
      </c>
      <c r="E23" s="124">
        <f>SUM(E18:E22)</f>
        <v>0</v>
      </c>
      <c r="F23" s="128">
        <f>SUM(F15:F22)</f>
        <v>13</v>
      </c>
      <c r="G23" s="171"/>
      <c r="H23" s="178" t="s">
        <v>237</v>
      </c>
      <c r="I23" s="181"/>
      <c r="J23" s="226">
        <f>+'9'!J23</f>
        <v>0</v>
      </c>
      <c r="K23" s="250"/>
      <c r="L23" s="250"/>
      <c r="M23" s="129">
        <f>+K23+'9'!M23+L23</f>
        <v>0</v>
      </c>
    </row>
    <row r="24" spans="1:18" ht="13.5" customHeight="1" thickBot="1">
      <c r="A24" s="1007" t="s">
        <v>461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578</v>
      </c>
      <c r="J24" s="226">
        <f>+'8'!J24</f>
        <v>0</v>
      </c>
      <c r="K24" s="250"/>
      <c r="L24" s="250"/>
      <c r="M24" s="129">
        <f>+K24+'9'!M24+L24</f>
        <v>0</v>
      </c>
    </row>
    <row r="25" spans="1:18" ht="13.5" customHeight="1" thickBot="1">
      <c r="A25" s="1013"/>
      <c r="B25" s="227" t="s">
        <v>452</v>
      </c>
      <c r="C25" s="237">
        <v>16501</v>
      </c>
      <c r="D25" s="229">
        <v>260</v>
      </c>
      <c r="E25" s="236"/>
      <c r="F25" s="242">
        <v>5</v>
      </c>
      <c r="G25" s="243" t="s">
        <v>12</v>
      </c>
      <c r="H25" s="241" t="s">
        <v>581</v>
      </c>
      <c r="I25" s="1011"/>
      <c r="J25" s="226">
        <f>+'8'!J25</f>
        <v>0</v>
      </c>
      <c r="K25" s="250"/>
      <c r="L25" s="250"/>
      <c r="M25" s="129">
        <f>+K25+'9'!M25+L25</f>
        <v>0</v>
      </c>
    </row>
    <row r="26" spans="1:18" ht="13.5" customHeight="1" thickBot="1">
      <c r="A26" s="1013"/>
      <c r="B26" s="227"/>
      <c r="C26" s="237"/>
      <c r="D26" s="229"/>
      <c r="E26" s="238"/>
      <c r="F26" s="242">
        <v>7</v>
      </c>
      <c r="G26" s="243" t="s">
        <v>12</v>
      </c>
      <c r="H26" s="574" t="s">
        <v>444</v>
      </c>
      <c r="I26" s="1011"/>
      <c r="J26" s="226">
        <f>+'8'!J26</f>
        <v>0</v>
      </c>
      <c r="K26" s="250"/>
      <c r="L26" s="250"/>
      <c r="M26" s="129">
        <f>+K26+'9'!M26+L26</f>
        <v>0</v>
      </c>
      <c r="N26" s="161">
        <v>1670</v>
      </c>
      <c r="O26" s="161">
        <f>+N26-N26*0.24</f>
        <v>1269.2</v>
      </c>
      <c r="Q26" s="161">
        <f>+N26*P26</f>
        <v>0</v>
      </c>
      <c r="R26" s="161">
        <f>+O26*P26</f>
        <v>0</v>
      </c>
    </row>
    <row r="27" spans="1:18" ht="13.5" customHeight="1" thickBot="1">
      <c r="A27" s="1013"/>
      <c r="B27" s="227"/>
      <c r="C27" s="228"/>
      <c r="D27" s="229"/>
      <c r="E27" s="236"/>
      <c r="F27" s="242"/>
      <c r="G27" s="243"/>
      <c r="H27" s="574" t="s">
        <v>570</v>
      </c>
      <c r="I27" s="1011"/>
      <c r="J27" s="226">
        <f>+'8'!J27</f>
        <v>0</v>
      </c>
      <c r="K27" s="250"/>
      <c r="L27" s="250"/>
      <c r="M27" s="129">
        <f>+K27+'9'!M27+L27</f>
        <v>0</v>
      </c>
      <c r="N27" s="161">
        <v>1690</v>
      </c>
      <c r="O27" s="161">
        <f>+N27-N27*0.24</f>
        <v>1284.4000000000001</v>
      </c>
      <c r="P27" s="161">
        <f>20+60+44</f>
        <v>124</v>
      </c>
      <c r="Q27" s="161">
        <f>+N27*P27</f>
        <v>209560</v>
      </c>
      <c r="R27" s="161">
        <f>+O27*P27</f>
        <v>159265.60000000001</v>
      </c>
    </row>
    <row r="28" spans="1:18" ht="13.5" customHeight="1" thickBot="1">
      <c r="A28" s="1013"/>
      <c r="B28" s="227"/>
      <c r="C28" s="228"/>
      <c r="D28" s="229"/>
      <c r="E28" s="236"/>
      <c r="F28" s="242">
        <v>18</v>
      </c>
      <c r="G28" s="243" t="s">
        <v>12</v>
      </c>
      <c r="H28" s="244" t="s">
        <v>576</v>
      </c>
      <c r="I28" s="1011"/>
      <c r="J28" s="226">
        <f>+'8'!J28</f>
        <v>0</v>
      </c>
      <c r="K28" s="250"/>
      <c r="L28" s="250"/>
      <c r="M28" s="129">
        <f>+K28+'9'!M28+L28</f>
        <v>0</v>
      </c>
      <c r="N28" s="161">
        <v>1520</v>
      </c>
      <c r="O28" s="161">
        <f>+N28-N28*0.24</f>
        <v>1155.2</v>
      </c>
      <c r="P28" s="161">
        <f>60-44+240</f>
        <v>256</v>
      </c>
      <c r="Q28" s="161">
        <f>+N28*P28</f>
        <v>389120</v>
      </c>
      <c r="R28" s="161">
        <f>+O28*P28</f>
        <v>295731.20000000001</v>
      </c>
    </row>
    <row r="29" spans="1:18" ht="13.5" customHeight="1" thickBot="1">
      <c r="A29" s="1013"/>
      <c r="B29" s="227"/>
      <c r="C29" s="228"/>
      <c r="D29" s="229"/>
      <c r="E29" s="236"/>
      <c r="F29" s="247"/>
      <c r="G29" s="243"/>
      <c r="H29" s="244" t="s">
        <v>577</v>
      </c>
      <c r="I29" s="1011"/>
      <c r="J29" s="226">
        <f>+'8'!J29</f>
        <v>0</v>
      </c>
      <c r="K29" s="250"/>
      <c r="L29" s="250"/>
      <c r="M29" s="129">
        <f>+K29+'9'!M29+L29</f>
        <v>0</v>
      </c>
      <c r="P29" s="161">
        <f>SUM(P26:P28)</f>
        <v>380</v>
      </c>
      <c r="Q29" s="161">
        <f>SUM(Q26:Q28)</f>
        <v>598680</v>
      </c>
      <c r="R29" s="161">
        <f>SUM(R26:R28)</f>
        <v>454996.80000000005</v>
      </c>
    </row>
    <row r="30" spans="1:18" ht="13.5" customHeight="1" thickBot="1">
      <c r="A30" s="1013"/>
      <c r="B30" s="227"/>
      <c r="C30" s="237"/>
      <c r="D30" s="229"/>
      <c r="E30" s="236"/>
      <c r="F30" s="247"/>
      <c r="G30" s="243"/>
      <c r="H30" s="244" t="s">
        <v>574</v>
      </c>
      <c r="I30" s="1011"/>
      <c r="J30" s="226">
        <f>+'8'!J30</f>
        <v>0</v>
      </c>
      <c r="K30" s="250"/>
      <c r="L30" s="250"/>
      <c r="M30" s="129">
        <f>+K30+'9'!M30+L30</f>
        <v>0</v>
      </c>
      <c r="N30" s="167"/>
      <c r="Q30" s="161">
        <f>+Q29/P29</f>
        <v>1575.4736842105262</v>
      </c>
      <c r="R30" s="161">
        <f>+R29/P29</f>
        <v>1197.3600000000001</v>
      </c>
    </row>
    <row r="31" spans="1:18" ht="13.5" customHeight="1" thickBot="1">
      <c r="A31" s="1013"/>
      <c r="B31" s="227"/>
      <c r="C31" s="237"/>
      <c r="D31" s="229"/>
      <c r="E31" s="236"/>
      <c r="F31" s="247"/>
      <c r="G31" s="248"/>
      <c r="H31" s="466" t="s">
        <v>575</v>
      </c>
      <c r="I31" s="1012"/>
      <c r="J31" s="226">
        <f>+'8'!J31</f>
        <v>0</v>
      </c>
      <c r="K31" s="250"/>
      <c r="L31" s="250"/>
      <c r="M31" s="129">
        <f>+K31+'9'!M31+L31</f>
        <v>0</v>
      </c>
    </row>
    <row r="32" spans="1:18" ht="13.5" customHeight="1" thickBot="1">
      <c r="A32" s="1014"/>
      <c r="B32" s="177" t="s">
        <v>2</v>
      </c>
      <c r="C32" s="111">
        <f>SUM(C25:C31)</f>
        <v>16501</v>
      </c>
      <c r="D32" s="112">
        <f>SUM(D25:D31)</f>
        <v>260</v>
      </c>
      <c r="E32" s="113">
        <f>SUM(E25:E31)</f>
        <v>0</v>
      </c>
      <c r="F32" s="114">
        <f>SUM(F24:F31)</f>
        <v>30</v>
      </c>
      <c r="G32" s="183"/>
      <c r="H32" s="184"/>
      <c r="I32" s="181"/>
      <c r="J32" s="226">
        <f>+'8'!J32</f>
        <v>0</v>
      </c>
      <c r="K32" s="252"/>
      <c r="L32" s="254"/>
      <c r="M32" s="129">
        <f>+K32+'9'!M32+L32</f>
        <v>0</v>
      </c>
    </row>
    <row r="33" spans="1:14" ht="13.5" thickBot="1">
      <c r="A33" s="185"/>
      <c r="B33" s="186"/>
      <c r="C33" s="115">
        <f>C32/($C$32+$D$32+$E$32)</f>
        <v>0.98448779905733552</v>
      </c>
      <c r="D33" s="116">
        <f>D32/($C$32+$D$32+$E$32)</f>
        <v>1.551220094266452E-2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58977</v>
      </c>
      <c r="D34" s="119">
        <f>D14+D23+D32</f>
        <v>260</v>
      </c>
      <c r="E34" s="119">
        <f>E14+E23+E32</f>
        <v>0</v>
      </c>
      <c r="F34" s="120">
        <f>F14+F23+F32</f>
        <v>62</v>
      </c>
      <c r="H34" s="190"/>
      <c r="I34" s="190"/>
      <c r="J34" s="135" t="s">
        <v>28</v>
      </c>
      <c r="K34" s="136">
        <f>SUM(K7:K32)</f>
        <v>58977</v>
      </c>
      <c r="L34" s="224">
        <f>SUM(L7:L32)</f>
        <v>0</v>
      </c>
      <c r="M34" s="132">
        <f>SUM(M7:M32)</f>
        <v>608566</v>
      </c>
      <c r="N34" s="167"/>
    </row>
    <row r="35" spans="1:14" ht="13.5" thickBot="1">
      <c r="A35" s="191"/>
      <c r="B35" s="192"/>
      <c r="C35" s="116">
        <f>C34/($C$34+$D$34+$E$34)</f>
        <v>0.99561085132602933</v>
      </c>
      <c r="D35" s="116">
        <f>D34/($C$34+$D$34+$E$34)</f>
        <v>4.3891486739706604E-3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(13*1060+10.5*380)/1440*G42*2.77*1440/1000000</f>
        <v>61.774739500000003</v>
      </c>
      <c r="J37" s="355">
        <f>+I37+'9'!J37</f>
        <v>688.80387079246691</v>
      </c>
      <c r="K37" s="138" t="s">
        <v>64</v>
      </c>
      <c r="N37" s="161">
        <f>2.581+2.581+1.291+1.173+19.163+22.63</f>
        <v>49.418999999999997</v>
      </c>
    </row>
    <row r="38" spans="1:14" ht="17.45" customHeight="1">
      <c r="A38" s="1005" t="s">
        <v>12</v>
      </c>
      <c r="B38" s="1006"/>
      <c r="C38" s="176">
        <f>SUMIF($G$7:$G$31,"Process",$F$7:$F$31)</f>
        <v>62</v>
      </c>
      <c r="D38" s="130">
        <f>+C38+'9'!D38</f>
        <v>524</v>
      </c>
      <c r="E38" s="155">
        <f t="shared" ref="E38:E51" si="0">D38/60</f>
        <v>8.7333333333333325</v>
      </c>
      <c r="F38" s="340">
        <v>1670</v>
      </c>
      <c r="G38" s="340">
        <v>1269</v>
      </c>
      <c r="H38" s="199" t="s">
        <v>65</v>
      </c>
      <c r="I38" s="549">
        <f>19.163+22.63+17.503</f>
        <v>59.295999999999999</v>
      </c>
      <c r="J38" s="356">
        <f>+I38+'9'!J38</f>
        <v>629.2802220100001</v>
      </c>
      <c r="K38" s="140" t="s">
        <v>64</v>
      </c>
      <c r="N38" s="558">
        <f>+I38-N37</f>
        <v>9.8770000000000024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+C39+'9'!D39</f>
        <v>0</v>
      </c>
      <c r="E39" s="155">
        <f t="shared" si="0"/>
        <v>0</v>
      </c>
      <c r="F39" s="340">
        <v>1690</v>
      </c>
      <c r="G39" s="340">
        <v>1284</v>
      </c>
      <c r="H39" s="199" t="s">
        <v>66</v>
      </c>
      <c r="I39" s="154"/>
      <c r="J39" s="357">
        <f>J37/G4</f>
        <v>68.880387079246688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+C40+'9'!D40</f>
        <v>0</v>
      </c>
      <c r="E40" s="155">
        <f t="shared" si="0"/>
        <v>0</v>
      </c>
      <c r="F40" s="340">
        <v>1595</v>
      </c>
      <c r="G40" s="340">
        <v>1212</v>
      </c>
      <c r="H40" s="199" t="s">
        <v>68</v>
      </c>
      <c r="I40" s="130">
        <f>+(K34+L34)/1000</f>
        <v>58.976999999999997</v>
      </c>
      <c r="J40" s="358">
        <f>+I40+'9'!J40</f>
        <v>608.56600000000003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+C41+'9'!D41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357">
        <f>J40/G4</f>
        <v>60.8566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+C42+'9'!D42</f>
        <v>0</v>
      </c>
      <c r="E42" s="155">
        <f t="shared" si="0"/>
        <v>0</v>
      </c>
      <c r="F42" s="340">
        <f>+(F38*480+F39*480+F40*480)/1440</f>
        <v>1651.6666666666667</v>
      </c>
      <c r="G42" s="340">
        <f>+(G38*480+G39*480+G40*480)/1440</f>
        <v>1255</v>
      </c>
      <c r="H42" s="199" t="s">
        <v>71</v>
      </c>
      <c r="I42" s="257" t="s">
        <v>580</v>
      </c>
      <c r="J42" s="359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+C43+'9'!D43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+Report1!T18</f>
        <v>125.23699999999999</v>
      </c>
      <c r="J43" s="360">
        <f>+I43+'9'!J43</f>
        <v>1301.6610000000001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+C44+'9'!D44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2.1120648947652456</v>
      </c>
      <c r="J44" s="360">
        <f>J43/J38</f>
        <v>2.0684918331650901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+C45+'9'!D45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2.1234888176746867</v>
      </c>
      <c r="J45" s="360">
        <f>J43/J40</f>
        <v>2.1388986568424788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+C46+'9'!D46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+SUMIF(Listrik!AR17,"&gt;0")</f>
        <v>56719.179999997919</v>
      </c>
      <c r="J46" s="360">
        <f>+I46+'9'!J46</f>
        <v>521145.5999999973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+C47+'9'!D47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956.5431057743848</v>
      </c>
      <c r="J47" s="360">
        <f>J46/J38</f>
        <v>828.16141644400136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+C48+'9'!D48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961.71694050219446</v>
      </c>
      <c r="J48" s="360">
        <f>J46/J40</f>
        <v>856.35017401563232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+C49+'9'!D49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360">
        <f>+I49+'9'!J49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+C50+'9'!D50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360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+C51+'9'!D51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361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62</v>
      </c>
      <c r="D52" s="156">
        <f>SUM(D38:D51)</f>
        <v>1457</v>
      </c>
      <c r="E52" s="157">
        <f>SUM(E38:E51)</f>
        <v>24.283333333333331</v>
      </c>
      <c r="F52" s="197"/>
      <c r="H52" s="203"/>
      <c r="I52" s="204"/>
      <c r="J52" s="362"/>
      <c r="K52" s="151"/>
    </row>
    <row r="53" spans="1:11" ht="13.5" thickBot="1">
      <c r="A53" s="999"/>
      <c r="B53" s="1000"/>
      <c r="C53" s="158">
        <f>C52/(24*60)</f>
        <v>4.3055555555555555E-2</v>
      </c>
      <c r="D53" s="158">
        <f>D52/(24*60*G4)</f>
        <v>0.10118055555555555</v>
      </c>
      <c r="E53" s="159">
        <f>E52/(G4*24)</f>
        <v>0.10118055555555555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+D34+'9'!J56</f>
        <v>17507</v>
      </c>
      <c r="K56" s="213">
        <f>J56/(J40+J56/1000)/1000</f>
        <v>2.796319279061707E-2</v>
      </c>
    </row>
    <row r="57" spans="1:11">
      <c r="A57" s="188"/>
      <c r="I57" s="211" t="s">
        <v>90</v>
      </c>
      <c r="J57" s="212"/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6:B46"/>
    <mergeCell ref="A42:B42"/>
    <mergeCell ref="A43:B43"/>
    <mergeCell ref="A44:B44"/>
    <mergeCell ref="A45:B45"/>
    <mergeCell ref="A53:B53"/>
    <mergeCell ref="A49:B49"/>
    <mergeCell ref="A47:B47"/>
    <mergeCell ref="A48:B48"/>
    <mergeCell ref="A50:B50"/>
    <mergeCell ref="A52:B52"/>
    <mergeCell ref="A51:B51"/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</mergeCells>
  <phoneticPr fontId="33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7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10.5703125" style="161" bestFit="1" customWidth="1"/>
    <col min="13" max="13" width="12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9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160+215+211</f>
        <v>586</v>
      </c>
    </row>
    <row r="7" spans="1:18" ht="13.5" customHeight="1" thickBot="1">
      <c r="A7" s="1007" t="s">
        <v>462</v>
      </c>
      <c r="B7" s="227" t="s">
        <v>567</v>
      </c>
      <c r="C7" s="228">
        <v>7950</v>
      </c>
      <c r="D7" s="229">
        <v>280</v>
      </c>
      <c r="E7" s="230"/>
      <c r="F7" s="239">
        <v>30</v>
      </c>
      <c r="G7" s="240" t="s">
        <v>12</v>
      </c>
      <c r="H7" s="241" t="s">
        <v>449</v>
      </c>
      <c r="I7" s="1010" t="s">
        <v>561</v>
      </c>
      <c r="J7" s="226" t="str">
        <f>+'8'!J7</f>
        <v>F 13 VP OW</v>
      </c>
      <c r="K7" s="249">
        <f>+C8+C16+C25</f>
        <v>46421</v>
      </c>
      <c r="L7" s="253"/>
      <c r="M7" s="129">
        <f>+K7+'8'!M7+L7</f>
        <v>50121</v>
      </c>
    </row>
    <row r="8" spans="1:18" ht="13.5" thickBot="1">
      <c r="A8" s="1008"/>
      <c r="B8" s="227" t="s">
        <v>568</v>
      </c>
      <c r="C8" s="228">
        <v>7279</v>
      </c>
      <c r="D8" s="229"/>
      <c r="E8" s="231"/>
      <c r="F8" s="242">
        <v>3</v>
      </c>
      <c r="G8" s="243" t="s">
        <v>12</v>
      </c>
      <c r="H8" s="241" t="s">
        <v>445</v>
      </c>
      <c r="I8" s="1011"/>
      <c r="J8" s="226" t="str">
        <f>+'8'!J8</f>
        <v>MG 15,5 VP OW</v>
      </c>
      <c r="K8" s="250"/>
      <c r="L8" s="250"/>
      <c r="M8" s="129">
        <f>+K8+'8'!M8+L8</f>
        <v>40782</v>
      </c>
      <c r="N8" s="161">
        <v>990</v>
      </c>
      <c r="O8" s="161">
        <f>+N8-N8*0.0035</f>
        <v>986.53499999999997</v>
      </c>
      <c r="P8" s="161">
        <v>33</v>
      </c>
      <c r="Q8" s="161">
        <f>+N8*P8</f>
        <v>32670</v>
      </c>
      <c r="R8" s="161">
        <f>+O8*P8</f>
        <v>32555.654999999999</v>
      </c>
    </row>
    <row r="9" spans="1:18" ht="13.5" thickBot="1">
      <c r="A9" s="1008"/>
      <c r="B9" s="227"/>
      <c r="C9" s="228"/>
      <c r="D9" s="229"/>
      <c r="E9" s="232"/>
      <c r="F9" s="239">
        <v>10</v>
      </c>
      <c r="G9" s="243" t="s">
        <v>12</v>
      </c>
      <c r="H9" s="574" t="s">
        <v>447</v>
      </c>
      <c r="I9" s="1011"/>
      <c r="J9" s="226" t="str">
        <f>+'8'!J9</f>
        <v>MG 16,5 VP HW</v>
      </c>
      <c r="K9" s="250"/>
      <c r="L9" s="250"/>
      <c r="M9" s="129">
        <f>+K9+'8'!M9+L9</f>
        <v>65896</v>
      </c>
      <c r="N9" s="161">
        <v>1670</v>
      </c>
      <c r="O9" s="161">
        <f>+N9-N9*0.24</f>
        <v>1269.2</v>
      </c>
      <c r="P9" s="161">
        <f>480-33</f>
        <v>447</v>
      </c>
      <c r="Q9" s="161">
        <f>+N9*P9</f>
        <v>746490</v>
      </c>
      <c r="R9" s="161">
        <f>+O9*P9</f>
        <v>567332.4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539</v>
      </c>
      <c r="I10" s="1011"/>
      <c r="J10" s="226" t="str">
        <f>+'8'!J10</f>
        <v>MG 17 VP HW</v>
      </c>
      <c r="K10" s="250"/>
      <c r="L10" s="250"/>
      <c r="M10" s="129">
        <f>+K10+'8'!M10+L10</f>
        <v>170813</v>
      </c>
      <c r="P10" s="161">
        <f>+P8+P9</f>
        <v>480</v>
      </c>
      <c r="Q10" s="161">
        <f>+Q8+Q9</f>
        <v>779160</v>
      </c>
      <c r="R10" s="161">
        <f>+R8+R9</f>
        <v>599888.05500000005</v>
      </c>
    </row>
    <row r="11" spans="1:18" ht="13.5" thickBot="1">
      <c r="A11" s="1008"/>
      <c r="B11" s="227"/>
      <c r="C11" s="228"/>
      <c r="D11" s="229"/>
      <c r="E11" s="231"/>
      <c r="F11" s="239"/>
      <c r="G11" s="243"/>
      <c r="H11" s="244" t="s">
        <v>569</v>
      </c>
      <c r="I11" s="1011"/>
      <c r="J11" s="226" t="str">
        <f>+'8'!J11</f>
        <v>MG 14 VP OW</v>
      </c>
      <c r="K11" s="250"/>
      <c r="L11" s="250"/>
      <c r="M11" s="129">
        <f>+K11+'8'!M11+L11</f>
        <v>130379</v>
      </c>
      <c r="Q11" s="161">
        <f>+Q10/P10</f>
        <v>1623.25</v>
      </c>
      <c r="R11" s="161">
        <f>+R10/P10</f>
        <v>1249.7667812500001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tr">
        <f>+'8'!J12</f>
        <v>MG 19 VP HW</v>
      </c>
      <c r="K12" s="250"/>
      <c r="L12" s="250"/>
      <c r="M12" s="129">
        <f>+K12+'8'!M12+L12</f>
        <v>20052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 t="str">
        <f>+'8'!J13</f>
        <v>MG 17 VP OW</v>
      </c>
      <c r="K13" s="250"/>
      <c r="L13" s="250"/>
      <c r="M13" s="129">
        <f>+K13+'8'!M13+L13</f>
        <v>6479</v>
      </c>
    </row>
    <row r="14" spans="1:18" ht="13.5" thickBot="1">
      <c r="A14" s="1009"/>
      <c r="B14" s="177" t="s">
        <v>2</v>
      </c>
      <c r="C14" s="111">
        <f>SUM(C7:C13)</f>
        <v>15229</v>
      </c>
      <c r="D14" s="123">
        <f>SUM(D7:D13)</f>
        <v>280</v>
      </c>
      <c r="E14" s="124">
        <f>SUM(E5:E13)</f>
        <v>0</v>
      </c>
      <c r="F14" s="128">
        <f>SUM(F7:F13)</f>
        <v>43</v>
      </c>
      <c r="G14" s="171"/>
      <c r="H14" s="178"/>
      <c r="I14" s="179"/>
      <c r="J14" s="226" t="str">
        <f>+'8'!J14</f>
        <v>MG 21,5 VP OW</v>
      </c>
      <c r="K14" s="250">
        <f>+C7</f>
        <v>7950</v>
      </c>
      <c r="L14" s="250"/>
      <c r="M14" s="129">
        <f>+K14+'8'!M14+L14</f>
        <v>65067</v>
      </c>
    </row>
    <row r="15" spans="1:18" ht="13.5" customHeight="1" thickBot="1">
      <c r="A15" s="1007" t="s">
        <v>463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562</v>
      </c>
      <c r="J15" s="226">
        <f>+'8'!J15</f>
        <v>0</v>
      </c>
      <c r="K15" s="250"/>
      <c r="L15" s="250"/>
      <c r="M15" s="129">
        <f>+K15+'8'!M15+L15</f>
        <v>0</v>
      </c>
    </row>
    <row r="16" spans="1:18" ht="13.5" thickBot="1">
      <c r="A16" s="1013"/>
      <c r="B16" s="227" t="s">
        <v>568</v>
      </c>
      <c r="C16" s="233">
        <v>19836</v>
      </c>
      <c r="D16" s="234"/>
      <c r="E16" s="235"/>
      <c r="F16" s="239">
        <v>3</v>
      </c>
      <c r="G16" s="243" t="s">
        <v>12</v>
      </c>
      <c r="H16" s="241" t="s">
        <v>445</v>
      </c>
      <c r="I16" s="1011"/>
      <c r="J16" s="226">
        <f>+'8'!J16</f>
        <v>0</v>
      </c>
      <c r="K16" s="250"/>
      <c r="L16" s="250"/>
      <c r="M16" s="129">
        <f>+K16+'8'!M16+L16</f>
        <v>0</v>
      </c>
    </row>
    <row r="17" spans="1:14" ht="13.5" thickBot="1">
      <c r="A17" s="1013"/>
      <c r="B17" s="227"/>
      <c r="C17" s="228"/>
      <c r="D17" s="229"/>
      <c r="E17" s="236"/>
      <c r="F17" s="239">
        <v>10</v>
      </c>
      <c r="G17" s="243" t="s">
        <v>12</v>
      </c>
      <c r="H17" s="574" t="s">
        <v>476</v>
      </c>
      <c r="I17" s="1011"/>
      <c r="J17" s="226">
        <f>+'8'!J17</f>
        <v>0</v>
      </c>
      <c r="K17" s="250"/>
      <c r="L17" s="250"/>
      <c r="M17" s="129">
        <f>+K17+'8'!M17+L17</f>
        <v>0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570</v>
      </c>
      <c r="I18" s="1011"/>
      <c r="J18" s="226">
        <f>+'8'!J18</f>
        <v>0</v>
      </c>
      <c r="K18" s="250"/>
      <c r="L18" s="250"/>
      <c r="M18" s="129">
        <f>+K18+'8'!M18+L18</f>
        <v>0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>
        <f>+'8'!J19</f>
        <v>0</v>
      </c>
      <c r="K19" s="250"/>
      <c r="L19" s="250"/>
      <c r="M19" s="129">
        <f>+K19+'8'!M19+L19</f>
        <v>0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+'8'!J20</f>
        <v>0</v>
      </c>
      <c r="K20" s="250"/>
      <c r="L20" s="250"/>
      <c r="M20" s="129">
        <f>+K20+'8'!M20+L20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+'8'!J21</f>
        <v>0</v>
      </c>
      <c r="K21" s="250"/>
      <c r="L21" s="250"/>
      <c r="M21" s="129">
        <f>+K21+'8'!M21+L21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+'8'!J22</f>
        <v>0</v>
      </c>
      <c r="K22" s="250"/>
      <c r="L22" s="250"/>
      <c r="M22" s="129">
        <f>+K22+'8'!M22+L22</f>
        <v>0</v>
      </c>
    </row>
    <row r="23" spans="1:14" ht="13.5" thickBot="1">
      <c r="A23" s="1014"/>
      <c r="B23" s="180" t="s">
        <v>2</v>
      </c>
      <c r="C23" s="112">
        <f>SUM(C16:C22)</f>
        <v>19836</v>
      </c>
      <c r="D23" s="123">
        <f>SUM(D16:D22)</f>
        <v>0</v>
      </c>
      <c r="E23" s="124">
        <f>SUM(E18:E22)</f>
        <v>0</v>
      </c>
      <c r="F23" s="128">
        <f>SUM(F15:F22)</f>
        <v>13</v>
      </c>
      <c r="G23" s="171"/>
      <c r="H23" s="178" t="s">
        <v>237</v>
      </c>
      <c r="I23" s="181"/>
      <c r="J23" s="226">
        <f>+'8'!J23</f>
        <v>0</v>
      </c>
      <c r="K23" s="250"/>
      <c r="L23" s="250"/>
      <c r="M23" s="129">
        <f>+K23+'8'!M23+L23</f>
        <v>0</v>
      </c>
    </row>
    <row r="24" spans="1:14" ht="13.5" customHeight="1" thickBot="1">
      <c r="A24" s="1007" t="s">
        <v>461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562</v>
      </c>
      <c r="J24" s="226">
        <f>+'8'!J24</f>
        <v>0</v>
      </c>
      <c r="K24" s="250"/>
      <c r="L24" s="250"/>
      <c r="M24" s="129">
        <f>+K24+'8'!M24+L24</f>
        <v>0</v>
      </c>
    </row>
    <row r="25" spans="1:14" ht="13.5" thickBot="1">
      <c r="A25" s="1013"/>
      <c r="B25" s="227" t="s">
        <v>568</v>
      </c>
      <c r="C25" s="237">
        <v>19306</v>
      </c>
      <c r="D25" s="229">
        <v>1170</v>
      </c>
      <c r="E25" s="236"/>
      <c r="F25" s="242">
        <v>3</v>
      </c>
      <c r="G25" s="243" t="s">
        <v>12</v>
      </c>
      <c r="H25" s="241" t="s">
        <v>563</v>
      </c>
      <c r="I25" s="1011"/>
      <c r="J25" s="226">
        <f>+'8'!J25</f>
        <v>0</v>
      </c>
      <c r="K25" s="250"/>
      <c r="L25" s="250"/>
      <c r="M25" s="129">
        <f>+K25+'8'!M25+L25</f>
        <v>0</v>
      </c>
    </row>
    <row r="26" spans="1:14" ht="13.5" thickBot="1">
      <c r="A26" s="1013"/>
      <c r="B26" s="227"/>
      <c r="C26" s="237"/>
      <c r="D26" s="229"/>
      <c r="E26" s="238"/>
      <c r="F26" s="242">
        <v>5</v>
      </c>
      <c r="G26" s="243" t="s">
        <v>12</v>
      </c>
      <c r="H26" s="574" t="s">
        <v>497</v>
      </c>
      <c r="I26" s="1011"/>
      <c r="J26" s="226">
        <f>+'8'!J26</f>
        <v>0</v>
      </c>
      <c r="K26" s="250"/>
      <c r="L26" s="250"/>
      <c r="M26" s="129">
        <f>+K26+'8'!M26+L26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570</v>
      </c>
      <c r="I27" s="1011"/>
      <c r="J27" s="226">
        <f>+'8'!J27</f>
        <v>0</v>
      </c>
      <c r="K27" s="250"/>
      <c r="L27" s="250"/>
      <c r="M27" s="129">
        <f>+K27+'8'!M27+L27</f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+'8'!J28</f>
        <v>0</v>
      </c>
      <c r="K28" s="250"/>
      <c r="L28" s="250"/>
      <c r="M28" s="129">
        <f>+K28+'8'!M28+L28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+'8'!J29</f>
        <v>0</v>
      </c>
      <c r="K29" s="250"/>
      <c r="L29" s="250"/>
      <c r="M29" s="129">
        <f>+K29+'8'!M29+L29</f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+'8'!J30</f>
        <v>0</v>
      </c>
      <c r="K30" s="250"/>
      <c r="L30" s="250"/>
      <c r="M30" s="129">
        <f>+K30+'8'!M30+L30</f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+'8'!J31</f>
        <v>0</v>
      </c>
      <c r="K31" s="250"/>
      <c r="L31" s="250"/>
      <c r="M31" s="129">
        <f>+K31+'8'!M31+L31</f>
        <v>0</v>
      </c>
    </row>
    <row r="32" spans="1:14" ht="13.5" thickBot="1">
      <c r="A32" s="1014"/>
      <c r="B32" s="177" t="s">
        <v>2</v>
      </c>
      <c r="C32" s="111">
        <f>SUM(C25:C31)</f>
        <v>19306</v>
      </c>
      <c r="D32" s="112">
        <f>SUM(D25:D31)</f>
        <v>1170</v>
      </c>
      <c r="E32" s="113">
        <f>SUM(E25:E31)</f>
        <v>0</v>
      </c>
      <c r="F32" s="114">
        <f>SUM(F24:F31)</f>
        <v>8</v>
      </c>
      <c r="G32" s="183"/>
      <c r="H32" s="184"/>
      <c r="I32" s="181"/>
      <c r="J32" s="226">
        <f>+'8'!J32</f>
        <v>0</v>
      </c>
      <c r="K32" s="252"/>
      <c r="L32" s="254"/>
      <c r="M32" s="129">
        <f>+K32+'8'!M32+L32</f>
        <v>0</v>
      </c>
    </row>
    <row r="33" spans="1:14" ht="13.5" thickBot="1">
      <c r="A33" s="185"/>
      <c r="B33" s="186"/>
      <c r="C33" s="115">
        <f>C32/($C$32+$D$32+$E$32)</f>
        <v>0.94285993358077747</v>
      </c>
      <c r="D33" s="116">
        <f>D32/($C$32+$D$32+$E$32)</f>
        <v>5.7140066419222507E-2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54371</v>
      </c>
      <c r="D34" s="119">
        <f>D14+D23+D32</f>
        <v>1450</v>
      </c>
      <c r="E34" s="119">
        <f>E14+E23+E32</f>
        <v>0</v>
      </c>
      <c r="F34" s="120">
        <f>F14+F23+F32</f>
        <v>64</v>
      </c>
      <c r="H34" s="190"/>
      <c r="I34" s="190"/>
      <c r="J34" s="135" t="s">
        <v>28</v>
      </c>
      <c r="K34" s="136">
        <f>SUM(K7:K32)</f>
        <v>54371</v>
      </c>
      <c r="L34" s="224">
        <f>SUM(L7:L32)</f>
        <v>0</v>
      </c>
      <c r="M34" s="132">
        <f>SUM(M7:M32)</f>
        <v>549589</v>
      </c>
      <c r="N34" s="167"/>
    </row>
    <row r="35" spans="1:14" ht="13.5" thickBot="1">
      <c r="A35" s="191"/>
      <c r="B35" s="192"/>
      <c r="C35" s="116">
        <f>C34/($C$34+$D$34+$E$34)</f>
        <v>0.97402411278909373</v>
      </c>
      <c r="D35" s="116">
        <f>D34/($C$34+$D$34+$E$34)</f>
        <v>2.5975887210906289E-2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(21.5*33+13*1407)/1440*G42*2.77*1440/1000000</f>
        <v>66.45882143605985</v>
      </c>
      <c r="J37" s="137">
        <f>+I37+'8'!J37</f>
        <v>627.0291312924669</v>
      </c>
      <c r="K37" s="138" t="s">
        <v>64</v>
      </c>
      <c r="N37" s="161">
        <v>3.5270000000000001</v>
      </c>
    </row>
    <row r="38" spans="1:14" ht="17.45" customHeight="1">
      <c r="A38" s="1005" t="s">
        <v>12</v>
      </c>
      <c r="B38" s="1006"/>
      <c r="C38" s="176">
        <f>SUMIF($G$7:$G$31,"Process",$F$7:$F$31)</f>
        <v>64</v>
      </c>
      <c r="D38" s="130">
        <f>+C38+'8'!D38</f>
        <v>462</v>
      </c>
      <c r="E38" s="155">
        <f t="shared" ref="E38:E51" si="0">D38/60</f>
        <v>7.7</v>
      </c>
      <c r="F38" s="340">
        <v>1623.25</v>
      </c>
      <c r="G38" s="340">
        <v>1249.7667812500001</v>
      </c>
      <c r="H38" s="199" t="s">
        <v>65</v>
      </c>
      <c r="I38" s="549">
        <f>20.688+21.617+19.918</f>
        <v>62.222999999999999</v>
      </c>
      <c r="J38" s="139">
        <f>+I38+'8'!J38</f>
        <v>569.98422201000005</v>
      </c>
      <c r="K38" s="140" t="s">
        <v>64</v>
      </c>
      <c r="N38" s="558">
        <f>+I38-N37</f>
        <v>58.695999999999998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+C39+'8'!D39</f>
        <v>0</v>
      </c>
      <c r="E39" s="155">
        <f t="shared" si="0"/>
        <v>0</v>
      </c>
      <c r="F39" s="340">
        <v>1670</v>
      </c>
      <c r="G39" s="340">
        <f>+F39-F39*0.24</f>
        <v>1269.2</v>
      </c>
      <c r="H39" s="199" t="s">
        <v>66</v>
      </c>
      <c r="I39" s="154"/>
      <c r="J39" s="141">
        <f>J37/G4</f>
        <v>69.66990347694076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+C40+'8'!D40</f>
        <v>0</v>
      </c>
      <c r="E40" s="155">
        <f t="shared" si="0"/>
        <v>0</v>
      </c>
      <c r="F40" s="340">
        <v>1670</v>
      </c>
      <c r="G40" s="340">
        <f>+F40-F40*0.24</f>
        <v>1269.2</v>
      </c>
      <c r="H40" s="199" t="s">
        <v>68</v>
      </c>
      <c r="I40" s="130">
        <f>(K34+L34)/1000</f>
        <v>54.371000000000002</v>
      </c>
      <c r="J40" s="143">
        <f>+I40+'8'!J40</f>
        <v>549.58900000000006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+C41+'8'!D41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61.065444444444452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+C42+'8'!D42</f>
        <v>0</v>
      </c>
      <c r="E42" s="155">
        <f t="shared" si="0"/>
        <v>0</v>
      </c>
      <c r="F42" s="340">
        <f>+(F38*480+F39*480+F40*480)/1440</f>
        <v>1654.4166666666667</v>
      </c>
      <c r="G42" s="340">
        <f>+(G38*480+G39*480+G40*480)/1440</f>
        <v>1262.7222604166668</v>
      </c>
      <c r="H42" s="199" t="s">
        <v>71</v>
      </c>
      <c r="I42" s="257"/>
      <c r="J42" s="144"/>
      <c r="K42" s="142" t="s">
        <v>72</v>
      </c>
    </row>
    <row r="43" spans="1:14" ht="17.45" customHeight="1">
      <c r="A43" s="1001" t="s">
        <v>239</v>
      </c>
      <c r="B43" s="1002"/>
      <c r="C43" s="176">
        <f>SUMIF($G$7:$G$31,"Change GRade",$F$7:$F$31)</f>
        <v>0</v>
      </c>
      <c r="D43" s="130">
        <f>+C43+'8'!D43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+Report1!T17</f>
        <v>134.78899999999999</v>
      </c>
      <c r="J43" s="145">
        <f>+I43+'8'!J43</f>
        <v>1176.424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+C44+'8'!D44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2.1662247079054366</v>
      </c>
      <c r="J44" s="146">
        <f>J43/J38</f>
        <v>2.0639588861801164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+C45+'8'!D45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2.4790605285906087</v>
      </c>
      <c r="J45" s="146">
        <f>J43/J40</f>
        <v>2.140552303630531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+C46+'8'!D46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+SUMIF(Listrik!AR16,"&gt;0")</f>
        <v>56561.739999999743</v>
      </c>
      <c r="J46" s="147">
        <f>+I46+'8'!J46</f>
        <v>464426.4199999994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+C47+'8'!D47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909.01660157819049</v>
      </c>
      <c r="J47" s="147">
        <f>J46/J38</f>
        <v>814.80574736304072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+C48+'8'!D48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1040.292435305581</v>
      </c>
      <c r="J48" s="147">
        <f>J46/J40</f>
        <v>845.0431504269543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+C49+'8'!D49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+I49+'8'!J49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+C50+'8'!D50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+C51+'8'!D51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64</v>
      </c>
      <c r="D52" s="156">
        <f>SUM(D38:D51)</f>
        <v>1395</v>
      </c>
      <c r="E52" s="157">
        <f>SUM(E38:E51)</f>
        <v>23.25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4.4444444444444446E-2</v>
      </c>
      <c r="D53" s="158">
        <f>D52/(24*60*G4)</f>
        <v>0.1076388888888889</v>
      </c>
      <c r="E53" s="159">
        <f>E52/(G4*24)</f>
        <v>0.1076388888888889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+D34+'8'!J56</f>
        <v>17247</v>
      </c>
      <c r="K56" s="213">
        <f>J56/(J40+J56/1000)/1000</f>
        <v>3.0426790112131199E-2</v>
      </c>
    </row>
    <row r="57" spans="1:11">
      <c r="A57" s="188"/>
      <c r="I57" s="211" t="s">
        <v>90</v>
      </c>
      <c r="J57" s="212">
        <f>+E34+'8'!J57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3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13.7109375" style="161" bestFit="1" customWidth="1"/>
    <col min="13" max="13" width="1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8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200+205+202</f>
        <v>607</v>
      </c>
    </row>
    <row r="7" spans="1:18" ht="13.5" customHeight="1" thickBot="1">
      <c r="A7" s="1007" t="s">
        <v>462</v>
      </c>
      <c r="B7" s="227" t="s">
        <v>537</v>
      </c>
      <c r="C7" s="228">
        <f>10447+6530</f>
        <v>16977</v>
      </c>
      <c r="D7" s="229"/>
      <c r="E7" s="230"/>
      <c r="F7" s="239"/>
      <c r="G7" s="240" t="s">
        <v>12</v>
      </c>
      <c r="H7" s="241" t="s">
        <v>492</v>
      </c>
      <c r="I7" s="1010" t="s">
        <v>546</v>
      </c>
      <c r="J7" s="226" t="str">
        <f>+'7'!J7</f>
        <v>F 13 VP OW</v>
      </c>
      <c r="K7" s="249"/>
      <c r="L7" s="253"/>
      <c r="M7" s="129">
        <f>+K7+'7'!M7+L7</f>
        <v>3700</v>
      </c>
    </row>
    <row r="8" spans="1:18" ht="13.5" thickBot="1">
      <c r="A8" s="1008"/>
      <c r="B8" s="227" t="s">
        <v>507</v>
      </c>
      <c r="C8" s="228">
        <f>700+1575</f>
        <v>2275</v>
      </c>
      <c r="D8" s="229"/>
      <c r="E8" s="231"/>
      <c r="F8" s="242"/>
      <c r="G8" s="243" t="s">
        <v>12</v>
      </c>
      <c r="H8" s="241" t="s">
        <v>448</v>
      </c>
      <c r="I8" s="1011"/>
      <c r="J8" s="226" t="str">
        <f>+'7'!J8</f>
        <v>MG 15,5 VP OW</v>
      </c>
      <c r="K8" s="250"/>
      <c r="L8" s="250"/>
      <c r="M8" s="129">
        <f>+K8+'7'!M8+L8</f>
        <v>40782</v>
      </c>
      <c r="N8" s="161">
        <v>1150</v>
      </c>
      <c r="O8" s="161">
        <f>+N8-N8*0.0035</f>
        <v>1145.9749999999999</v>
      </c>
      <c r="P8" s="161">
        <f>120+34</f>
        <v>154</v>
      </c>
      <c r="Q8" s="161">
        <f>+N8*P8</f>
        <v>177100</v>
      </c>
      <c r="R8" s="161">
        <f>+O8*P8</f>
        <v>176480.15</v>
      </c>
    </row>
    <row r="9" spans="1:18" ht="13.5" thickBot="1">
      <c r="A9" s="1008"/>
      <c r="B9" s="227" t="s">
        <v>551</v>
      </c>
      <c r="C9" s="228">
        <f>1007+89</f>
        <v>1096</v>
      </c>
      <c r="D9" s="229"/>
      <c r="E9" s="232"/>
      <c r="F9" s="239">
        <v>9</v>
      </c>
      <c r="G9" s="243" t="s">
        <v>12</v>
      </c>
      <c r="H9" s="574" t="s">
        <v>476</v>
      </c>
      <c r="I9" s="1011"/>
      <c r="J9" s="226" t="str">
        <f>+'7'!J9</f>
        <v>MG 16,5 VP HW</v>
      </c>
      <c r="K9" s="250"/>
      <c r="L9" s="250"/>
      <c r="M9" s="129">
        <f>+K9+'7'!M9+L9</f>
        <v>65896</v>
      </c>
      <c r="N9" s="161">
        <v>1250</v>
      </c>
      <c r="O9" s="161">
        <f>+N9-N9*0.0035</f>
        <v>1245.625</v>
      </c>
      <c r="P9" s="161">
        <f>26+60+30</f>
        <v>116</v>
      </c>
      <c r="Q9" s="161">
        <f>+N9*P9</f>
        <v>145000</v>
      </c>
      <c r="R9" s="161">
        <f>+O9*P9</f>
        <v>144492.5</v>
      </c>
    </row>
    <row r="10" spans="1:18" ht="13.5" thickBot="1">
      <c r="A10" s="1008"/>
      <c r="B10" s="227" t="s">
        <v>525</v>
      </c>
      <c r="C10" s="228">
        <f>2292+5024</f>
        <v>7316</v>
      </c>
      <c r="D10" s="229">
        <v>430</v>
      </c>
      <c r="E10" s="231"/>
      <c r="F10" s="239"/>
      <c r="G10" s="243"/>
      <c r="H10" s="574" t="s">
        <v>538</v>
      </c>
      <c r="I10" s="1011"/>
      <c r="J10" s="226" t="str">
        <f>+'7'!J10</f>
        <v>MG 17 VP HW</v>
      </c>
      <c r="K10" s="250">
        <f>+C8</f>
        <v>2275</v>
      </c>
      <c r="L10" s="250"/>
      <c r="M10" s="129">
        <f>+K10+'7'!M10+L10</f>
        <v>170813</v>
      </c>
      <c r="N10" s="161">
        <v>1250</v>
      </c>
      <c r="O10" s="161">
        <f>+N10-N10*0.0035</f>
        <v>1245.625</v>
      </c>
      <c r="P10" s="161">
        <f>30+15</f>
        <v>45</v>
      </c>
      <c r="Q10" s="161">
        <f>+N10*P10</f>
        <v>56250</v>
      </c>
      <c r="R10" s="161">
        <f>+O10*P10</f>
        <v>56053.125</v>
      </c>
    </row>
    <row r="11" spans="1:18" ht="13.5" thickBot="1">
      <c r="A11" s="1008"/>
      <c r="B11" s="227"/>
      <c r="C11" s="228"/>
      <c r="D11" s="229"/>
      <c r="E11" s="231"/>
      <c r="F11" s="239"/>
      <c r="G11" s="243"/>
      <c r="H11" s="244" t="s">
        <v>544</v>
      </c>
      <c r="I11" s="1011"/>
      <c r="J11" s="226" t="str">
        <f>+'7'!J11</f>
        <v>MG 14 VP OW</v>
      </c>
      <c r="K11" s="250">
        <f>+C10+C18</f>
        <v>8119</v>
      </c>
      <c r="L11" s="250"/>
      <c r="M11" s="129">
        <f>+K11+'7'!M11+L11</f>
        <v>130379</v>
      </c>
      <c r="N11" s="161">
        <v>1010</v>
      </c>
      <c r="O11" s="161">
        <f>+N11-N11*0.0035</f>
        <v>1006.465</v>
      </c>
      <c r="P11" s="161">
        <f>45+120</f>
        <v>165</v>
      </c>
      <c r="Q11" s="161">
        <f>+N11*P11</f>
        <v>166650</v>
      </c>
      <c r="R11" s="161">
        <f>+O11*P11</f>
        <v>166066.72500000001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 t="s">
        <v>545</v>
      </c>
      <c r="I12" s="1011"/>
      <c r="J12" s="226" t="str">
        <f>+'7'!J12</f>
        <v>MG 19 VP HW</v>
      </c>
      <c r="K12" s="250">
        <f>+C7</f>
        <v>16977</v>
      </c>
      <c r="L12" s="250"/>
      <c r="M12" s="129">
        <f>+K12+'7'!M12+L12</f>
        <v>20052</v>
      </c>
      <c r="P12" s="161">
        <f>SUM(P8:P11)</f>
        <v>480</v>
      </c>
      <c r="Q12" s="161">
        <f>SUM(Q8:Q11)</f>
        <v>545000</v>
      </c>
      <c r="R12" s="161">
        <f>SUM(R8:R11)</f>
        <v>543092.5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 t="s">
        <v>543</v>
      </c>
      <c r="I13" s="1012"/>
      <c r="J13" s="226" t="s">
        <v>551</v>
      </c>
      <c r="K13" s="250">
        <f>+C9+C16</f>
        <v>6479</v>
      </c>
      <c r="L13" s="250"/>
      <c r="M13" s="129">
        <f>+K13+'7'!M13+L13</f>
        <v>6479</v>
      </c>
      <c r="Q13" s="161">
        <f>+Q12/P12</f>
        <v>1135.4166666666667</v>
      </c>
      <c r="R13" s="161">
        <f>+R12/P12</f>
        <v>1131.4427083333333</v>
      </c>
    </row>
    <row r="14" spans="1:18" ht="13.5" thickBot="1">
      <c r="A14" s="1009"/>
      <c r="B14" s="177" t="s">
        <v>2</v>
      </c>
      <c r="C14" s="111">
        <f>SUM(C7:C13)</f>
        <v>27664</v>
      </c>
      <c r="D14" s="123">
        <f>SUM(D7:D13)</f>
        <v>430</v>
      </c>
      <c r="E14" s="124">
        <f>SUM(E5:E13)</f>
        <v>0</v>
      </c>
      <c r="F14" s="128">
        <f>SUM(F7:F13)</f>
        <v>9</v>
      </c>
      <c r="G14" s="171"/>
      <c r="H14" s="178"/>
      <c r="I14" s="179"/>
      <c r="J14" s="226" t="s">
        <v>552</v>
      </c>
      <c r="K14" s="250">
        <f>+C17+C25</f>
        <v>57117</v>
      </c>
      <c r="L14" s="250"/>
      <c r="M14" s="129">
        <f>+K14+'7'!M14+L14</f>
        <v>57117</v>
      </c>
    </row>
    <row r="15" spans="1:18" ht="13.5" customHeight="1" thickBot="1">
      <c r="A15" s="1007" t="s">
        <v>463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547</v>
      </c>
      <c r="J15" s="226">
        <f>+'7'!J15</f>
        <v>0</v>
      </c>
      <c r="K15" s="250"/>
      <c r="L15" s="250"/>
      <c r="M15" s="129">
        <f>+K15+'7'!M15+L15</f>
        <v>0</v>
      </c>
    </row>
    <row r="16" spans="1:18" ht="13.5" thickBot="1">
      <c r="A16" s="1013"/>
      <c r="B16" s="227" t="s">
        <v>551</v>
      </c>
      <c r="C16" s="233">
        <f>4941+442</f>
        <v>5383</v>
      </c>
      <c r="D16" s="234"/>
      <c r="E16" s="235"/>
      <c r="F16" s="239">
        <v>2</v>
      </c>
      <c r="G16" s="243" t="s">
        <v>12</v>
      </c>
      <c r="H16" s="241" t="s">
        <v>550</v>
      </c>
      <c r="I16" s="1011"/>
      <c r="J16" s="226">
        <f>+'7'!J16</f>
        <v>0</v>
      </c>
      <c r="K16" s="250"/>
      <c r="L16" s="250"/>
      <c r="M16" s="129">
        <f>+K16+'7'!M16+L16</f>
        <v>0</v>
      </c>
    </row>
    <row r="17" spans="1:18" ht="13.5" thickBot="1">
      <c r="A17" s="1013"/>
      <c r="B17" s="227" t="s">
        <v>552</v>
      </c>
      <c r="C17" s="228">
        <f>2334+3515+2303+11203+4256</f>
        <v>23611</v>
      </c>
      <c r="D17" s="229"/>
      <c r="E17" s="236"/>
      <c r="F17" s="239">
        <v>0</v>
      </c>
      <c r="G17" s="243" t="s">
        <v>12</v>
      </c>
      <c r="H17" s="574" t="s">
        <v>447</v>
      </c>
      <c r="I17" s="1011"/>
      <c r="J17" s="226">
        <f>+'7'!J17</f>
        <v>0</v>
      </c>
      <c r="K17" s="250"/>
      <c r="L17" s="250"/>
      <c r="M17" s="129">
        <f>+K17+'7'!M17+L17</f>
        <v>0</v>
      </c>
    </row>
    <row r="18" spans="1:18" ht="13.5" thickBot="1">
      <c r="A18" s="1013"/>
      <c r="B18" s="227" t="s">
        <v>525</v>
      </c>
      <c r="C18" s="228">
        <f>250+553</f>
        <v>803</v>
      </c>
      <c r="D18" s="229"/>
      <c r="E18" s="236"/>
      <c r="F18" s="239"/>
      <c r="G18" s="243"/>
      <c r="H18" s="574" t="s">
        <v>541</v>
      </c>
      <c r="I18" s="1011"/>
      <c r="J18" s="226">
        <f>+'7'!J18</f>
        <v>0</v>
      </c>
      <c r="K18" s="250"/>
      <c r="L18" s="250"/>
      <c r="M18" s="129">
        <f>+K18+'7'!M18+L18</f>
        <v>0</v>
      </c>
      <c r="N18" s="161">
        <v>1010</v>
      </c>
      <c r="O18" s="161">
        <f>+N18-N18*0.0035</f>
        <v>1006.465</v>
      </c>
      <c r="P18" s="161">
        <f>165+480</f>
        <v>645</v>
      </c>
      <c r="Q18" s="161">
        <f>+N18*P18</f>
        <v>651450</v>
      </c>
      <c r="R18" s="161">
        <f>+O18*P18</f>
        <v>649169.92500000005</v>
      </c>
    </row>
    <row r="19" spans="1:18" ht="26.25" thickBot="1">
      <c r="A19" s="1013"/>
      <c r="B19" s="227"/>
      <c r="C19" s="228"/>
      <c r="D19" s="229"/>
      <c r="E19" s="236"/>
      <c r="F19" s="246"/>
      <c r="G19" s="243"/>
      <c r="H19" s="244" t="s">
        <v>542</v>
      </c>
      <c r="I19" s="1011"/>
      <c r="J19" s="226">
        <f>+'7'!J19</f>
        <v>0</v>
      </c>
      <c r="K19" s="250"/>
      <c r="L19" s="250"/>
      <c r="M19" s="129">
        <f>+K19+'7'!M19+L19</f>
        <v>0</v>
      </c>
      <c r="N19" s="161">
        <v>990</v>
      </c>
      <c r="O19" s="161">
        <f>+N19-N19*0.0035</f>
        <v>986.53499999999997</v>
      </c>
      <c r="P19" s="161">
        <v>480</v>
      </c>
      <c r="Q19" s="161">
        <f>+N19*P19</f>
        <v>475200</v>
      </c>
      <c r="R19" s="161">
        <f>+O19*P19</f>
        <v>473536.8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+'7'!J20</f>
        <v>0</v>
      </c>
      <c r="K20" s="250"/>
      <c r="L20" s="250"/>
      <c r="M20" s="129">
        <f>+K20+'7'!M20+L20</f>
        <v>0</v>
      </c>
      <c r="P20" s="161">
        <f>SUM(P18:P19)</f>
        <v>1125</v>
      </c>
      <c r="Q20" s="161">
        <f>SUM(Q18:Q19)</f>
        <v>1126650</v>
      </c>
      <c r="R20" s="161">
        <f>SUM(R18:R19)</f>
        <v>1122706.7250000001</v>
      </c>
    </row>
    <row r="21" spans="1:18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+'7'!J21</f>
        <v>0</v>
      </c>
      <c r="K21" s="250"/>
      <c r="L21" s="250"/>
      <c r="M21" s="129">
        <f>+K21+'7'!M21+L21</f>
        <v>0</v>
      </c>
      <c r="Q21" s="161">
        <f>+Q20/P20</f>
        <v>1001.4666666666667</v>
      </c>
      <c r="R21" s="161">
        <f>+R20/P20</f>
        <v>997.96153333333336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+'7'!J22</f>
        <v>0</v>
      </c>
      <c r="K22" s="250"/>
      <c r="L22" s="250"/>
      <c r="M22" s="129">
        <f>+K22+'7'!M22+L22</f>
        <v>0</v>
      </c>
    </row>
    <row r="23" spans="1:18" ht="13.5" thickBot="1">
      <c r="A23" s="1014"/>
      <c r="B23" s="180" t="s">
        <v>2</v>
      </c>
      <c r="C23" s="112">
        <f>SUM(C16:C22)</f>
        <v>29797</v>
      </c>
      <c r="D23" s="123">
        <f>SUM(D16:D22)</f>
        <v>0</v>
      </c>
      <c r="E23" s="124">
        <f>SUM(E18:E22)</f>
        <v>0</v>
      </c>
      <c r="F23" s="128">
        <f>SUM(F15:F22)</f>
        <v>2</v>
      </c>
      <c r="G23" s="171"/>
      <c r="H23" s="178" t="s">
        <v>237</v>
      </c>
      <c r="I23" s="181"/>
      <c r="J23" s="226">
        <f>+'7'!J23</f>
        <v>0</v>
      </c>
      <c r="K23" s="250"/>
      <c r="L23" s="250"/>
      <c r="M23" s="129">
        <f>+K23+'7'!M23+L23</f>
        <v>0</v>
      </c>
    </row>
    <row r="24" spans="1:18" ht="13.5" customHeight="1" thickBot="1">
      <c r="A24" s="1007" t="s">
        <v>502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548</v>
      </c>
      <c r="J24" s="226">
        <f>+'7'!J24</f>
        <v>0</v>
      </c>
      <c r="K24" s="250"/>
      <c r="L24" s="250"/>
      <c r="M24" s="129">
        <f>+K24+'7'!M24+L24</f>
        <v>0</v>
      </c>
    </row>
    <row r="25" spans="1:18" ht="13.5" thickBot="1">
      <c r="A25" s="1013"/>
      <c r="B25" s="227" t="s">
        <v>552</v>
      </c>
      <c r="C25" s="237">
        <v>33506</v>
      </c>
      <c r="D25" s="229"/>
      <c r="E25" s="236"/>
      <c r="F25" s="242"/>
      <c r="G25" s="243" t="s">
        <v>12</v>
      </c>
      <c r="H25" s="241" t="s">
        <v>448</v>
      </c>
      <c r="I25" s="1011"/>
      <c r="J25" s="226">
        <f>+'7'!J25</f>
        <v>0</v>
      </c>
      <c r="K25" s="250"/>
      <c r="L25" s="250"/>
      <c r="M25" s="129">
        <f>+K25+'7'!M25+L25</f>
        <v>0</v>
      </c>
    </row>
    <row r="26" spans="1:18" ht="13.5" thickBot="1">
      <c r="A26" s="1013"/>
      <c r="B26" s="227"/>
      <c r="C26" s="237"/>
      <c r="D26" s="229"/>
      <c r="E26" s="238"/>
      <c r="F26" s="242">
        <v>0</v>
      </c>
      <c r="G26" s="243" t="s">
        <v>12</v>
      </c>
      <c r="H26" s="574" t="s">
        <v>447</v>
      </c>
      <c r="I26" s="1011"/>
      <c r="J26" s="226">
        <f>+'7'!J26</f>
        <v>0</v>
      </c>
      <c r="K26" s="250"/>
      <c r="L26" s="250"/>
      <c r="M26" s="129">
        <f>+K26+'7'!M26+L26</f>
        <v>0</v>
      </c>
    </row>
    <row r="27" spans="1:18" ht="13.5" thickBot="1">
      <c r="A27" s="1013"/>
      <c r="B27" s="227"/>
      <c r="C27" s="228"/>
      <c r="D27" s="229"/>
      <c r="E27" s="236"/>
      <c r="F27" s="242"/>
      <c r="G27" s="243"/>
      <c r="H27" s="574" t="s">
        <v>539</v>
      </c>
      <c r="I27" s="1011"/>
      <c r="J27" s="226">
        <f>+'7'!J27</f>
        <v>0</v>
      </c>
      <c r="K27" s="250"/>
      <c r="L27" s="250"/>
      <c r="M27" s="129">
        <f>+K27+'7'!M27+L27</f>
        <v>0</v>
      </c>
    </row>
    <row r="28" spans="1:18" ht="13.5" thickBot="1">
      <c r="A28" s="1013"/>
      <c r="B28" s="227"/>
      <c r="C28" s="228"/>
      <c r="D28" s="229"/>
      <c r="E28" s="236"/>
      <c r="F28" s="242"/>
      <c r="G28" s="243"/>
      <c r="H28" s="244" t="s">
        <v>540</v>
      </c>
      <c r="I28" s="1011"/>
      <c r="J28" s="226">
        <f>+'7'!J28</f>
        <v>0</v>
      </c>
      <c r="K28" s="250"/>
      <c r="L28" s="250"/>
      <c r="M28" s="129">
        <f>+K28+'7'!M28+L28</f>
        <v>0</v>
      </c>
    </row>
    <row r="29" spans="1:18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+'7'!J29</f>
        <v>0</v>
      </c>
      <c r="K29" s="250"/>
      <c r="L29" s="250"/>
      <c r="M29" s="129">
        <f>+K29+'7'!M29+L29</f>
        <v>0</v>
      </c>
    </row>
    <row r="30" spans="1:18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+'7'!J30</f>
        <v>0</v>
      </c>
      <c r="K30" s="250"/>
      <c r="L30" s="250"/>
      <c r="M30" s="129">
        <f>+K30+'7'!M30+L30</f>
        <v>0</v>
      </c>
      <c r="N30" s="167"/>
    </row>
    <row r="31" spans="1:18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+'7'!J31</f>
        <v>0</v>
      </c>
      <c r="K31" s="250"/>
      <c r="L31" s="250"/>
      <c r="M31" s="129">
        <f>+K31+'7'!M31+L31</f>
        <v>0</v>
      </c>
    </row>
    <row r="32" spans="1:18" ht="13.5" thickBot="1">
      <c r="A32" s="1014"/>
      <c r="B32" s="177" t="s">
        <v>2</v>
      </c>
      <c r="C32" s="111">
        <f>SUM(C25:C31)</f>
        <v>33506</v>
      </c>
      <c r="D32" s="112">
        <f>SUM(D25:D31)</f>
        <v>0</v>
      </c>
      <c r="E32" s="113">
        <f>SUM(E25:E31)</f>
        <v>0</v>
      </c>
      <c r="F32" s="114">
        <f>SUM(F24:F31)</f>
        <v>0</v>
      </c>
      <c r="G32" s="183"/>
      <c r="H32" s="184"/>
      <c r="I32" s="181"/>
      <c r="J32" s="226">
        <f>+'7'!J32</f>
        <v>0</v>
      </c>
      <c r="K32" s="252"/>
      <c r="L32" s="254"/>
      <c r="M32" s="129">
        <f>+K32+'7'!M32+L32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90967</v>
      </c>
      <c r="D34" s="119">
        <f>D14+D23+D32</f>
        <v>430</v>
      </c>
      <c r="E34" s="119">
        <f>E14+E23+E32</f>
        <v>0</v>
      </c>
      <c r="F34" s="120">
        <f>F14+F23+F32</f>
        <v>11</v>
      </c>
      <c r="H34" s="190"/>
      <c r="I34" s="190"/>
      <c r="J34" s="135" t="s">
        <v>28</v>
      </c>
      <c r="K34" s="136">
        <f>SUM(K7:K32)</f>
        <v>90967</v>
      </c>
      <c r="L34" s="224">
        <f>SUM(L7:L32)</f>
        <v>0</v>
      </c>
      <c r="M34" s="132">
        <f>SUM(M7:M32)</f>
        <v>495218</v>
      </c>
      <c r="N34" s="167"/>
    </row>
    <row r="35" spans="1:14" ht="13.5" thickBot="1">
      <c r="A35" s="191"/>
      <c r="B35" s="192"/>
      <c r="C35" s="116">
        <f>C34/($C$34+$D$34+$E$34)</f>
        <v>0.99529525039115074</v>
      </c>
      <c r="D35" s="116">
        <f>D34/($C$34+$D$34+$E$34)</f>
        <v>4.7047496088493054E-3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(19*154+17*116+17*45+21.5*1125)/1440*G42*2.77*1440/1000000</f>
        <v>86.115770156779519</v>
      </c>
      <c r="J37" s="137">
        <f>+I37+'7'!J37</f>
        <v>560.57030985640711</v>
      </c>
      <c r="K37" s="138" t="s">
        <v>64</v>
      </c>
      <c r="N37" s="558">
        <f>2.953*3</f>
        <v>8.859</v>
      </c>
    </row>
    <row r="38" spans="1:14" ht="17.45" customHeight="1">
      <c r="A38" s="1005" t="s">
        <v>12</v>
      </c>
      <c r="B38" s="1006"/>
      <c r="C38" s="176">
        <f>SUMIF($G$7:$G$31,"Process",$F$7:$F$31)</f>
        <v>11</v>
      </c>
      <c r="D38" s="130">
        <f>+C38+'7'!D38</f>
        <v>398</v>
      </c>
      <c r="E38" s="155">
        <f t="shared" ref="E38:E51" si="0">D38/60</f>
        <v>6.6333333333333337</v>
      </c>
      <c r="F38" s="340">
        <v>1135.4166666666667</v>
      </c>
      <c r="G38" s="340">
        <v>1131.4427083333333</v>
      </c>
      <c r="H38" s="199" t="s">
        <v>65</v>
      </c>
      <c r="I38" s="549">
        <f>26.079+26.992+26.168</f>
        <v>79.239000000000004</v>
      </c>
      <c r="J38" s="139">
        <f>+I38+'7'!J38</f>
        <v>507.7612220100001</v>
      </c>
      <c r="K38" s="140" t="s">
        <v>64</v>
      </c>
      <c r="N38" s="558">
        <v>2.6720000000000002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+C39+'7'!D39</f>
        <v>0</v>
      </c>
      <c r="E39" s="155">
        <f t="shared" si="0"/>
        <v>0</v>
      </c>
      <c r="F39" s="340">
        <v>1010</v>
      </c>
      <c r="G39" s="340">
        <f>+F39-F39*0.0035</f>
        <v>1006.465</v>
      </c>
      <c r="H39" s="199" t="s">
        <v>66</v>
      </c>
      <c r="I39" s="154"/>
      <c r="J39" s="141">
        <f>J37/G4</f>
        <v>70.071288732050888</v>
      </c>
      <c r="K39" s="142" t="s">
        <v>64</v>
      </c>
      <c r="N39" s="161">
        <f>3.34+2.227</f>
        <v>5.5670000000000002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+C40+'7'!D40</f>
        <v>0</v>
      </c>
      <c r="E40" s="155">
        <f t="shared" si="0"/>
        <v>0</v>
      </c>
      <c r="F40" s="340">
        <v>990</v>
      </c>
      <c r="G40" s="340">
        <f>+F40-F40*0.0035</f>
        <v>986.53499999999997</v>
      </c>
      <c r="H40" s="199" t="s">
        <v>68</v>
      </c>
      <c r="I40" s="130">
        <f>(K34+L34)/1000</f>
        <v>90.966999999999999</v>
      </c>
      <c r="J40" s="143">
        <f>+I40+'7'!J40</f>
        <v>495.21800000000002</v>
      </c>
      <c r="K40" s="142" t="s">
        <v>64</v>
      </c>
      <c r="N40" s="161">
        <f>3.389+2.203+3.389+26.992+26.168</f>
        <v>62.140999999999998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+C41+'7'!D41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61.902250000000002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+C42+'7'!D42</f>
        <v>0</v>
      </c>
      <c r="E42" s="155">
        <f t="shared" si="0"/>
        <v>0</v>
      </c>
      <c r="F42" s="340">
        <f>+(F38*480+F39*480+F40*480)/1440</f>
        <v>1045.1388888888889</v>
      </c>
      <c r="G42" s="340">
        <f>+(G38*480+G39*480+G40*480)/1440</f>
        <v>1041.4809027777778</v>
      </c>
      <c r="H42" s="199" t="s">
        <v>71</v>
      </c>
      <c r="I42" s="257" t="s">
        <v>549</v>
      </c>
      <c r="J42" s="144"/>
      <c r="K42" s="142" t="s">
        <v>72</v>
      </c>
    </row>
    <row r="43" spans="1:14" ht="17.45" customHeight="1">
      <c r="A43" s="1001" t="s">
        <v>204</v>
      </c>
      <c r="B43" s="1002"/>
      <c r="C43" s="176">
        <f>SUMIF($G$7:$G$31,"Change Grade",$F$7:$F$31)</f>
        <v>0</v>
      </c>
      <c r="D43" s="130">
        <f>+C43+'7'!D43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+Report1!T16</f>
        <v>147.91</v>
      </c>
      <c r="J43" s="145">
        <f>+I43+'7'!J43</f>
        <v>1041.635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+C44+'7'!D44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1.8666313305316824</v>
      </c>
      <c r="J44" s="146">
        <f>J43/J38</f>
        <v>2.0514268416887602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+C45+'7'!D45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1.6259742543999471</v>
      </c>
      <c r="J45" s="146">
        <f>J43/J40</f>
        <v>2.1033867912717228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+C46+'7'!D46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+SUMIF(Listrik!AR15,"&gt;0")</f>
        <v>56930.380000001926</v>
      </c>
      <c r="J46" s="147">
        <f>+I46+'7'!J46</f>
        <v>407864.67999999964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+C47+'7'!D47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718.46414013303956</v>
      </c>
      <c r="J47" s="147">
        <f>J46/J38</f>
        <v>803.26078936364104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+C48+'7'!D48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625.83552277201545</v>
      </c>
      <c r="J48" s="147">
        <f>J46/J40</f>
        <v>823.6063309491974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+C49+'7'!D49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+I49+'7'!J49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+C50+'7'!D50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+C51+'7'!D51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11</v>
      </c>
      <c r="D52" s="156">
        <f>SUM(D38:D51)</f>
        <v>1331</v>
      </c>
      <c r="E52" s="157">
        <f>SUM(E38:E51)</f>
        <v>22.183333333333334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7.6388888888888886E-3</v>
      </c>
      <c r="D53" s="158">
        <f>D52/(24*60*G4)</f>
        <v>0.11553819444444445</v>
      </c>
      <c r="E53" s="159">
        <f>E52/(G4*24)</f>
        <v>0.11553819444444445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+D34+'7'!J56</f>
        <v>15797</v>
      </c>
      <c r="K56" s="213">
        <f>J56/(J40+J56/1000)/1000</f>
        <v>3.0912986898623328E-2</v>
      </c>
    </row>
    <row r="57" spans="1:11">
      <c r="A57" s="188"/>
      <c r="I57" s="211" t="s">
        <v>90</v>
      </c>
      <c r="J57" s="212">
        <f>+E34+'7'!J57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</mergeCells>
  <phoneticPr fontId="33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7109375" style="161" bestFit="1" customWidth="1"/>
    <col min="5" max="5" width="13.85546875" style="161" bestFit="1" customWidth="1"/>
    <col min="6" max="6" width="12.7109375" style="122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3.28515625" style="161" bestFit="1" customWidth="1"/>
    <col min="12" max="12" width="12" style="161" bestFit="1" customWidth="1"/>
    <col min="13" max="13" width="15.570312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7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185+225+224</f>
        <v>634</v>
      </c>
    </row>
    <row r="7" spans="1:18" ht="13.5" customHeight="1" thickBot="1">
      <c r="A7" s="1007" t="s">
        <v>462</v>
      </c>
      <c r="B7" s="227" t="s">
        <v>525</v>
      </c>
      <c r="C7" s="228">
        <v>24961</v>
      </c>
      <c r="D7" s="229">
        <v>299</v>
      </c>
      <c r="E7" s="230"/>
      <c r="F7" s="239"/>
      <c r="G7" s="240" t="s">
        <v>12</v>
      </c>
      <c r="H7" s="241" t="s">
        <v>492</v>
      </c>
      <c r="I7" s="1010" t="s">
        <v>527</v>
      </c>
      <c r="J7" s="226" t="str">
        <f>+'6'!J7</f>
        <v>F 13 VP OW</v>
      </c>
      <c r="K7" s="249"/>
      <c r="L7" s="253"/>
      <c r="M7" s="129">
        <f>+K7+'6'!M7+L7</f>
        <v>3700</v>
      </c>
    </row>
    <row r="8" spans="1:18" ht="13.5" thickBot="1">
      <c r="A8" s="1008"/>
      <c r="B8" s="227"/>
      <c r="C8" s="228"/>
      <c r="D8" s="229"/>
      <c r="E8" s="231"/>
      <c r="F8" s="242"/>
      <c r="G8" s="243" t="s">
        <v>12</v>
      </c>
      <c r="H8" s="241" t="s">
        <v>448</v>
      </c>
      <c r="I8" s="1011"/>
      <c r="J8" s="226" t="str">
        <f>+'6'!J8</f>
        <v>MG 15,5 VP OW</v>
      </c>
      <c r="K8" s="250"/>
      <c r="L8" s="250"/>
      <c r="M8" s="129">
        <f>+K8+'6'!M8+L8</f>
        <v>40782</v>
      </c>
      <c r="N8" s="161">
        <v>1270</v>
      </c>
      <c r="O8" s="161">
        <f>+N8-N8*0.0035</f>
        <v>1265.5550000000001</v>
      </c>
      <c r="P8" s="161">
        <f>240+40</f>
        <v>280</v>
      </c>
      <c r="Q8" s="161">
        <f>+N8*P8</f>
        <v>355600</v>
      </c>
      <c r="R8" s="161">
        <f>+O8*P8</f>
        <v>354355.4</v>
      </c>
    </row>
    <row r="9" spans="1:18" ht="13.5" thickBot="1">
      <c r="A9" s="1008"/>
      <c r="B9" s="227"/>
      <c r="C9" s="228"/>
      <c r="D9" s="229"/>
      <c r="E9" s="232"/>
      <c r="F9" s="239">
        <v>4</v>
      </c>
      <c r="G9" s="243" t="s">
        <v>12</v>
      </c>
      <c r="H9" s="574" t="s">
        <v>450</v>
      </c>
      <c r="I9" s="1011"/>
      <c r="J9" s="226" t="str">
        <f>+'6'!J9</f>
        <v>MG 16,5 VP HW</v>
      </c>
      <c r="K9" s="250"/>
      <c r="L9" s="250"/>
      <c r="M9" s="129">
        <f>+K9+'6'!M9+L9</f>
        <v>65896</v>
      </c>
      <c r="N9" s="161">
        <v>1150</v>
      </c>
      <c r="O9" s="161">
        <f>+N9-N9*0.0035</f>
        <v>1145.9749999999999</v>
      </c>
      <c r="P9" s="161">
        <f>20+180</f>
        <v>200</v>
      </c>
      <c r="Q9" s="161">
        <f>+N9*P9</f>
        <v>230000</v>
      </c>
      <c r="R9" s="161">
        <f>+O9*P9</f>
        <v>229194.99999999997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523</v>
      </c>
      <c r="I10" s="1011"/>
      <c r="J10" s="226" t="str">
        <f>+'6'!J10</f>
        <v>MG 17 VP HW</v>
      </c>
      <c r="K10" s="250"/>
      <c r="L10" s="250"/>
      <c r="M10" s="129">
        <f>+K10+'6'!M10+L10</f>
        <v>168538</v>
      </c>
      <c r="P10" s="161">
        <f>SUM(P8:P9)</f>
        <v>480</v>
      </c>
      <c r="Q10" s="161">
        <f>SUM(Q8:Q9)</f>
        <v>585600</v>
      </c>
      <c r="R10" s="161">
        <f>SUM(R8:R9)</f>
        <v>583550.4</v>
      </c>
    </row>
    <row r="11" spans="1:18" ht="26.25" thickBot="1">
      <c r="A11" s="1008"/>
      <c r="B11" s="227"/>
      <c r="C11" s="228"/>
      <c r="D11" s="229"/>
      <c r="E11" s="231"/>
      <c r="F11" s="239"/>
      <c r="G11" s="243"/>
      <c r="H11" s="244" t="s">
        <v>524</v>
      </c>
      <c r="I11" s="1011"/>
      <c r="J11" s="226" t="str">
        <f>+'6'!J11</f>
        <v>MG 14 VP OW</v>
      </c>
      <c r="K11" s="250">
        <f>+C7+C16+C25</f>
        <v>71720</v>
      </c>
      <c r="L11" s="250"/>
      <c r="M11" s="129">
        <f>+K11+'6'!M11+L11</f>
        <v>122260</v>
      </c>
      <c r="Q11" s="161">
        <f>+Q10/P10</f>
        <v>1220</v>
      </c>
      <c r="R11" s="161">
        <f>+R10/P10</f>
        <v>1215.73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 t="s">
        <v>537</v>
      </c>
      <c r="K12" s="250">
        <f>+C26</f>
        <v>3075</v>
      </c>
      <c r="L12" s="250"/>
      <c r="M12" s="129">
        <f>+K12+'6'!M12+L12</f>
        <v>3075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>
        <f>+'6'!J13</f>
        <v>0</v>
      </c>
      <c r="K13" s="250"/>
      <c r="L13" s="250"/>
      <c r="M13" s="129">
        <f>+K13+'6'!M13+L13</f>
        <v>0</v>
      </c>
    </row>
    <row r="14" spans="1:18" ht="13.5" thickBot="1">
      <c r="A14" s="1009"/>
      <c r="B14" s="177" t="s">
        <v>2</v>
      </c>
      <c r="C14" s="111">
        <f>SUM(C7:C13)</f>
        <v>24961</v>
      </c>
      <c r="D14" s="123">
        <f>SUM(D7:D13)</f>
        <v>299</v>
      </c>
      <c r="E14" s="124">
        <f>SUM(E5:E13)</f>
        <v>0</v>
      </c>
      <c r="F14" s="128">
        <f>SUM(F7:F13)</f>
        <v>4</v>
      </c>
      <c r="G14" s="171"/>
      <c r="H14" s="178"/>
      <c r="I14" s="179"/>
      <c r="J14" s="226">
        <f>+'6'!J14</f>
        <v>0</v>
      </c>
      <c r="K14" s="250"/>
      <c r="L14" s="250"/>
      <c r="M14" s="129">
        <f>+K14+'6'!M14+L14</f>
        <v>0</v>
      </c>
    </row>
    <row r="15" spans="1:18" ht="13.5" customHeight="1" thickBot="1">
      <c r="A15" s="1007" t="s">
        <v>463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527</v>
      </c>
      <c r="J15" s="226">
        <f>+'6'!J15</f>
        <v>0</v>
      </c>
      <c r="K15" s="250"/>
      <c r="L15" s="250"/>
      <c r="M15" s="129">
        <f>+K15+'6'!M15+L15</f>
        <v>0</v>
      </c>
    </row>
    <row r="16" spans="1:18" ht="13.5" thickBot="1">
      <c r="A16" s="1013"/>
      <c r="B16" s="227" t="s">
        <v>525</v>
      </c>
      <c r="C16" s="233">
        <v>22551</v>
      </c>
      <c r="D16" s="234">
        <v>299</v>
      </c>
      <c r="E16" s="235"/>
      <c r="F16" s="239"/>
      <c r="G16" s="243" t="s">
        <v>12</v>
      </c>
      <c r="H16" s="241" t="s">
        <v>448</v>
      </c>
      <c r="I16" s="1011"/>
      <c r="J16" s="226">
        <f>+'6'!J16</f>
        <v>0</v>
      </c>
      <c r="K16" s="240"/>
      <c r="L16" s="240"/>
      <c r="M16" s="129">
        <f>+K16+'6'!M16+L16</f>
        <v>0</v>
      </c>
    </row>
    <row r="17" spans="1:14" ht="13.5" thickBot="1">
      <c r="A17" s="1013"/>
      <c r="B17" s="227"/>
      <c r="C17" s="228"/>
      <c r="D17" s="229"/>
      <c r="E17" s="236"/>
      <c r="F17" s="239">
        <v>2</v>
      </c>
      <c r="G17" s="243" t="s">
        <v>12</v>
      </c>
      <c r="H17" s="574" t="s">
        <v>447</v>
      </c>
      <c r="I17" s="1011"/>
      <c r="J17" s="226">
        <f>+'6'!J17</f>
        <v>0</v>
      </c>
      <c r="K17" s="240"/>
      <c r="L17" s="240"/>
      <c r="M17" s="129">
        <f>+K17+'6'!M17+L17</f>
        <v>0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523</v>
      </c>
      <c r="I18" s="1011"/>
      <c r="J18" s="226">
        <f>+'6'!J18</f>
        <v>0</v>
      </c>
      <c r="K18" s="250"/>
      <c r="L18" s="250"/>
      <c r="M18" s="129">
        <f>+K18+'6'!M18+L18</f>
        <v>0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>
        <f>+'6'!J19</f>
        <v>0</v>
      </c>
      <c r="K19" s="250"/>
      <c r="L19" s="250"/>
      <c r="M19" s="129">
        <f>+K19+'6'!M19+L19</f>
        <v>0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+'6'!J20</f>
        <v>0</v>
      </c>
      <c r="K20" s="251"/>
      <c r="L20" s="251"/>
      <c r="M20" s="129">
        <f>+K20+'6'!M20+L20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+'6'!J21</f>
        <v>0</v>
      </c>
      <c r="K21" s="250"/>
      <c r="L21" s="250"/>
      <c r="M21" s="129">
        <f>+K21+'6'!M21+L21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+'6'!J22</f>
        <v>0</v>
      </c>
      <c r="K22" s="250"/>
      <c r="L22" s="250"/>
      <c r="M22" s="129">
        <f>+K22+'6'!M22+L22</f>
        <v>0</v>
      </c>
    </row>
    <row r="23" spans="1:14" ht="13.5" thickBot="1">
      <c r="A23" s="1014"/>
      <c r="B23" s="180" t="s">
        <v>2</v>
      </c>
      <c r="C23" s="112">
        <f>SUM(C16:C22)</f>
        <v>22551</v>
      </c>
      <c r="D23" s="123">
        <f>SUM(D16:D22)</f>
        <v>299</v>
      </c>
      <c r="E23" s="124">
        <f>SUM(E18:E22)</f>
        <v>0</v>
      </c>
      <c r="F23" s="128">
        <f>SUM(F15:F22)</f>
        <v>2</v>
      </c>
      <c r="G23" s="171"/>
      <c r="H23" s="178" t="s">
        <v>237</v>
      </c>
      <c r="I23" s="181"/>
      <c r="J23" s="226">
        <f>+'6'!J23</f>
        <v>0</v>
      </c>
      <c r="K23" s="250"/>
      <c r="L23" s="250"/>
      <c r="M23" s="129">
        <f>+K23+'6'!M23+L23</f>
        <v>0</v>
      </c>
    </row>
    <row r="24" spans="1:14" ht="13.5" customHeight="1" thickBot="1">
      <c r="A24" s="1007" t="s">
        <v>502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529</v>
      </c>
      <c r="J24" s="226">
        <f>+'6'!J24</f>
        <v>0</v>
      </c>
      <c r="K24" s="250"/>
      <c r="L24" s="250"/>
      <c r="M24" s="129">
        <f>+K24+'6'!M24+L24</f>
        <v>0</v>
      </c>
    </row>
    <row r="25" spans="1:14" ht="13.5" thickBot="1">
      <c r="A25" s="1013"/>
      <c r="B25" s="227" t="s">
        <v>525</v>
      </c>
      <c r="C25" s="237">
        <f>7514+16694</f>
        <v>24208</v>
      </c>
      <c r="D25" s="229">
        <v>303</v>
      </c>
      <c r="E25" s="236"/>
      <c r="F25" s="242"/>
      <c r="G25" s="243" t="s">
        <v>12</v>
      </c>
      <c r="H25" s="241" t="s">
        <v>448</v>
      </c>
      <c r="I25" s="1011"/>
      <c r="J25" s="226">
        <f>+'6'!J25</f>
        <v>0</v>
      </c>
      <c r="K25" s="250"/>
      <c r="L25" s="250"/>
      <c r="M25" s="129">
        <f>+K25+'6'!M25+L25</f>
        <v>0</v>
      </c>
    </row>
    <row r="26" spans="1:14" ht="13.5" thickBot="1">
      <c r="A26" s="1013"/>
      <c r="B26" s="227" t="s">
        <v>537</v>
      </c>
      <c r="C26" s="237">
        <f>1180+1895</f>
        <v>3075</v>
      </c>
      <c r="D26" s="229"/>
      <c r="E26" s="238"/>
      <c r="F26" s="242">
        <v>4</v>
      </c>
      <c r="G26" s="243" t="s">
        <v>12</v>
      </c>
      <c r="H26" s="574" t="s">
        <v>476</v>
      </c>
      <c r="I26" s="1011"/>
      <c r="J26" s="226">
        <f>+'6'!J26</f>
        <v>0</v>
      </c>
      <c r="K26" s="250"/>
      <c r="L26" s="250"/>
      <c r="M26" s="129">
        <f>+K26+'6'!M26+L26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523</v>
      </c>
      <c r="I27" s="1011"/>
      <c r="J27" s="226">
        <f>+'6'!J27</f>
        <v>0</v>
      </c>
      <c r="K27" s="250"/>
      <c r="L27" s="250"/>
      <c r="M27" s="129">
        <f>+K27+'6'!M27+L27</f>
        <v>0</v>
      </c>
    </row>
    <row r="28" spans="1:14" ht="13.5" thickBot="1">
      <c r="A28" s="1013"/>
      <c r="B28" s="227"/>
      <c r="C28" s="228"/>
      <c r="D28" s="229"/>
      <c r="E28" s="236"/>
      <c r="F28" s="242">
        <v>10</v>
      </c>
      <c r="G28" s="243" t="s">
        <v>12</v>
      </c>
      <c r="H28" s="244" t="s">
        <v>526</v>
      </c>
      <c r="I28" s="1011"/>
      <c r="J28" s="226">
        <f>+'6'!J28</f>
        <v>0</v>
      </c>
      <c r="K28" s="250"/>
      <c r="L28" s="250"/>
      <c r="M28" s="129">
        <f>+K28+'6'!M28+L28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+'6'!J29</f>
        <v>0</v>
      </c>
      <c r="K29" s="250"/>
      <c r="L29" s="250"/>
      <c r="M29" s="129">
        <f>+K29+'6'!M29+L29</f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+'6'!J30</f>
        <v>0</v>
      </c>
      <c r="K30" s="250"/>
      <c r="L30" s="250"/>
      <c r="M30" s="129">
        <f>+K30+'6'!M30+L30</f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26">
        <f>+'6'!J31</f>
        <v>0</v>
      </c>
      <c r="K31" s="250"/>
      <c r="L31" s="250"/>
      <c r="M31" s="129">
        <f>+K31+'6'!M31+L31</f>
        <v>0</v>
      </c>
    </row>
    <row r="32" spans="1:14" ht="13.5" thickBot="1">
      <c r="A32" s="1014"/>
      <c r="B32" s="177" t="s">
        <v>2</v>
      </c>
      <c r="C32" s="111">
        <f>SUM(C25:C31)</f>
        <v>27283</v>
      </c>
      <c r="D32" s="112">
        <f>SUM(D25:D31)</f>
        <v>303</v>
      </c>
      <c r="E32" s="113">
        <f>SUM(E25:E31)</f>
        <v>0</v>
      </c>
      <c r="F32" s="114">
        <f>SUM(F24:F31)</f>
        <v>14</v>
      </c>
      <c r="G32" s="183"/>
      <c r="H32" s="184"/>
      <c r="I32" s="181"/>
      <c r="J32" s="226">
        <f>+'6'!J32</f>
        <v>0</v>
      </c>
      <c r="K32" s="252"/>
      <c r="L32" s="254"/>
      <c r="M32" s="129">
        <f>+K32+'6'!M32+L32</f>
        <v>0</v>
      </c>
    </row>
    <row r="33" spans="1:14" ht="13.5" thickBot="1">
      <c r="A33" s="185"/>
      <c r="B33" s="186"/>
      <c r="C33" s="115">
        <f>C32/($C$32+$D$32+$E$32)</f>
        <v>0.98901616762125721</v>
      </c>
      <c r="D33" s="116">
        <f>D32/($C$32+$D$32+$E$32)</f>
        <v>1.098383237874284E-2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74795</v>
      </c>
      <c r="D34" s="119">
        <f>D14+D23+D32</f>
        <v>901</v>
      </c>
      <c r="E34" s="119">
        <f>E14+E23+E32</f>
        <v>0</v>
      </c>
      <c r="F34" s="120">
        <f>F14+F23+F32</f>
        <v>20</v>
      </c>
      <c r="H34" s="190"/>
      <c r="I34" s="190"/>
      <c r="J34" s="135" t="s">
        <v>28</v>
      </c>
      <c r="K34" s="136">
        <f>SUM(K7:K32)</f>
        <v>74795</v>
      </c>
      <c r="L34" s="224">
        <f>SUM(L7:L32)</f>
        <v>0</v>
      </c>
      <c r="M34" s="132">
        <f>SUM(M7:M32)</f>
        <v>404251</v>
      </c>
      <c r="N34" s="167"/>
    </row>
    <row r="35" spans="1:14" ht="13.5" thickBot="1">
      <c r="A35" s="191"/>
      <c r="B35" s="192"/>
      <c r="C35" s="116">
        <f>C34/($C$34+$D$34+$E$34)</f>
        <v>0.98809712534347915</v>
      </c>
      <c r="D35" s="116">
        <f>D34/($C$34+$D$34+$E$34)</f>
        <v>1.1902874656520819E-2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(14*1240+19*200)/1440*G42*2.77*1440/1000000</f>
        <v>73.204760762666666</v>
      </c>
      <c r="J37" s="137">
        <f>+I37+'6'!J37</f>
        <v>474.45453969962762</v>
      </c>
      <c r="K37" s="138" t="s">
        <v>64</v>
      </c>
      <c r="N37" s="558">
        <f>+I38-N38</f>
        <v>59.302999999999997</v>
      </c>
    </row>
    <row r="38" spans="1:14" ht="17.45" customHeight="1">
      <c r="A38" s="1005" t="s">
        <v>12</v>
      </c>
      <c r="B38" s="1006"/>
      <c r="C38" s="176">
        <f>SUMIF($G$7:$G$31,"Process",$F$7:$F$31)</f>
        <v>20</v>
      </c>
      <c r="D38" s="130">
        <f>+C38+'6'!D38</f>
        <v>387</v>
      </c>
      <c r="E38" s="155">
        <f t="shared" ref="E38:E51" si="0">D38/60</f>
        <v>6.45</v>
      </c>
      <c r="F38" s="340">
        <v>1270</v>
      </c>
      <c r="G38" s="340">
        <f>+F38-F38*0.0035</f>
        <v>1265.5550000000001</v>
      </c>
      <c r="H38" s="199" t="s">
        <v>65</v>
      </c>
      <c r="I38" s="549">
        <f>21.379+24.722+24.568</f>
        <v>70.668999999999997</v>
      </c>
      <c r="J38" s="139">
        <f>+I38+'6'!J38</f>
        <v>428.52222201000006</v>
      </c>
      <c r="K38" s="140" t="s">
        <v>64</v>
      </c>
      <c r="N38" s="161">
        <f>1.457+3.004+3.952+2.953</f>
        <v>11.366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+C39+'6'!D39</f>
        <v>0</v>
      </c>
      <c r="E39" s="155">
        <f t="shared" si="0"/>
        <v>0</v>
      </c>
      <c r="F39" s="340">
        <v>1270</v>
      </c>
      <c r="G39" s="340">
        <f>+F39-F39*0.0035</f>
        <v>1265.5550000000001</v>
      </c>
      <c r="H39" s="199" t="s">
        <v>66</v>
      </c>
      <c r="I39" s="154"/>
      <c r="J39" s="141">
        <f>J37/G4</f>
        <v>67.779219957089666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+C40+'6'!D40</f>
        <v>0</v>
      </c>
      <c r="E40" s="155">
        <f t="shared" si="0"/>
        <v>0</v>
      </c>
      <c r="F40" s="340">
        <v>1220</v>
      </c>
      <c r="G40" s="340">
        <v>1215.73</v>
      </c>
      <c r="H40" s="199" t="s">
        <v>68</v>
      </c>
      <c r="I40" s="130">
        <f>(K34+L34)/1000</f>
        <v>74.795000000000002</v>
      </c>
      <c r="J40" s="143">
        <f>+I40+'6'!J40</f>
        <v>404.25100000000003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+C41+'6'!D41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57.750142857142862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+C42+'6'!D42</f>
        <v>0</v>
      </c>
      <c r="E42" s="155">
        <f t="shared" si="0"/>
        <v>0</v>
      </c>
      <c r="F42" s="340">
        <f>+(F38*480+F39*480+F40*480)/1440</f>
        <v>1253.3333333333333</v>
      </c>
      <c r="G42" s="340">
        <f>+(G38*480+G39*480+G40*480)/1440</f>
        <v>1248.9466666666667</v>
      </c>
      <c r="H42" s="199" t="s">
        <v>71</v>
      </c>
      <c r="I42" s="257" t="s">
        <v>530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+C43+'6'!D43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+Report1!T15</f>
        <v>143.47699999999998</v>
      </c>
      <c r="J43" s="145">
        <f>+I43+'6'!J43</f>
        <v>893.72500000000002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+C44+'6'!D44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2.0302678685137754</v>
      </c>
      <c r="J44" s="146">
        <f>J43/J38</f>
        <v>2.0855977918903443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+C45+'6'!D45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1.9182699378300685</v>
      </c>
      <c r="J45" s="146">
        <f>J43/J40</f>
        <v>2.2108170418873421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+C46+'6'!D46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+SUMIF(Listrik!AR14,"&gt;0")</f>
        <v>50713.579999999783</v>
      </c>
      <c r="J46" s="147">
        <f>+I46+'6'!J46</f>
        <v>350934.29999999772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+C47+'6'!D47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717.62130495690872</v>
      </c>
      <c r="J47" s="147">
        <f>J46/J38</f>
        <v>818.940726933429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+C48+'6'!D48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678.03436058559771</v>
      </c>
      <c r="J48" s="147">
        <f>J46/J40</f>
        <v>868.10991191115841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+C49+'6'!D49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+I49+'6'!J49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+C50+'6'!D50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+C51+'6'!D51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20</v>
      </c>
      <c r="D52" s="156">
        <f>SUM(D38:D51)</f>
        <v>1320</v>
      </c>
      <c r="E52" s="157">
        <f>SUM(E38:E51)</f>
        <v>22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1.3888888888888888E-2</v>
      </c>
      <c r="D53" s="158">
        <f>D52/(24*60*G4)</f>
        <v>0.13095238095238096</v>
      </c>
      <c r="E53" s="159">
        <f>E52/(G4*24)</f>
        <v>0.13095238095238096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+D34+'6'!J56</f>
        <v>15367</v>
      </c>
      <c r="K56" s="213">
        <f>J56/(J40+J56/1000)/1000</f>
        <v>3.6621403276313219E-2</v>
      </c>
    </row>
    <row r="57" spans="1:11">
      <c r="A57" s="188"/>
      <c r="I57" s="211" t="s">
        <v>90</v>
      </c>
      <c r="J57" s="212">
        <f>+E34+'6'!J57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D17" sqref="D17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85546875" style="161" bestFit="1" customWidth="1"/>
    <col min="12" max="12" width="8.28515625" style="161" customWidth="1"/>
    <col min="13" max="13" width="14.5703125" style="161" bestFit="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6</v>
      </c>
      <c r="H4" s="166" t="str">
        <f>+'1'!H4</f>
        <v>.12.25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291+185+208</f>
        <v>684</v>
      </c>
    </row>
    <row r="7" spans="1:15" ht="13.5" customHeight="1" thickBot="1">
      <c r="A7" s="1007" t="s">
        <v>461</v>
      </c>
      <c r="B7" s="227" t="s">
        <v>525</v>
      </c>
      <c r="C7" s="228">
        <f>252+561</f>
        <v>813</v>
      </c>
      <c r="D7" s="229">
        <v>653</v>
      </c>
      <c r="E7" s="230"/>
      <c r="F7" s="239"/>
      <c r="G7" s="240" t="s">
        <v>12</v>
      </c>
      <c r="H7" s="241" t="s">
        <v>492</v>
      </c>
      <c r="I7" s="1010" t="s">
        <v>527</v>
      </c>
      <c r="J7" s="226" t="str">
        <f>+'5'!J7</f>
        <v>F 13 VP OW</v>
      </c>
      <c r="K7" s="249"/>
      <c r="L7" s="253"/>
      <c r="M7" s="129">
        <f>+K7+'5'!M7+L7</f>
        <v>3700</v>
      </c>
    </row>
    <row r="8" spans="1:15" ht="13.5" thickBot="1">
      <c r="A8" s="1008"/>
      <c r="B8" s="227" t="s">
        <v>507</v>
      </c>
      <c r="C8" s="228">
        <f>3228+11191+7151</f>
        <v>21570</v>
      </c>
      <c r="D8" s="229"/>
      <c r="E8" s="231"/>
      <c r="F8" s="242"/>
      <c r="G8" s="243" t="s">
        <v>12</v>
      </c>
      <c r="H8" s="241" t="s">
        <v>448</v>
      </c>
      <c r="I8" s="1011"/>
      <c r="J8" s="226" t="str">
        <f>+'5'!J8</f>
        <v>MG 15,5 VP OW</v>
      </c>
      <c r="K8" s="250"/>
      <c r="L8" s="250"/>
      <c r="M8" s="129">
        <f>+K8+'5'!M8+L8</f>
        <v>40782</v>
      </c>
      <c r="N8" s="161">
        <v>1270</v>
      </c>
      <c r="O8" s="161">
        <f>+N8-N8*0.0035</f>
        <v>1265.5550000000001</v>
      </c>
    </row>
    <row r="9" spans="1:15" ht="13.5" thickBot="1">
      <c r="A9" s="1008"/>
      <c r="B9" s="227"/>
      <c r="C9" s="228"/>
      <c r="D9" s="229"/>
      <c r="E9" s="232"/>
      <c r="F9" s="239">
        <v>11</v>
      </c>
      <c r="G9" s="243" t="s">
        <v>12</v>
      </c>
      <c r="H9" s="574" t="s">
        <v>450</v>
      </c>
      <c r="I9" s="1011"/>
      <c r="J9" s="226" t="str">
        <f>+'5'!J9</f>
        <v>MG 16,5 VP HW</v>
      </c>
      <c r="K9" s="250"/>
      <c r="L9" s="250"/>
      <c r="M9" s="129">
        <f>+K9+'5'!M9+L9</f>
        <v>65896</v>
      </c>
    </row>
    <row r="10" spans="1:15" ht="13.5" thickBot="1">
      <c r="A10" s="1008"/>
      <c r="B10" s="227"/>
      <c r="C10" s="228"/>
      <c r="D10" s="229"/>
      <c r="E10" s="231"/>
      <c r="F10" s="239"/>
      <c r="G10" s="243"/>
      <c r="H10" s="574" t="s">
        <v>523</v>
      </c>
      <c r="I10" s="1011"/>
      <c r="J10" s="226" t="str">
        <f>+'5'!J10</f>
        <v>MG 17 VP HW</v>
      </c>
      <c r="K10" s="250">
        <f>+C8</f>
        <v>21570</v>
      </c>
      <c r="L10" s="250"/>
      <c r="M10" s="129">
        <f>+K10+'5'!M10+L10</f>
        <v>168538</v>
      </c>
    </row>
    <row r="11" spans="1:15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tr">
        <f>+'5'!J11</f>
        <v>MG 14 VP OW</v>
      </c>
      <c r="K11" s="250">
        <f>+C7+C16+C25</f>
        <v>50540</v>
      </c>
      <c r="L11" s="250"/>
      <c r="M11" s="129">
        <f>+K11+'5'!M11+L11</f>
        <v>50540</v>
      </c>
    </row>
    <row r="12" spans="1:15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>
        <f>+'5'!J12</f>
        <v>0</v>
      </c>
      <c r="K12" s="250"/>
      <c r="L12" s="250"/>
      <c r="M12" s="129">
        <f>+K12+'5'!M12+L12</f>
        <v>0</v>
      </c>
    </row>
    <row r="13" spans="1:15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>
        <f>+'5'!J13</f>
        <v>0</v>
      </c>
      <c r="K13" s="250"/>
      <c r="L13" s="250"/>
      <c r="M13" s="129">
        <f>+K13+'5'!M13+L13</f>
        <v>0</v>
      </c>
    </row>
    <row r="14" spans="1:15" ht="13.5" thickBot="1">
      <c r="A14" s="1009"/>
      <c r="B14" s="177" t="s">
        <v>2</v>
      </c>
      <c r="C14" s="111">
        <f>SUM(C7:C13)</f>
        <v>22383</v>
      </c>
      <c r="D14" s="123">
        <f>SUM(D7:D13)</f>
        <v>653</v>
      </c>
      <c r="E14" s="124">
        <f>SUM(E5:E13)</f>
        <v>0</v>
      </c>
      <c r="F14" s="128">
        <f>SUM(F7:F13)</f>
        <v>11</v>
      </c>
      <c r="G14" s="171"/>
      <c r="H14" s="178"/>
      <c r="I14" s="179"/>
      <c r="J14" s="226">
        <f>+'5'!J14</f>
        <v>0</v>
      </c>
      <c r="K14" s="250"/>
      <c r="L14" s="250"/>
      <c r="M14" s="129">
        <f>+K14+'5'!M14+L14</f>
        <v>0</v>
      </c>
    </row>
    <row r="15" spans="1:15" ht="13.5" customHeight="1" thickBot="1">
      <c r="A15" s="1007" t="s">
        <v>463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527</v>
      </c>
      <c r="J15" s="226">
        <f>+'5'!J15</f>
        <v>0</v>
      </c>
      <c r="K15" s="250"/>
      <c r="L15" s="250"/>
      <c r="M15" s="129">
        <f>+K15+'5'!M15+L15</f>
        <v>0</v>
      </c>
    </row>
    <row r="16" spans="1:15" ht="13.5" thickBot="1">
      <c r="A16" s="1013"/>
      <c r="B16" s="227" t="s">
        <v>525</v>
      </c>
      <c r="C16" s="233">
        <v>24433</v>
      </c>
      <c r="D16" s="234">
        <v>115</v>
      </c>
      <c r="E16" s="235"/>
      <c r="F16" s="239"/>
      <c r="G16" s="243" t="s">
        <v>12</v>
      </c>
      <c r="H16" s="241" t="s">
        <v>448</v>
      </c>
      <c r="I16" s="1011"/>
      <c r="J16" s="226">
        <f>+'5'!J16</f>
        <v>0</v>
      </c>
      <c r="K16" s="250"/>
      <c r="L16" s="240"/>
      <c r="M16" s="129">
        <f>+K16+'5'!M16+L16</f>
        <v>0</v>
      </c>
    </row>
    <row r="17" spans="1:14" ht="13.5" thickBot="1">
      <c r="A17" s="1013"/>
      <c r="B17" s="227"/>
      <c r="C17" s="228"/>
      <c r="D17" s="229"/>
      <c r="E17" s="236"/>
      <c r="F17" s="239">
        <v>5</v>
      </c>
      <c r="G17" s="243" t="s">
        <v>12</v>
      </c>
      <c r="H17" s="574" t="s">
        <v>447</v>
      </c>
      <c r="I17" s="1011"/>
      <c r="J17" s="226">
        <f>+'5'!J17</f>
        <v>0</v>
      </c>
      <c r="K17" s="240"/>
      <c r="L17" s="240"/>
      <c r="M17" s="129">
        <f>+K17+'5'!M17+L17</f>
        <v>0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523</v>
      </c>
      <c r="I18" s="1011"/>
      <c r="J18" s="226">
        <f>+'5'!J18</f>
        <v>0</v>
      </c>
      <c r="K18" s="250"/>
      <c r="L18" s="250"/>
      <c r="M18" s="129">
        <f>+K18+'5'!M18+L18</f>
        <v>0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>
        <f>+'5'!J19</f>
        <v>0</v>
      </c>
      <c r="K19" s="250"/>
      <c r="L19" s="250"/>
      <c r="M19" s="129">
        <f>+K19+'5'!M19+L19</f>
        <v>0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+'5'!J20</f>
        <v>0</v>
      </c>
      <c r="K20" s="251"/>
      <c r="L20" s="251"/>
      <c r="M20" s="129">
        <f>+K20+'5'!M20+L20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+'5'!J21</f>
        <v>0</v>
      </c>
      <c r="K21" s="250"/>
      <c r="L21" s="250"/>
      <c r="M21" s="129">
        <f>+K21+'5'!M21+L21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+'5'!J22</f>
        <v>0</v>
      </c>
      <c r="K22" s="250"/>
      <c r="L22" s="250"/>
      <c r="M22" s="129">
        <f>+K22+'5'!M22+L22</f>
        <v>0</v>
      </c>
    </row>
    <row r="23" spans="1:14" ht="13.5" thickBot="1">
      <c r="A23" s="1014"/>
      <c r="B23" s="180" t="s">
        <v>2</v>
      </c>
      <c r="C23" s="112">
        <f>SUM(C16:C22)</f>
        <v>24433</v>
      </c>
      <c r="D23" s="123">
        <f>SUM(D16:D22)</f>
        <v>115</v>
      </c>
      <c r="E23" s="124">
        <f>SUM(E18:E22)</f>
        <v>0</v>
      </c>
      <c r="F23" s="128">
        <f>SUM(F15:F22)</f>
        <v>5</v>
      </c>
      <c r="G23" s="171"/>
      <c r="H23" s="178" t="s">
        <v>237</v>
      </c>
      <c r="I23" s="181"/>
      <c r="J23" s="226">
        <f>+'5'!J23</f>
        <v>0</v>
      </c>
      <c r="K23" s="250"/>
      <c r="L23" s="250"/>
      <c r="M23" s="129">
        <f>+K23+'5'!M23+L23</f>
        <v>0</v>
      </c>
    </row>
    <row r="24" spans="1:14" ht="13.5" customHeight="1" thickBot="1">
      <c r="A24" s="1007" t="s">
        <v>502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527</v>
      </c>
      <c r="J24" s="226">
        <f>+'5'!J24</f>
        <v>0</v>
      </c>
      <c r="K24" s="250"/>
      <c r="L24" s="250"/>
      <c r="M24" s="129">
        <f>+K24+'5'!M24+L24</f>
        <v>0</v>
      </c>
    </row>
    <row r="25" spans="1:14" ht="13.5" thickBot="1">
      <c r="A25" s="1013"/>
      <c r="B25" s="227" t="s">
        <v>525</v>
      </c>
      <c r="C25" s="237">
        <v>25294</v>
      </c>
      <c r="D25" s="229"/>
      <c r="E25" s="236"/>
      <c r="F25" s="242"/>
      <c r="G25" s="243" t="s">
        <v>12</v>
      </c>
      <c r="H25" s="241" t="s">
        <v>448</v>
      </c>
      <c r="I25" s="1011"/>
      <c r="J25" s="226">
        <f>+'5'!J25</f>
        <v>0</v>
      </c>
      <c r="K25" s="250"/>
      <c r="L25" s="250"/>
      <c r="M25" s="129">
        <f>+K25+'5'!M25+L25</f>
        <v>0</v>
      </c>
    </row>
    <row r="26" spans="1:14" ht="13.5" thickBot="1">
      <c r="A26" s="1013"/>
      <c r="B26" s="227"/>
      <c r="C26" s="237"/>
      <c r="D26" s="229"/>
      <c r="E26" s="238"/>
      <c r="F26" s="242">
        <v>3</v>
      </c>
      <c r="G26" s="243" t="s">
        <v>12</v>
      </c>
      <c r="H26" s="574" t="s">
        <v>447</v>
      </c>
      <c r="I26" s="1011"/>
      <c r="J26" s="226">
        <f>+'5'!J26</f>
        <v>0</v>
      </c>
      <c r="K26" s="250"/>
      <c r="L26" s="250"/>
      <c r="M26" s="129">
        <f>+K26+'5'!M26+L26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523</v>
      </c>
      <c r="I27" s="1011"/>
      <c r="J27" s="226">
        <f>+'5'!J27</f>
        <v>0</v>
      </c>
      <c r="K27" s="250"/>
      <c r="L27" s="250"/>
      <c r="M27" s="129">
        <f>+K27+'5'!M27+L27</f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+'5'!J28</f>
        <v>0</v>
      </c>
      <c r="K28" s="250"/>
      <c r="L28" s="250"/>
      <c r="M28" s="129">
        <f>+K28+'5'!M28+L28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+'5'!J29</f>
        <v>0</v>
      </c>
      <c r="K29" s="250"/>
      <c r="L29" s="250"/>
      <c r="M29" s="129">
        <f>+K29+'5'!M29+L29</f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+'5'!J30</f>
        <v>0</v>
      </c>
      <c r="K30" s="250"/>
      <c r="L30" s="250"/>
      <c r="M30" s="129">
        <f>+K30+'5'!M30+L30</f>
        <v>0</v>
      </c>
    </row>
    <row r="31" spans="1:14" ht="13.5" thickBot="1">
      <c r="A31" s="1013"/>
      <c r="B31" s="227"/>
      <c r="C31" s="237"/>
      <c r="D31" s="229"/>
      <c r="E31" s="236"/>
      <c r="F31" s="247"/>
      <c r="G31" s="248"/>
      <c r="H31" s="466"/>
      <c r="I31" s="1012"/>
      <c r="J31" s="226">
        <f>+'5'!J31</f>
        <v>0</v>
      </c>
      <c r="K31" s="250"/>
      <c r="L31" s="250"/>
      <c r="M31" s="129">
        <f>+K31+'5'!M31+L31</f>
        <v>0</v>
      </c>
      <c r="N31" s="167"/>
    </row>
    <row r="32" spans="1:14" ht="13.5" thickBot="1">
      <c r="A32" s="1014"/>
      <c r="B32" s="177" t="s">
        <v>2</v>
      </c>
      <c r="C32" s="111">
        <f>SUM(C25:C31)</f>
        <v>25294</v>
      </c>
      <c r="D32" s="112">
        <f>SUM(D25:D31)</f>
        <v>0</v>
      </c>
      <c r="E32" s="113">
        <f>SUM(E25:E31)</f>
        <v>0</v>
      </c>
      <c r="F32" s="114">
        <f>SUM(F24:F31)</f>
        <v>3</v>
      </c>
      <c r="G32" s="183"/>
      <c r="H32" s="184"/>
      <c r="I32" s="181"/>
      <c r="J32" s="226">
        <f>+'5'!J32</f>
        <v>0</v>
      </c>
      <c r="K32" s="252"/>
      <c r="L32" s="254"/>
      <c r="M32" s="129">
        <f>+K32+'5'!M32+L32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72110</v>
      </c>
      <c r="D34" s="119">
        <f>D14+D23+D32</f>
        <v>768</v>
      </c>
      <c r="E34" s="119">
        <f>E14+E23+E32</f>
        <v>0</v>
      </c>
      <c r="F34" s="120">
        <f>F14+F23+F32</f>
        <v>19</v>
      </c>
      <c r="H34" s="190"/>
      <c r="I34" s="190"/>
      <c r="J34" s="135" t="s">
        <v>28</v>
      </c>
      <c r="K34" s="136">
        <f>SUM(K7:K32)</f>
        <v>72110</v>
      </c>
      <c r="L34" s="224">
        <f>SUM(L7:L32)</f>
        <v>0</v>
      </c>
      <c r="M34" s="132">
        <f>SUM(M7:M32)</f>
        <v>329456</v>
      </c>
    </row>
    <row r="35" spans="1:14" ht="13.5" thickBot="1">
      <c r="A35" s="191"/>
      <c r="B35" s="192"/>
      <c r="C35" s="116">
        <f>C34/($C$34+$D$34+$E$34)</f>
        <v>0.98946184033590379</v>
      </c>
      <c r="D35" s="116">
        <f>D34/($C$34+$D$34+$E$34)</f>
        <v>1.053815966409616E-2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(14*1440)/1440*G42*2.77*1440/1000000</f>
        <v>70.672640975999997</v>
      </c>
      <c r="J37" s="137">
        <f>+I37+'5'!J37</f>
        <v>401.24977893696098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19</v>
      </c>
      <c r="D38" s="130">
        <f>+C38+'5'!D38</f>
        <v>367</v>
      </c>
      <c r="E38" s="155">
        <f t="shared" ref="E38:E51" si="0">D38/60</f>
        <v>6.1166666666666663</v>
      </c>
      <c r="F38" s="340">
        <v>1270</v>
      </c>
      <c r="G38" s="340">
        <f>+F38-F38*0.0035</f>
        <v>1265.5550000000001</v>
      </c>
      <c r="H38" s="199" t="s">
        <v>65</v>
      </c>
      <c r="I38" s="549">
        <f>20.674+24.086+24.407</f>
        <v>69.167000000000002</v>
      </c>
      <c r="J38" s="139">
        <f>+I38+'5'!J38</f>
        <v>357.85322201000008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+C39+'5'!D39</f>
        <v>0</v>
      </c>
      <c r="E39" s="155">
        <f t="shared" si="0"/>
        <v>0</v>
      </c>
      <c r="F39" s="340">
        <v>1270</v>
      </c>
      <c r="G39" s="340">
        <f>+F39-F39*0.0035</f>
        <v>1265.5550000000001</v>
      </c>
      <c r="H39" s="199" t="s">
        <v>66</v>
      </c>
      <c r="I39" s="154"/>
      <c r="J39" s="141">
        <f>J37/G4</f>
        <v>66.874963156160163</v>
      </c>
      <c r="K39" s="142" t="s">
        <v>64</v>
      </c>
      <c r="N39" s="558"/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+C40+'5'!D40</f>
        <v>0</v>
      </c>
      <c r="E40" s="155">
        <f t="shared" si="0"/>
        <v>0</v>
      </c>
      <c r="F40" s="340">
        <v>1270</v>
      </c>
      <c r="G40" s="340">
        <f>+F40-F40*0.0035</f>
        <v>1265.5550000000001</v>
      </c>
      <c r="H40" s="199" t="s">
        <v>68</v>
      </c>
      <c r="I40" s="130">
        <f>(K34+L34)/1000</f>
        <v>72.11</v>
      </c>
      <c r="J40" s="143">
        <f>+I40+'5'!J40</f>
        <v>329.45600000000002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+C41+'5'!D41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54.909333333333336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+C42+'5'!D42</f>
        <v>0</v>
      </c>
      <c r="E42" s="155">
        <f t="shared" si="0"/>
        <v>0</v>
      </c>
      <c r="F42" s="340">
        <f>+(F38*480+F39*480+F40*480)/1440</f>
        <v>1270</v>
      </c>
      <c r="G42" s="340">
        <f>+(G38*480+G39*480+G40*480)/1440</f>
        <v>1265.5550000000001</v>
      </c>
      <c r="H42" s="199" t="s">
        <v>71</v>
      </c>
      <c r="I42" s="257" t="s">
        <v>527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+C43+'5'!D43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+Report1!T14</f>
        <v>142.815</v>
      </c>
      <c r="J43" s="145">
        <f>+I43+'5'!J43</f>
        <v>750.24800000000005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+C44+'5'!D44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2.064785229950699</v>
      </c>
      <c r="J44" s="146">
        <f>J43/J38</f>
        <v>2.096524367689037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+C45+'5'!D45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1.9805158785189294</v>
      </c>
      <c r="J45" s="146">
        <f>J43/J40</f>
        <v>2.2772327715992424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+C46+'5'!D46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+SUMIF(Listrik!AR13,"&gt;0")</f>
        <v>54663.97999999977</v>
      </c>
      <c r="J46" s="147">
        <f>+I46+'5'!J46</f>
        <v>300220.71999999793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+C47+'5'!D47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790.31879364436463</v>
      </c>
      <c r="J47" s="147">
        <f>J46/J38</f>
        <v>838.94932764251701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+C48+'5'!D48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758.06379142975686</v>
      </c>
      <c r="J48" s="147">
        <f>J46/J40</f>
        <v>911.26195910834201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+C49+'5'!D49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+I49+'5'!J49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+C50+'5'!D50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+C51+'5'!D51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19</v>
      </c>
      <c r="D52" s="156">
        <f>SUM(D38:D51)</f>
        <v>1300</v>
      </c>
      <c r="E52" s="157">
        <f>SUM(E38:E51)</f>
        <v>21.666666666666664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1.3194444444444444E-2</v>
      </c>
      <c r="D53" s="158">
        <f>D52/(24*60*G4)</f>
        <v>0.15046296296296297</v>
      </c>
      <c r="E53" s="159">
        <f>E52/(G4*24)</f>
        <v>0.15046296296296294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+D34+'5'!J56</f>
        <v>14466</v>
      </c>
      <c r="K56" s="213">
        <f>J56/(J40+J56/1000)/1000</f>
        <v>4.2061862864254104E-2</v>
      </c>
    </row>
    <row r="57" spans="1:11">
      <c r="A57" s="188"/>
      <c r="I57" s="211" t="s">
        <v>90</v>
      </c>
      <c r="J57" s="212">
        <f>+E34+'5'!J57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zoomScale="80" zoomScaleNormal="75" zoomScaleSheetLayoutView="80" workbookViewId="0">
      <selection activeCell="H22" sqref="H2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customWidth="1"/>
    <col min="12" max="12" width="8.28515625" style="161" customWidth="1"/>
    <col min="13" max="13" width="15.570312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5</v>
      </c>
      <c r="H4" s="166" t="str">
        <f>+'1'!H4</f>
        <v>.12.25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45.4+192+213</f>
        <v>450.4</v>
      </c>
    </row>
    <row r="7" spans="1:18" ht="13.5" customHeight="1" thickBot="1">
      <c r="A7" s="1007" t="s">
        <v>461</v>
      </c>
      <c r="B7" s="227" t="s">
        <v>525</v>
      </c>
      <c r="C7" s="228">
        <v>0</v>
      </c>
      <c r="D7" s="229"/>
      <c r="E7" s="230"/>
      <c r="F7" s="239"/>
      <c r="G7" s="240" t="s">
        <v>12</v>
      </c>
      <c r="H7" s="241" t="s">
        <v>492</v>
      </c>
      <c r="I7" s="1010" t="s">
        <v>509</v>
      </c>
      <c r="J7" s="226" t="str">
        <f>+'4'!J7</f>
        <v>F 13 VP OW</v>
      </c>
      <c r="K7" s="249"/>
      <c r="L7" s="253"/>
      <c r="M7" s="129">
        <f>+K7+'4'!M7+L7</f>
        <v>3700</v>
      </c>
    </row>
    <row r="8" spans="1:18" ht="13.5" thickBot="1">
      <c r="A8" s="1008"/>
      <c r="B8" s="227" t="s">
        <v>507</v>
      </c>
      <c r="C8" s="228">
        <v>20366</v>
      </c>
      <c r="D8" s="229">
        <v>130</v>
      </c>
      <c r="E8" s="231"/>
      <c r="F8" s="242"/>
      <c r="G8" s="243" t="s">
        <v>12</v>
      </c>
      <c r="H8" s="241" t="s">
        <v>448</v>
      </c>
      <c r="I8" s="1011"/>
      <c r="J8" s="226" t="str">
        <f>+'4'!J8</f>
        <v>MG 15,5 VP OW</v>
      </c>
      <c r="K8" s="250"/>
      <c r="L8" s="250"/>
      <c r="M8" s="129">
        <f>+K8+'4'!M8+L8</f>
        <v>40782</v>
      </c>
      <c r="N8" s="161">
        <v>1230</v>
      </c>
      <c r="O8" s="161">
        <f>+N8-N8*0.0035</f>
        <v>1225.6949999999999</v>
      </c>
      <c r="P8" s="161">
        <v>480</v>
      </c>
      <c r="Q8" s="161">
        <f>+N8*P8</f>
        <v>590400</v>
      </c>
      <c r="R8" s="161">
        <f>+O8*P8</f>
        <v>588333.6</v>
      </c>
    </row>
    <row r="9" spans="1:18" ht="13.5" thickBot="1">
      <c r="A9" s="1008"/>
      <c r="B9" s="227"/>
      <c r="C9" s="228"/>
      <c r="D9" s="229"/>
      <c r="E9" s="232"/>
      <c r="F9" s="239">
        <v>13</v>
      </c>
      <c r="G9" s="243" t="s">
        <v>12</v>
      </c>
      <c r="H9" s="574" t="s">
        <v>476</v>
      </c>
      <c r="I9" s="1011"/>
      <c r="J9" s="226" t="str">
        <f>+'4'!J9</f>
        <v>MG 16,5 VP HW</v>
      </c>
      <c r="K9" s="250"/>
      <c r="L9" s="250"/>
      <c r="M9" s="129">
        <f>+K9+'4'!M9+L9</f>
        <v>65896</v>
      </c>
      <c r="N9" s="161">
        <v>1230</v>
      </c>
      <c r="O9" s="161">
        <f>+N9-N9*0.0035</f>
        <v>1225.6949999999999</v>
      </c>
      <c r="P9" s="161">
        <v>480</v>
      </c>
      <c r="Q9" s="161">
        <f>+N9*P9</f>
        <v>590400</v>
      </c>
      <c r="R9" s="161">
        <f>+O9*P9</f>
        <v>588333.6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505</v>
      </c>
      <c r="I10" s="1011"/>
      <c r="J10" s="226" t="str">
        <f>+'4'!J10</f>
        <v>MG 17 VP HW</v>
      </c>
      <c r="K10" s="250">
        <f>+C8+C16+C25</f>
        <v>76336</v>
      </c>
      <c r="L10" s="250"/>
      <c r="M10" s="129">
        <f>+K10+'4'!M10+L10</f>
        <v>146968</v>
      </c>
      <c r="N10" s="161">
        <v>1230</v>
      </c>
      <c r="O10" s="161">
        <f>+N10-N10*0.0035</f>
        <v>1225.6949999999999</v>
      </c>
      <c r="P10" s="161">
        <f>480-25</f>
        <v>455</v>
      </c>
      <c r="Q10" s="161">
        <f>+N10*P10</f>
        <v>559650</v>
      </c>
      <c r="R10" s="161">
        <f>+O10*P10</f>
        <v>557691.22499999998</v>
      </c>
    </row>
    <row r="11" spans="1:18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 t="s">
        <v>528</v>
      </c>
      <c r="K11" s="250">
        <f>+C7</f>
        <v>0</v>
      </c>
      <c r="L11" s="250"/>
      <c r="M11" s="129">
        <f>+K11+'4'!M11+L11</f>
        <v>0</v>
      </c>
      <c r="P11" s="161">
        <f>SUM(P8:P10)</f>
        <v>1415</v>
      </c>
      <c r="Q11" s="161">
        <f>SUM(Q8:Q10)</f>
        <v>1740450</v>
      </c>
      <c r="R11" s="161">
        <f>SUM(R8:R10)</f>
        <v>1734358.4249999998</v>
      </c>
    </row>
    <row r="12" spans="1:18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>
        <f>+'4'!J12</f>
        <v>0</v>
      </c>
      <c r="K12" s="250"/>
      <c r="L12" s="250"/>
      <c r="M12" s="129">
        <f>+K12+'4'!M12+L12</f>
        <v>0</v>
      </c>
      <c r="Q12" s="161">
        <f>+Q11/P11</f>
        <v>1230</v>
      </c>
      <c r="R12" s="161">
        <f>+R11/P11</f>
        <v>1225.6949999999999</v>
      </c>
    </row>
    <row r="13" spans="1:18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>
        <f>+'4'!J13</f>
        <v>0</v>
      </c>
      <c r="K13" s="250"/>
      <c r="L13" s="250"/>
      <c r="M13" s="129">
        <f>+K13+'4'!M13+L13</f>
        <v>0</v>
      </c>
    </row>
    <row r="14" spans="1:18" ht="13.5" thickBot="1">
      <c r="A14" s="1009"/>
      <c r="B14" s="177" t="s">
        <v>2</v>
      </c>
      <c r="C14" s="111">
        <f>SUM(C7:C13)</f>
        <v>20366</v>
      </c>
      <c r="D14" s="123">
        <f>SUM(D7:D13)</f>
        <v>130</v>
      </c>
      <c r="E14" s="124">
        <f>SUM(E5:E13)</f>
        <v>0</v>
      </c>
      <c r="F14" s="128">
        <f>SUM(F7:F13)</f>
        <v>13</v>
      </c>
      <c r="G14" s="171"/>
      <c r="H14" s="178"/>
      <c r="I14" s="179"/>
      <c r="J14" s="226">
        <f>+'4'!J14</f>
        <v>0</v>
      </c>
      <c r="K14" s="250"/>
      <c r="L14" s="250"/>
      <c r="M14" s="129">
        <f>+K14+'4'!M14+L14</f>
        <v>0</v>
      </c>
    </row>
    <row r="15" spans="1:18" ht="13.5" customHeight="1" thickBot="1">
      <c r="A15" s="1007" t="s">
        <v>463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509</v>
      </c>
      <c r="J15" s="226">
        <f>+'4'!J15</f>
        <v>0</v>
      </c>
      <c r="K15" s="250"/>
      <c r="L15" s="250"/>
      <c r="M15" s="129">
        <f>+K15+'4'!M15+L15</f>
        <v>0</v>
      </c>
    </row>
    <row r="16" spans="1:18" ht="13.5" thickBot="1">
      <c r="A16" s="1013"/>
      <c r="B16" s="227" t="s">
        <v>507</v>
      </c>
      <c r="C16" s="233">
        <v>29662</v>
      </c>
      <c r="D16" s="234">
        <v>499</v>
      </c>
      <c r="E16" s="235"/>
      <c r="F16" s="239"/>
      <c r="G16" s="243" t="s">
        <v>12</v>
      </c>
      <c r="H16" s="241" t="s">
        <v>448</v>
      </c>
      <c r="I16" s="1011"/>
      <c r="J16" s="226">
        <f>+'4'!J16</f>
        <v>0</v>
      </c>
      <c r="K16" s="250"/>
      <c r="L16" s="240"/>
      <c r="M16" s="129">
        <f>+K16+'4'!M16+L16</f>
        <v>0</v>
      </c>
    </row>
    <row r="17" spans="1:18" ht="13.5" thickBot="1">
      <c r="A17" s="1013"/>
      <c r="B17" s="227"/>
      <c r="C17" s="228"/>
      <c r="D17" s="229"/>
      <c r="E17" s="236"/>
      <c r="F17" s="239">
        <v>14</v>
      </c>
      <c r="G17" s="243" t="s">
        <v>12</v>
      </c>
      <c r="H17" s="574" t="s">
        <v>476</v>
      </c>
      <c r="I17" s="1011"/>
      <c r="J17" s="226">
        <f>+'4'!J17</f>
        <v>0</v>
      </c>
      <c r="K17" s="250"/>
      <c r="L17" s="240"/>
      <c r="M17" s="129">
        <f>+K17+'4'!M17+L17</f>
        <v>0</v>
      </c>
    </row>
    <row r="18" spans="1:18" ht="13.5" thickBot="1">
      <c r="A18" s="1013"/>
      <c r="B18" s="227"/>
      <c r="C18" s="228"/>
      <c r="D18" s="229"/>
      <c r="E18" s="236"/>
      <c r="F18" s="239"/>
      <c r="G18" s="243"/>
      <c r="H18" s="574" t="s">
        <v>505</v>
      </c>
      <c r="I18" s="1011"/>
      <c r="J18" s="226">
        <f>+'4'!J18</f>
        <v>0</v>
      </c>
      <c r="K18" s="250"/>
      <c r="L18" s="250"/>
      <c r="M18" s="129">
        <f>+K18+'4'!M18+L18</f>
        <v>0</v>
      </c>
    </row>
    <row r="19" spans="1:18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>
        <f>+'4'!J19</f>
        <v>0</v>
      </c>
      <c r="K19" s="250"/>
      <c r="L19" s="250"/>
      <c r="M19" s="129">
        <f>+K19+'4'!M19+L19</f>
        <v>0</v>
      </c>
    </row>
    <row r="20" spans="1:18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+'4'!J20</f>
        <v>0</v>
      </c>
      <c r="K20" s="251"/>
      <c r="L20" s="251"/>
      <c r="M20" s="129">
        <f>+K20+'4'!M20+L20</f>
        <v>0</v>
      </c>
    </row>
    <row r="21" spans="1:18" ht="13.5" customHeight="1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+'4'!J21</f>
        <v>0</v>
      </c>
      <c r="K21" s="250"/>
      <c r="L21" s="250"/>
      <c r="M21" s="129">
        <f>+K21+'4'!M21+L21</f>
        <v>0</v>
      </c>
    </row>
    <row r="22" spans="1:18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+'4'!J22</f>
        <v>0</v>
      </c>
      <c r="K22" s="250"/>
      <c r="L22" s="250"/>
      <c r="M22" s="129">
        <f>+K22+'4'!M22+L22</f>
        <v>0</v>
      </c>
    </row>
    <row r="23" spans="1:18" ht="13.5" thickBot="1">
      <c r="A23" s="1014"/>
      <c r="B23" s="180" t="s">
        <v>2</v>
      </c>
      <c r="C23" s="112">
        <f>SUM(C16:C22)</f>
        <v>29662</v>
      </c>
      <c r="D23" s="123">
        <f>SUM(D16:D22)</f>
        <v>499</v>
      </c>
      <c r="E23" s="124">
        <f>SUM(E18:E22)</f>
        <v>0</v>
      </c>
      <c r="F23" s="128">
        <f>SUM(F15:F22)</f>
        <v>14</v>
      </c>
      <c r="G23" s="171"/>
      <c r="H23" s="178" t="s">
        <v>237</v>
      </c>
      <c r="I23" s="181"/>
      <c r="J23" s="226">
        <f>+'4'!J23</f>
        <v>0</v>
      </c>
      <c r="K23" s="250"/>
      <c r="L23" s="250"/>
      <c r="M23" s="129">
        <f>+K23+'4'!M23+L23</f>
        <v>0</v>
      </c>
    </row>
    <row r="24" spans="1:18" ht="13.5" customHeight="1" thickBot="1">
      <c r="A24" s="1007" t="s">
        <v>502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515</v>
      </c>
      <c r="J24" s="226">
        <f>+'4'!J24</f>
        <v>0</v>
      </c>
      <c r="K24" s="250"/>
      <c r="L24" s="250"/>
      <c r="M24" s="129">
        <f>+K24+'4'!M24+L24</f>
        <v>0</v>
      </c>
    </row>
    <row r="25" spans="1:18" ht="13.5" thickBot="1">
      <c r="A25" s="1013"/>
      <c r="B25" s="227" t="s">
        <v>507</v>
      </c>
      <c r="C25" s="237">
        <v>26308</v>
      </c>
      <c r="D25" s="229">
        <v>385</v>
      </c>
      <c r="E25" s="236"/>
      <c r="F25" s="242"/>
      <c r="G25" s="243" t="s">
        <v>12</v>
      </c>
      <c r="H25" s="241" t="s">
        <v>448</v>
      </c>
      <c r="I25" s="1011"/>
      <c r="J25" s="226">
        <f>+'4'!J25</f>
        <v>0</v>
      </c>
      <c r="K25" s="250"/>
      <c r="L25" s="250"/>
      <c r="M25" s="129">
        <f>+K25+'4'!M25+L25</f>
        <v>0</v>
      </c>
    </row>
    <row r="26" spans="1:18" ht="13.5" thickBot="1">
      <c r="A26" s="1013"/>
      <c r="B26" s="227"/>
      <c r="C26" s="237"/>
      <c r="D26" s="229"/>
      <c r="E26" s="238"/>
      <c r="F26" s="242">
        <v>4</v>
      </c>
      <c r="G26" s="243" t="s">
        <v>12</v>
      </c>
      <c r="H26" s="574" t="s">
        <v>447</v>
      </c>
      <c r="I26" s="1011"/>
      <c r="J26" s="226">
        <f>+'4'!J26</f>
        <v>0</v>
      </c>
      <c r="K26" s="250"/>
      <c r="L26" s="250"/>
      <c r="M26" s="129">
        <f>+K26+'4'!M26+L26</f>
        <v>0</v>
      </c>
      <c r="N26" s="161">
        <v>1230</v>
      </c>
      <c r="O26" s="161">
        <f>+N26-N26*0.0035</f>
        <v>1225.6949999999999</v>
      </c>
      <c r="P26" s="161">
        <v>455</v>
      </c>
      <c r="Q26" s="161">
        <f>+N26*P26</f>
        <v>559650</v>
      </c>
      <c r="R26" s="161">
        <f>+O26*P26</f>
        <v>557691.22499999998</v>
      </c>
    </row>
    <row r="27" spans="1:18" ht="13.5" thickBot="1">
      <c r="A27" s="1013"/>
      <c r="B27" s="227"/>
      <c r="C27" s="228"/>
      <c r="D27" s="229"/>
      <c r="E27" s="236"/>
      <c r="F27" s="242"/>
      <c r="G27" s="243"/>
      <c r="H27" s="574" t="s">
        <v>505</v>
      </c>
      <c r="I27" s="1011"/>
      <c r="J27" s="226">
        <f>+'4'!J27</f>
        <v>0</v>
      </c>
      <c r="K27" s="250"/>
      <c r="L27" s="250"/>
      <c r="M27" s="129">
        <f>+K27+'4'!M27+L27</f>
        <v>0</v>
      </c>
      <c r="N27" s="161">
        <v>1270</v>
      </c>
      <c r="O27" s="161">
        <f>+N27-N27*0.0035</f>
        <v>1265.5550000000001</v>
      </c>
      <c r="P27" s="161">
        <v>25</v>
      </c>
      <c r="Q27" s="161">
        <f>+N27*P27</f>
        <v>31750</v>
      </c>
      <c r="R27" s="161">
        <f>+O27*P27</f>
        <v>31638.875</v>
      </c>
    </row>
    <row r="28" spans="1:18" ht="13.5" thickBot="1">
      <c r="A28" s="1013"/>
      <c r="B28" s="227"/>
      <c r="C28" s="228"/>
      <c r="D28" s="229"/>
      <c r="E28" s="236"/>
      <c r="F28" s="242">
        <v>10</v>
      </c>
      <c r="G28" s="243" t="s">
        <v>12</v>
      </c>
      <c r="H28" s="244" t="s">
        <v>514</v>
      </c>
      <c r="I28" s="1011"/>
      <c r="J28" s="226">
        <f>+'4'!J28</f>
        <v>0</v>
      </c>
      <c r="K28" s="250"/>
      <c r="L28" s="250"/>
      <c r="M28" s="129">
        <f>+K28+'4'!M28+L28</f>
        <v>0</v>
      </c>
      <c r="P28" s="161">
        <f>SUM(P26:P27)</f>
        <v>480</v>
      </c>
      <c r="Q28" s="161">
        <f>SUM(Q26:Q27)</f>
        <v>591400</v>
      </c>
      <c r="R28" s="161">
        <f>SUM(R26:R27)</f>
        <v>589330.1</v>
      </c>
    </row>
    <row r="29" spans="1:18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+'4'!J29</f>
        <v>0</v>
      </c>
      <c r="K29" s="250"/>
      <c r="L29" s="250"/>
      <c r="M29" s="129">
        <f>+K29+'4'!M29+L29</f>
        <v>0</v>
      </c>
      <c r="Q29" s="161">
        <f>+Q28/P28</f>
        <v>1232.0833333333333</v>
      </c>
      <c r="R29" s="161">
        <f>+R28/P28</f>
        <v>1227.7710416666666</v>
      </c>
    </row>
    <row r="30" spans="1:18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+'4'!J30</f>
        <v>0</v>
      </c>
      <c r="K30" s="250"/>
      <c r="L30" s="250"/>
      <c r="M30" s="129">
        <f>+K30+'4'!M30+L30</f>
        <v>0</v>
      </c>
      <c r="N30" s="167"/>
    </row>
    <row r="31" spans="1:18" ht="13.5" thickBot="1">
      <c r="A31" s="1013"/>
      <c r="B31" s="227"/>
      <c r="C31" s="237"/>
      <c r="D31" s="229"/>
      <c r="E31" s="236"/>
      <c r="F31" s="247"/>
      <c r="G31" s="248"/>
      <c r="H31" s="466"/>
      <c r="I31" s="1012"/>
      <c r="J31" s="226">
        <f>+'4'!J31</f>
        <v>0</v>
      </c>
      <c r="K31" s="250"/>
      <c r="L31" s="250"/>
      <c r="M31" s="129">
        <f>+K31+'4'!M31+L31</f>
        <v>0</v>
      </c>
    </row>
    <row r="32" spans="1:18" ht="13.5" thickBot="1">
      <c r="A32" s="1014"/>
      <c r="B32" s="177" t="s">
        <v>2</v>
      </c>
      <c r="C32" s="111">
        <f>SUM(C25:C31)</f>
        <v>26308</v>
      </c>
      <c r="D32" s="112">
        <f>SUM(D25:D31)</f>
        <v>385</v>
      </c>
      <c r="E32" s="113">
        <f>SUM(E25:E31)</f>
        <v>0</v>
      </c>
      <c r="F32" s="114">
        <f>SUM(F24:F31)</f>
        <v>14</v>
      </c>
      <c r="G32" s="183"/>
      <c r="H32" s="184"/>
      <c r="I32" s="181"/>
      <c r="J32" s="226">
        <f>+'4'!J32</f>
        <v>0</v>
      </c>
      <c r="K32" s="252"/>
      <c r="L32" s="254"/>
      <c r="M32" s="129">
        <f>+K32+'4'!M32+L32</f>
        <v>0</v>
      </c>
    </row>
    <row r="33" spans="1:14" ht="13.5" thickBot="1">
      <c r="A33" s="185"/>
      <c r="B33" s="186"/>
      <c r="C33" s="115">
        <f>C32/($C$32+$D$32+$E$32)</f>
        <v>0.98557674296632081</v>
      </c>
      <c r="D33" s="116">
        <f>D32/($C$32+$D$32+$E$32)</f>
        <v>1.4423257033679242E-2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76336</v>
      </c>
      <c r="D34" s="119">
        <f>D14+D23+D32</f>
        <v>1014</v>
      </c>
      <c r="E34" s="119">
        <f>E14+E23+E32</f>
        <v>0</v>
      </c>
      <c r="F34" s="120">
        <f>F14+F23+F32</f>
        <v>41</v>
      </c>
      <c r="H34" s="190"/>
      <c r="I34" s="190"/>
      <c r="J34" s="135" t="s">
        <v>28</v>
      </c>
      <c r="K34" s="136">
        <f>SUM(K7:K32)</f>
        <v>76336</v>
      </c>
      <c r="L34" s="224">
        <f>SUM(L7:L32)</f>
        <v>0</v>
      </c>
      <c r="M34" s="132">
        <f>SUM(M7:M32)</f>
        <v>257346</v>
      </c>
      <c r="N34" s="167"/>
    </row>
    <row r="35" spans="1:14" ht="13.5" thickBot="1">
      <c r="A35" s="191"/>
      <c r="B35" s="192"/>
      <c r="C35" s="116">
        <f>C34/($C$34+$D$34+$E$34)</f>
        <v>0.98689075630252099</v>
      </c>
      <c r="D35" s="116">
        <f>D34/($C$34+$D$34+$E$34)</f>
        <v>1.3109243697478991E-2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(17*1415+14*25)/1440*G42*2.77*1440/1000000</f>
        <v>82.90603095486459</v>
      </c>
      <c r="J37" s="137">
        <f>+I37+'4'!J37</f>
        <v>330.57713796096095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41</v>
      </c>
      <c r="D38" s="130">
        <f>+C38+'4'!D38</f>
        <v>348</v>
      </c>
      <c r="E38" s="155">
        <f t="shared" ref="E38:E51" si="0">D38/60</f>
        <v>5.8</v>
      </c>
      <c r="F38" s="340">
        <v>1230</v>
      </c>
      <c r="G38" s="340">
        <f>+F38-F38*0.0035</f>
        <v>1225.6949999999999</v>
      </c>
      <c r="H38" s="199" t="s">
        <v>65</v>
      </c>
      <c r="I38" s="549">
        <f>26.666+27.689+25.219</f>
        <v>79.574000000000012</v>
      </c>
      <c r="J38" s="139">
        <f>+I38+'4'!J38</f>
        <v>288.68622201000005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+C39+'4'!D39</f>
        <v>0</v>
      </c>
      <c r="E39" s="155">
        <f t="shared" si="0"/>
        <v>0</v>
      </c>
      <c r="F39" s="340">
        <v>1230</v>
      </c>
      <c r="G39" s="340">
        <f>+F39-F39*0.0035</f>
        <v>1225.6949999999999</v>
      </c>
      <c r="H39" s="199" t="s">
        <v>66</v>
      </c>
      <c r="I39" s="154"/>
      <c r="J39" s="141">
        <f>J37/G4</f>
        <v>66.115427592192191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+C40+'4'!D40</f>
        <v>0</v>
      </c>
      <c r="E40" s="155">
        <f t="shared" si="0"/>
        <v>0</v>
      </c>
      <c r="F40" s="340">
        <v>1232.0833333333333</v>
      </c>
      <c r="G40" s="340">
        <v>1227.7710416666666</v>
      </c>
      <c r="H40" s="199" t="s">
        <v>68</v>
      </c>
      <c r="I40" s="130">
        <f>(K34+L34)/1000</f>
        <v>76.335999999999999</v>
      </c>
      <c r="J40" s="143">
        <f>+I40+'4'!J40</f>
        <v>257.346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+C41+'4'!D41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51.469200000000001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+C42+'4'!D42</f>
        <v>0</v>
      </c>
      <c r="E42" s="155">
        <f t="shared" si="0"/>
        <v>0</v>
      </c>
      <c r="F42" s="340">
        <f>+(F38*480+F39*480+F40*480)/1440</f>
        <v>1230.6944444444443</v>
      </c>
      <c r="G42" s="340">
        <f>+(G38*480+G39*480+G40*480)/1440</f>
        <v>1226.3870138888888</v>
      </c>
      <c r="H42" s="199" t="s">
        <v>71</v>
      </c>
      <c r="I42" s="257" t="s">
        <v>516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+C43+'4'!D43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+Report1!T13</f>
        <v>109.386</v>
      </c>
      <c r="J43" s="145">
        <f>+I43+'4'!J43</f>
        <v>607.43299999999999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+C44+'4'!D44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1.3746449845426896</v>
      </c>
      <c r="J44" s="146">
        <f>J43/J38</f>
        <v>2.1041288211494851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+C45+'4'!D45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1.4329543072731084</v>
      </c>
      <c r="J45" s="146">
        <f>J43/J40</f>
        <v>2.3603747483932138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+C46+'4'!D46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+SUMIF(Listrik!AR12,"&gt;0")</f>
        <v>55873.82000000008</v>
      </c>
      <c r="J46" s="147">
        <f>+I46+'4'!J46</f>
        <v>245556.73999999819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+C47+'4'!D47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702.16176137934588</v>
      </c>
      <c r="J47" s="147">
        <f>J46/J38</f>
        <v>850.60082982239499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+C48+'4'!D48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731.94587088660762</v>
      </c>
      <c r="J48" s="147">
        <f>J46/J40</f>
        <v>954.18906841372382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+C49+'4'!D49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+I49+'4'!J49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+C50+'4'!D50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+C51+'4'!D51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41</v>
      </c>
      <c r="D52" s="156">
        <f>SUM(D38:D51)</f>
        <v>1281</v>
      </c>
      <c r="E52" s="157">
        <f>SUM(E38:E51)</f>
        <v>21.349999999999998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2.8472222222222222E-2</v>
      </c>
      <c r="D53" s="158">
        <f>D52/(24*60*G4)</f>
        <v>0.17791666666666667</v>
      </c>
      <c r="E53" s="159">
        <f>E52/(G4*24)</f>
        <v>0.17791666666666664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+D34+'4'!J56</f>
        <v>13698</v>
      </c>
      <c r="K56" s="213">
        <f>J56/(J40+J56/1000)/1000</f>
        <v>5.0537920042502328E-2</v>
      </c>
    </row>
    <row r="57" spans="1:11">
      <c r="A57" s="188"/>
      <c r="I57" s="211" t="s">
        <v>90</v>
      </c>
      <c r="J57" s="212">
        <f>+E34+'4'!J57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17" right="0.16" top="0.17" bottom="0.14027777777777778" header="0" footer="0"/>
  <pageSetup paperSize="9" scale="63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4.5703125" style="161" bestFit="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4</v>
      </c>
      <c r="H4" s="166" t="str">
        <f>+'1'!H4</f>
        <v>.12.25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190+220+218</f>
        <v>628</v>
      </c>
    </row>
    <row r="7" spans="1:15" ht="13.5" customHeight="1" thickBot="1">
      <c r="A7" s="1007" t="s">
        <v>461</v>
      </c>
      <c r="B7" s="227" t="s">
        <v>507</v>
      </c>
      <c r="C7" s="233">
        <v>20853</v>
      </c>
      <c r="D7" s="229">
        <v>203</v>
      </c>
      <c r="E7" s="230"/>
      <c r="F7" s="239"/>
      <c r="G7" s="240" t="s">
        <v>12</v>
      </c>
      <c r="H7" s="241" t="s">
        <v>492</v>
      </c>
      <c r="I7" s="1010" t="s">
        <v>508</v>
      </c>
      <c r="J7" s="226" t="str">
        <f>+'3'!J7</f>
        <v>F 13 VP OW</v>
      </c>
      <c r="K7" s="249"/>
      <c r="L7" s="253"/>
      <c r="M7" s="129">
        <f>+K7+'3'!M7+L7</f>
        <v>3700</v>
      </c>
    </row>
    <row r="8" spans="1:15" ht="13.5" thickBot="1">
      <c r="A8" s="1008"/>
      <c r="B8" s="227"/>
      <c r="C8" s="228"/>
      <c r="D8" s="229"/>
      <c r="E8" s="231"/>
      <c r="F8" s="242"/>
      <c r="G8" s="243" t="s">
        <v>12</v>
      </c>
      <c r="H8" s="241" t="s">
        <v>448</v>
      </c>
      <c r="I8" s="1011"/>
      <c r="J8" s="226" t="str">
        <f>+'3'!J8</f>
        <v>MG 15,5 VP OW</v>
      </c>
      <c r="K8" s="250"/>
      <c r="L8" s="250"/>
      <c r="M8" s="129">
        <f>+K8+'3'!M8+L8</f>
        <v>40782</v>
      </c>
      <c r="N8" s="161">
        <v>1170</v>
      </c>
      <c r="O8" s="161">
        <f>+N8-N8*0.0035</f>
        <v>1165.905</v>
      </c>
    </row>
    <row r="9" spans="1:15" ht="13.5" thickBot="1">
      <c r="A9" s="1008"/>
      <c r="B9" s="227"/>
      <c r="C9" s="228"/>
      <c r="D9" s="229"/>
      <c r="E9" s="232"/>
      <c r="F9" s="239">
        <v>6</v>
      </c>
      <c r="G9" s="243" t="s">
        <v>12</v>
      </c>
      <c r="H9" s="574" t="s">
        <v>447</v>
      </c>
      <c r="I9" s="1011"/>
      <c r="J9" s="226" t="str">
        <f>+'3'!J9</f>
        <v>MG 16,5 VP HW</v>
      </c>
      <c r="K9" s="250"/>
      <c r="L9" s="250"/>
      <c r="M9" s="129">
        <f>+K9+'3'!M9+L9</f>
        <v>65896</v>
      </c>
      <c r="N9" s="161">
        <v>1200</v>
      </c>
      <c r="O9" s="161">
        <f>+N9-N9*0.0035</f>
        <v>1195.8</v>
      </c>
    </row>
    <row r="10" spans="1:15" ht="13.5" thickBot="1">
      <c r="A10" s="1008"/>
      <c r="B10" s="227"/>
      <c r="C10" s="228"/>
      <c r="D10" s="229"/>
      <c r="E10" s="231"/>
      <c r="F10" s="239"/>
      <c r="G10" s="243"/>
      <c r="H10" s="574" t="s">
        <v>503</v>
      </c>
      <c r="I10" s="1011"/>
      <c r="J10" s="226" t="s">
        <v>507</v>
      </c>
      <c r="K10" s="250">
        <f>+C34</f>
        <v>70632</v>
      </c>
      <c r="L10" s="250"/>
      <c r="M10" s="129">
        <f>+K10+'3'!M10+L10</f>
        <v>70632</v>
      </c>
      <c r="N10" s="161">
        <v>1230</v>
      </c>
      <c r="O10" s="161">
        <f>+N10-N10*0.0035</f>
        <v>1225.6949999999999</v>
      </c>
    </row>
    <row r="11" spans="1:15" ht="13.5" thickBot="1">
      <c r="A11" s="1008"/>
      <c r="B11" s="227"/>
      <c r="C11" s="228"/>
      <c r="D11" s="229"/>
      <c r="E11" s="231"/>
      <c r="F11" s="239"/>
      <c r="G11" s="243"/>
      <c r="H11" s="244"/>
      <c r="I11" s="1011"/>
      <c r="J11" s="226">
        <f>+'3'!J11</f>
        <v>0</v>
      </c>
      <c r="K11" s="250"/>
      <c r="L11" s="250"/>
      <c r="M11" s="129">
        <f>+K11+'3'!M11+L11</f>
        <v>0</v>
      </c>
    </row>
    <row r="12" spans="1:15" ht="13.5" thickBot="1">
      <c r="A12" s="1008"/>
      <c r="B12" s="227"/>
      <c r="C12" s="228"/>
      <c r="D12" s="229"/>
      <c r="E12" s="231"/>
      <c r="F12" s="239"/>
      <c r="G12" s="243"/>
      <c r="H12" s="244"/>
      <c r="I12" s="1011"/>
      <c r="J12" s="226">
        <f>+'3'!J12</f>
        <v>0</v>
      </c>
      <c r="K12" s="250"/>
      <c r="L12" s="250"/>
      <c r="M12" s="129">
        <f>+K12+'3'!M12+L12</f>
        <v>0</v>
      </c>
    </row>
    <row r="13" spans="1:15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>
        <f>+'3'!J13</f>
        <v>0</v>
      </c>
      <c r="K13" s="250"/>
      <c r="L13" s="250"/>
      <c r="M13" s="129">
        <f>+K13+'3'!M13+L13</f>
        <v>0</v>
      </c>
    </row>
    <row r="14" spans="1:15" ht="13.5" thickBot="1">
      <c r="A14" s="1009"/>
      <c r="B14" s="177" t="s">
        <v>2</v>
      </c>
      <c r="C14" s="111">
        <f>SUM(C7:C13)</f>
        <v>20853</v>
      </c>
      <c r="D14" s="123">
        <f>SUM(D7:D13)</f>
        <v>203</v>
      </c>
      <c r="E14" s="124">
        <f>SUM(E5:E13)</f>
        <v>0</v>
      </c>
      <c r="F14" s="128">
        <f>SUM(F7:F13)</f>
        <v>6</v>
      </c>
      <c r="G14" s="171"/>
      <c r="H14" s="178"/>
      <c r="I14" s="179"/>
      <c r="J14" s="226">
        <f>+'3'!J14</f>
        <v>0</v>
      </c>
      <c r="K14" s="250"/>
      <c r="L14" s="250"/>
      <c r="M14" s="129">
        <f>+K14+'3'!M14+L14</f>
        <v>0</v>
      </c>
    </row>
    <row r="15" spans="1:15" ht="13.5" customHeight="1" thickBot="1">
      <c r="A15" s="1007" t="s">
        <v>462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506</v>
      </c>
      <c r="J15" s="226">
        <f>+'3'!J15</f>
        <v>0</v>
      </c>
      <c r="K15" s="250"/>
      <c r="L15" s="250"/>
      <c r="M15" s="129">
        <f>+K15+'3'!M15+L15</f>
        <v>0</v>
      </c>
    </row>
    <row r="16" spans="1:15" ht="13.5" thickBot="1">
      <c r="A16" s="1013"/>
      <c r="B16" s="227" t="s">
        <v>507</v>
      </c>
      <c r="C16" s="237">
        <v>24859</v>
      </c>
      <c r="D16" s="234">
        <v>185</v>
      </c>
      <c r="E16" s="235"/>
      <c r="F16" s="239"/>
      <c r="G16" s="243" t="s">
        <v>12</v>
      </c>
      <c r="H16" s="241" t="s">
        <v>448</v>
      </c>
      <c r="I16" s="1011"/>
      <c r="J16" s="226">
        <f>+'3'!J16</f>
        <v>0</v>
      </c>
      <c r="K16" s="240"/>
      <c r="L16" s="240"/>
      <c r="M16" s="129">
        <f>+K16+'3'!M16+L16</f>
        <v>0</v>
      </c>
    </row>
    <row r="17" spans="1:14" ht="13.5" thickBot="1">
      <c r="A17" s="1013"/>
      <c r="B17" s="227"/>
      <c r="C17" s="228"/>
      <c r="D17" s="229"/>
      <c r="E17" s="236"/>
      <c r="F17" s="239">
        <v>15</v>
      </c>
      <c r="G17" s="243" t="s">
        <v>12</v>
      </c>
      <c r="H17" s="574" t="s">
        <v>447</v>
      </c>
      <c r="I17" s="1011"/>
      <c r="J17" s="226">
        <f>+'3'!J17</f>
        <v>0</v>
      </c>
      <c r="K17" s="240"/>
      <c r="L17" s="240"/>
      <c r="M17" s="129">
        <f>+K17+'3'!M17+L17</f>
        <v>0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504</v>
      </c>
      <c r="I18" s="1011"/>
      <c r="J18" s="226">
        <f>+'3'!J18</f>
        <v>0</v>
      </c>
      <c r="K18" s="250"/>
      <c r="L18" s="250"/>
      <c r="M18" s="129">
        <f>+K18+'3'!M18+L18</f>
        <v>0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244"/>
      <c r="I19" s="1011"/>
      <c r="J19" s="226">
        <f>+'3'!J19</f>
        <v>0</v>
      </c>
      <c r="K19" s="250"/>
      <c r="L19" s="250"/>
      <c r="M19" s="129">
        <f>+K19+'3'!M19+L19</f>
        <v>0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/>
      <c r="I20" s="1011"/>
      <c r="J20" s="226">
        <f>+'3'!J20</f>
        <v>0</v>
      </c>
      <c r="K20" s="251"/>
      <c r="L20" s="251"/>
      <c r="M20" s="129">
        <f>+K20+'3'!M20+L20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26">
        <f>+'3'!J21</f>
        <v>0</v>
      </c>
      <c r="K21" s="250"/>
      <c r="L21" s="250"/>
      <c r="M21" s="129">
        <f>+K21+'3'!M21+L21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26">
        <f>+'3'!J22</f>
        <v>0</v>
      </c>
      <c r="K22" s="250"/>
      <c r="L22" s="250"/>
      <c r="M22" s="129">
        <f>+K22+'3'!M22+L22</f>
        <v>0</v>
      </c>
    </row>
    <row r="23" spans="1:14" ht="13.5" thickBot="1">
      <c r="A23" s="1014"/>
      <c r="B23" s="180" t="s">
        <v>2</v>
      </c>
      <c r="C23" s="112">
        <f>SUM(C16:C22)</f>
        <v>24859</v>
      </c>
      <c r="D23" s="123">
        <f>SUM(D16:D22)</f>
        <v>185</v>
      </c>
      <c r="E23" s="124">
        <f>SUM(E18:E22)</f>
        <v>0</v>
      </c>
      <c r="F23" s="128">
        <f>SUM(F15:F22)</f>
        <v>15</v>
      </c>
      <c r="G23" s="171"/>
      <c r="H23" s="178" t="s">
        <v>237</v>
      </c>
      <c r="I23" s="181"/>
      <c r="J23" s="226">
        <f>+'3'!J23</f>
        <v>0</v>
      </c>
      <c r="K23" s="250"/>
      <c r="L23" s="250"/>
      <c r="M23" s="129">
        <f>+K23+'3'!M23+L23</f>
        <v>0</v>
      </c>
    </row>
    <row r="24" spans="1:14" ht="13.5" customHeight="1" thickBot="1">
      <c r="A24" s="1007" t="s">
        <v>502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509</v>
      </c>
      <c r="J24" s="226">
        <f>+'3'!J24</f>
        <v>0</v>
      </c>
      <c r="K24" s="250"/>
      <c r="L24" s="250"/>
      <c r="M24" s="129">
        <f>+K24+'3'!M24+L24</f>
        <v>0</v>
      </c>
    </row>
    <row r="25" spans="1:14" ht="13.5" thickBot="1">
      <c r="A25" s="1013"/>
      <c r="B25" s="227" t="s">
        <v>507</v>
      </c>
      <c r="C25" s="237">
        <v>24920</v>
      </c>
      <c r="D25" s="229">
        <v>201</v>
      </c>
      <c r="E25" s="236"/>
      <c r="F25" s="242"/>
      <c r="G25" s="243" t="s">
        <v>12</v>
      </c>
      <c r="H25" s="241" t="s">
        <v>448</v>
      </c>
      <c r="I25" s="1011"/>
      <c r="J25" s="226">
        <f>+'3'!J25</f>
        <v>0</v>
      </c>
      <c r="K25" s="250"/>
      <c r="L25" s="250"/>
      <c r="M25" s="129">
        <f>+K25+'3'!M25+L25</f>
        <v>0</v>
      </c>
    </row>
    <row r="26" spans="1:14" ht="13.5" thickBot="1">
      <c r="A26" s="1013"/>
      <c r="B26" s="227"/>
      <c r="C26" s="237"/>
      <c r="D26" s="229"/>
      <c r="E26" s="238"/>
      <c r="F26" s="242">
        <v>6</v>
      </c>
      <c r="G26" s="243" t="s">
        <v>12</v>
      </c>
      <c r="H26" s="574" t="s">
        <v>447</v>
      </c>
      <c r="I26" s="1011"/>
      <c r="J26" s="226">
        <f>+'3'!J26</f>
        <v>0</v>
      </c>
      <c r="K26" s="250"/>
      <c r="L26" s="250"/>
      <c r="M26" s="129">
        <f>+K26+'3'!M26+L26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505</v>
      </c>
      <c r="I27" s="1011"/>
      <c r="J27" s="226">
        <f>+'3'!J27</f>
        <v>0</v>
      </c>
      <c r="K27" s="250"/>
      <c r="L27" s="250"/>
      <c r="M27" s="129">
        <f>+K27+'3'!M27+L27</f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+'3'!J28</f>
        <v>0</v>
      </c>
      <c r="K28" s="250"/>
      <c r="L28" s="250"/>
      <c r="M28" s="129">
        <f>+K28+'3'!M28+L28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+'3'!J29</f>
        <v>0</v>
      </c>
      <c r="K29" s="250"/>
      <c r="L29" s="250"/>
      <c r="M29" s="129">
        <f>+K29+'3'!M29+L29</f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+'3'!J30</f>
        <v>0</v>
      </c>
      <c r="K30" s="250"/>
      <c r="L30" s="250"/>
      <c r="M30" s="129">
        <f>+K30+'3'!M30+L30</f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466"/>
      <c r="I31" s="1012"/>
      <c r="J31" s="226">
        <f>+'3'!J31</f>
        <v>0</v>
      </c>
      <c r="K31" s="250"/>
      <c r="L31" s="250"/>
      <c r="M31" s="129">
        <f>+K31+'3'!M31+L31</f>
        <v>0</v>
      </c>
    </row>
    <row r="32" spans="1:14" ht="13.5" thickBot="1">
      <c r="A32" s="1014"/>
      <c r="B32" s="177" t="s">
        <v>2</v>
      </c>
      <c r="C32" s="111">
        <f>SUM(C25:C31)</f>
        <v>24920</v>
      </c>
      <c r="D32" s="112">
        <f>SUM(D25:D31)</f>
        <v>201</v>
      </c>
      <c r="E32" s="113">
        <f>SUM(E25:E31)</f>
        <v>0</v>
      </c>
      <c r="F32" s="114">
        <f>SUM(F24:F31)</f>
        <v>6</v>
      </c>
      <c r="G32" s="183"/>
      <c r="H32" s="184"/>
      <c r="I32" s="181"/>
      <c r="J32" s="226">
        <f>+'3'!J32</f>
        <v>0</v>
      </c>
      <c r="K32" s="252"/>
      <c r="L32" s="254"/>
      <c r="M32" s="129">
        <f>+K32+'3'!M32+L32</f>
        <v>0</v>
      </c>
    </row>
    <row r="33" spans="1:14" ht="13.5" thickBot="1">
      <c r="A33" s="185"/>
      <c r="B33" s="186"/>
      <c r="C33" s="115">
        <f>C32/($C$32+$D$32+$E$32)</f>
        <v>0.99199872616535967</v>
      </c>
      <c r="D33" s="116">
        <f>D32/($C$32+$D$32+$E$32)</f>
        <v>8.0012738346403409E-3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70632</v>
      </c>
      <c r="D34" s="119">
        <f>D14+D23+D32</f>
        <v>589</v>
      </c>
      <c r="E34" s="119">
        <f>E14+E23+E32</f>
        <v>0</v>
      </c>
      <c r="F34" s="120">
        <f>F14+F23+F32</f>
        <v>27</v>
      </c>
      <c r="H34" s="190"/>
      <c r="I34" s="190"/>
      <c r="J34" s="135" t="s">
        <v>28</v>
      </c>
      <c r="K34" s="136">
        <f>SUM(K7:K32)</f>
        <v>70632</v>
      </c>
      <c r="L34" s="224">
        <f>SUM(L7:L32)</f>
        <v>0</v>
      </c>
      <c r="M34" s="132">
        <f>SUM(M7:M32)</f>
        <v>181010</v>
      </c>
      <c r="N34" s="167"/>
    </row>
    <row r="35" spans="1:14" ht="13.5" thickBot="1">
      <c r="A35" s="191"/>
      <c r="B35" s="192"/>
      <c r="C35" s="116">
        <f>C34/($C$34+$D$34+$E$34)</f>
        <v>0.99172996728493001</v>
      </c>
      <c r="D35" s="116">
        <f>D34/($C$34+$D$34+$E$34)</f>
        <v>8.2700327150699929E-3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(17*1440)/1440*G42*2.77*1440/1000000</f>
        <v>81.086719679999987</v>
      </c>
      <c r="J37" s="137">
        <f>+I37+'3'!J37</f>
        <v>247.67110700609635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27</v>
      </c>
      <c r="D38" s="130">
        <f>+C38+'3'!D38</f>
        <v>307</v>
      </c>
      <c r="E38" s="155">
        <f t="shared" ref="E38:E51" si="0">D38/60</f>
        <v>5.1166666666666663</v>
      </c>
      <c r="F38" s="340">
        <v>1170</v>
      </c>
      <c r="G38" s="340">
        <f>+F38-F38*0.0035</f>
        <v>1165.905</v>
      </c>
      <c r="H38" s="199" t="s">
        <v>65</v>
      </c>
      <c r="I38" s="549">
        <f>24.561+25.789+25.295</f>
        <v>75.64500000000001</v>
      </c>
      <c r="J38" s="139">
        <f>+I38+'3'!J38</f>
        <v>209.11222201000001</v>
      </c>
      <c r="K38" s="140" t="s">
        <v>64</v>
      </c>
      <c r="N38" s="558"/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+C39+'3'!D39</f>
        <v>0</v>
      </c>
      <c r="E39" s="155">
        <f t="shared" si="0"/>
        <v>0</v>
      </c>
      <c r="F39" s="340">
        <v>1200</v>
      </c>
      <c r="G39" s="340">
        <f>+F39-F39*0.0035</f>
        <v>1195.8</v>
      </c>
      <c r="H39" s="199" t="s">
        <v>66</v>
      </c>
      <c r="I39" s="154"/>
      <c r="J39" s="141">
        <f>J37/G4</f>
        <v>61.917776751524087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+C40+'3'!D40</f>
        <v>0</v>
      </c>
      <c r="E40" s="155">
        <f t="shared" si="0"/>
        <v>0</v>
      </c>
      <c r="F40" s="340">
        <v>1230</v>
      </c>
      <c r="G40" s="340">
        <f>+F40-F40*0.0035</f>
        <v>1225.6949999999999</v>
      </c>
      <c r="H40" s="199" t="s">
        <v>68</v>
      </c>
      <c r="I40" s="130">
        <f>(K34+L34)/1000</f>
        <v>70.632000000000005</v>
      </c>
      <c r="J40" s="143">
        <f>+I40+'3'!J40</f>
        <v>181.01000000000002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+C41+'3'!D41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45.252500000000005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+C42+'3'!D42</f>
        <v>0</v>
      </c>
      <c r="E42" s="155">
        <f t="shared" si="0"/>
        <v>0</v>
      </c>
      <c r="F42" s="340">
        <f>+(F38*480+F39*480+F40*480)/1440</f>
        <v>1200</v>
      </c>
      <c r="G42" s="340">
        <f>+(G38*480+G39*480+G40*480)/1440</f>
        <v>1195.8</v>
      </c>
      <c r="H42" s="199" t="s">
        <v>71</v>
      </c>
      <c r="I42" s="257" t="s">
        <v>506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+C43+'3'!D43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+Report1!T12</f>
        <v>151.94799999999998</v>
      </c>
      <c r="J43" s="145">
        <f>+I43+'3'!J43</f>
        <v>498.04700000000003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+C44+'3'!D44</f>
        <v>63</v>
      </c>
      <c r="E44" s="155">
        <f t="shared" si="0"/>
        <v>1.05</v>
      </c>
      <c r="F44" s="340"/>
      <c r="G44" s="341"/>
      <c r="H44" s="200" t="s">
        <v>75</v>
      </c>
      <c r="I44" s="130">
        <f>+Report1!T12</f>
        <v>151.94799999999998</v>
      </c>
      <c r="J44" s="146">
        <f>J43/J38</f>
        <v>2.3817211409870764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+C45+'3'!D45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2.1512628836787853</v>
      </c>
      <c r="J45" s="146">
        <f>J43/J40</f>
        <v>2.7514888680183414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+C46+'3'!D46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+SUMIF(Listrik!AR11,"&gt;0")</f>
        <v>48995.159999999218</v>
      </c>
      <c r="J46" s="147">
        <f>+I46+'3'!J46</f>
        <v>189682.91999999812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+C47+'3'!D47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647.69859210786183</v>
      </c>
      <c r="J47" s="147">
        <f>J46/J38</f>
        <v>907.08672203257083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+C48+'3'!D48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693.66802582397804</v>
      </c>
      <c r="J48" s="147">
        <f>J46/J40</f>
        <v>1047.9140378984482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+C49+'3'!D49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+I49+'3'!J49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+C50+'3'!D50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+C51+'3'!D51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27</v>
      </c>
      <c r="D52" s="156">
        <f>SUM(D38:D51)</f>
        <v>1240</v>
      </c>
      <c r="E52" s="157">
        <f>SUM(E38:E51)</f>
        <v>20.666666666666664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1.8749999999999999E-2</v>
      </c>
      <c r="D53" s="158">
        <f>D52/(24*60*G4)</f>
        <v>0.21527777777777779</v>
      </c>
      <c r="E53" s="159">
        <f>E52/(G4*24)</f>
        <v>0.21527777777777776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+D34+'3'!J56</f>
        <v>12684</v>
      </c>
      <c r="K56" s="213">
        <f>J56/(J40+J56/1000)/1000</f>
        <v>6.5484733652049099E-2</v>
      </c>
    </row>
    <row r="57" spans="1:11">
      <c r="A57" s="188"/>
      <c r="I57" s="211" t="s">
        <v>90</v>
      </c>
      <c r="J57" s="212">
        <f>+E34+'3'!J57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topLeftCell="A4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710937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3.7109375" style="161" bestFit="1" customWidth="1"/>
    <col min="12" max="12" width="8.28515625" style="161" customWidth="1"/>
    <col min="13" max="13" width="14.5703125" style="161" bestFit="1" customWidth="1"/>
    <col min="14" max="16384" width="9.140625" style="161"/>
  </cols>
  <sheetData>
    <row r="1" spans="1:24" ht="15.75">
      <c r="A1" s="160"/>
    </row>
    <row r="2" spans="1:24" ht="15.75">
      <c r="A2" s="160" t="s">
        <v>149</v>
      </c>
    </row>
    <row r="3" spans="1:24" ht="15">
      <c r="A3" s="162"/>
    </row>
    <row r="4" spans="1:24" ht="20.25">
      <c r="A4" s="163" t="s">
        <v>3</v>
      </c>
      <c r="B4" s="164"/>
      <c r="F4" s="165" t="s">
        <v>30</v>
      </c>
      <c r="G4" s="166">
        <v>3</v>
      </c>
      <c r="H4" s="166" t="str">
        <f>+'1'!H4</f>
        <v>.12.25</v>
      </c>
    </row>
    <row r="5" spans="1:24" ht="13.5" thickBot="1">
      <c r="C5" s="167"/>
      <c r="D5" s="167"/>
    </row>
    <row r="6" spans="1:24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0+90+227</f>
        <v>317</v>
      </c>
    </row>
    <row r="7" spans="1:24" ht="13.5" customHeight="1" thickBot="1">
      <c r="A7" s="1007" t="s">
        <v>461</v>
      </c>
      <c r="B7" s="227" t="s">
        <v>454</v>
      </c>
      <c r="C7" s="233">
        <v>2788</v>
      </c>
      <c r="D7" s="229"/>
      <c r="E7" s="230"/>
      <c r="F7" s="239"/>
      <c r="G7" s="240" t="s">
        <v>12</v>
      </c>
      <c r="H7" s="241" t="s">
        <v>492</v>
      </c>
      <c r="I7" s="1010" t="s">
        <v>442</v>
      </c>
      <c r="J7" s="226" t="str">
        <f>+'2'!J7</f>
        <v>F 13 VP OW</v>
      </c>
      <c r="K7" s="249"/>
      <c r="L7" s="253"/>
      <c r="M7" s="129">
        <f>+K7+'2'!M7+L7</f>
        <v>3700</v>
      </c>
    </row>
    <row r="8" spans="1:24" ht="13.5" thickBot="1">
      <c r="A8" s="1008"/>
      <c r="B8" s="227"/>
      <c r="C8" s="228"/>
      <c r="D8" s="229"/>
      <c r="E8" s="231"/>
      <c r="F8" s="242"/>
      <c r="G8" s="243" t="s">
        <v>12</v>
      </c>
      <c r="H8" s="241" t="s">
        <v>448</v>
      </c>
      <c r="I8" s="1011"/>
      <c r="J8" s="226" t="str">
        <f>+'2'!J8</f>
        <v>MG 15,5 VP OW</v>
      </c>
      <c r="K8" s="250"/>
      <c r="L8" s="250"/>
      <c r="M8" s="129">
        <f>+K8+'2'!M8+L8</f>
        <v>40782</v>
      </c>
      <c r="N8" s="161">
        <v>1100</v>
      </c>
      <c r="O8" s="161">
        <f>+N8-N8*0.0035</f>
        <v>1096.1500000000001</v>
      </c>
      <c r="P8" s="161">
        <v>30</v>
      </c>
    </row>
    <row r="9" spans="1:24" ht="13.5" thickBot="1">
      <c r="A9" s="1008"/>
      <c r="B9" s="227"/>
      <c r="C9" s="228"/>
      <c r="D9" s="229"/>
      <c r="E9" s="232"/>
      <c r="F9" s="239"/>
      <c r="G9" s="243" t="s">
        <v>12</v>
      </c>
      <c r="H9" s="574" t="s">
        <v>491</v>
      </c>
      <c r="I9" s="1011"/>
      <c r="J9" s="226" t="str">
        <f>+'2'!J9</f>
        <v>MG 16,5 VP HW</v>
      </c>
      <c r="K9" s="250">
        <f>+C34</f>
        <v>23981</v>
      </c>
      <c r="L9" s="250"/>
      <c r="M9" s="129">
        <f>+K9+'2'!M9+L9</f>
        <v>65896</v>
      </c>
      <c r="N9" s="161">
        <v>1190</v>
      </c>
      <c r="O9" s="161">
        <f>+N9-N9*0.0035</f>
        <v>1185.835</v>
      </c>
      <c r="P9" s="161">
        <v>60</v>
      </c>
    </row>
    <row r="10" spans="1:24" ht="13.5" thickBot="1">
      <c r="A10" s="1008"/>
      <c r="B10" s="227"/>
      <c r="C10" s="228"/>
      <c r="D10" s="229"/>
      <c r="E10" s="231"/>
      <c r="F10" s="239"/>
      <c r="G10" s="243"/>
      <c r="H10" s="574" t="s">
        <v>470</v>
      </c>
      <c r="I10" s="1011"/>
      <c r="J10" s="226">
        <f>+'2'!J10</f>
        <v>0</v>
      </c>
      <c r="K10" s="250"/>
      <c r="L10" s="250"/>
      <c r="M10" s="129">
        <f>+K10+'2'!M10+L10</f>
        <v>0</v>
      </c>
      <c r="N10" s="161">
        <v>1150</v>
      </c>
      <c r="O10" s="161">
        <f>+N10-N10*0.0035</f>
        <v>1145.9749999999999</v>
      </c>
      <c r="P10" s="161">
        <v>480</v>
      </c>
    </row>
    <row r="11" spans="1:24" ht="13.5" customHeight="1" thickBot="1">
      <c r="A11" s="1008"/>
      <c r="B11" s="227"/>
      <c r="C11" s="228"/>
      <c r="D11" s="229"/>
      <c r="E11" s="231"/>
      <c r="F11" s="239">
        <v>450</v>
      </c>
      <c r="G11" s="243" t="s">
        <v>500</v>
      </c>
      <c r="H11" s="244" t="s">
        <v>499</v>
      </c>
      <c r="I11" s="1011"/>
      <c r="J11" s="226">
        <f>+'2'!J11</f>
        <v>0</v>
      </c>
      <c r="K11" s="250"/>
      <c r="L11" s="250"/>
      <c r="M11" s="129">
        <f>+K11+'2'!M11+L11</f>
        <v>0</v>
      </c>
      <c r="P11" s="161">
        <f>SUM(P8:P10)</f>
        <v>570</v>
      </c>
    </row>
    <row r="12" spans="1:24" ht="77.25" thickBot="1">
      <c r="A12" s="1008"/>
      <c r="B12" s="227"/>
      <c r="C12" s="228"/>
      <c r="D12" s="229"/>
      <c r="E12" s="231"/>
      <c r="F12" s="239"/>
      <c r="G12" s="243"/>
      <c r="H12" s="244" t="s">
        <v>483</v>
      </c>
      <c r="I12" s="1011"/>
      <c r="J12" s="226">
        <f>+'2'!J12</f>
        <v>0</v>
      </c>
      <c r="K12" s="250"/>
      <c r="L12" s="250"/>
      <c r="M12" s="129">
        <f>+K12+'2'!M12+L12</f>
        <v>0</v>
      </c>
    </row>
    <row r="13" spans="1:24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>
        <f>+'2'!J13</f>
        <v>0</v>
      </c>
      <c r="K13" s="250"/>
      <c r="L13" s="250"/>
      <c r="M13" s="129">
        <f>+K13+'2'!M13+L13</f>
        <v>0</v>
      </c>
    </row>
    <row r="14" spans="1:24" ht="13.5" thickBot="1">
      <c r="A14" s="1009"/>
      <c r="B14" s="177" t="s">
        <v>2</v>
      </c>
      <c r="C14" s="111">
        <f>SUM(C7:C13)</f>
        <v>2788</v>
      </c>
      <c r="D14" s="123">
        <f>SUM(D7:D13)</f>
        <v>0</v>
      </c>
      <c r="E14" s="124">
        <f>SUM(E5:E13)</f>
        <v>0</v>
      </c>
      <c r="F14" s="128">
        <f>SUM(F7:F13)</f>
        <v>450</v>
      </c>
      <c r="G14" s="171"/>
      <c r="H14" s="178"/>
      <c r="I14" s="179"/>
      <c r="J14" s="226">
        <f>+'2'!J14</f>
        <v>0</v>
      </c>
      <c r="K14" s="250"/>
      <c r="L14" s="250"/>
      <c r="M14" s="129">
        <f>+K14+'2'!M14+L14</f>
        <v>0</v>
      </c>
      <c r="T14" s="161">
        <v>1450</v>
      </c>
      <c r="U14" s="161">
        <f>+T14-T14*0.21</f>
        <v>1145.5</v>
      </c>
      <c r="V14" s="161">
        <f>480-55</f>
        <v>425</v>
      </c>
      <c r="W14" s="161">
        <f>+T14*V14</f>
        <v>616250</v>
      </c>
      <c r="X14" s="161">
        <f>+U14*V14</f>
        <v>486837.5</v>
      </c>
    </row>
    <row r="15" spans="1:24" ht="13.5" customHeight="1" thickBot="1">
      <c r="A15" s="1007" t="s">
        <v>462</v>
      </c>
      <c r="B15" s="177"/>
      <c r="C15" s="125"/>
      <c r="D15" s="126"/>
      <c r="E15" s="127"/>
      <c r="F15" s="239"/>
      <c r="G15" s="240" t="s">
        <v>12</v>
      </c>
      <c r="H15" s="241" t="s">
        <v>492</v>
      </c>
      <c r="I15" s="1010" t="s">
        <v>495</v>
      </c>
      <c r="J15" s="226">
        <f>+'2'!J15</f>
        <v>0</v>
      </c>
      <c r="K15" s="250"/>
      <c r="L15" s="250"/>
      <c r="M15" s="129">
        <f>+K15+'2'!M15+L15</f>
        <v>0</v>
      </c>
      <c r="T15" s="161">
        <v>1650</v>
      </c>
      <c r="U15" s="161">
        <f>+T15-T15*0.2</f>
        <v>1320</v>
      </c>
      <c r="V15" s="161">
        <v>470</v>
      </c>
      <c r="W15" s="161">
        <f>+T15*V15</f>
        <v>775500</v>
      </c>
      <c r="X15" s="161">
        <f>+U15*V15</f>
        <v>620400</v>
      </c>
    </row>
    <row r="16" spans="1:24" ht="13.5" thickBot="1">
      <c r="A16" s="1013"/>
      <c r="B16" s="227" t="s">
        <v>454</v>
      </c>
      <c r="C16" s="237">
        <v>4058</v>
      </c>
      <c r="D16" s="234">
        <v>313</v>
      </c>
      <c r="E16" s="235"/>
      <c r="F16" s="239"/>
      <c r="G16" s="243" t="s">
        <v>12</v>
      </c>
      <c r="H16" s="241" t="s">
        <v>448</v>
      </c>
      <c r="I16" s="1011"/>
      <c r="J16" s="226">
        <f>+'2'!J16</f>
        <v>0</v>
      </c>
      <c r="K16" s="240"/>
      <c r="L16" s="240"/>
      <c r="M16" s="129">
        <f>+K16+'2'!M16+L16</f>
        <v>0</v>
      </c>
      <c r="T16" s="161">
        <v>1700</v>
      </c>
      <c r="U16" s="161">
        <f>+T16-T16*0.2</f>
        <v>1360</v>
      </c>
      <c r="V16" s="161">
        <v>480</v>
      </c>
      <c r="W16" s="161">
        <f>+T16*V16</f>
        <v>816000</v>
      </c>
      <c r="X16" s="161">
        <f>+U16*V16</f>
        <v>652800</v>
      </c>
    </row>
    <row r="17" spans="1:24" ht="13.5" thickBot="1">
      <c r="A17" s="1013"/>
      <c r="B17" s="227"/>
      <c r="C17" s="228"/>
      <c r="D17" s="229"/>
      <c r="E17" s="236"/>
      <c r="F17" s="239">
        <v>10</v>
      </c>
      <c r="G17" s="243" t="s">
        <v>12</v>
      </c>
      <c r="H17" s="574" t="s">
        <v>493</v>
      </c>
      <c r="I17" s="1011"/>
      <c r="J17" s="226">
        <f>+'2'!J17</f>
        <v>0</v>
      </c>
      <c r="K17" s="240"/>
      <c r="L17" s="240"/>
      <c r="M17" s="129">
        <f>+K17+'2'!M17+L17</f>
        <v>0</v>
      </c>
      <c r="V17" s="161">
        <f>SUM(V14:V16)</f>
        <v>1375</v>
      </c>
      <c r="W17" s="161">
        <f>SUM(W14:W16)</f>
        <v>2207750</v>
      </c>
      <c r="X17" s="161">
        <f>SUM(X14:X16)</f>
        <v>1760037.5</v>
      </c>
    </row>
    <row r="18" spans="1:24" ht="39" thickBot="1">
      <c r="A18" s="1013"/>
      <c r="B18" s="227"/>
      <c r="C18" s="228"/>
      <c r="D18" s="229"/>
      <c r="E18" s="236"/>
      <c r="F18" s="594">
        <v>355</v>
      </c>
      <c r="G18" s="243" t="s">
        <v>500</v>
      </c>
      <c r="H18" s="574" t="s">
        <v>484</v>
      </c>
      <c r="I18" s="1011"/>
      <c r="J18" s="226">
        <f>+'2'!J18</f>
        <v>0</v>
      </c>
      <c r="K18" s="250"/>
      <c r="L18" s="250"/>
      <c r="M18" s="129">
        <f>+K18+'2'!M18+L18</f>
        <v>0</v>
      </c>
      <c r="W18" s="161">
        <f>+W17/V17</f>
        <v>1605.6363636363637</v>
      </c>
      <c r="X18" s="161">
        <f>+X17/V17</f>
        <v>1280.0272727272727</v>
      </c>
    </row>
    <row r="19" spans="1:24" ht="13.5" thickBot="1">
      <c r="A19" s="1013"/>
      <c r="B19" s="227"/>
      <c r="C19" s="228"/>
      <c r="D19" s="229"/>
      <c r="E19" s="236"/>
      <c r="F19" s="246"/>
      <c r="G19" s="243"/>
      <c r="H19" s="244" t="s">
        <v>485</v>
      </c>
      <c r="I19" s="1011"/>
      <c r="J19" s="226">
        <f>+'2'!J19</f>
        <v>0</v>
      </c>
      <c r="K19" s="250"/>
      <c r="L19" s="250"/>
      <c r="M19" s="129">
        <f>+K19+'2'!M19+L19</f>
        <v>0</v>
      </c>
    </row>
    <row r="20" spans="1:24" ht="13.5" thickBot="1">
      <c r="A20" s="1013"/>
      <c r="B20" s="227"/>
      <c r="C20" s="228"/>
      <c r="D20" s="229"/>
      <c r="E20" s="236"/>
      <c r="F20" s="239">
        <v>65</v>
      </c>
      <c r="G20" s="243" t="s">
        <v>69</v>
      </c>
      <c r="H20" s="244" t="s">
        <v>486</v>
      </c>
      <c r="I20" s="1011"/>
      <c r="J20" s="226">
        <f>+'2'!J20</f>
        <v>0</v>
      </c>
      <c r="K20" s="251"/>
      <c r="L20" s="251"/>
      <c r="M20" s="129">
        <f>+K20+'2'!M20+L20</f>
        <v>0</v>
      </c>
    </row>
    <row r="21" spans="1:24" ht="13.5" thickBot="1">
      <c r="A21" s="1013"/>
      <c r="B21" s="227"/>
      <c r="C21" s="228"/>
      <c r="D21" s="229"/>
      <c r="E21" s="236"/>
      <c r="F21" s="242"/>
      <c r="G21" s="243"/>
      <c r="H21" s="502" t="s">
        <v>487</v>
      </c>
      <c r="I21" s="1011"/>
      <c r="J21" s="226">
        <f>+'2'!J21</f>
        <v>0</v>
      </c>
      <c r="K21" s="250"/>
      <c r="L21" s="250"/>
      <c r="M21" s="129">
        <f>+K21+'2'!M21+L21</f>
        <v>0</v>
      </c>
      <c r="T21" s="161">
        <v>1400</v>
      </c>
      <c r="U21" s="161">
        <f>+T21-T21*0.175</f>
        <v>1155</v>
      </c>
      <c r="V21" s="161">
        <v>55</v>
      </c>
      <c r="W21" s="161">
        <f>+T21*V21</f>
        <v>77000</v>
      </c>
      <c r="X21" s="161">
        <f>+U21*V21</f>
        <v>63525</v>
      </c>
    </row>
    <row r="22" spans="1:24" ht="13.5" thickBot="1">
      <c r="A22" s="1013"/>
      <c r="B22" s="227"/>
      <c r="C22" s="228"/>
      <c r="D22" s="229"/>
      <c r="E22" s="236"/>
      <c r="F22" s="247"/>
      <c r="G22" s="243"/>
      <c r="H22" s="574" t="s">
        <v>488</v>
      </c>
      <c r="I22" s="1012"/>
      <c r="J22" s="226">
        <f>+'2'!J22</f>
        <v>0</v>
      </c>
      <c r="K22" s="250"/>
      <c r="L22" s="250"/>
      <c r="M22" s="129">
        <f>+K22+'2'!M22+L22</f>
        <v>0</v>
      </c>
      <c r="T22" s="161">
        <v>1400</v>
      </c>
      <c r="U22" s="161">
        <f>+T22-T22*0.17</f>
        <v>1162</v>
      </c>
      <c r="V22" s="161">
        <v>10</v>
      </c>
      <c r="W22" s="161">
        <f>+T22*V22</f>
        <v>14000</v>
      </c>
      <c r="X22" s="161">
        <f>+U22*V22</f>
        <v>11620</v>
      </c>
    </row>
    <row r="23" spans="1:24" ht="13.5" thickBot="1">
      <c r="A23" s="1014"/>
      <c r="B23" s="180" t="s">
        <v>2</v>
      </c>
      <c r="C23" s="112">
        <f>SUM(C16:C22)</f>
        <v>4058</v>
      </c>
      <c r="D23" s="123">
        <f>SUM(D16:D22)</f>
        <v>313</v>
      </c>
      <c r="E23" s="124">
        <f>SUM(E18:E22)</f>
        <v>0</v>
      </c>
      <c r="F23" s="128">
        <f>SUM(F15:F22)</f>
        <v>430</v>
      </c>
      <c r="G23" s="171"/>
      <c r="H23" s="178" t="s">
        <v>237</v>
      </c>
      <c r="I23" s="181"/>
      <c r="J23" s="226">
        <f>+'2'!J23</f>
        <v>0</v>
      </c>
      <c r="K23" s="250"/>
      <c r="L23" s="250"/>
      <c r="M23" s="129">
        <f>+K23+'2'!M23+L23</f>
        <v>0</v>
      </c>
      <c r="V23" s="161">
        <f>+V21+V22</f>
        <v>65</v>
      </c>
      <c r="W23" s="161">
        <f>+W21+W22</f>
        <v>91000</v>
      </c>
      <c r="X23" s="161">
        <f>+X21+X22</f>
        <v>75145</v>
      </c>
    </row>
    <row r="24" spans="1:24" ht="13.5" customHeight="1" thickBot="1">
      <c r="A24" s="1007" t="s">
        <v>502</v>
      </c>
      <c r="B24" s="182"/>
      <c r="C24" s="125"/>
      <c r="D24" s="126"/>
      <c r="E24" s="127"/>
      <c r="F24" s="247"/>
      <c r="G24" s="240" t="s">
        <v>12</v>
      </c>
      <c r="H24" s="241" t="s">
        <v>492</v>
      </c>
      <c r="I24" s="1010" t="s">
        <v>496</v>
      </c>
      <c r="J24" s="226">
        <f>+'2'!J24</f>
        <v>0</v>
      </c>
      <c r="K24" s="250"/>
      <c r="L24" s="250"/>
      <c r="M24" s="129">
        <f>+K24+'2'!M24+L24</f>
        <v>0</v>
      </c>
      <c r="W24" s="161">
        <f>+W23/V23</f>
        <v>1400</v>
      </c>
      <c r="X24" s="161">
        <f>+X23/V23</f>
        <v>1156.0769230769231</v>
      </c>
    </row>
    <row r="25" spans="1:24" ht="13.5" thickBot="1">
      <c r="A25" s="1013"/>
      <c r="B25" s="227" t="s">
        <v>454</v>
      </c>
      <c r="C25" s="237">
        <v>17135</v>
      </c>
      <c r="D25" s="229">
        <v>1226</v>
      </c>
      <c r="E25" s="236"/>
      <c r="F25" s="242">
        <v>2</v>
      </c>
      <c r="G25" s="243" t="s">
        <v>12</v>
      </c>
      <c r="H25" s="241" t="s">
        <v>494</v>
      </c>
      <c r="I25" s="1011"/>
      <c r="J25" s="226">
        <f>+'2'!J25</f>
        <v>0</v>
      </c>
      <c r="K25" s="250"/>
      <c r="L25" s="250"/>
      <c r="M25" s="129">
        <f>+K25+'2'!M25+L25</f>
        <v>0</v>
      </c>
    </row>
    <row r="26" spans="1:24" ht="13.5" thickBot="1">
      <c r="A26" s="1013"/>
      <c r="B26" s="227"/>
      <c r="C26" s="237"/>
      <c r="D26" s="229"/>
      <c r="E26" s="238"/>
      <c r="F26" s="242">
        <v>10</v>
      </c>
      <c r="G26" s="243" t="s">
        <v>12</v>
      </c>
      <c r="H26" s="574" t="s">
        <v>450</v>
      </c>
      <c r="I26" s="1011"/>
      <c r="J26" s="226">
        <f>+'2'!J26</f>
        <v>0</v>
      </c>
      <c r="K26" s="250"/>
      <c r="L26" s="250"/>
      <c r="M26" s="129">
        <f>+K26+'2'!M26+L26</f>
        <v>0</v>
      </c>
    </row>
    <row r="27" spans="1:24" ht="13.5" thickBot="1">
      <c r="A27" s="1013"/>
      <c r="B27" s="227"/>
      <c r="C27" s="228"/>
      <c r="D27" s="229"/>
      <c r="E27" s="236"/>
      <c r="F27" s="242"/>
      <c r="G27" s="243"/>
      <c r="H27" s="574" t="s">
        <v>490</v>
      </c>
      <c r="I27" s="1011"/>
      <c r="J27" s="226">
        <f>+'2'!J27</f>
        <v>0</v>
      </c>
      <c r="K27" s="250"/>
      <c r="L27" s="250"/>
      <c r="M27" s="129">
        <f>+K27+'2'!M27+L27</f>
        <v>0</v>
      </c>
    </row>
    <row r="28" spans="1:24" ht="13.5" thickBot="1">
      <c r="A28" s="1013"/>
      <c r="B28" s="227"/>
      <c r="C28" s="228"/>
      <c r="D28" s="229"/>
      <c r="E28" s="236"/>
      <c r="F28" s="242"/>
      <c r="G28" s="243"/>
      <c r="H28" s="244"/>
      <c r="I28" s="1011"/>
      <c r="J28" s="226">
        <f>+'2'!J28</f>
        <v>0</v>
      </c>
      <c r="K28" s="250"/>
      <c r="L28" s="250"/>
      <c r="M28" s="129">
        <f>+K28+'2'!M28+L28</f>
        <v>0</v>
      </c>
    </row>
    <row r="29" spans="1:24" ht="13.5" thickBot="1">
      <c r="A29" s="1013"/>
      <c r="B29" s="227"/>
      <c r="C29" s="228"/>
      <c r="D29" s="229"/>
      <c r="E29" s="236"/>
      <c r="F29" s="247"/>
      <c r="G29" s="243"/>
      <c r="H29" s="244"/>
      <c r="I29" s="1011"/>
      <c r="J29" s="226">
        <f>+'2'!J29</f>
        <v>0</v>
      </c>
      <c r="K29" s="250"/>
      <c r="L29" s="250"/>
      <c r="M29" s="129">
        <f>+K29+'2'!M29+L29</f>
        <v>0</v>
      </c>
    </row>
    <row r="30" spans="1:2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26">
        <f>+'2'!J30</f>
        <v>0</v>
      </c>
      <c r="K30" s="250"/>
      <c r="L30" s="250"/>
      <c r="M30" s="129">
        <f>+K30+'2'!M30+L30</f>
        <v>0</v>
      </c>
      <c r="N30" s="167"/>
    </row>
    <row r="31" spans="1:24" ht="13.5" thickBot="1">
      <c r="A31" s="1013"/>
      <c r="B31" s="227"/>
      <c r="C31" s="237"/>
      <c r="D31" s="229"/>
      <c r="E31" s="236"/>
      <c r="F31" s="247"/>
      <c r="G31" s="248"/>
      <c r="H31" s="466"/>
      <c r="I31" s="1012"/>
      <c r="J31" s="226">
        <f>+'2'!J31</f>
        <v>0</v>
      </c>
      <c r="K31" s="250"/>
      <c r="L31" s="250"/>
      <c r="M31" s="129">
        <f>+K31+'2'!M31+L31</f>
        <v>0</v>
      </c>
    </row>
    <row r="32" spans="1:24" ht="13.5" thickBot="1">
      <c r="A32" s="1014"/>
      <c r="B32" s="177" t="s">
        <v>2</v>
      </c>
      <c r="C32" s="111">
        <f>SUM(C25:C31)</f>
        <v>17135</v>
      </c>
      <c r="D32" s="112">
        <f>SUM(D25:D31)</f>
        <v>1226</v>
      </c>
      <c r="E32" s="113">
        <f>SUM(E25:E31)</f>
        <v>0</v>
      </c>
      <c r="F32" s="114">
        <f>SUM(F24:F31)</f>
        <v>12</v>
      </c>
      <c r="G32" s="183"/>
      <c r="H32" s="184"/>
      <c r="I32" s="181"/>
      <c r="J32" s="226">
        <f>+'2'!J32</f>
        <v>0</v>
      </c>
      <c r="K32" s="252"/>
      <c r="L32" s="254"/>
      <c r="M32" s="129">
        <f>+K32+'2'!M32+L32</f>
        <v>0</v>
      </c>
    </row>
    <row r="33" spans="1:14" ht="13.5" thickBot="1">
      <c r="A33" s="185"/>
      <c r="B33" s="186"/>
      <c r="C33" s="115">
        <f>C32/($C$32+$D$32+$E$32)</f>
        <v>0.93322803768857909</v>
      </c>
      <c r="D33" s="116">
        <f>D32/($C$32+$D$32+$E$32)</f>
        <v>6.6771962311420949E-2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23981</v>
      </c>
      <c r="D34" s="119">
        <f>D14+D23+D32</f>
        <v>1539</v>
      </c>
      <c r="E34" s="119">
        <f>E14+E23+E32</f>
        <v>0</v>
      </c>
      <c r="F34" s="120">
        <f>F14+F23+F32</f>
        <v>892</v>
      </c>
      <c r="H34" s="190"/>
      <c r="I34" s="190"/>
      <c r="J34" s="135" t="s">
        <v>28</v>
      </c>
      <c r="K34" s="136">
        <f>SUM(K7:K32)</f>
        <v>23981</v>
      </c>
      <c r="L34" s="224">
        <f>SUM(L7:L32)</f>
        <v>0</v>
      </c>
      <c r="M34" s="132">
        <f>SUM(M7:M32)</f>
        <v>110378</v>
      </c>
      <c r="N34" s="167"/>
    </row>
    <row r="35" spans="1:14" ht="13.5" thickBot="1">
      <c r="A35" s="191"/>
      <c r="B35" s="192"/>
      <c r="C35" s="116">
        <f>C34/($C$34+$D$34+$E$34)</f>
        <v>0.9396943573667712</v>
      </c>
      <c r="D35" s="116">
        <f>D34/($C$34+$D$34+$E$34)</f>
        <v>6.0305642633228837E-2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  <c r="N36" s="558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0"/>
      <c r="H37" s="198" t="s">
        <v>63</v>
      </c>
      <c r="I37" s="255">
        <f>(16.5*570)/570*G42*2.77*570/1000000</f>
        <v>29.895759333000001</v>
      </c>
      <c r="J37" s="137">
        <f>+I37+'2'!J37</f>
        <v>166.58438732609636</v>
      </c>
      <c r="K37" s="138" t="s">
        <v>64</v>
      </c>
      <c r="N37" s="558"/>
    </row>
    <row r="38" spans="1:14" ht="17.45" customHeight="1">
      <c r="A38" s="1005" t="s">
        <v>12</v>
      </c>
      <c r="B38" s="1006"/>
      <c r="C38" s="176">
        <f>SUMIF($G$7:$G$31,"Process",$F$7:$F$31)</f>
        <v>22</v>
      </c>
      <c r="D38" s="130">
        <f>+C38+'2'!D38</f>
        <v>280</v>
      </c>
      <c r="E38" s="155">
        <f t="shared" ref="E38:E51" si="0">D38/60</f>
        <v>4.666666666666667</v>
      </c>
      <c r="F38" s="340">
        <v>1100</v>
      </c>
      <c r="G38" s="340">
        <f>+F38-F38*0.0035</f>
        <v>1096.1500000000001</v>
      </c>
      <c r="H38" s="199" t="s">
        <v>65</v>
      </c>
      <c r="I38" s="549">
        <f>22.678+4.854+3.141</f>
        <v>30.673000000000002</v>
      </c>
      <c r="J38" s="139">
        <f>+I38+'2'!J38</f>
        <v>133.46722201</v>
      </c>
      <c r="K38" s="140" t="s">
        <v>64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+C39+'2'!D39</f>
        <v>0</v>
      </c>
      <c r="E39" s="155">
        <f t="shared" si="0"/>
        <v>0</v>
      </c>
      <c r="F39" s="340">
        <v>1190</v>
      </c>
      <c r="G39" s="340">
        <f>+F39-F39*0.0035</f>
        <v>1185.835</v>
      </c>
      <c r="H39" s="199" t="s">
        <v>66</v>
      </c>
      <c r="I39" s="154"/>
      <c r="J39" s="141">
        <f>J37/G4</f>
        <v>55.528129108698785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+C40+'2'!D40</f>
        <v>0</v>
      </c>
      <c r="E40" s="155">
        <f t="shared" si="0"/>
        <v>0</v>
      </c>
      <c r="F40" s="340">
        <v>1150</v>
      </c>
      <c r="G40" s="340">
        <f>+F40-F40*0.0035</f>
        <v>1145.9749999999999</v>
      </c>
      <c r="H40" s="199" t="s">
        <v>68</v>
      </c>
      <c r="I40" s="130">
        <f>(K34+L34)/1000</f>
        <v>23.981000000000002</v>
      </c>
      <c r="J40" s="143">
        <f>+I40+'2'!J40</f>
        <v>110.37800000000001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65</v>
      </c>
      <c r="D41" s="130">
        <f>+C41+'2'!D41</f>
        <v>65</v>
      </c>
      <c r="E41" s="155">
        <f t="shared" si="0"/>
        <v>1.0833333333333333</v>
      </c>
      <c r="F41" s="340"/>
      <c r="G41" s="340"/>
      <c r="H41" s="199" t="s">
        <v>70</v>
      </c>
      <c r="I41" s="154"/>
      <c r="J41" s="141">
        <f>J40/G4</f>
        <v>36.792666666666669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+C42+'2'!D42</f>
        <v>0</v>
      </c>
      <c r="E42" s="155">
        <f t="shared" si="0"/>
        <v>0</v>
      </c>
      <c r="F42" s="340">
        <f>+(F38*30+F39*60+F40*480)/570</f>
        <v>1151.578947368421</v>
      </c>
      <c r="G42" s="340">
        <f>+(G38*30+G39*60+G40*480)/570</f>
        <v>1147.5484210526315</v>
      </c>
      <c r="H42" s="199" t="s">
        <v>71</v>
      </c>
      <c r="I42" s="257" t="s">
        <v>489</v>
      </c>
      <c r="J42" s="144"/>
      <c r="K42" s="142" t="s">
        <v>72</v>
      </c>
    </row>
    <row r="43" spans="1:14" ht="17.45" customHeight="1">
      <c r="A43" s="1001" t="s">
        <v>204</v>
      </c>
      <c r="B43" s="1002"/>
      <c r="C43" s="176">
        <f>SUMIF($G$7:$G$31,"Change Grade",$F$7:$F$31)</f>
        <v>0</v>
      </c>
      <c r="D43" s="130">
        <f>+C43+'2'!D43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+Report1!T11</f>
        <v>67.695999999999998</v>
      </c>
      <c r="J43" s="145">
        <f>+I43+'2'!J43</f>
        <v>346.09900000000005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+C44+'2'!D44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2.2070224627522577</v>
      </c>
      <c r="J44" s="146">
        <f>J43/J38</f>
        <v>2.5931385608225863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+C45+'2'!D45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2.8229014636587295</v>
      </c>
      <c r="J45" s="146">
        <f>J43/J40</f>
        <v>3.1355795538966098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+C46+'2'!D46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+SUMIF(Listrik!AR10,"&gt;0")</f>
        <v>59765.199999999037</v>
      </c>
      <c r="J46" s="147">
        <f>+I46+'2'!J46</f>
        <v>140687.7599999989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+C47+'2'!D47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1948.4628174615796</v>
      </c>
      <c r="J47" s="147">
        <f>J46/J38</f>
        <v>1054.099709885757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+C48+'2'!D48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2492.1896501396536</v>
      </c>
      <c r="J48" s="147">
        <f>J46/J40</f>
        <v>1274.5996484806653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+C49+'2'!D49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+I49+'2'!J49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+C50+'2'!D50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805</v>
      </c>
      <c r="D51" s="130">
        <f>+C51+'2'!D51</f>
        <v>805</v>
      </c>
      <c r="E51" s="155">
        <f t="shared" si="0"/>
        <v>13.416666666666666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892</v>
      </c>
      <c r="D52" s="156">
        <f>SUM(D38:D51)</f>
        <v>1213</v>
      </c>
      <c r="E52" s="157">
        <f>SUM(E38:E51)</f>
        <v>20.216666666666665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0.61944444444444446</v>
      </c>
      <c r="D53" s="158">
        <f>D52/(24*60*G4)</f>
        <v>0.28078703703703706</v>
      </c>
      <c r="E53" s="159">
        <f>E52/(G4*24)</f>
        <v>0.280787037037037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+D34+'2'!J56</f>
        <v>12095</v>
      </c>
      <c r="K56" s="213">
        <f>J56/(J40+J56/1000)/1000</f>
        <v>9.8756460607644134E-2</v>
      </c>
    </row>
    <row r="57" spans="1:11">
      <c r="A57" s="188"/>
      <c r="I57" s="211" t="s">
        <v>90</v>
      </c>
      <c r="J57" s="212">
        <f>+E34+'2'!J57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17" right="0.16" top="0.17" bottom="0.16" header="0" footer="0"/>
  <pageSetup paperSize="9" scale="57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4" style="122" bestFit="1" customWidth="1"/>
    <col min="7" max="7" width="15.140625" style="16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4.42578125" style="161" bestFit="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</v>
      </c>
      <c r="H4" s="166" t="str">
        <f>+'1'!H4</f>
        <v>.12.25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170+234+230</f>
        <v>634</v>
      </c>
    </row>
    <row r="7" spans="1:15" ht="13.5" customHeight="1" thickBot="1">
      <c r="A7" s="1007" t="s">
        <v>461</v>
      </c>
      <c r="B7" s="227" t="s">
        <v>454</v>
      </c>
      <c r="C7" s="228">
        <v>7447</v>
      </c>
      <c r="D7" s="229">
        <v>1079</v>
      </c>
      <c r="E7" s="230"/>
      <c r="F7" s="239">
        <v>11</v>
      </c>
      <c r="G7" s="240" t="s">
        <v>12</v>
      </c>
      <c r="H7" s="241" t="s">
        <v>477</v>
      </c>
      <c r="I7" s="1010" t="s">
        <v>442</v>
      </c>
      <c r="J7" s="226" t="str">
        <f>+'1'!J7</f>
        <v>F 13 VP OW</v>
      </c>
      <c r="K7" s="249"/>
      <c r="L7" s="253"/>
      <c r="M7" s="129">
        <f>+K7+'1'!M7+L7</f>
        <v>3700</v>
      </c>
    </row>
    <row r="8" spans="1:15" ht="13.5" thickBot="1">
      <c r="A8" s="1008"/>
      <c r="B8" s="227" t="s">
        <v>453</v>
      </c>
      <c r="C8" s="228">
        <f>700+2268</f>
        <v>2968</v>
      </c>
      <c r="D8" s="229">
        <v>571</v>
      </c>
      <c r="E8" s="231"/>
      <c r="F8" s="242"/>
      <c r="G8" s="243" t="s">
        <v>12</v>
      </c>
      <c r="H8" s="241" t="s">
        <v>448</v>
      </c>
      <c r="I8" s="1011"/>
      <c r="J8" s="226" t="str">
        <f>+'1'!J8</f>
        <v>MG 15,5 VP OW</v>
      </c>
      <c r="K8" s="250">
        <f>+C8</f>
        <v>2968</v>
      </c>
      <c r="L8" s="250"/>
      <c r="M8" s="129">
        <f>+K8+'1'!M8+L8</f>
        <v>40782</v>
      </c>
      <c r="N8" s="161">
        <v>1100</v>
      </c>
      <c r="O8" s="161">
        <f>+N8-N8*0.0035</f>
        <v>1096.1500000000001</v>
      </c>
    </row>
    <row r="9" spans="1:15" ht="13.5" thickBot="1">
      <c r="A9" s="1008"/>
      <c r="B9" s="227"/>
      <c r="C9" s="228"/>
      <c r="D9" s="229"/>
      <c r="E9" s="232"/>
      <c r="F9" s="239">
        <v>10</v>
      </c>
      <c r="G9" s="243" t="s">
        <v>12</v>
      </c>
      <c r="H9" s="574" t="s">
        <v>476</v>
      </c>
      <c r="I9" s="1011"/>
      <c r="J9" s="226" t="str">
        <f>+'1'!J9</f>
        <v>MG 16,5 VP HW</v>
      </c>
      <c r="K9" s="250">
        <f>+C7+C16+C25</f>
        <v>41915</v>
      </c>
      <c r="L9" s="250"/>
      <c r="M9" s="129">
        <f>+K9+'1'!M9+L9</f>
        <v>41915</v>
      </c>
    </row>
    <row r="10" spans="1:15" ht="13.5" thickBot="1">
      <c r="A10" s="1008"/>
      <c r="B10" s="227"/>
      <c r="C10" s="228"/>
      <c r="D10" s="229"/>
      <c r="E10" s="231"/>
      <c r="F10" s="239"/>
      <c r="G10" s="243"/>
      <c r="H10" s="574" t="s">
        <v>470</v>
      </c>
      <c r="I10" s="1011"/>
      <c r="J10" s="226">
        <f>+'1'!J10</f>
        <v>0</v>
      </c>
      <c r="K10" s="250"/>
      <c r="L10" s="250"/>
      <c r="M10" s="129">
        <f>+K10+'1'!M10+L10</f>
        <v>0</v>
      </c>
    </row>
    <row r="11" spans="1:15" ht="13.5" thickBot="1">
      <c r="A11" s="1008"/>
      <c r="B11" s="227"/>
      <c r="C11" s="228"/>
      <c r="D11" s="229"/>
      <c r="E11" s="231"/>
      <c r="F11" s="239"/>
      <c r="G11" s="243"/>
      <c r="H11" s="574" t="s">
        <v>428</v>
      </c>
      <c r="I11" s="1011"/>
      <c r="J11" s="226">
        <f>+'1'!J11</f>
        <v>0</v>
      </c>
      <c r="K11" s="250"/>
      <c r="L11" s="250"/>
      <c r="M11" s="129">
        <f>+K11+'1'!M11+L11</f>
        <v>0</v>
      </c>
    </row>
    <row r="12" spans="1:15" ht="13.5" thickBot="1">
      <c r="A12" s="1008"/>
      <c r="B12" s="227"/>
      <c r="C12" s="228"/>
      <c r="D12" s="229"/>
      <c r="E12" s="231"/>
      <c r="F12" s="239"/>
      <c r="G12" s="243"/>
      <c r="H12" s="574"/>
      <c r="I12" s="1011"/>
      <c r="J12" s="226">
        <f>+'1'!J12</f>
        <v>0</v>
      </c>
      <c r="K12" s="250"/>
      <c r="L12" s="250"/>
      <c r="M12" s="129">
        <f>+K12+'1'!M12+L12</f>
        <v>0</v>
      </c>
    </row>
    <row r="13" spans="1:15" ht="13.5" thickBot="1">
      <c r="A13" s="1008"/>
      <c r="B13" s="227"/>
      <c r="C13" s="228"/>
      <c r="D13" s="228"/>
      <c r="E13" s="231"/>
      <c r="F13" s="239"/>
      <c r="G13" s="243"/>
      <c r="H13" s="244"/>
      <c r="I13" s="1012"/>
      <c r="J13" s="226">
        <f>+'1'!J13</f>
        <v>0</v>
      </c>
      <c r="K13" s="250"/>
      <c r="L13" s="250"/>
      <c r="M13" s="129">
        <f>+K13+'1'!M13+L13</f>
        <v>0</v>
      </c>
    </row>
    <row r="14" spans="1:15" ht="13.5" thickBot="1">
      <c r="A14" s="1009"/>
      <c r="B14" s="177" t="s">
        <v>2</v>
      </c>
      <c r="C14" s="111">
        <f>SUM(C7:C13)</f>
        <v>10415</v>
      </c>
      <c r="D14" s="123">
        <f>SUM(D7:D13)</f>
        <v>1650</v>
      </c>
      <c r="E14" s="124">
        <f>SUM(E5:E13)</f>
        <v>0</v>
      </c>
      <c r="F14" s="128">
        <f>SUM(F7:F13)</f>
        <v>21</v>
      </c>
      <c r="G14" s="171"/>
      <c r="H14" s="178"/>
      <c r="I14" s="179"/>
      <c r="J14" s="226">
        <f>+'1'!J14</f>
        <v>0</v>
      </c>
      <c r="K14" s="250"/>
      <c r="L14" s="250"/>
      <c r="M14" s="129">
        <f>+K14+'1'!M14+L14</f>
        <v>0</v>
      </c>
    </row>
    <row r="15" spans="1:15" ht="13.5" customHeight="1" thickBot="1">
      <c r="A15" s="1007" t="s">
        <v>462</v>
      </c>
      <c r="B15" s="177"/>
      <c r="C15" s="125"/>
      <c r="D15" s="126"/>
      <c r="E15" s="127"/>
      <c r="F15" s="239">
        <v>11</v>
      </c>
      <c r="G15" s="240" t="s">
        <v>12</v>
      </c>
      <c r="H15" s="241" t="s">
        <v>477</v>
      </c>
      <c r="I15" s="1010" t="s">
        <v>442</v>
      </c>
      <c r="J15" s="226">
        <f>+'1'!J15</f>
        <v>0</v>
      </c>
      <c r="K15" s="250"/>
      <c r="L15" s="250"/>
      <c r="M15" s="129">
        <f>+K15+'1'!M15+L15</f>
        <v>0</v>
      </c>
    </row>
    <row r="16" spans="1:15" ht="13.5" thickBot="1">
      <c r="A16" s="1013"/>
      <c r="B16" s="227" t="s">
        <v>454</v>
      </c>
      <c r="C16" s="233">
        <v>14240</v>
      </c>
      <c r="D16" s="234">
        <v>3237</v>
      </c>
      <c r="E16" s="235"/>
      <c r="F16" s="239"/>
      <c r="G16" s="243" t="s">
        <v>12</v>
      </c>
      <c r="H16" s="241" t="s">
        <v>448</v>
      </c>
      <c r="I16" s="1011"/>
      <c r="J16" s="226">
        <f>+'1'!J16</f>
        <v>0</v>
      </c>
      <c r="K16" s="240"/>
      <c r="L16" s="240"/>
      <c r="M16" s="129">
        <f>+K16+'1'!M16+L16</f>
        <v>0</v>
      </c>
    </row>
    <row r="17" spans="1:14" ht="13.5" thickBot="1">
      <c r="A17" s="1013"/>
      <c r="B17" s="227"/>
      <c r="C17" s="228"/>
      <c r="D17" s="229"/>
      <c r="E17" s="236"/>
      <c r="F17" s="239">
        <v>10</v>
      </c>
      <c r="G17" s="243" t="s">
        <v>12</v>
      </c>
      <c r="H17" s="574" t="s">
        <v>476</v>
      </c>
      <c r="I17" s="1011"/>
      <c r="J17" s="226">
        <f>+'1'!J17</f>
        <v>0</v>
      </c>
      <c r="K17" s="240"/>
      <c r="L17" s="240"/>
      <c r="M17" s="129">
        <f>+K17+'1'!M17+L17</f>
        <v>0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470</v>
      </c>
      <c r="I18" s="1011"/>
      <c r="J18" s="226">
        <f>+'1'!J18</f>
        <v>0</v>
      </c>
      <c r="K18" s="250"/>
      <c r="L18" s="250"/>
      <c r="M18" s="129">
        <f>+K18+'1'!M18+L18</f>
        <v>0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574" t="s">
        <v>428</v>
      </c>
      <c r="I19" s="1011"/>
      <c r="J19" s="226">
        <f>+'1'!J19</f>
        <v>0</v>
      </c>
      <c r="K19" s="250"/>
      <c r="L19" s="250"/>
      <c r="M19" s="129">
        <f>+K19+'1'!M19+L19</f>
        <v>0</v>
      </c>
    </row>
    <row r="20" spans="1:14" ht="26.25" thickBot="1">
      <c r="A20" s="1013"/>
      <c r="B20" s="227"/>
      <c r="C20" s="228"/>
      <c r="D20" s="229"/>
      <c r="E20" s="236"/>
      <c r="F20" s="239">
        <f>30+33</f>
        <v>63</v>
      </c>
      <c r="G20" s="243" t="s">
        <v>17</v>
      </c>
      <c r="H20" s="574" t="s">
        <v>471</v>
      </c>
      <c r="I20" s="1011"/>
      <c r="J20" s="226">
        <f>+'1'!J20</f>
        <v>0</v>
      </c>
      <c r="K20" s="251"/>
      <c r="L20" s="251"/>
      <c r="M20" s="129">
        <f>+K20+'1'!M20+L20</f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 t="s">
        <v>472</v>
      </c>
      <c r="I21" s="1011"/>
      <c r="J21" s="226">
        <f>+'1'!J21</f>
        <v>0</v>
      </c>
      <c r="K21" s="250"/>
      <c r="L21" s="250"/>
      <c r="M21" s="129">
        <f>+K21+'1'!M21+L21</f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 t="s">
        <v>473</v>
      </c>
      <c r="I22" s="1012"/>
      <c r="J22" s="226">
        <f>+'1'!J22</f>
        <v>0</v>
      </c>
      <c r="K22" s="250"/>
      <c r="L22" s="250"/>
      <c r="M22" s="129">
        <f>+K22+'1'!M22+L22</f>
        <v>0</v>
      </c>
    </row>
    <row r="23" spans="1:14" ht="13.5" thickBot="1">
      <c r="A23" s="1014"/>
      <c r="B23" s="180" t="s">
        <v>2</v>
      </c>
      <c r="C23" s="112">
        <f>SUM(C16:C22)</f>
        <v>14240</v>
      </c>
      <c r="D23" s="123">
        <f>SUM(D16:D22)</f>
        <v>3237</v>
      </c>
      <c r="E23" s="124">
        <f>SUM(E18:E22)</f>
        <v>0</v>
      </c>
      <c r="F23" s="128">
        <f>SUM(F15:F22)</f>
        <v>84</v>
      </c>
      <c r="G23" s="171"/>
      <c r="H23" s="178" t="s">
        <v>237</v>
      </c>
      <c r="I23" s="181"/>
      <c r="J23" s="226">
        <f>+'1'!J23</f>
        <v>0</v>
      </c>
      <c r="K23" s="250"/>
      <c r="L23" s="250"/>
      <c r="M23" s="129">
        <f>+K23+'1'!M23+L23</f>
        <v>0</v>
      </c>
    </row>
    <row r="24" spans="1:14" ht="13.5" customHeight="1" thickBot="1">
      <c r="A24" s="1007" t="s">
        <v>463</v>
      </c>
      <c r="B24" s="182"/>
      <c r="C24" s="125"/>
      <c r="D24" s="126"/>
      <c r="E24" s="127"/>
      <c r="F24" s="247">
        <v>40</v>
      </c>
      <c r="G24" s="240" t="s">
        <v>12</v>
      </c>
      <c r="H24" s="241" t="s">
        <v>451</v>
      </c>
      <c r="I24" s="1010" t="s">
        <v>442</v>
      </c>
      <c r="J24" s="226">
        <f>+'1'!J24</f>
        <v>0</v>
      </c>
      <c r="K24" s="250"/>
      <c r="L24" s="250"/>
      <c r="M24" s="129">
        <f>+K24+'1'!M24+L24</f>
        <v>0</v>
      </c>
    </row>
    <row r="25" spans="1:14" ht="13.5" thickBot="1">
      <c r="A25" s="1013"/>
      <c r="B25" s="227" t="s">
        <v>454</v>
      </c>
      <c r="C25" s="237">
        <v>20228</v>
      </c>
      <c r="D25" s="229">
        <v>315</v>
      </c>
      <c r="E25" s="236"/>
      <c r="F25" s="242"/>
      <c r="G25" s="243" t="s">
        <v>12</v>
      </c>
      <c r="H25" s="241" t="s">
        <v>448</v>
      </c>
      <c r="I25" s="1011"/>
      <c r="J25" s="226">
        <f>+'1'!J25</f>
        <v>0</v>
      </c>
      <c r="K25" s="250"/>
      <c r="L25" s="250"/>
      <c r="M25" s="129">
        <f>+K25+'1'!M25+L25</f>
        <v>0</v>
      </c>
    </row>
    <row r="26" spans="1:14" ht="13.5" thickBot="1">
      <c r="A26" s="1013"/>
      <c r="B26" s="227"/>
      <c r="C26" s="237"/>
      <c r="D26" s="229"/>
      <c r="E26" s="238"/>
      <c r="F26" s="242">
        <v>8</v>
      </c>
      <c r="G26" s="243" t="s">
        <v>12</v>
      </c>
      <c r="H26" s="574" t="s">
        <v>450</v>
      </c>
      <c r="I26" s="1011"/>
      <c r="J26" s="226">
        <f>+'1'!J26</f>
        <v>0</v>
      </c>
      <c r="K26" s="250"/>
      <c r="L26" s="250"/>
      <c r="M26" s="129">
        <f>+K26+'1'!M26+L26</f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470</v>
      </c>
      <c r="I27" s="1011"/>
      <c r="J27" s="226">
        <f>+'1'!J27</f>
        <v>0</v>
      </c>
      <c r="K27" s="250"/>
      <c r="L27" s="250"/>
      <c r="M27" s="129">
        <f>+K27+'1'!M27+L27</f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574" t="s">
        <v>428</v>
      </c>
      <c r="I28" s="1011"/>
      <c r="J28" s="226">
        <f>+'1'!J28</f>
        <v>0</v>
      </c>
      <c r="K28" s="250"/>
      <c r="L28" s="250"/>
      <c r="M28" s="129">
        <f>+K28+'1'!M28+L28</f>
        <v>0</v>
      </c>
    </row>
    <row r="29" spans="1:14" ht="13.5" thickBot="1">
      <c r="A29" s="1013"/>
      <c r="B29" s="227"/>
      <c r="C29" s="228"/>
      <c r="D29" s="229"/>
      <c r="E29" s="236"/>
      <c r="F29" s="247"/>
      <c r="G29" s="243"/>
      <c r="H29" s="244" t="s">
        <v>474</v>
      </c>
      <c r="I29" s="1011"/>
      <c r="J29" s="226">
        <f>+'1'!J29</f>
        <v>0</v>
      </c>
      <c r="K29" s="250"/>
      <c r="L29" s="250"/>
      <c r="M29" s="129">
        <f>+K29+'1'!M29+L29</f>
        <v>0</v>
      </c>
    </row>
    <row r="30" spans="1:14" ht="26.25" thickBot="1">
      <c r="A30" s="1013"/>
      <c r="B30" s="227"/>
      <c r="C30" s="237"/>
      <c r="D30" s="229"/>
      <c r="E30" s="236"/>
      <c r="F30" s="247"/>
      <c r="G30" s="243"/>
      <c r="H30" s="244" t="s">
        <v>475</v>
      </c>
      <c r="I30" s="1011"/>
      <c r="J30" s="226">
        <f>+'1'!J30</f>
        <v>0</v>
      </c>
      <c r="K30" s="250"/>
      <c r="L30" s="250"/>
      <c r="M30" s="129">
        <f>+K30+'1'!M30+L30</f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466"/>
      <c r="I31" s="1012"/>
      <c r="J31" s="226">
        <f>+'1'!J31</f>
        <v>0</v>
      </c>
      <c r="K31" s="250"/>
      <c r="L31" s="250"/>
      <c r="M31" s="129">
        <f>+K31+'1'!M31+L31</f>
        <v>0</v>
      </c>
    </row>
    <row r="32" spans="1:14" ht="13.5" thickBot="1">
      <c r="A32" s="1014"/>
      <c r="B32" s="177" t="s">
        <v>2</v>
      </c>
      <c r="C32" s="111">
        <f>SUM(C25:C31)</f>
        <v>20228</v>
      </c>
      <c r="D32" s="112">
        <f>SUM(D25:D31)</f>
        <v>315</v>
      </c>
      <c r="E32" s="113">
        <f>SUM(E25:E31)</f>
        <v>0</v>
      </c>
      <c r="F32" s="114">
        <f>SUM(F24:F31)</f>
        <v>48</v>
      </c>
      <c r="G32" s="183"/>
      <c r="H32" s="184"/>
      <c r="I32" s="181"/>
      <c r="J32" s="226">
        <f>+'1'!J32</f>
        <v>0</v>
      </c>
      <c r="K32" s="252"/>
      <c r="L32" s="254"/>
      <c r="M32" s="129">
        <f>+K32+'1'!M32+L32</f>
        <v>0</v>
      </c>
    </row>
    <row r="33" spans="1:14" ht="13.5" thickBot="1">
      <c r="A33" s="185"/>
      <c r="B33" s="186"/>
      <c r="C33" s="115">
        <f>C32/($C$32+$D$32+$E$32)</f>
        <v>0.98466630969186586</v>
      </c>
      <c r="D33" s="116">
        <f>D32/($C$32+$D$32+$E$32)</f>
        <v>1.5333690308134158E-2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44883</v>
      </c>
      <c r="D34" s="119">
        <f>D14+D23+D32</f>
        <v>5202</v>
      </c>
      <c r="E34" s="119">
        <f>E14+E23+E32</f>
        <v>0</v>
      </c>
      <c r="F34" s="120">
        <f>F14+F23+F32</f>
        <v>153</v>
      </c>
      <c r="H34" s="190"/>
      <c r="I34" s="190"/>
      <c r="J34" s="135" t="s">
        <v>28</v>
      </c>
      <c r="K34" s="136">
        <f>SUM(K7:K32)</f>
        <v>44883</v>
      </c>
      <c r="L34" s="224">
        <f>SUM(L7:L32)</f>
        <v>0</v>
      </c>
      <c r="M34" s="132">
        <f>SUM(M7:M32)</f>
        <v>86397</v>
      </c>
      <c r="N34" s="167"/>
    </row>
    <row r="35" spans="1:14" ht="13.5" thickBot="1">
      <c r="A35" s="191"/>
      <c r="B35" s="192"/>
      <c r="C35" s="116">
        <f>C34/($C$34+$D$34+$E$34)</f>
        <v>0.8961365678346811</v>
      </c>
      <c r="D35" s="116">
        <f>D34/($C$34+$D$34+$E$34)</f>
        <v>0.10386343216531896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(16.5*1377)/1377*G42*2.77*1377/1000000</f>
        <v>68.987060727750006</v>
      </c>
      <c r="J37" s="137">
        <f>+I37+'1'!J37</f>
        <v>136.68862799309636</v>
      </c>
      <c r="K37" s="138" t="s">
        <v>64</v>
      </c>
    </row>
    <row r="38" spans="1:14" ht="17.45" customHeight="1">
      <c r="A38" s="1005" t="s">
        <v>12</v>
      </c>
      <c r="B38" s="1006"/>
      <c r="C38" s="176">
        <f>SUMIF($G$7:$G$31,"Process",$F$7:$F$31)</f>
        <v>90</v>
      </c>
      <c r="D38" s="130">
        <f>+C38+'1'!D38</f>
        <v>258</v>
      </c>
      <c r="E38" s="155">
        <f t="shared" ref="E38:E51" si="0">D38/60</f>
        <v>4.3</v>
      </c>
      <c r="F38" s="340">
        <v>1100</v>
      </c>
      <c r="G38" s="340">
        <f>+F38-F38*0.0035</f>
        <v>1096.1500000000001</v>
      </c>
      <c r="H38" s="199" t="s">
        <v>65</v>
      </c>
      <c r="I38" s="549">
        <f>22.032+23.59722201</f>
        <v>45.629222009999999</v>
      </c>
      <c r="J38" s="139">
        <f>+I38+'1'!J38</f>
        <v>102.79422201</v>
      </c>
      <c r="K38" s="140" t="s">
        <v>64</v>
      </c>
      <c r="N38" s="558"/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+C39+'1'!D39</f>
        <v>0</v>
      </c>
      <c r="E39" s="155">
        <f t="shared" si="0"/>
        <v>0</v>
      </c>
      <c r="F39" s="340">
        <v>1100</v>
      </c>
      <c r="G39" s="340">
        <f>+F39-F39*0.0035</f>
        <v>1096.1500000000001</v>
      </c>
      <c r="H39" s="199" t="s">
        <v>66</v>
      </c>
      <c r="I39" s="154"/>
      <c r="J39" s="141">
        <f>J37/G4</f>
        <v>68.344313996548181</v>
      </c>
      <c r="K39" s="142" t="s">
        <v>64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>+C40+'1'!D40</f>
        <v>0</v>
      </c>
      <c r="E40" s="155">
        <f t="shared" si="0"/>
        <v>0</v>
      </c>
      <c r="F40" s="340">
        <v>1100</v>
      </c>
      <c r="G40" s="340">
        <f>+F40-F40*0.0035</f>
        <v>1096.1500000000001</v>
      </c>
      <c r="H40" s="199" t="s">
        <v>68</v>
      </c>
      <c r="I40" s="130">
        <f>(K34+L34)/1000</f>
        <v>44.883000000000003</v>
      </c>
      <c r="J40" s="143">
        <f>+I40+'1'!J40</f>
        <v>86.397000000000006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>+C41+'1'!D41</f>
        <v>0</v>
      </c>
      <c r="E41" s="155">
        <f t="shared" si="0"/>
        <v>0</v>
      </c>
      <c r="F41" s="340"/>
      <c r="G41" s="340"/>
      <c r="H41" s="199" t="s">
        <v>70</v>
      </c>
      <c r="I41" s="154"/>
      <c r="J41" s="141">
        <f>J40/G4</f>
        <v>43.198500000000003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>+C42+'1'!D42</f>
        <v>0</v>
      </c>
      <c r="E42" s="155">
        <f t="shared" si="0"/>
        <v>0</v>
      </c>
      <c r="F42" s="340">
        <f>+(F38*480+F39*417+F40*480)/1377</f>
        <v>1100</v>
      </c>
      <c r="G42" s="340">
        <f>+(G38*480+G39*417+G40*480)/1377</f>
        <v>1096.1500000000001</v>
      </c>
      <c r="H42" s="199" t="s">
        <v>71</v>
      </c>
      <c r="I42" s="257" t="s">
        <v>442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>+C43+'1'!D43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+Report1!T10</f>
        <v>138.376</v>
      </c>
      <c r="J43" s="145">
        <f>+I43+'1'!J43</f>
        <v>278.40300000000002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63</v>
      </c>
      <c r="D44" s="130">
        <f>+C44+'1'!D44</f>
        <v>63</v>
      </c>
      <c r="E44" s="155">
        <f t="shared" si="0"/>
        <v>1.05</v>
      </c>
      <c r="F44" s="340"/>
      <c r="G44" s="341"/>
      <c r="H44" s="200" t="s">
        <v>75</v>
      </c>
      <c r="I44" s="130">
        <f>I43/I38</f>
        <v>3.0326180001419667</v>
      </c>
      <c r="J44" s="146">
        <f>J43/J38</f>
        <v>2.7083526151199093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>+C45+'1'!D45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3.0830381213377001</v>
      </c>
      <c r="J45" s="146">
        <f>J43/J40</f>
        <v>3.2223688322511199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>+C46+'1'!D46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+SUMIF(Listrik!AR9,"&gt;0")</f>
        <v>28575.900000001115</v>
      </c>
      <c r="J46" s="147">
        <f>+I46+'1'!J46</f>
        <v>80922.559999999881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>+C47+'1'!D47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626.26314324926432</v>
      </c>
      <c r="J47" s="147">
        <f>J46/J38</f>
        <v>787.22868287409767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>+C48+'1'!D48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636.67535592543084</v>
      </c>
      <c r="J48" s="147">
        <f>J46/J40</f>
        <v>936.63622579487571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>+C49+'1'!D49</f>
        <v>0</v>
      </c>
      <c r="E49" s="155">
        <f t="shared" si="0"/>
        <v>0</v>
      </c>
      <c r="F49" s="197"/>
      <c r="H49" s="200" t="s">
        <v>186</v>
      </c>
      <c r="I49" s="130">
        <v>0</v>
      </c>
      <c r="J49" s="147">
        <f>+I49+'1'!J49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>+C50+'1'!D50</f>
        <v>0</v>
      </c>
      <c r="E50" s="155">
        <f t="shared" si="0"/>
        <v>0</v>
      </c>
      <c r="F50" s="197"/>
      <c r="H50" s="200" t="s">
        <v>85</v>
      </c>
      <c r="I50" s="152"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>+C51+'1'!D51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153</v>
      </c>
      <c r="D52" s="156">
        <f>SUM(D38:D51)</f>
        <v>321</v>
      </c>
      <c r="E52" s="157">
        <f>SUM(E38:E51)</f>
        <v>5.35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0.10625</v>
      </c>
      <c r="D53" s="158">
        <f>D52/(24*60*G4)</f>
        <v>0.11145833333333334</v>
      </c>
      <c r="E53" s="159">
        <f>E52/(G4*24)</f>
        <v>0.11145833333333333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+D34+'1'!J56</f>
        <v>10556</v>
      </c>
      <c r="K56" s="213">
        <f>J56/(J40+J56/1000)/1000</f>
        <v>0.10887749734407393</v>
      </c>
    </row>
    <row r="57" spans="1:11">
      <c r="A57" s="188"/>
      <c r="I57" s="211" t="s">
        <v>90</v>
      </c>
      <c r="J57" s="212">
        <f>+E34+'1'!J57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3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710937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4.42578125" style="161" bestFit="1" customWidth="1"/>
    <col min="14" max="14" width="9.140625" style="161" bestFit="1"/>
    <col min="15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</v>
      </c>
      <c r="H4" s="166" t="s">
        <v>432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212+190+192</f>
        <v>594</v>
      </c>
    </row>
    <row r="7" spans="1:18" ht="13.5" customHeight="1" thickBot="1">
      <c r="A7" s="1007" t="s">
        <v>461</v>
      </c>
      <c r="B7" s="227" t="s">
        <v>452</v>
      </c>
      <c r="C7" s="228">
        <v>3700</v>
      </c>
      <c r="D7" s="229">
        <v>548</v>
      </c>
      <c r="E7" s="230"/>
      <c r="F7" s="239">
        <v>20</v>
      </c>
      <c r="G7" s="240" t="s">
        <v>12</v>
      </c>
      <c r="H7" s="241" t="s">
        <v>446</v>
      </c>
      <c r="I7" s="1010" t="s">
        <v>441</v>
      </c>
      <c r="J7" s="261" t="s">
        <v>452</v>
      </c>
      <c r="K7" s="249">
        <f>+C7</f>
        <v>3700</v>
      </c>
      <c r="L7" s="253"/>
      <c r="M7" s="129">
        <f>+K7+L7</f>
        <v>3700</v>
      </c>
    </row>
    <row r="8" spans="1:18" ht="13.5" thickBot="1">
      <c r="A8" s="1008"/>
      <c r="B8" s="227" t="s">
        <v>453</v>
      </c>
      <c r="C8" s="228">
        <f>1801+1178</f>
        <v>2979</v>
      </c>
      <c r="D8" s="229">
        <v>1746</v>
      </c>
      <c r="E8" s="231"/>
      <c r="F8" s="242">
        <v>3</v>
      </c>
      <c r="G8" s="243" t="s">
        <v>12</v>
      </c>
      <c r="H8" s="241" t="s">
        <v>445</v>
      </c>
      <c r="I8" s="1011"/>
      <c r="J8" s="262" t="s">
        <v>453</v>
      </c>
      <c r="K8" s="250">
        <f>+C8+C16+C25</f>
        <v>37814</v>
      </c>
      <c r="L8" s="250"/>
      <c r="M8" s="129">
        <f t="shared" ref="M8:M32" si="0">+K8+L8</f>
        <v>37814</v>
      </c>
      <c r="N8" s="161">
        <v>1570</v>
      </c>
      <c r="O8" s="161">
        <f>+N8-N8*0.24</f>
        <v>1193.2</v>
      </c>
      <c r="P8" s="161">
        <f>60+13</f>
        <v>73</v>
      </c>
      <c r="Q8" s="161">
        <f>+N8*P8</f>
        <v>114610</v>
      </c>
      <c r="R8" s="161">
        <f>+O8*P8</f>
        <v>87103.6</v>
      </c>
    </row>
    <row r="9" spans="1:18" ht="13.5" thickBot="1">
      <c r="A9" s="1008"/>
      <c r="B9" s="227"/>
      <c r="C9" s="228"/>
      <c r="D9" s="229"/>
      <c r="E9" s="232"/>
      <c r="F9" s="239">
        <v>10</v>
      </c>
      <c r="G9" s="243" t="s">
        <v>12</v>
      </c>
      <c r="H9" s="574" t="s">
        <v>444</v>
      </c>
      <c r="I9" s="1011"/>
      <c r="J9" s="262" t="s">
        <v>454</v>
      </c>
      <c r="K9" s="250">
        <v>0</v>
      </c>
      <c r="L9" s="250"/>
      <c r="M9" s="129">
        <f t="shared" si="0"/>
        <v>0</v>
      </c>
      <c r="N9" s="161">
        <v>1100</v>
      </c>
      <c r="O9" s="161">
        <f>+N9-N9*0.0035</f>
        <v>1096.1500000000001</v>
      </c>
      <c r="P9" s="161">
        <f>60-13+360</f>
        <v>407</v>
      </c>
      <c r="Q9" s="161">
        <f>+N9*P9</f>
        <v>447700</v>
      </c>
      <c r="R9" s="161">
        <f>+O9*P9</f>
        <v>446133.05000000005</v>
      </c>
    </row>
    <row r="10" spans="1:18" ht="13.5" thickBot="1">
      <c r="A10" s="1008"/>
      <c r="B10" s="227"/>
      <c r="C10" s="228"/>
      <c r="D10" s="229"/>
      <c r="E10" s="231"/>
      <c r="F10" s="239"/>
      <c r="G10" s="243"/>
      <c r="H10" s="574" t="s">
        <v>433</v>
      </c>
      <c r="I10" s="1011"/>
      <c r="J10" s="261"/>
      <c r="K10" s="250"/>
      <c r="L10" s="250"/>
      <c r="M10" s="129">
        <f t="shared" si="0"/>
        <v>0</v>
      </c>
      <c r="P10" s="161">
        <f>SUM(P8:P9)</f>
        <v>480</v>
      </c>
      <c r="Q10" s="161">
        <f>SUM(Q8:Q9)</f>
        <v>562310</v>
      </c>
      <c r="R10" s="161">
        <f>SUM(R8:R9)</f>
        <v>533236.65</v>
      </c>
    </row>
    <row r="11" spans="1:18" ht="13.5" thickBot="1">
      <c r="A11" s="1008"/>
      <c r="B11" s="227"/>
      <c r="C11" s="228"/>
      <c r="D11" s="229"/>
      <c r="E11" s="231"/>
      <c r="F11" s="239"/>
      <c r="G11" s="243"/>
      <c r="H11" s="574" t="s">
        <v>428</v>
      </c>
      <c r="I11" s="1011"/>
      <c r="J11" s="261"/>
      <c r="K11" s="250"/>
      <c r="L11" s="250"/>
      <c r="M11" s="129">
        <f t="shared" si="0"/>
        <v>0</v>
      </c>
      <c r="Q11" s="161">
        <f>+Q10/P10</f>
        <v>1171.4791666666667</v>
      </c>
      <c r="R11" s="161">
        <f>+R10/P10</f>
        <v>1110.9096875</v>
      </c>
    </row>
    <row r="12" spans="1:18" ht="13.5" thickBot="1">
      <c r="A12" s="1008"/>
      <c r="B12" s="227"/>
      <c r="C12" s="228"/>
      <c r="D12" s="229"/>
      <c r="E12" s="231"/>
      <c r="F12" s="239">
        <v>50</v>
      </c>
      <c r="G12" s="243" t="s">
        <v>12</v>
      </c>
      <c r="H12" s="244" t="s">
        <v>439</v>
      </c>
      <c r="I12" s="1011"/>
      <c r="J12" s="261"/>
      <c r="K12" s="250"/>
      <c r="L12" s="250"/>
      <c r="M12" s="129">
        <f t="shared" si="0"/>
        <v>0</v>
      </c>
    </row>
    <row r="13" spans="1:18" ht="26.25" thickBot="1">
      <c r="A13" s="1008"/>
      <c r="B13" s="227"/>
      <c r="C13" s="228"/>
      <c r="D13" s="228"/>
      <c r="E13" s="231"/>
      <c r="F13" s="239"/>
      <c r="G13" s="243"/>
      <c r="H13" s="244" t="s">
        <v>434</v>
      </c>
      <c r="I13" s="1012"/>
      <c r="J13" s="261"/>
      <c r="K13" s="250"/>
      <c r="L13" s="250"/>
      <c r="M13" s="129">
        <f t="shared" si="0"/>
        <v>0</v>
      </c>
    </row>
    <row r="14" spans="1:18" ht="13.5" thickBot="1">
      <c r="A14" s="1009"/>
      <c r="B14" s="177" t="s">
        <v>2</v>
      </c>
      <c r="C14" s="111">
        <f>SUM(C7:C13)</f>
        <v>6679</v>
      </c>
      <c r="D14" s="123">
        <f>SUM(D7:D13)</f>
        <v>2294</v>
      </c>
      <c r="E14" s="124">
        <f>SUM(E5:E13)</f>
        <v>0</v>
      </c>
      <c r="F14" s="128">
        <f>SUM(F7:F13)</f>
        <v>83</v>
      </c>
      <c r="G14" s="171"/>
      <c r="H14" s="178"/>
      <c r="I14" s="179"/>
      <c r="J14" s="261"/>
      <c r="K14" s="250"/>
      <c r="L14" s="250"/>
      <c r="M14" s="129">
        <f t="shared" si="0"/>
        <v>0</v>
      </c>
    </row>
    <row r="15" spans="1:18" ht="13.5" customHeight="1" thickBot="1">
      <c r="A15" s="1007" t="s">
        <v>462</v>
      </c>
      <c r="B15" s="177"/>
      <c r="C15" s="125"/>
      <c r="D15" s="126"/>
      <c r="E15" s="127"/>
      <c r="F15" s="239">
        <v>30</v>
      </c>
      <c r="G15" s="240" t="s">
        <v>12</v>
      </c>
      <c r="H15" s="241" t="s">
        <v>449</v>
      </c>
      <c r="I15" s="1010" t="s">
        <v>442</v>
      </c>
      <c r="J15" s="261"/>
      <c r="K15" s="250"/>
      <c r="L15" s="250"/>
      <c r="M15" s="129">
        <f t="shared" si="0"/>
        <v>0</v>
      </c>
    </row>
    <row r="16" spans="1:18" ht="13.5" thickBot="1">
      <c r="A16" s="1013"/>
      <c r="B16" s="227" t="s">
        <v>453</v>
      </c>
      <c r="C16" s="233">
        <v>18249</v>
      </c>
      <c r="D16" s="234">
        <v>2668</v>
      </c>
      <c r="E16" s="235"/>
      <c r="F16" s="239"/>
      <c r="G16" s="243" t="s">
        <v>12</v>
      </c>
      <c r="H16" s="241" t="s">
        <v>448</v>
      </c>
      <c r="I16" s="1011"/>
      <c r="J16" s="261"/>
      <c r="K16" s="240"/>
      <c r="L16" s="240"/>
      <c r="M16" s="129">
        <f t="shared" si="0"/>
        <v>0</v>
      </c>
    </row>
    <row r="17" spans="1:14" ht="13.5" thickBot="1">
      <c r="A17" s="1013"/>
      <c r="B17" s="227"/>
      <c r="C17" s="228"/>
      <c r="D17" s="229"/>
      <c r="E17" s="236"/>
      <c r="F17" s="239">
        <v>9</v>
      </c>
      <c r="G17" s="243" t="s">
        <v>12</v>
      </c>
      <c r="H17" s="574" t="s">
        <v>447</v>
      </c>
      <c r="I17" s="1011"/>
      <c r="J17" s="261"/>
      <c r="K17" s="240"/>
      <c r="L17" s="240"/>
      <c r="M17" s="129">
        <f t="shared" si="0"/>
        <v>0</v>
      </c>
    </row>
    <row r="18" spans="1:14" ht="13.5" thickBot="1">
      <c r="A18" s="1013"/>
      <c r="B18" s="227"/>
      <c r="C18" s="228"/>
      <c r="D18" s="229"/>
      <c r="E18" s="236"/>
      <c r="F18" s="239"/>
      <c r="G18" s="243"/>
      <c r="H18" s="574" t="s">
        <v>438</v>
      </c>
      <c r="I18" s="1011"/>
      <c r="J18" s="261"/>
      <c r="K18" s="250"/>
      <c r="L18" s="250"/>
      <c r="M18" s="129">
        <f t="shared" si="0"/>
        <v>0</v>
      </c>
    </row>
    <row r="19" spans="1:14" ht="13.5" thickBot="1">
      <c r="A19" s="1013"/>
      <c r="B19" s="227"/>
      <c r="C19" s="228"/>
      <c r="D19" s="229"/>
      <c r="E19" s="236"/>
      <c r="F19" s="246"/>
      <c r="G19" s="243"/>
      <c r="H19" s="574" t="s">
        <v>435</v>
      </c>
      <c r="I19" s="1011"/>
      <c r="J19" s="261"/>
      <c r="K19" s="250"/>
      <c r="L19" s="250"/>
      <c r="M19" s="129">
        <f t="shared" si="0"/>
        <v>0</v>
      </c>
    </row>
    <row r="20" spans="1:14" ht="13.5" thickBot="1">
      <c r="A20" s="1013"/>
      <c r="B20" s="227"/>
      <c r="C20" s="228"/>
      <c r="D20" s="229"/>
      <c r="E20" s="236"/>
      <c r="F20" s="239"/>
      <c r="G20" s="243"/>
      <c r="H20" s="244" t="s">
        <v>436</v>
      </c>
      <c r="I20" s="1011"/>
      <c r="J20" s="261"/>
      <c r="K20" s="251"/>
      <c r="L20" s="251"/>
      <c r="M20" s="129">
        <f t="shared" si="0"/>
        <v>0</v>
      </c>
    </row>
    <row r="21" spans="1:14" ht="13.5" thickBot="1">
      <c r="A21" s="1013"/>
      <c r="B21" s="227"/>
      <c r="C21" s="228"/>
      <c r="D21" s="229"/>
      <c r="E21" s="236"/>
      <c r="F21" s="242"/>
      <c r="G21" s="243"/>
      <c r="H21" s="502"/>
      <c r="I21" s="1011"/>
      <c r="J21" s="261"/>
      <c r="K21" s="250"/>
      <c r="L21" s="250"/>
      <c r="M21" s="129">
        <f t="shared" si="0"/>
        <v>0</v>
      </c>
    </row>
    <row r="22" spans="1:14" ht="13.5" thickBot="1">
      <c r="A22" s="1013"/>
      <c r="B22" s="227"/>
      <c r="C22" s="228"/>
      <c r="D22" s="229"/>
      <c r="E22" s="236"/>
      <c r="F22" s="247"/>
      <c r="G22" s="243"/>
      <c r="H22" s="244"/>
      <c r="I22" s="1012"/>
      <c r="J22" s="261"/>
      <c r="K22" s="250"/>
      <c r="L22" s="250"/>
      <c r="M22" s="129">
        <f t="shared" si="0"/>
        <v>0</v>
      </c>
    </row>
    <row r="23" spans="1:14" ht="13.5" thickBot="1">
      <c r="A23" s="1014"/>
      <c r="B23" s="180" t="s">
        <v>2</v>
      </c>
      <c r="C23" s="112">
        <f>SUM(C16:C22)</f>
        <v>18249</v>
      </c>
      <c r="D23" s="123">
        <f>SUM(D16:D22)</f>
        <v>2668</v>
      </c>
      <c r="E23" s="124">
        <f>SUM(E18:E22)</f>
        <v>0</v>
      </c>
      <c r="F23" s="128">
        <f>SUM(F15:F22)</f>
        <v>39</v>
      </c>
      <c r="G23" s="171"/>
      <c r="H23" s="178" t="s">
        <v>237</v>
      </c>
      <c r="I23" s="181"/>
      <c r="J23" s="261"/>
      <c r="K23" s="250"/>
      <c r="L23" s="250"/>
      <c r="M23" s="129">
        <f t="shared" si="0"/>
        <v>0</v>
      </c>
    </row>
    <row r="24" spans="1:14" ht="13.5" customHeight="1" thickBot="1">
      <c r="A24" s="1007" t="s">
        <v>463</v>
      </c>
      <c r="B24" s="182"/>
      <c r="C24" s="125"/>
      <c r="D24" s="126"/>
      <c r="E24" s="127"/>
      <c r="F24" s="247">
        <v>40</v>
      </c>
      <c r="G24" s="240" t="s">
        <v>12</v>
      </c>
      <c r="H24" s="241" t="s">
        <v>451</v>
      </c>
      <c r="I24" s="1010" t="s">
        <v>442</v>
      </c>
      <c r="J24" s="261"/>
      <c r="K24" s="250"/>
      <c r="L24" s="250"/>
      <c r="M24" s="129">
        <f t="shared" si="0"/>
        <v>0</v>
      </c>
    </row>
    <row r="25" spans="1:14" ht="13.5" thickBot="1">
      <c r="A25" s="1013"/>
      <c r="B25" s="227" t="s">
        <v>453</v>
      </c>
      <c r="C25" s="237">
        <v>16586</v>
      </c>
      <c r="D25" s="229">
        <v>392</v>
      </c>
      <c r="E25" s="236"/>
      <c r="F25" s="242"/>
      <c r="G25" s="243" t="s">
        <v>12</v>
      </c>
      <c r="H25" s="241" t="s">
        <v>448</v>
      </c>
      <c r="I25" s="1011"/>
      <c r="J25" s="261"/>
      <c r="K25" s="250"/>
      <c r="L25" s="250"/>
      <c r="M25" s="129">
        <f t="shared" si="0"/>
        <v>0</v>
      </c>
    </row>
    <row r="26" spans="1:14" ht="13.5" thickBot="1">
      <c r="A26" s="1013"/>
      <c r="B26" s="227" t="s">
        <v>454</v>
      </c>
      <c r="C26" s="237"/>
      <c r="D26" s="229"/>
      <c r="E26" s="238"/>
      <c r="F26" s="242">
        <v>6</v>
      </c>
      <c r="G26" s="243" t="s">
        <v>12</v>
      </c>
      <c r="H26" s="574" t="s">
        <v>450</v>
      </c>
      <c r="I26" s="1011"/>
      <c r="J26" s="261"/>
      <c r="K26" s="250"/>
      <c r="L26" s="250"/>
      <c r="M26" s="129">
        <f t="shared" si="0"/>
        <v>0</v>
      </c>
    </row>
    <row r="27" spans="1:14" ht="13.5" thickBot="1">
      <c r="A27" s="1013"/>
      <c r="B27" s="227"/>
      <c r="C27" s="228"/>
      <c r="D27" s="229"/>
      <c r="E27" s="236"/>
      <c r="F27" s="242"/>
      <c r="G27" s="243"/>
      <c r="H27" s="574" t="s">
        <v>438</v>
      </c>
      <c r="I27" s="1011"/>
      <c r="J27" s="261"/>
      <c r="K27" s="250"/>
      <c r="L27" s="250"/>
      <c r="M27" s="129">
        <f t="shared" si="0"/>
        <v>0</v>
      </c>
    </row>
    <row r="28" spans="1:14" ht="13.5" thickBot="1">
      <c r="A28" s="1013"/>
      <c r="B28" s="227"/>
      <c r="C28" s="228"/>
      <c r="D28" s="229"/>
      <c r="E28" s="236"/>
      <c r="F28" s="242"/>
      <c r="G28" s="243"/>
      <c r="H28" s="574" t="s">
        <v>437</v>
      </c>
      <c r="I28" s="1011"/>
      <c r="J28" s="261"/>
      <c r="K28" s="250"/>
      <c r="L28" s="250"/>
      <c r="M28" s="129">
        <f t="shared" si="0"/>
        <v>0</v>
      </c>
    </row>
    <row r="29" spans="1:14" ht="26.25" thickBot="1">
      <c r="A29" s="1013"/>
      <c r="B29" s="227"/>
      <c r="C29" s="228"/>
      <c r="D29" s="229"/>
      <c r="E29" s="236"/>
      <c r="F29" s="247"/>
      <c r="G29" s="243"/>
      <c r="H29" s="244" t="s">
        <v>440</v>
      </c>
      <c r="I29" s="1011"/>
      <c r="J29" s="261"/>
      <c r="K29" s="250"/>
      <c r="L29" s="250"/>
      <c r="M29" s="129">
        <f t="shared" si="0"/>
        <v>0</v>
      </c>
    </row>
    <row r="30" spans="1:14" ht="13.5" thickBot="1">
      <c r="A30" s="1013"/>
      <c r="B30" s="227"/>
      <c r="C30" s="237"/>
      <c r="D30" s="229"/>
      <c r="E30" s="236"/>
      <c r="F30" s="247"/>
      <c r="G30" s="243"/>
      <c r="H30" s="244"/>
      <c r="I30" s="1011"/>
      <c r="J30" s="261"/>
      <c r="K30" s="250"/>
      <c r="L30" s="250"/>
      <c r="M30" s="129">
        <f t="shared" si="0"/>
        <v>0</v>
      </c>
      <c r="N30" s="167"/>
    </row>
    <row r="31" spans="1:14" ht="13.5" thickBot="1">
      <c r="A31" s="1013"/>
      <c r="B31" s="227"/>
      <c r="C31" s="237"/>
      <c r="D31" s="229"/>
      <c r="E31" s="236"/>
      <c r="F31" s="247"/>
      <c r="G31" s="248"/>
      <c r="H31" s="245"/>
      <c r="I31" s="1012"/>
      <c r="J31" s="261"/>
      <c r="K31" s="250"/>
      <c r="L31" s="250"/>
      <c r="M31" s="129">
        <f t="shared" si="0"/>
        <v>0</v>
      </c>
    </row>
    <row r="32" spans="1:14" ht="13.5" thickBot="1">
      <c r="A32" s="1014"/>
      <c r="B32" s="177" t="s">
        <v>2</v>
      </c>
      <c r="C32" s="111">
        <f>SUM(C25:C31)</f>
        <v>16586</v>
      </c>
      <c r="D32" s="112">
        <f>SUM(D25:D31)</f>
        <v>392</v>
      </c>
      <c r="E32" s="113">
        <f>SUM(E25:E31)</f>
        <v>0</v>
      </c>
      <c r="F32" s="114">
        <f>SUM(F24:F31)</f>
        <v>46</v>
      </c>
      <c r="G32" s="183"/>
      <c r="H32" s="184"/>
      <c r="I32" s="181"/>
      <c r="J32" s="263"/>
      <c r="K32" s="252"/>
      <c r="L32" s="254"/>
      <c r="M32" s="129">
        <f t="shared" si="0"/>
        <v>0</v>
      </c>
    </row>
    <row r="33" spans="1:14" ht="13.5" thickBot="1">
      <c r="A33" s="185"/>
      <c r="B33" s="186"/>
      <c r="C33" s="115">
        <f>C32/($C$32+$D$32+$E$32)</f>
        <v>0.97691129697255275</v>
      </c>
      <c r="D33" s="116">
        <f>D32/($C$32+$D$32+$E$32)</f>
        <v>2.3088703027447286E-2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15" t="s">
        <v>58</v>
      </c>
      <c r="B34" s="1016"/>
      <c r="C34" s="119">
        <f>C14+C23+C32</f>
        <v>41514</v>
      </c>
      <c r="D34" s="119">
        <f>D14+D23+D32</f>
        <v>5354</v>
      </c>
      <c r="E34" s="119">
        <f>E14+E23+E32</f>
        <v>0</v>
      </c>
      <c r="F34" s="120">
        <f>F14+F23+F32</f>
        <v>168</v>
      </c>
      <c r="H34" s="190"/>
      <c r="I34" s="190"/>
      <c r="J34" s="135" t="s">
        <v>28</v>
      </c>
      <c r="K34" s="136">
        <f>SUM(K7:K32)</f>
        <v>41514</v>
      </c>
      <c r="L34" s="224">
        <f>SUM(L7:L32)</f>
        <v>0</v>
      </c>
      <c r="M34" s="132">
        <f>SUM(M7:M32)</f>
        <v>41514</v>
      </c>
      <c r="N34" s="167"/>
    </row>
    <row r="35" spans="1:14" ht="13.5" thickBot="1">
      <c r="A35" s="191"/>
      <c r="B35" s="192"/>
      <c r="C35" s="116">
        <f>C34/($C$34+$D$34+$E$34)</f>
        <v>0.88576427413160363</v>
      </c>
      <c r="D35" s="116">
        <f>D34/($C$34+$D$34+$E$34)</f>
        <v>0.11423572586839635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17" t="s">
        <v>59</v>
      </c>
      <c r="B37" s="1018"/>
      <c r="C37" s="174" t="s">
        <v>60</v>
      </c>
      <c r="D37" s="195" t="s">
        <v>61</v>
      </c>
      <c r="E37" s="196" t="s">
        <v>62</v>
      </c>
      <c r="F37" s="197"/>
      <c r="G37" s="167"/>
      <c r="H37" s="198" t="s">
        <v>63</v>
      </c>
      <c r="I37" s="255">
        <f>(13*73+15.5*1307+16.5*60)/1440*G42*2.77*1440/1000000</f>
        <v>67.701567265346355</v>
      </c>
      <c r="J37" s="137">
        <f>I37</f>
        <v>67.701567265346355</v>
      </c>
      <c r="K37" s="138" t="s">
        <v>64</v>
      </c>
      <c r="N37" s="161">
        <f>2.492+1.474+1.439</f>
        <v>5.4050000000000002</v>
      </c>
    </row>
    <row r="38" spans="1:14" ht="17.45" customHeight="1">
      <c r="A38" s="1005" t="s">
        <v>12</v>
      </c>
      <c r="B38" s="1006"/>
      <c r="C38" s="176">
        <f>SUMIF($G$7:$G$31,"Process",$F$7:$F$31)</f>
        <v>168</v>
      </c>
      <c r="D38" s="130">
        <f>C38</f>
        <v>168</v>
      </c>
      <c r="E38" s="155">
        <f t="shared" ref="E38:E51" si="1">D38/60</f>
        <v>2.8</v>
      </c>
      <c r="F38" s="197">
        <v>1171.4791666666667</v>
      </c>
      <c r="G38" s="197">
        <v>1110.9096875</v>
      </c>
      <c r="H38" s="199" t="s">
        <v>65</v>
      </c>
      <c r="I38" s="549">
        <f>18.28+21.35+17.535</f>
        <v>57.165000000000006</v>
      </c>
      <c r="J38" s="139">
        <f>I38</f>
        <v>57.165000000000006</v>
      </c>
      <c r="K38" s="140" t="s">
        <v>64</v>
      </c>
      <c r="N38" s="558">
        <f>+I38-N37-N39</f>
        <v>51.760000000000005</v>
      </c>
    </row>
    <row r="39" spans="1:14" ht="17.45" customHeight="1">
      <c r="A39" s="1001" t="s">
        <v>13</v>
      </c>
      <c r="B39" s="1002"/>
      <c r="C39" s="176">
        <f>SUMIF($G$7:$G$31,"Cleaning",$F$7:$F$31)</f>
        <v>0</v>
      </c>
      <c r="D39" s="130">
        <f>C39</f>
        <v>0</v>
      </c>
      <c r="E39" s="155">
        <f t="shared" si="1"/>
        <v>0</v>
      </c>
      <c r="F39" s="197">
        <v>1100</v>
      </c>
      <c r="G39" s="197">
        <v>1096.1500000000001</v>
      </c>
      <c r="H39" s="199" t="s">
        <v>66</v>
      </c>
      <c r="I39" s="154"/>
      <c r="J39" s="141">
        <f>J37/G4</f>
        <v>67.701567265346355</v>
      </c>
      <c r="K39" s="142" t="s">
        <v>64</v>
      </c>
      <c r="N39" s="161">
        <v>0</v>
      </c>
    </row>
    <row r="40" spans="1:14" ht="17.45" customHeight="1">
      <c r="A40" s="1001" t="s">
        <v>67</v>
      </c>
      <c r="B40" s="1002"/>
      <c r="C40" s="176">
        <f>SUMIF($G$7:$G$31,"Mechanical",$F$7:$F$31)</f>
        <v>0</v>
      </c>
      <c r="D40" s="130">
        <f t="shared" ref="D40:D51" si="2">C40</f>
        <v>0</v>
      </c>
      <c r="E40" s="155">
        <f t="shared" si="1"/>
        <v>0</v>
      </c>
      <c r="F40" s="197">
        <v>1100</v>
      </c>
      <c r="G40" s="197">
        <v>1096.1500000000001</v>
      </c>
      <c r="H40" s="199" t="s">
        <v>68</v>
      </c>
      <c r="I40" s="130">
        <f>(K34+L34)/1000</f>
        <v>41.514000000000003</v>
      </c>
      <c r="J40" s="143">
        <f>M34/1000</f>
        <v>41.514000000000003</v>
      </c>
      <c r="K40" s="142" t="s">
        <v>64</v>
      </c>
    </row>
    <row r="41" spans="1:14" ht="17.45" customHeight="1">
      <c r="A41" s="1001" t="s">
        <v>69</v>
      </c>
      <c r="B41" s="1002"/>
      <c r="C41" s="176">
        <f>SUMIF($G$7:$G$31,"Electrical",$F$7:$F$31)</f>
        <v>0</v>
      </c>
      <c r="D41" s="130">
        <f t="shared" si="2"/>
        <v>0</v>
      </c>
      <c r="E41" s="155">
        <f t="shared" si="1"/>
        <v>0</v>
      </c>
      <c r="F41" s="197"/>
      <c r="G41" s="197"/>
      <c r="H41" s="199" t="s">
        <v>70</v>
      </c>
      <c r="I41" s="154"/>
      <c r="J41" s="141">
        <f>J40/G4</f>
        <v>41.514000000000003</v>
      </c>
      <c r="K41" s="142" t="s">
        <v>64</v>
      </c>
    </row>
    <row r="42" spans="1:14" ht="17.45" customHeight="1">
      <c r="A42" s="1001" t="s">
        <v>16</v>
      </c>
      <c r="B42" s="1002"/>
      <c r="C42" s="176">
        <f>SUMIF($G$7:$G$31,"Instrument",$F$7:$F$31)</f>
        <v>0</v>
      </c>
      <c r="D42" s="130">
        <f t="shared" si="2"/>
        <v>0</v>
      </c>
      <c r="E42" s="155">
        <f t="shared" si="1"/>
        <v>0</v>
      </c>
      <c r="F42" s="197">
        <f>+(F38*480+F39*480+F40*480)/1440</f>
        <v>1123.8263888888889</v>
      </c>
      <c r="G42" s="197">
        <f>+(G38*480+G39*480+G40*480)/1440</f>
        <v>1101.0698958333332</v>
      </c>
      <c r="H42" s="199" t="s">
        <v>71</v>
      </c>
      <c r="I42" s="257" t="s">
        <v>443</v>
      </c>
      <c r="J42" s="144"/>
      <c r="K42" s="142" t="s">
        <v>72</v>
      </c>
    </row>
    <row r="43" spans="1:14" ht="17.45" customHeight="1">
      <c r="A43" s="1001" t="s">
        <v>73</v>
      </c>
      <c r="B43" s="1002"/>
      <c r="C43" s="176">
        <f>SUMIF($G$7:$G$31,"Water",$F$7:$F$31)</f>
        <v>0</v>
      </c>
      <c r="D43" s="130">
        <f t="shared" si="2"/>
        <v>0</v>
      </c>
      <c r="E43" s="155">
        <f t="shared" si="1"/>
        <v>0</v>
      </c>
      <c r="F43" s="197"/>
      <c r="H43" s="200" t="s">
        <v>74</v>
      </c>
      <c r="I43" s="130">
        <f>+Report1!T9</f>
        <v>140.02700000000002</v>
      </c>
      <c r="J43" s="145">
        <f>I43</f>
        <v>140.02700000000002</v>
      </c>
      <c r="K43" s="142" t="s">
        <v>64</v>
      </c>
      <c r="L43" s="201"/>
    </row>
    <row r="44" spans="1:14" ht="17.45" customHeight="1">
      <c r="A44" s="1001" t="s">
        <v>17</v>
      </c>
      <c r="B44" s="1002"/>
      <c r="C44" s="176">
        <f>SUMIF($G$7:$G$31,"PLN",$F$7:$F$31)</f>
        <v>0</v>
      </c>
      <c r="D44" s="130">
        <f>C44</f>
        <v>0</v>
      </c>
      <c r="E44" s="155">
        <f t="shared" si="1"/>
        <v>0</v>
      </c>
      <c r="F44" s="197"/>
      <c r="H44" s="200" t="s">
        <v>75</v>
      </c>
      <c r="I44" s="130">
        <f>I43/I38</f>
        <v>2.4495233097174847</v>
      </c>
      <c r="J44" s="146">
        <f>J43/J38</f>
        <v>2.4495233097174847</v>
      </c>
      <c r="K44" s="142" t="s">
        <v>64</v>
      </c>
    </row>
    <row r="45" spans="1:14" ht="17.45" customHeight="1">
      <c r="A45" s="1001" t="s">
        <v>18</v>
      </c>
      <c r="B45" s="1002"/>
      <c r="C45" s="176">
        <f>SUMIF($G$7:$G$31,"Boiler",$F$7:$F$31)</f>
        <v>0</v>
      </c>
      <c r="D45" s="130">
        <f t="shared" si="2"/>
        <v>0</v>
      </c>
      <c r="E45" s="155">
        <f t="shared" si="1"/>
        <v>0</v>
      </c>
      <c r="F45" s="197"/>
      <c r="G45" s="188"/>
      <c r="H45" s="200" t="s">
        <v>76</v>
      </c>
      <c r="I45" s="130">
        <f>I43/I40</f>
        <v>3.3730066965361085</v>
      </c>
      <c r="J45" s="146">
        <f>J43/J40</f>
        <v>3.3730066965361085</v>
      </c>
      <c r="K45" s="142" t="s">
        <v>64</v>
      </c>
    </row>
    <row r="46" spans="1:14" ht="17.45" customHeight="1">
      <c r="A46" s="1001" t="s">
        <v>77</v>
      </c>
      <c r="B46" s="1002"/>
      <c r="C46" s="176">
        <f>SUMIF($G$7:$G$31,"Gas",$F$7:$F$31)</f>
        <v>0</v>
      </c>
      <c r="D46" s="130">
        <f t="shared" si="2"/>
        <v>0</v>
      </c>
      <c r="E46" s="155">
        <f t="shared" si="1"/>
        <v>0</v>
      </c>
      <c r="F46" s="197"/>
      <c r="H46" s="200" t="s">
        <v>78</v>
      </c>
      <c r="I46" s="152">
        <f>+SUMIF(Listrik!AR8,"&gt;0")</f>
        <v>52346.659999998767</v>
      </c>
      <c r="J46" s="147">
        <f>I46</f>
        <v>52346.659999998767</v>
      </c>
      <c r="K46" s="142" t="s">
        <v>79</v>
      </c>
    </row>
    <row r="47" spans="1:14" ht="17.45" customHeight="1">
      <c r="A47" s="1001" t="s">
        <v>80</v>
      </c>
      <c r="B47" s="1002"/>
      <c r="C47" s="176">
        <f>SUMIF($G$7:$G$31,"Gas",$F$7:$F$31)</f>
        <v>0</v>
      </c>
      <c r="D47" s="130">
        <f t="shared" si="2"/>
        <v>0</v>
      </c>
      <c r="E47" s="155">
        <f t="shared" si="1"/>
        <v>0</v>
      </c>
      <c r="F47" s="197"/>
      <c r="H47" s="200" t="s">
        <v>81</v>
      </c>
      <c r="I47" s="130">
        <f>I46/I38</f>
        <v>915.71171171168999</v>
      </c>
      <c r="J47" s="147">
        <f>J46/J38</f>
        <v>915.71171171168999</v>
      </c>
      <c r="K47" s="142" t="s">
        <v>24</v>
      </c>
    </row>
    <row r="48" spans="1:14" ht="17.45" customHeight="1">
      <c r="A48" s="1001" t="s">
        <v>14</v>
      </c>
      <c r="B48" s="1002"/>
      <c r="C48" s="176">
        <f>SUMIF($G$7:$G$31,"Start Up",$F$7:$F$31)</f>
        <v>0</v>
      </c>
      <c r="D48" s="130">
        <f t="shared" si="2"/>
        <v>0</v>
      </c>
      <c r="E48" s="155">
        <f t="shared" si="1"/>
        <v>0</v>
      </c>
      <c r="F48" s="197"/>
      <c r="H48" s="200" t="s">
        <v>82</v>
      </c>
      <c r="I48" s="130">
        <f>I46/I40</f>
        <v>1260.9399238810706</v>
      </c>
      <c r="J48" s="147">
        <f>J46/J40</f>
        <v>1260.9399238810706</v>
      </c>
      <c r="K48" s="142" t="s">
        <v>24</v>
      </c>
    </row>
    <row r="49" spans="1:11" ht="17.45" customHeight="1">
      <c r="A49" s="1001" t="s">
        <v>20</v>
      </c>
      <c r="B49" s="1002"/>
      <c r="C49" s="176">
        <f>SUMIF($G$7:$G$31,"Others",$F$7:$F$31)</f>
        <v>0</v>
      </c>
      <c r="D49" s="130">
        <f t="shared" si="2"/>
        <v>0</v>
      </c>
      <c r="E49" s="155">
        <f t="shared" si="1"/>
        <v>0</v>
      </c>
      <c r="F49" s="197"/>
      <c r="H49" s="200" t="s">
        <v>186</v>
      </c>
      <c r="I49" s="130"/>
      <c r="J49" s="147">
        <f>I49</f>
        <v>0</v>
      </c>
      <c r="K49" s="142" t="s">
        <v>84</v>
      </c>
    </row>
    <row r="50" spans="1:11" ht="17.45" customHeight="1">
      <c r="A50" s="1001" t="s">
        <v>19</v>
      </c>
      <c r="B50" s="1002"/>
      <c r="C50" s="176">
        <f>SUMIF($G$7:$G$31,"Steam",$F$7:$F$31)</f>
        <v>0</v>
      </c>
      <c r="D50" s="130">
        <f t="shared" si="2"/>
        <v>0</v>
      </c>
      <c r="E50" s="155">
        <f t="shared" si="1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03" t="s">
        <v>86</v>
      </c>
      <c r="B51" s="1004"/>
      <c r="C51" s="176">
        <f>SUMIF($G$7:$G$31,"Planned shut",$F$7:$F$31)</f>
        <v>0</v>
      </c>
      <c r="D51" s="130">
        <f t="shared" si="2"/>
        <v>0</v>
      </c>
      <c r="E51" s="155">
        <f t="shared" si="1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05" t="s">
        <v>28</v>
      </c>
      <c r="B52" s="1006"/>
      <c r="C52" s="156">
        <f>SUM(C38:C51)</f>
        <v>168</v>
      </c>
      <c r="D52" s="156">
        <f>SUM(D38:D51)</f>
        <v>168</v>
      </c>
      <c r="E52" s="157">
        <f>SUM(E38:E51)</f>
        <v>2.8</v>
      </c>
      <c r="F52" s="197"/>
      <c r="H52" s="203"/>
      <c r="I52" s="204"/>
      <c r="J52" s="150"/>
      <c r="K52" s="151"/>
    </row>
    <row r="53" spans="1:11" ht="13.5" thickBot="1">
      <c r="A53" s="999"/>
      <c r="B53" s="1000"/>
      <c r="C53" s="158">
        <f>C52/(24*60)</f>
        <v>0.11666666666666667</v>
      </c>
      <c r="D53" s="158">
        <f>D52/(24*60*G4)</f>
        <v>0.11666666666666667</v>
      </c>
      <c r="E53" s="159">
        <f>E52/(G4*24)</f>
        <v>0.11666666666666665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D34</f>
        <v>5354</v>
      </c>
      <c r="K56" s="213">
        <f>J56/(J40+J56/1000)/1000</f>
        <v>0.11423572586839634</v>
      </c>
    </row>
    <row r="57" spans="1:11">
      <c r="A57" s="188"/>
      <c r="I57" s="211" t="s">
        <v>90</v>
      </c>
      <c r="J57" s="212">
        <f>+E34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</mergeCells>
  <phoneticPr fontId="33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36</vt:i4>
      </vt:variant>
    </vt:vector>
  </HeadingPairs>
  <TitlesOfParts>
    <vt:vector size="79" baseType="lpstr">
      <vt:lpstr>eff all</vt:lpstr>
      <vt:lpstr>Report1</vt:lpstr>
      <vt:lpstr>GRAFIK</vt:lpstr>
      <vt:lpstr>Listrik</vt:lpstr>
      <vt:lpstr>Trim Rwd</vt:lpstr>
      <vt:lpstr>Efficiency1</vt:lpstr>
      <vt:lpstr>Efficiency2</vt:lpstr>
      <vt:lpstr>BB</vt:lpstr>
      <vt:lpstr>Chem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'eff all'!Print_Area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2026-01-02T07:23:35Z</cp:lastPrinted>
  <dcterms:created xsi:type="dcterms:W3CDTF">2007-07-30T03:52:39Z</dcterms:created>
  <dcterms:modified xsi:type="dcterms:W3CDTF">2026-01-09T07:05:19Z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