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_wi\Documents\Paper\"/>
    </mc:Choice>
  </mc:AlternateContent>
  <xr:revisionPtr revIDLastSave="0" documentId="13_ncr:1_{7ED23AC6-4F7C-4DF3-921D-BEFB92FE0354}" xr6:coauthVersionLast="44" xr6:coauthVersionMax="44" xr10:uidLastSave="{00000000-0000-0000-0000-000000000000}"/>
  <bookViews>
    <workbookView xWindow="-110" yWindow="-110" windowWidth="19420" windowHeight="10420" activeTab="3" xr2:uid="{6A371805-9D75-48AC-954A-B12EF7F982C3}"/>
  </bookViews>
  <sheets>
    <sheet name="all data" sheetId="1" r:id="rId1"/>
    <sheet name="edited data" sheetId="5" r:id="rId2"/>
    <sheet name="enrollees" sheetId="4" r:id="rId3"/>
    <sheet name="dis-enrollees" sheetId="3" r:id="rId4"/>
  </sheets>
  <definedNames>
    <definedName name="_xlnm._FilterDatabase" localSheetId="0" hidden="1">'all data'!$A$1:$AW$166</definedName>
    <definedName name="_xlnm._FilterDatabase" localSheetId="3" hidden="1">'dis-enrollees'!$I$1:$I$73</definedName>
    <definedName name="_xlnm._FilterDatabase" localSheetId="1" hidden="1">'edited data'!$C$1:$C$166</definedName>
    <definedName name="_xlnm._FilterDatabase" localSheetId="2" hidden="1">enrollees!$A$1:$Y$97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" i="3" l="1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D78" i="3"/>
  <c r="AM75" i="3"/>
  <c r="AL75" i="3"/>
  <c r="AK75" i="3"/>
  <c r="AJ75" i="3"/>
  <c r="AI75" i="3"/>
  <c r="AH75" i="3"/>
  <c r="AW25" i="5" l="1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" i="5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2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2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2" i="5"/>
  <c r="AT167" i="5" s="1"/>
  <c r="AT1048576" i="5" s="1"/>
  <c r="AP3" i="1" l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2" i="1"/>
  <c r="AR132" i="1" l="1"/>
  <c r="AS132" i="1" s="1"/>
  <c r="AQ132" i="1"/>
  <c r="AR100" i="1"/>
  <c r="AS100" i="1" s="1"/>
  <c r="AQ100" i="1"/>
  <c r="AR76" i="1"/>
  <c r="AS76" i="1" s="1"/>
  <c r="AQ76" i="1"/>
  <c r="AR44" i="1"/>
  <c r="AS44" i="1" s="1"/>
  <c r="AQ44" i="1"/>
  <c r="AR12" i="1"/>
  <c r="AS12" i="1" s="1"/>
  <c r="AQ12" i="1"/>
  <c r="AR163" i="1"/>
  <c r="AS163" i="1" s="1"/>
  <c r="AQ163" i="1"/>
  <c r="AR131" i="1"/>
  <c r="AS131" i="1" s="1"/>
  <c r="AQ131" i="1"/>
  <c r="AR107" i="1"/>
  <c r="AS107" i="1" s="1"/>
  <c r="AQ107" i="1"/>
  <c r="AR75" i="1"/>
  <c r="AS75" i="1" s="1"/>
  <c r="AQ75" i="1"/>
  <c r="AR43" i="1"/>
  <c r="AS43" i="1" s="1"/>
  <c r="AQ43" i="1"/>
  <c r="AR3" i="1"/>
  <c r="AS3" i="1" s="1"/>
  <c r="AQ3" i="1"/>
  <c r="AR154" i="1"/>
  <c r="AS154" i="1" s="1"/>
  <c r="AQ154" i="1"/>
  <c r="AR122" i="1"/>
  <c r="AS122" i="1" s="1"/>
  <c r="AQ122" i="1"/>
  <c r="AR90" i="1"/>
  <c r="AS90" i="1" s="1"/>
  <c r="AQ90" i="1"/>
  <c r="AR66" i="1"/>
  <c r="AS66" i="1" s="1"/>
  <c r="AQ66" i="1"/>
  <c r="AR42" i="1"/>
  <c r="AS42" i="1" s="1"/>
  <c r="AQ42" i="1"/>
  <c r="AR10" i="1"/>
  <c r="AS10" i="1" s="1"/>
  <c r="AQ10" i="1"/>
  <c r="AR137" i="1"/>
  <c r="AS137" i="1" s="1"/>
  <c r="AQ137" i="1"/>
  <c r="AR113" i="1"/>
  <c r="AS113" i="1" s="1"/>
  <c r="AQ113" i="1"/>
  <c r="AR81" i="1"/>
  <c r="AS81" i="1" s="1"/>
  <c r="AQ81" i="1"/>
  <c r="AR57" i="1"/>
  <c r="AS57" i="1" s="1"/>
  <c r="AQ57" i="1"/>
  <c r="AR33" i="1"/>
  <c r="AS33" i="1" s="1"/>
  <c r="AQ33" i="1"/>
  <c r="AR9" i="1"/>
  <c r="AS9" i="1" s="1"/>
  <c r="AQ9" i="1"/>
  <c r="AR160" i="1"/>
  <c r="AS160" i="1" s="1"/>
  <c r="AQ160" i="1"/>
  <c r="AR152" i="1"/>
  <c r="AS152" i="1" s="1"/>
  <c r="AQ152" i="1"/>
  <c r="AR144" i="1"/>
  <c r="AS144" i="1" s="1"/>
  <c r="AQ144" i="1"/>
  <c r="AR136" i="1"/>
  <c r="AS136" i="1" s="1"/>
  <c r="AQ136" i="1"/>
  <c r="AR128" i="1"/>
  <c r="AS128" i="1" s="1"/>
  <c r="AQ128" i="1"/>
  <c r="AR120" i="1"/>
  <c r="AS120" i="1" s="1"/>
  <c r="AQ120" i="1"/>
  <c r="AR112" i="1"/>
  <c r="AS112" i="1" s="1"/>
  <c r="AQ112" i="1"/>
  <c r="AR104" i="1"/>
  <c r="AS104" i="1" s="1"/>
  <c r="AQ104" i="1"/>
  <c r="AR96" i="1"/>
  <c r="AS96" i="1" s="1"/>
  <c r="AQ96" i="1"/>
  <c r="AR88" i="1"/>
  <c r="AS88" i="1" s="1"/>
  <c r="AQ88" i="1"/>
  <c r="AR80" i="1"/>
  <c r="AS80" i="1" s="1"/>
  <c r="AQ80" i="1"/>
  <c r="AR72" i="1"/>
  <c r="AS72" i="1" s="1"/>
  <c r="AQ72" i="1"/>
  <c r="AR64" i="1"/>
  <c r="AS64" i="1" s="1"/>
  <c r="AQ64" i="1"/>
  <c r="AR56" i="1"/>
  <c r="AS56" i="1" s="1"/>
  <c r="AQ56" i="1"/>
  <c r="AR48" i="1"/>
  <c r="AS48" i="1" s="1"/>
  <c r="AQ48" i="1"/>
  <c r="AR40" i="1"/>
  <c r="AS40" i="1" s="1"/>
  <c r="AQ40" i="1"/>
  <c r="AR32" i="1"/>
  <c r="AS32" i="1" s="1"/>
  <c r="AQ32" i="1"/>
  <c r="AR24" i="1"/>
  <c r="AS24" i="1" s="1"/>
  <c r="AQ24" i="1"/>
  <c r="AR16" i="1"/>
  <c r="AS16" i="1" s="1"/>
  <c r="AQ16" i="1"/>
  <c r="AR8" i="1"/>
  <c r="AS8" i="1" s="1"/>
  <c r="AQ8" i="1"/>
  <c r="AR156" i="1"/>
  <c r="AS156" i="1" s="1"/>
  <c r="AQ156" i="1"/>
  <c r="AR124" i="1"/>
  <c r="AS124" i="1" s="1"/>
  <c r="AQ124" i="1"/>
  <c r="AR92" i="1"/>
  <c r="AS92" i="1" s="1"/>
  <c r="AQ92" i="1"/>
  <c r="AR60" i="1"/>
  <c r="AS60" i="1" s="1"/>
  <c r="AQ60" i="1"/>
  <c r="AR28" i="1"/>
  <c r="AS28" i="1" s="1"/>
  <c r="AQ28" i="1"/>
  <c r="AR147" i="1"/>
  <c r="AS147" i="1" s="1"/>
  <c r="AQ147" i="1"/>
  <c r="AR115" i="1"/>
  <c r="AS115" i="1" s="1"/>
  <c r="AQ115" i="1"/>
  <c r="AR83" i="1"/>
  <c r="AS83" i="1" s="1"/>
  <c r="AQ83" i="1"/>
  <c r="AR51" i="1"/>
  <c r="AS51" i="1" s="1"/>
  <c r="AQ51" i="1"/>
  <c r="AR27" i="1"/>
  <c r="AS27" i="1" s="1"/>
  <c r="AQ27" i="1"/>
  <c r="AR138" i="1"/>
  <c r="AS138" i="1" s="1"/>
  <c r="AQ138" i="1"/>
  <c r="AR98" i="1"/>
  <c r="AS98" i="1" s="1"/>
  <c r="AQ98" i="1"/>
  <c r="AR58" i="1"/>
  <c r="AS58" i="1" s="1"/>
  <c r="AQ58" i="1"/>
  <c r="AR26" i="1"/>
  <c r="AS26" i="1" s="1"/>
  <c r="AQ26" i="1"/>
  <c r="AR145" i="1"/>
  <c r="AS145" i="1" s="1"/>
  <c r="AQ145" i="1"/>
  <c r="AR105" i="1"/>
  <c r="AS105" i="1" s="1"/>
  <c r="AQ105" i="1"/>
  <c r="AR41" i="1"/>
  <c r="AS41" i="1" s="1"/>
  <c r="AQ41" i="1"/>
  <c r="AR2" i="1"/>
  <c r="AS2" i="1" s="1"/>
  <c r="AQ2" i="1"/>
  <c r="AR159" i="1"/>
  <c r="AS159" i="1" s="1"/>
  <c r="AQ159" i="1"/>
  <c r="AR151" i="1"/>
  <c r="AS151" i="1" s="1"/>
  <c r="AQ151" i="1"/>
  <c r="AR143" i="1"/>
  <c r="AS143" i="1" s="1"/>
  <c r="AQ143" i="1"/>
  <c r="AR135" i="1"/>
  <c r="AS135" i="1" s="1"/>
  <c r="AQ135" i="1"/>
  <c r="AR127" i="1"/>
  <c r="AS127" i="1" s="1"/>
  <c r="AQ127" i="1"/>
  <c r="AR119" i="1"/>
  <c r="AS119" i="1" s="1"/>
  <c r="AQ119" i="1"/>
  <c r="AR111" i="1"/>
  <c r="AS111" i="1" s="1"/>
  <c r="AQ111" i="1"/>
  <c r="AR103" i="1"/>
  <c r="AS103" i="1" s="1"/>
  <c r="AQ103" i="1"/>
  <c r="AR95" i="1"/>
  <c r="AS95" i="1" s="1"/>
  <c r="AQ95" i="1"/>
  <c r="AR87" i="1"/>
  <c r="AS87" i="1" s="1"/>
  <c r="AQ87" i="1"/>
  <c r="AR79" i="1"/>
  <c r="AS79" i="1" s="1"/>
  <c r="AQ79" i="1"/>
  <c r="AR71" i="1"/>
  <c r="AS71" i="1" s="1"/>
  <c r="AQ71" i="1"/>
  <c r="AR63" i="1"/>
  <c r="AS63" i="1" s="1"/>
  <c r="AQ63" i="1"/>
  <c r="AR55" i="1"/>
  <c r="AS55" i="1" s="1"/>
  <c r="AQ55" i="1"/>
  <c r="AR47" i="1"/>
  <c r="AS47" i="1" s="1"/>
  <c r="AQ47" i="1"/>
  <c r="AR39" i="1"/>
  <c r="AS39" i="1" s="1"/>
  <c r="AQ39" i="1"/>
  <c r="AR31" i="1"/>
  <c r="AS31" i="1" s="1"/>
  <c r="AQ31" i="1"/>
  <c r="AR23" i="1"/>
  <c r="AS23" i="1" s="1"/>
  <c r="AQ23" i="1"/>
  <c r="AR15" i="1"/>
  <c r="AS15" i="1" s="1"/>
  <c r="AQ15" i="1"/>
  <c r="AR7" i="1"/>
  <c r="AS7" i="1" s="1"/>
  <c r="AQ7" i="1"/>
  <c r="AR148" i="1"/>
  <c r="AS148" i="1" s="1"/>
  <c r="AQ148" i="1"/>
  <c r="AR116" i="1"/>
  <c r="AS116" i="1" s="1"/>
  <c r="AQ116" i="1"/>
  <c r="AR84" i="1"/>
  <c r="AS84" i="1" s="1"/>
  <c r="AQ84" i="1"/>
  <c r="AR52" i="1"/>
  <c r="AS52" i="1" s="1"/>
  <c r="AQ52" i="1"/>
  <c r="AR4" i="1"/>
  <c r="AS4" i="1" s="1"/>
  <c r="AQ4" i="1"/>
  <c r="AR139" i="1"/>
  <c r="AS139" i="1" s="1"/>
  <c r="AQ139" i="1"/>
  <c r="AR99" i="1"/>
  <c r="AS99" i="1" s="1"/>
  <c r="AQ99" i="1"/>
  <c r="AR59" i="1"/>
  <c r="AS59" i="1" s="1"/>
  <c r="AQ59" i="1"/>
  <c r="AR11" i="1"/>
  <c r="AS11" i="1" s="1"/>
  <c r="AQ11" i="1"/>
  <c r="AR146" i="1"/>
  <c r="AS146" i="1" s="1"/>
  <c r="AQ146" i="1"/>
  <c r="AR114" i="1"/>
  <c r="AS114" i="1" s="1"/>
  <c r="AQ114" i="1"/>
  <c r="AR74" i="1"/>
  <c r="AS74" i="1" s="1"/>
  <c r="AQ74" i="1"/>
  <c r="AR34" i="1"/>
  <c r="AS34" i="1" s="1"/>
  <c r="AQ34" i="1"/>
  <c r="AR161" i="1"/>
  <c r="AS161" i="1" s="1"/>
  <c r="AQ161" i="1"/>
  <c r="AR121" i="1"/>
  <c r="AS121" i="1" s="1"/>
  <c r="AQ121" i="1"/>
  <c r="AR89" i="1"/>
  <c r="AS89" i="1" s="1"/>
  <c r="AQ89" i="1"/>
  <c r="AR65" i="1"/>
  <c r="AS65" i="1" s="1"/>
  <c r="AQ65" i="1"/>
  <c r="AR17" i="1"/>
  <c r="AS17" i="1" s="1"/>
  <c r="AQ17" i="1"/>
  <c r="AR150" i="1"/>
  <c r="AS150" i="1" s="1"/>
  <c r="AQ150" i="1"/>
  <c r="AR142" i="1"/>
  <c r="AS142" i="1" s="1"/>
  <c r="AQ142" i="1"/>
  <c r="AR134" i="1"/>
  <c r="AS134" i="1" s="1"/>
  <c r="AQ134" i="1"/>
  <c r="AR126" i="1"/>
  <c r="AS126" i="1" s="1"/>
  <c r="AQ126" i="1"/>
  <c r="AR118" i="1"/>
  <c r="AS118" i="1" s="1"/>
  <c r="AQ118" i="1"/>
  <c r="AR110" i="1"/>
  <c r="AS110" i="1" s="1"/>
  <c r="AQ110" i="1"/>
  <c r="AR102" i="1"/>
  <c r="AS102" i="1" s="1"/>
  <c r="AQ102" i="1"/>
  <c r="AR94" i="1"/>
  <c r="AS94" i="1" s="1"/>
  <c r="AQ94" i="1"/>
  <c r="AR86" i="1"/>
  <c r="AS86" i="1" s="1"/>
  <c r="AQ86" i="1"/>
  <c r="AR78" i="1"/>
  <c r="AS78" i="1" s="1"/>
  <c r="AQ78" i="1"/>
  <c r="AR70" i="1"/>
  <c r="AS70" i="1" s="1"/>
  <c r="AQ70" i="1"/>
  <c r="AR62" i="1"/>
  <c r="AS62" i="1" s="1"/>
  <c r="AQ62" i="1"/>
  <c r="AR54" i="1"/>
  <c r="AS54" i="1" s="1"/>
  <c r="AQ54" i="1"/>
  <c r="AR46" i="1"/>
  <c r="AS46" i="1" s="1"/>
  <c r="AQ46" i="1"/>
  <c r="AR38" i="1"/>
  <c r="AS38" i="1" s="1"/>
  <c r="AQ38" i="1"/>
  <c r="AR30" i="1"/>
  <c r="AS30" i="1" s="1"/>
  <c r="AQ30" i="1"/>
  <c r="AR22" i="1"/>
  <c r="AS22" i="1" s="1"/>
  <c r="AQ22" i="1"/>
  <c r="AR14" i="1"/>
  <c r="AS14" i="1" s="1"/>
  <c r="AQ14" i="1"/>
  <c r="AR6" i="1"/>
  <c r="AS6" i="1" s="1"/>
  <c r="AQ6" i="1"/>
  <c r="AR164" i="1"/>
  <c r="AS164" i="1" s="1"/>
  <c r="AQ164" i="1"/>
  <c r="AR140" i="1"/>
  <c r="AS140" i="1" s="1"/>
  <c r="AQ140" i="1"/>
  <c r="AR108" i="1"/>
  <c r="AS108" i="1" s="1"/>
  <c r="AQ108" i="1"/>
  <c r="AR68" i="1"/>
  <c r="AS68" i="1" s="1"/>
  <c r="AQ68" i="1"/>
  <c r="AR36" i="1"/>
  <c r="AS36" i="1" s="1"/>
  <c r="AQ36" i="1"/>
  <c r="AR20" i="1"/>
  <c r="AS20" i="1" s="1"/>
  <c r="AQ20" i="1"/>
  <c r="AR155" i="1"/>
  <c r="AS155" i="1" s="1"/>
  <c r="AQ155" i="1"/>
  <c r="AR123" i="1"/>
  <c r="AS123" i="1" s="1"/>
  <c r="AQ123" i="1"/>
  <c r="AR91" i="1"/>
  <c r="AS91" i="1" s="1"/>
  <c r="AQ91" i="1"/>
  <c r="AR67" i="1"/>
  <c r="AS67" i="1" s="1"/>
  <c r="AQ67" i="1"/>
  <c r="AR35" i="1"/>
  <c r="AS35" i="1" s="1"/>
  <c r="AQ35" i="1"/>
  <c r="AR19" i="1"/>
  <c r="AS19" i="1" s="1"/>
  <c r="AQ19" i="1"/>
  <c r="AR162" i="1"/>
  <c r="AS162" i="1" s="1"/>
  <c r="AQ162" i="1"/>
  <c r="AR130" i="1"/>
  <c r="AS130" i="1" s="1"/>
  <c r="AQ130" i="1"/>
  <c r="AR106" i="1"/>
  <c r="AS106" i="1" s="1"/>
  <c r="AQ106" i="1"/>
  <c r="AR82" i="1"/>
  <c r="AS82" i="1" s="1"/>
  <c r="AQ82" i="1"/>
  <c r="AR50" i="1"/>
  <c r="AS50" i="1" s="1"/>
  <c r="AQ50" i="1"/>
  <c r="AR18" i="1"/>
  <c r="AS18" i="1" s="1"/>
  <c r="AQ18" i="1"/>
  <c r="AR153" i="1"/>
  <c r="AS153" i="1" s="1"/>
  <c r="AQ153" i="1"/>
  <c r="AR129" i="1"/>
  <c r="AS129" i="1" s="1"/>
  <c r="AQ129" i="1"/>
  <c r="AR97" i="1"/>
  <c r="AS97" i="1" s="1"/>
  <c r="AQ97" i="1"/>
  <c r="AR73" i="1"/>
  <c r="AS73" i="1" s="1"/>
  <c r="AQ73" i="1"/>
  <c r="AR49" i="1"/>
  <c r="AS49" i="1" s="1"/>
  <c r="AQ49" i="1"/>
  <c r="AR25" i="1"/>
  <c r="AS25" i="1" s="1"/>
  <c r="AQ25" i="1"/>
  <c r="AR166" i="1"/>
  <c r="AS166" i="1" s="1"/>
  <c r="AQ166" i="1"/>
  <c r="AR158" i="1"/>
  <c r="AS158" i="1" s="1"/>
  <c r="AQ158" i="1"/>
  <c r="AR165" i="1"/>
  <c r="AS165" i="1" s="1"/>
  <c r="AQ165" i="1"/>
  <c r="AR157" i="1"/>
  <c r="AS157" i="1" s="1"/>
  <c r="AQ157" i="1"/>
  <c r="AR149" i="1"/>
  <c r="AS149" i="1" s="1"/>
  <c r="AQ149" i="1"/>
  <c r="AR141" i="1"/>
  <c r="AS141" i="1" s="1"/>
  <c r="AQ141" i="1"/>
  <c r="AR133" i="1"/>
  <c r="AS133" i="1" s="1"/>
  <c r="AQ133" i="1"/>
  <c r="AR125" i="1"/>
  <c r="AS125" i="1" s="1"/>
  <c r="AQ125" i="1"/>
  <c r="AR117" i="1"/>
  <c r="AS117" i="1" s="1"/>
  <c r="AQ117" i="1"/>
  <c r="AR109" i="1"/>
  <c r="AS109" i="1" s="1"/>
  <c r="AQ109" i="1"/>
  <c r="AR101" i="1"/>
  <c r="AS101" i="1" s="1"/>
  <c r="AQ101" i="1"/>
  <c r="AR93" i="1"/>
  <c r="AS93" i="1" s="1"/>
  <c r="AQ93" i="1"/>
  <c r="AR85" i="1"/>
  <c r="AS85" i="1" s="1"/>
  <c r="AQ85" i="1"/>
  <c r="AR77" i="1"/>
  <c r="AS77" i="1" s="1"/>
  <c r="AQ77" i="1"/>
  <c r="AR69" i="1"/>
  <c r="AS69" i="1" s="1"/>
  <c r="AQ69" i="1"/>
  <c r="AR61" i="1"/>
  <c r="AS61" i="1" s="1"/>
  <c r="AQ61" i="1"/>
  <c r="AR53" i="1"/>
  <c r="AS53" i="1" s="1"/>
  <c r="AQ53" i="1"/>
  <c r="AR45" i="1"/>
  <c r="AS45" i="1" s="1"/>
  <c r="AQ45" i="1"/>
  <c r="AR37" i="1"/>
  <c r="AS37" i="1" s="1"/>
  <c r="AQ37" i="1"/>
  <c r="AR29" i="1"/>
  <c r="AS29" i="1" s="1"/>
  <c r="AQ29" i="1"/>
  <c r="AR21" i="1"/>
  <c r="AS21" i="1" s="1"/>
  <c r="AQ21" i="1"/>
  <c r="AR13" i="1"/>
  <c r="AS13" i="1" s="1"/>
  <c r="AQ13" i="1"/>
  <c r="AR5" i="1"/>
  <c r="AS5" i="1" s="1"/>
  <c r="AQ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2" i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3" i="4"/>
  <c r="J4" i="4"/>
  <c r="J5" i="4"/>
  <c r="J6" i="4"/>
  <c r="J7" i="4"/>
  <c r="J8" i="4"/>
  <c r="J9" i="4"/>
  <c r="J10" i="4"/>
  <c r="J2" i="4"/>
  <c r="AA71" i="3" l="1"/>
  <c r="AB71" i="3"/>
  <c r="AC71" i="3"/>
  <c r="AD71" i="3"/>
  <c r="AE71" i="3"/>
  <c r="Z71" i="3"/>
  <c r="AA70" i="3"/>
  <c r="AB70" i="3"/>
  <c r="AC70" i="3"/>
  <c r="AD70" i="3"/>
  <c r="AE70" i="3"/>
  <c r="Z70" i="3"/>
  <c r="AH99" i="4"/>
  <c r="AI99" i="4"/>
  <c r="AJ99" i="4"/>
  <c r="AK99" i="4"/>
  <c r="AL99" i="4"/>
  <c r="AM99" i="4"/>
  <c r="AI98" i="4"/>
  <c r="AJ98" i="4"/>
  <c r="AK98" i="4"/>
  <c r="AL98" i="4"/>
  <c r="AM98" i="4"/>
  <c r="AH98" i="4"/>
  <c r="AH30" i="4"/>
  <c r="E100" i="4" l="1"/>
  <c r="F100" i="4"/>
  <c r="G100" i="4"/>
  <c r="H100" i="4"/>
  <c r="I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D100" i="4"/>
  <c r="E98" i="4"/>
  <c r="F98" i="4"/>
  <c r="G98" i="4"/>
  <c r="H98" i="4"/>
  <c r="I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D98" i="4"/>
  <c r="AJ44" i="1"/>
  <c r="E72" i="3" l="1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D72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J2" i="1" l="1"/>
  <c r="K2" i="1" s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3" i="1"/>
  <c r="AA24" i="1"/>
  <c r="AA25" i="1"/>
  <c r="AA26" i="1"/>
  <c r="AA27" i="1"/>
  <c r="AA28" i="1"/>
  <c r="AA30" i="1"/>
  <c r="AA31" i="1"/>
  <c r="AA32" i="1"/>
  <c r="AA33" i="1"/>
  <c r="AA34" i="1"/>
  <c r="AA38" i="1"/>
  <c r="AA39" i="1"/>
  <c r="AA40" i="1"/>
  <c r="AA41" i="1"/>
  <c r="AA43" i="1"/>
  <c r="AA44" i="1"/>
  <c r="AA45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4" i="1"/>
  <c r="AA67" i="1"/>
  <c r="AA69" i="1"/>
  <c r="AA70" i="1"/>
  <c r="AA71" i="1"/>
  <c r="AA72" i="1"/>
  <c r="AA73" i="1"/>
  <c r="AA75" i="1"/>
  <c r="AA76" i="1"/>
  <c r="AA79" i="1"/>
  <c r="AA81" i="1"/>
  <c r="AA82" i="1"/>
  <c r="AA83" i="1"/>
  <c r="AA85" i="1"/>
  <c r="AA86" i="1"/>
  <c r="AA87" i="1"/>
  <c r="AA88" i="1"/>
  <c r="AA89" i="1"/>
  <c r="AA90" i="1"/>
  <c r="AA91" i="1"/>
  <c r="AA92" i="1"/>
  <c r="AA93" i="1"/>
  <c r="AA95" i="1"/>
  <c r="AA96" i="1"/>
  <c r="AA98" i="1"/>
  <c r="AA99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9" i="1"/>
  <c r="AA133" i="1"/>
  <c r="AA134" i="1"/>
  <c r="AA135" i="1"/>
  <c r="AA137" i="1"/>
  <c r="AA138" i="1"/>
  <c r="AA141" i="1"/>
  <c r="AA142" i="1"/>
  <c r="AA143" i="1"/>
  <c r="AA144" i="1"/>
  <c r="AA146" i="1"/>
  <c r="AA147" i="1"/>
  <c r="AA151" i="1"/>
  <c r="AA152" i="1"/>
  <c r="AA154" i="1"/>
  <c r="AA155" i="1"/>
  <c r="AA156" i="1"/>
  <c r="AA157" i="1"/>
  <c r="AA158" i="1"/>
  <c r="AA159" i="1"/>
  <c r="AA160" i="1"/>
  <c r="AA161" i="1"/>
  <c r="AA162" i="1"/>
  <c r="AA163" i="1"/>
  <c r="AA165" i="1"/>
  <c r="AA166" i="1"/>
  <c r="AA2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I164" i="1"/>
  <c r="I165" i="1"/>
  <c r="I16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3" i="1"/>
  <c r="I2" i="1"/>
  <c r="AH22" i="1" l="1"/>
  <c r="AA22" i="1" l="1"/>
  <c r="J22" i="1"/>
  <c r="K22" i="1" s="1"/>
  <c r="AJ166" i="1"/>
  <c r="R165" i="1"/>
  <c r="Y164" i="1"/>
  <c r="AA164" i="1" s="1"/>
  <c r="AM164" i="1"/>
  <c r="AJ164" i="1"/>
  <c r="AJ161" i="1"/>
  <c r="AM159" i="1"/>
  <c r="AJ159" i="1"/>
  <c r="AM158" i="1"/>
  <c r="AJ157" i="1"/>
  <c r="AM156" i="1"/>
  <c r="AJ156" i="1"/>
  <c r="AJ155" i="1"/>
  <c r="Y153" i="1"/>
  <c r="AA153" i="1" s="1"/>
  <c r="AJ152" i="1"/>
  <c r="Y150" i="1"/>
  <c r="AA150" i="1" s="1"/>
  <c r="AK150" i="1"/>
  <c r="AJ150" i="1"/>
  <c r="Y149" i="1"/>
  <c r="AA149" i="1" s="1"/>
  <c r="AM149" i="1"/>
  <c r="AJ149" i="1"/>
  <c r="Y148" i="1" l="1"/>
  <c r="AA148" i="1" s="1"/>
  <c r="AJ148" i="1"/>
  <c r="R147" i="1"/>
  <c r="AK147" i="1"/>
  <c r="AJ147" i="1"/>
  <c r="AJ146" i="1"/>
  <c r="Y145" i="1"/>
  <c r="AA145" i="1" s="1"/>
  <c r="AJ143" i="1"/>
  <c r="R141" i="1"/>
  <c r="AJ141" i="1"/>
  <c r="Y140" i="1"/>
  <c r="AA140" i="1" s="1"/>
  <c r="AM140" i="1"/>
  <c r="R140" i="1"/>
  <c r="AJ140" i="1"/>
  <c r="Y139" i="1" l="1"/>
  <c r="AA139" i="1" s="1"/>
  <c r="R139" i="1"/>
  <c r="R137" i="1" l="1"/>
  <c r="Y136" i="1"/>
  <c r="AA136" i="1" s="1"/>
  <c r="R136" i="1"/>
  <c r="R135" i="1"/>
  <c r="AJ135" i="1"/>
  <c r="R134" i="1"/>
  <c r="AJ134" i="1"/>
  <c r="R133" i="1"/>
  <c r="AJ133" i="1"/>
  <c r="Y132" i="1"/>
  <c r="AA132" i="1" s="1"/>
  <c r="R132" i="1"/>
  <c r="AJ132" i="1"/>
  <c r="Y131" i="1"/>
  <c r="AA131" i="1" s="1"/>
  <c r="R131" i="1"/>
  <c r="AJ131" i="1"/>
  <c r="Y130" i="1"/>
  <c r="AA130" i="1" s="1"/>
  <c r="AJ130" i="1"/>
  <c r="R129" i="1"/>
  <c r="AJ129" i="1"/>
  <c r="Y128" i="1"/>
  <c r="AA128" i="1" s="1"/>
  <c r="R128" i="1"/>
  <c r="AJ128" i="1"/>
  <c r="Y127" i="1"/>
  <c r="AA127" i="1" s="1"/>
  <c r="AM127" i="1"/>
  <c r="R127" i="1"/>
  <c r="AJ127" i="1"/>
  <c r="Y126" i="1"/>
  <c r="AA126" i="1" s="1"/>
  <c r="AJ125" i="1" l="1"/>
  <c r="AJ122" i="1"/>
  <c r="R121" i="1"/>
  <c r="AJ121" i="1"/>
  <c r="AJ120" i="1"/>
  <c r="AJ119" i="1"/>
  <c r="AJ118" i="1"/>
  <c r="R117" i="1"/>
  <c r="AJ117" i="1"/>
  <c r="AJ116" i="1"/>
  <c r="AJ112" i="1"/>
  <c r="R111" i="1"/>
  <c r="AJ111" i="1"/>
  <c r="R110" i="1"/>
  <c r="AJ110" i="1"/>
  <c r="R109" i="1"/>
  <c r="N108" i="1"/>
  <c r="AJ106" i="1" l="1"/>
  <c r="AJ104" i="1"/>
  <c r="AJ101" i="1" l="1"/>
  <c r="Y100" i="1"/>
  <c r="AA100" i="1" s="1"/>
  <c r="AJ99" i="1"/>
  <c r="O99" i="1"/>
  <c r="R98" i="1"/>
  <c r="Y97" i="1"/>
  <c r="AA97" i="1" s="1"/>
  <c r="AJ97" i="1"/>
  <c r="AJ95" i="1"/>
  <c r="AN94" i="1"/>
  <c r="R94" i="1"/>
  <c r="AJ94" i="1"/>
  <c r="AH94" i="1"/>
  <c r="R93" i="1"/>
  <c r="AJ93" i="1"/>
  <c r="AJ92" i="1"/>
  <c r="R91" i="1"/>
  <c r="AJ91" i="1"/>
  <c r="AA94" i="1" l="1"/>
  <c r="J94" i="1"/>
  <c r="K94" i="1" s="1"/>
  <c r="R90" i="1"/>
  <c r="R89" i="1"/>
  <c r="R88" i="1"/>
  <c r="R87" i="1"/>
  <c r="R86" i="1"/>
  <c r="R84" i="1"/>
  <c r="AJ84" i="1"/>
  <c r="AH84" i="1"/>
  <c r="R83" i="1"/>
  <c r="AJ82" i="1"/>
  <c r="AM81" i="1"/>
  <c r="R81" i="1"/>
  <c r="AJ81" i="1"/>
  <c r="Y80" i="1"/>
  <c r="AA80" i="1" s="1"/>
  <c r="R80" i="1"/>
  <c r="AJ80" i="1"/>
  <c r="AJ79" i="1"/>
  <c r="Y78" i="1"/>
  <c r="AA78" i="1" s="1"/>
  <c r="R78" i="1"/>
  <c r="AJ78" i="1"/>
  <c r="Y77" i="1"/>
  <c r="AA77" i="1" s="1"/>
  <c r="R77" i="1"/>
  <c r="AJ77" i="1"/>
  <c r="Y74" i="1"/>
  <c r="AA74" i="1" s="1"/>
  <c r="R74" i="1"/>
  <c r="AJ74" i="1"/>
  <c r="AJ72" i="1"/>
  <c r="AA84" i="1" l="1"/>
  <c r="J84" i="1"/>
  <c r="K84" i="1" s="1"/>
  <c r="R69" i="1"/>
  <c r="AJ69" i="1"/>
  <c r="Y68" i="1"/>
  <c r="AA68" i="1" s="1"/>
  <c r="AJ68" i="1"/>
  <c r="Y66" i="1"/>
  <c r="AA66" i="1" s="1"/>
  <c r="Y65" i="1"/>
  <c r="AA65" i="1" s="1"/>
  <c r="R65" i="1"/>
  <c r="AJ65" i="1"/>
  <c r="AJ64" i="1"/>
  <c r="Y63" i="1"/>
  <c r="AA63" i="1" s="1"/>
  <c r="AJ63" i="1"/>
  <c r="AJ61" i="1"/>
  <c r="Y60" i="1"/>
  <c r="AA60" i="1" s="1"/>
  <c r="R60" i="1"/>
  <c r="AJ60" i="1"/>
  <c r="O60" i="1"/>
  <c r="R59" i="1"/>
  <c r="R57" i="1"/>
  <c r="R58" i="1"/>
  <c r="AJ58" i="1"/>
  <c r="AM57" i="1"/>
  <c r="R56" i="1" l="1"/>
  <c r="R54" i="1"/>
  <c r="AJ54" i="1"/>
  <c r="AJ52" i="1"/>
  <c r="R51" i="1"/>
  <c r="AJ51" i="1"/>
  <c r="R50" i="1" l="1"/>
  <c r="Y48" i="1"/>
  <c r="AA48" i="1" s="1"/>
  <c r="AJ48" i="1"/>
  <c r="Y47" i="1"/>
  <c r="AA47" i="1" s="1"/>
  <c r="AN47" i="1"/>
  <c r="Y46" i="1"/>
  <c r="AA46" i="1" s="1"/>
  <c r="AJ46" i="1"/>
  <c r="Y42" i="1"/>
  <c r="AA42" i="1" s="1"/>
  <c r="R41" i="1"/>
  <c r="AJ41" i="1"/>
  <c r="R40" i="1"/>
  <c r="AJ40" i="1"/>
  <c r="Y37" i="1"/>
  <c r="AA37" i="1" s="1"/>
  <c r="AJ37" i="1" l="1"/>
  <c r="Y36" i="1"/>
  <c r="AA36" i="1" s="1"/>
  <c r="Y35" i="1" l="1"/>
  <c r="AA35" i="1" s="1"/>
  <c r="Y29" i="1"/>
  <c r="R28" i="1"/>
  <c r="AJ26" i="1"/>
  <c r="AJ25" i="1"/>
  <c r="AM24" i="1"/>
  <c r="R24" i="1"/>
  <c r="AJ24" i="1"/>
  <c r="R23" i="1"/>
  <c r="R22" i="1"/>
  <c r="R20" i="1"/>
  <c r="AA29" i="1" l="1"/>
  <c r="R16" i="1"/>
  <c r="R11" i="1"/>
  <c r="AJ11" i="1"/>
  <c r="R9" i="1"/>
  <c r="R6" i="1"/>
  <c r="R3" i="1" l="1"/>
  <c r="R2" i="1" l="1"/>
</calcChain>
</file>

<file path=xl/sharedStrings.xml><?xml version="1.0" encoding="utf-8"?>
<sst xmlns="http://schemas.openxmlformats.org/spreadsheetml/2006/main" count="749" uniqueCount="62">
  <si>
    <t>Coop</t>
    <phoneticPr fontId="1"/>
  </si>
  <si>
    <t>SBF</t>
    <phoneticPr fontId="1"/>
  </si>
  <si>
    <t>Age</t>
    <phoneticPr fontId="1"/>
  </si>
  <si>
    <t>Gen</t>
    <phoneticPr fontId="1"/>
  </si>
  <si>
    <t>Edu</t>
    <phoneticPr fontId="1"/>
  </si>
  <si>
    <t>Expe</t>
    <phoneticPr fontId="1"/>
  </si>
  <si>
    <t>member</t>
    <phoneticPr fontId="1"/>
  </si>
  <si>
    <t xml:space="preserve">sugarcane </t>
    <phoneticPr fontId="1"/>
  </si>
  <si>
    <t>fertilizer</t>
    <phoneticPr fontId="1"/>
  </si>
  <si>
    <t>pesticide</t>
    <phoneticPr fontId="1"/>
  </si>
  <si>
    <t>herbicide</t>
    <phoneticPr fontId="1"/>
  </si>
  <si>
    <t>variety</t>
    <phoneticPr fontId="1"/>
  </si>
  <si>
    <t>landsize</t>
    <phoneticPr fontId="1"/>
  </si>
  <si>
    <t>parcel</t>
    <phoneticPr fontId="1"/>
  </si>
  <si>
    <t>pamount</t>
    <phoneticPr fontId="1"/>
  </si>
  <si>
    <t>pvalue</t>
    <phoneticPr fontId="1"/>
  </si>
  <si>
    <t>Own</t>
    <phoneticPr fontId="1"/>
  </si>
  <si>
    <t>DFamLabor</t>
    <phoneticPr fontId="1"/>
  </si>
  <si>
    <t>DHireLabor</t>
    <phoneticPr fontId="1"/>
  </si>
  <si>
    <t>VHireLabor</t>
    <phoneticPr fontId="1"/>
  </si>
  <si>
    <t>DMachine</t>
    <phoneticPr fontId="1"/>
  </si>
  <si>
    <t>VMachine</t>
    <phoneticPr fontId="1"/>
  </si>
  <si>
    <t>DAnimal</t>
    <phoneticPr fontId="1"/>
  </si>
  <si>
    <t>Vanimal</t>
    <phoneticPr fontId="1"/>
  </si>
  <si>
    <t>QFer</t>
    <phoneticPr fontId="1"/>
  </si>
  <si>
    <t>VFer</t>
    <phoneticPr fontId="1"/>
  </si>
  <si>
    <t>QHer</t>
    <phoneticPr fontId="1"/>
  </si>
  <si>
    <t>VHer</t>
    <phoneticPr fontId="1"/>
  </si>
  <si>
    <t>QPes</t>
    <phoneticPr fontId="1"/>
  </si>
  <si>
    <t>VPes</t>
    <phoneticPr fontId="1"/>
  </si>
  <si>
    <t>Irrigation</t>
    <phoneticPr fontId="1"/>
  </si>
  <si>
    <t>Extension</t>
    <phoneticPr fontId="1"/>
  </si>
  <si>
    <t>Internet</t>
    <phoneticPr fontId="1"/>
  </si>
  <si>
    <t>Nfarmincome</t>
    <phoneticPr fontId="1"/>
  </si>
  <si>
    <t>Kamahari</t>
    <phoneticPr fontId="1"/>
  </si>
  <si>
    <t>Kamahari</t>
    <phoneticPr fontId="1"/>
  </si>
  <si>
    <t>kamahari</t>
    <phoneticPr fontId="1"/>
  </si>
  <si>
    <t>Kamahari</t>
    <phoneticPr fontId="1"/>
  </si>
  <si>
    <t>Taludtod</t>
    <phoneticPr fontId="1"/>
  </si>
  <si>
    <t>Prenza</t>
    <phoneticPr fontId="1"/>
  </si>
  <si>
    <t>Lucban</t>
    <phoneticPr fontId="1"/>
  </si>
  <si>
    <t>farmincomeratio</t>
    <phoneticPr fontId="1"/>
  </si>
  <si>
    <t>no</t>
  </si>
  <si>
    <t>amountha</t>
  </si>
  <si>
    <t>valueha</t>
  </si>
  <si>
    <t>variety</t>
  </si>
  <si>
    <t>Vpes</t>
  </si>
  <si>
    <t>Kamahari</t>
  </si>
  <si>
    <t>valueha(1,000php)</t>
  </si>
  <si>
    <t>Value</t>
  </si>
  <si>
    <t>Qher</t>
  </si>
  <si>
    <t>Fertilizer</t>
  </si>
  <si>
    <t>NFarmincome</t>
  </si>
  <si>
    <t>cost</t>
  </si>
  <si>
    <t>costha</t>
  </si>
  <si>
    <t>profit1000</t>
  </si>
  <si>
    <t>profitha</t>
  </si>
  <si>
    <t>VHireLaborper</t>
  </si>
  <si>
    <t>Vmachineper</t>
  </si>
  <si>
    <t>Vanimalper</t>
  </si>
  <si>
    <t>Vfertilizer</t>
  </si>
  <si>
    <t>DFamLabor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</si>
</sst>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45D8F-8C8D-49D6-BC91-05D83387E8C8}">
  <sheetPr filterMode="1"/>
  <dimension ref="A1:AW167"/>
  <sheetViews>
    <sheetView topLeftCell="A88" zoomScale="90" zoomScaleNormal="55" workbookViewId="0">
      <selection activeCell="I39" sqref="I39"/>
    </sheetView>
  </sheetViews>
  <sheetFormatPr defaultRowHeight="14.5"/>
  <cols>
    <col min="9" max="9" width="10.1796875" customWidth="1"/>
    <col min="11" max="11" width="13.08984375" customWidth="1"/>
    <col min="46" max="46" width="13.1796875" customWidth="1"/>
    <col min="47" max="47" width="12.26953125" customWidth="1"/>
    <col min="48" max="48" width="11.08984375" customWidth="1"/>
  </cols>
  <sheetData>
    <row r="1" spans="1:49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J1" t="s">
        <v>44</v>
      </c>
      <c r="K1" s="2" t="s">
        <v>49</v>
      </c>
      <c r="L1" t="s">
        <v>12</v>
      </c>
      <c r="M1" t="s">
        <v>13</v>
      </c>
      <c r="N1" t="s">
        <v>17</v>
      </c>
      <c r="O1" t="s">
        <v>18</v>
      </c>
      <c r="P1" t="s">
        <v>20</v>
      </c>
      <c r="Q1" t="s">
        <v>22</v>
      </c>
      <c r="R1" t="s">
        <v>24</v>
      </c>
      <c r="S1" t="s">
        <v>51</v>
      </c>
      <c r="T1" t="s">
        <v>50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  <c r="Z1" t="s">
        <v>52</v>
      </c>
      <c r="AA1" t="s">
        <v>41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14</v>
      </c>
      <c r="AH1" t="s">
        <v>15</v>
      </c>
      <c r="AI1" t="s">
        <v>16</v>
      </c>
      <c r="AJ1" t="s">
        <v>19</v>
      </c>
      <c r="AK1" t="s">
        <v>21</v>
      </c>
      <c r="AL1" t="s">
        <v>23</v>
      </c>
      <c r="AM1" t="s">
        <v>25</v>
      </c>
      <c r="AN1" t="s">
        <v>27</v>
      </c>
      <c r="AO1" t="s">
        <v>46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</row>
    <row r="2" spans="1:49">
      <c r="A2">
        <v>1</v>
      </c>
      <c r="B2" t="s">
        <v>34</v>
      </c>
      <c r="C2">
        <v>1</v>
      </c>
      <c r="D2">
        <v>73</v>
      </c>
      <c r="E2">
        <v>1</v>
      </c>
      <c r="F2">
        <v>2</v>
      </c>
      <c r="G2">
        <v>63</v>
      </c>
      <c r="H2">
        <v>4</v>
      </c>
      <c r="I2">
        <f t="shared" ref="I2:I33" si="0">AG2/L2</f>
        <v>100</v>
      </c>
      <c r="J2">
        <f t="shared" ref="J2:J33" si="1">AH2/L2</f>
        <v>125000</v>
      </c>
      <c r="K2">
        <f>J2/1000</f>
        <v>125</v>
      </c>
      <c r="L2">
        <v>0.8</v>
      </c>
      <c r="M2">
        <v>1</v>
      </c>
      <c r="N2">
        <v>27</v>
      </c>
      <c r="O2">
        <v>82</v>
      </c>
      <c r="P2" s="3">
        <v>9.9999999999999991E-22</v>
      </c>
      <c r="Q2">
        <v>4</v>
      </c>
      <c r="R2">
        <f>10*50</f>
        <v>500</v>
      </c>
      <c r="S2">
        <f>R2/1000</f>
        <v>0.5</v>
      </c>
      <c r="T2" s="3">
        <v>9.9999999999999991E-22</v>
      </c>
      <c r="U2" s="3">
        <v>9.9999999999999991E-22</v>
      </c>
      <c r="V2" s="3">
        <v>9.9999999999999991E-22</v>
      </c>
      <c r="W2">
        <v>1</v>
      </c>
      <c r="X2" s="3">
        <v>9.9999999999999991E-22</v>
      </c>
      <c r="Y2">
        <v>134000</v>
      </c>
      <c r="Z2">
        <f>Y2/1000</f>
        <v>134</v>
      </c>
      <c r="AA2">
        <f t="shared" ref="AA2:AA33" si="2">AH2/(AH2+Y2)</f>
        <v>0.42735042735042733</v>
      </c>
      <c r="AB2">
        <v>4</v>
      </c>
      <c r="AC2">
        <v>4</v>
      </c>
      <c r="AD2">
        <v>0</v>
      </c>
      <c r="AE2">
        <v>0</v>
      </c>
      <c r="AF2">
        <v>1</v>
      </c>
      <c r="AG2">
        <v>80</v>
      </c>
      <c r="AH2">
        <v>100000</v>
      </c>
      <c r="AI2">
        <v>2</v>
      </c>
      <c r="AJ2">
        <v>35500</v>
      </c>
      <c r="AK2">
        <v>0</v>
      </c>
      <c r="AL2">
        <v>14800</v>
      </c>
      <c r="AM2">
        <v>10000</v>
      </c>
      <c r="AN2">
        <v>0</v>
      </c>
      <c r="AO2">
        <v>0</v>
      </c>
      <c r="AP2">
        <f>(AJ2+AK2+AL2+AM2+AN2+AO2)/1000</f>
        <v>60.3</v>
      </c>
      <c r="AQ2">
        <f>AP2/L2</f>
        <v>75.374999999999986</v>
      </c>
      <c r="AR2">
        <f>AH2/1000-AP2</f>
        <v>39.700000000000003</v>
      </c>
      <c r="AS2">
        <f>AR2/L2</f>
        <v>49.625</v>
      </c>
    </row>
    <row r="3" spans="1:49">
      <c r="A3">
        <v>2</v>
      </c>
      <c r="B3" t="s">
        <v>35</v>
      </c>
      <c r="C3">
        <v>1</v>
      </c>
      <c r="D3">
        <v>70</v>
      </c>
      <c r="E3">
        <v>1</v>
      </c>
      <c r="F3">
        <v>4</v>
      </c>
      <c r="G3">
        <v>60</v>
      </c>
      <c r="H3">
        <v>3</v>
      </c>
      <c r="I3">
        <f t="shared" si="0"/>
        <v>56.666666666666671</v>
      </c>
      <c r="J3">
        <f t="shared" si="1"/>
        <v>116666.66666666667</v>
      </c>
      <c r="K3">
        <f t="shared" ref="K3:K66" si="3">J3/1000</f>
        <v>116.66666666666667</v>
      </c>
      <c r="L3">
        <v>0.6</v>
      </c>
      <c r="M3">
        <v>1</v>
      </c>
      <c r="N3">
        <v>47.125</v>
      </c>
      <c r="O3">
        <v>39</v>
      </c>
      <c r="P3" s="3">
        <v>9.9999999999999991E-22</v>
      </c>
      <c r="Q3">
        <v>5</v>
      </c>
      <c r="R3">
        <f>12*50</f>
        <v>600</v>
      </c>
      <c r="S3">
        <f t="shared" ref="S3:S66" si="4">R3/1000</f>
        <v>0.6</v>
      </c>
      <c r="T3" s="3">
        <v>9.9999999999999991E-22</v>
      </c>
      <c r="U3" s="3">
        <v>9.9999999999999991E-22</v>
      </c>
      <c r="V3" s="3">
        <v>9.9999999999999991E-22</v>
      </c>
      <c r="W3">
        <v>1</v>
      </c>
      <c r="X3" s="3">
        <v>9.9999999999999991E-22</v>
      </c>
      <c r="Y3">
        <v>10400</v>
      </c>
      <c r="Z3">
        <f t="shared" ref="Z3:Z66" si="5">Y3/1000</f>
        <v>10.4</v>
      </c>
      <c r="AA3">
        <f t="shared" si="2"/>
        <v>0.87064676616915426</v>
      </c>
      <c r="AB3">
        <v>3</v>
      </c>
      <c r="AC3">
        <v>3</v>
      </c>
      <c r="AD3">
        <v>0</v>
      </c>
      <c r="AE3">
        <v>0</v>
      </c>
      <c r="AF3">
        <v>1</v>
      </c>
      <c r="AG3">
        <v>34</v>
      </c>
      <c r="AH3">
        <v>70000</v>
      </c>
      <c r="AI3">
        <v>2</v>
      </c>
      <c r="AJ3">
        <v>16900</v>
      </c>
      <c r="AK3">
        <v>0</v>
      </c>
      <c r="AL3">
        <v>6000</v>
      </c>
      <c r="AM3">
        <v>7200</v>
      </c>
      <c r="AN3">
        <v>0</v>
      </c>
      <c r="AO3">
        <v>0</v>
      </c>
      <c r="AP3">
        <f t="shared" ref="AP3:AP66" si="6">(AJ3+AK3+AL3+AM3+AN3+AO3)/1000</f>
        <v>30.1</v>
      </c>
      <c r="AQ3">
        <f t="shared" ref="AQ3:AQ66" si="7">AP3/L3</f>
        <v>50.166666666666671</v>
      </c>
      <c r="AR3">
        <f t="shared" ref="AR3:AR66" si="8">AH3/1000-AP3</f>
        <v>39.9</v>
      </c>
      <c r="AS3">
        <f t="shared" ref="AS3:AS66" si="9">AR3/L3</f>
        <v>66.5</v>
      </c>
    </row>
    <row r="4" spans="1:49">
      <c r="A4">
        <v>3</v>
      </c>
      <c r="B4" t="s">
        <v>34</v>
      </c>
      <c r="C4">
        <v>1</v>
      </c>
      <c r="D4">
        <v>68</v>
      </c>
      <c r="E4">
        <v>0</v>
      </c>
      <c r="F4">
        <v>2</v>
      </c>
      <c r="G4">
        <v>58</v>
      </c>
      <c r="H4">
        <v>2</v>
      </c>
      <c r="I4">
        <f t="shared" si="0"/>
        <v>30</v>
      </c>
      <c r="J4">
        <f t="shared" si="1"/>
        <v>75000</v>
      </c>
      <c r="K4">
        <f t="shared" si="3"/>
        <v>75</v>
      </c>
      <c r="L4">
        <v>0.4</v>
      </c>
      <c r="M4">
        <v>1</v>
      </c>
      <c r="N4">
        <v>22.8</v>
      </c>
      <c r="O4">
        <v>22</v>
      </c>
      <c r="P4" s="3">
        <v>9.9999999999999991E-22</v>
      </c>
      <c r="Q4">
        <v>2</v>
      </c>
      <c r="R4">
        <v>400</v>
      </c>
      <c r="S4">
        <f t="shared" si="4"/>
        <v>0.4</v>
      </c>
      <c r="T4" s="3">
        <v>9.9999999999999991E-22</v>
      </c>
      <c r="U4" s="3">
        <v>9.9999999999999991E-22</v>
      </c>
      <c r="V4" s="3">
        <v>9.9999999999999991E-22</v>
      </c>
      <c r="W4">
        <v>1</v>
      </c>
      <c r="X4" s="3">
        <v>9.9999999999999991E-22</v>
      </c>
      <c r="Y4">
        <v>0</v>
      </c>
      <c r="Z4">
        <f t="shared" si="5"/>
        <v>0</v>
      </c>
      <c r="AA4">
        <f t="shared" si="2"/>
        <v>1</v>
      </c>
      <c r="AB4">
        <v>4</v>
      </c>
      <c r="AC4">
        <v>3</v>
      </c>
      <c r="AD4">
        <v>0</v>
      </c>
      <c r="AE4">
        <v>0</v>
      </c>
      <c r="AF4">
        <v>1</v>
      </c>
      <c r="AG4">
        <v>12</v>
      </c>
      <c r="AH4">
        <v>30000</v>
      </c>
      <c r="AI4">
        <v>2</v>
      </c>
      <c r="AJ4">
        <v>7520</v>
      </c>
      <c r="AK4">
        <v>0</v>
      </c>
      <c r="AL4">
        <v>1000</v>
      </c>
      <c r="AM4">
        <v>4100</v>
      </c>
      <c r="AN4">
        <v>0</v>
      </c>
      <c r="AO4">
        <v>0</v>
      </c>
      <c r="AP4">
        <f t="shared" si="6"/>
        <v>12.62</v>
      </c>
      <c r="AQ4">
        <f t="shared" si="7"/>
        <v>31.549999999999997</v>
      </c>
      <c r="AR4">
        <f t="shared" si="8"/>
        <v>17.380000000000003</v>
      </c>
      <c r="AS4">
        <f t="shared" si="9"/>
        <v>43.45</v>
      </c>
    </row>
    <row r="5" spans="1:49">
      <c r="A5">
        <v>4</v>
      </c>
      <c r="B5" t="s">
        <v>34</v>
      </c>
      <c r="C5">
        <v>1</v>
      </c>
      <c r="D5">
        <v>47</v>
      </c>
      <c r="E5">
        <v>1</v>
      </c>
      <c r="F5">
        <v>3</v>
      </c>
      <c r="G5">
        <v>32</v>
      </c>
      <c r="H5">
        <v>3</v>
      </c>
      <c r="I5">
        <f t="shared" si="0"/>
        <v>77.777777777777771</v>
      </c>
      <c r="J5">
        <f t="shared" si="1"/>
        <v>142222.22222222222</v>
      </c>
      <c r="K5">
        <f t="shared" si="3"/>
        <v>142.22222222222223</v>
      </c>
      <c r="L5">
        <v>0.9</v>
      </c>
      <c r="M5">
        <v>1</v>
      </c>
      <c r="N5">
        <v>182.5</v>
      </c>
      <c r="O5">
        <v>101</v>
      </c>
      <c r="P5" s="3">
        <v>9.9999999999999991E-22</v>
      </c>
      <c r="Q5">
        <v>22.5</v>
      </c>
      <c r="R5">
        <v>900</v>
      </c>
      <c r="S5">
        <f t="shared" si="4"/>
        <v>0.9</v>
      </c>
      <c r="T5">
        <v>2</v>
      </c>
      <c r="U5" s="3">
        <v>9.9999999999999991E-22</v>
      </c>
      <c r="V5" s="3">
        <v>9.9999999999999991E-22</v>
      </c>
      <c r="W5">
        <v>1</v>
      </c>
      <c r="X5" s="3">
        <v>9.9999999999999991E-22</v>
      </c>
      <c r="Y5">
        <v>125100</v>
      </c>
      <c r="Z5">
        <f t="shared" si="5"/>
        <v>125.1</v>
      </c>
      <c r="AA5">
        <f t="shared" si="2"/>
        <v>0.50572896088502572</v>
      </c>
      <c r="AB5">
        <v>4</v>
      </c>
      <c r="AC5">
        <v>3</v>
      </c>
      <c r="AD5">
        <v>0</v>
      </c>
      <c r="AE5">
        <v>3</v>
      </c>
      <c r="AF5">
        <v>1</v>
      </c>
      <c r="AG5">
        <v>70</v>
      </c>
      <c r="AH5">
        <v>128000</v>
      </c>
      <c r="AI5">
        <v>2</v>
      </c>
      <c r="AJ5">
        <v>24600</v>
      </c>
      <c r="AK5">
        <v>0</v>
      </c>
      <c r="AL5">
        <v>0</v>
      </c>
      <c r="AM5">
        <v>9360</v>
      </c>
      <c r="AN5">
        <v>2000</v>
      </c>
      <c r="AO5">
        <v>0</v>
      </c>
      <c r="AP5">
        <f t="shared" si="6"/>
        <v>35.96</v>
      </c>
      <c r="AQ5">
        <f t="shared" si="7"/>
        <v>39.955555555555556</v>
      </c>
      <c r="AR5">
        <f t="shared" si="8"/>
        <v>92.039999999999992</v>
      </c>
      <c r="AS5">
        <f t="shared" si="9"/>
        <v>102.26666666666665</v>
      </c>
    </row>
    <row r="6" spans="1:49">
      <c r="A6">
        <v>5</v>
      </c>
      <c r="B6" t="s">
        <v>34</v>
      </c>
      <c r="C6">
        <v>1</v>
      </c>
      <c r="D6">
        <v>61</v>
      </c>
      <c r="E6">
        <v>1</v>
      </c>
      <c r="F6">
        <v>5</v>
      </c>
      <c r="G6">
        <v>51</v>
      </c>
      <c r="H6">
        <v>5</v>
      </c>
      <c r="I6">
        <f t="shared" si="0"/>
        <v>22.222222222222221</v>
      </c>
      <c r="J6">
        <f t="shared" si="1"/>
        <v>37777.777777777781</v>
      </c>
      <c r="K6">
        <f t="shared" si="3"/>
        <v>37.777777777777779</v>
      </c>
      <c r="L6">
        <v>4.5</v>
      </c>
      <c r="M6">
        <v>1</v>
      </c>
      <c r="N6">
        <v>842.25</v>
      </c>
      <c r="O6">
        <v>180</v>
      </c>
      <c r="P6">
        <v>1</v>
      </c>
      <c r="Q6">
        <v>1</v>
      </c>
      <c r="R6">
        <f>160*50</f>
        <v>8000</v>
      </c>
      <c r="S6">
        <f t="shared" si="4"/>
        <v>8</v>
      </c>
      <c r="T6" s="3">
        <v>9.9999999999999991E-22</v>
      </c>
      <c r="U6" s="3">
        <v>9.9999999999999991E-22</v>
      </c>
      <c r="V6" s="3">
        <v>9.9999999999999991E-22</v>
      </c>
      <c r="W6">
        <v>1</v>
      </c>
      <c r="X6" s="3">
        <v>9.9999999999999991E-22</v>
      </c>
      <c r="Y6">
        <v>92160</v>
      </c>
      <c r="Z6">
        <f t="shared" si="5"/>
        <v>92.16</v>
      </c>
      <c r="AA6">
        <f t="shared" si="2"/>
        <v>0.64845895636252671</v>
      </c>
      <c r="AB6">
        <v>4</v>
      </c>
      <c r="AC6">
        <v>3</v>
      </c>
      <c r="AD6">
        <v>0</v>
      </c>
      <c r="AE6">
        <v>0</v>
      </c>
      <c r="AF6">
        <v>1</v>
      </c>
      <c r="AG6">
        <v>100</v>
      </c>
      <c r="AH6">
        <v>170000</v>
      </c>
      <c r="AI6">
        <v>2</v>
      </c>
      <c r="AJ6">
        <v>45000</v>
      </c>
      <c r="AK6">
        <v>5000</v>
      </c>
      <c r="AL6">
        <v>500</v>
      </c>
      <c r="AM6">
        <v>80000</v>
      </c>
      <c r="AN6">
        <v>0</v>
      </c>
      <c r="AO6">
        <v>0</v>
      </c>
      <c r="AP6">
        <f t="shared" si="6"/>
        <v>130.5</v>
      </c>
      <c r="AQ6">
        <f t="shared" si="7"/>
        <v>29</v>
      </c>
      <c r="AR6">
        <f t="shared" si="8"/>
        <v>39.5</v>
      </c>
      <c r="AS6">
        <f t="shared" si="9"/>
        <v>8.7777777777777786</v>
      </c>
    </row>
    <row r="7" spans="1:49">
      <c r="A7">
        <v>6</v>
      </c>
      <c r="B7" t="s">
        <v>34</v>
      </c>
      <c r="C7" s="3">
        <v>0</v>
      </c>
      <c r="D7">
        <v>63</v>
      </c>
      <c r="E7">
        <v>1</v>
      </c>
      <c r="F7">
        <v>2</v>
      </c>
      <c r="G7">
        <v>40</v>
      </c>
      <c r="H7">
        <v>6</v>
      </c>
      <c r="I7">
        <f t="shared" si="0"/>
        <v>40</v>
      </c>
      <c r="J7">
        <f t="shared" si="1"/>
        <v>35000</v>
      </c>
      <c r="K7">
        <f t="shared" si="3"/>
        <v>35</v>
      </c>
      <c r="L7">
        <v>1</v>
      </c>
      <c r="M7">
        <v>1</v>
      </c>
      <c r="N7">
        <v>24.5</v>
      </c>
      <c r="O7">
        <v>100</v>
      </c>
      <c r="P7" s="3">
        <v>9.9999999999999991E-22</v>
      </c>
      <c r="Q7">
        <v>7</v>
      </c>
      <c r="R7">
        <v>1000</v>
      </c>
      <c r="S7">
        <f t="shared" si="4"/>
        <v>1</v>
      </c>
      <c r="T7" s="3">
        <v>9.9999999999999991E-22</v>
      </c>
      <c r="U7" s="3">
        <v>9.9999999999999991E-22</v>
      </c>
      <c r="V7" s="3">
        <v>9.9999999999999991E-22</v>
      </c>
      <c r="W7" s="3">
        <v>9.9999999999999991E-22</v>
      </c>
      <c r="X7" s="3">
        <v>9.9999999999999991E-22</v>
      </c>
      <c r="Y7">
        <v>0</v>
      </c>
      <c r="Z7">
        <f t="shared" si="5"/>
        <v>0</v>
      </c>
      <c r="AA7">
        <f t="shared" si="2"/>
        <v>1</v>
      </c>
      <c r="AB7">
        <v>4</v>
      </c>
      <c r="AC7">
        <v>3</v>
      </c>
      <c r="AD7">
        <v>0</v>
      </c>
      <c r="AE7">
        <v>0</v>
      </c>
      <c r="AF7">
        <v>1</v>
      </c>
      <c r="AG7">
        <v>40</v>
      </c>
      <c r="AH7">
        <v>35000</v>
      </c>
      <c r="AI7">
        <v>2</v>
      </c>
      <c r="AJ7">
        <v>24000</v>
      </c>
      <c r="AK7">
        <v>0</v>
      </c>
      <c r="AL7">
        <v>3500</v>
      </c>
      <c r="AM7">
        <v>12000</v>
      </c>
      <c r="AN7">
        <v>0</v>
      </c>
      <c r="AO7">
        <v>0</v>
      </c>
      <c r="AP7">
        <f t="shared" si="6"/>
        <v>39.5</v>
      </c>
      <c r="AQ7">
        <f t="shared" si="7"/>
        <v>39.5</v>
      </c>
      <c r="AR7">
        <f t="shared" si="8"/>
        <v>-4.5</v>
      </c>
      <c r="AS7">
        <f t="shared" si="9"/>
        <v>-4.5</v>
      </c>
    </row>
    <row r="8" spans="1:49">
      <c r="A8">
        <v>7</v>
      </c>
      <c r="B8" t="s">
        <v>34</v>
      </c>
      <c r="C8">
        <v>1</v>
      </c>
      <c r="D8">
        <v>53</v>
      </c>
      <c r="E8">
        <v>1</v>
      </c>
      <c r="F8">
        <v>1</v>
      </c>
      <c r="G8">
        <v>41</v>
      </c>
      <c r="H8">
        <v>6</v>
      </c>
      <c r="I8">
        <f t="shared" si="0"/>
        <v>63.333333333333336</v>
      </c>
      <c r="J8">
        <f t="shared" si="1"/>
        <v>100000</v>
      </c>
      <c r="K8">
        <f t="shared" si="3"/>
        <v>100</v>
      </c>
      <c r="L8">
        <v>0.3</v>
      </c>
      <c r="M8">
        <v>1</v>
      </c>
      <c r="N8">
        <v>93.625</v>
      </c>
      <c r="O8">
        <v>24</v>
      </c>
      <c r="P8" s="3">
        <v>9.9999999999999991E-22</v>
      </c>
      <c r="Q8" s="3">
        <v>9.9999999999999991E-22</v>
      </c>
      <c r="R8">
        <v>200</v>
      </c>
      <c r="S8">
        <f t="shared" si="4"/>
        <v>0.2</v>
      </c>
      <c r="T8" s="3">
        <v>9.9999999999999991E-22</v>
      </c>
      <c r="U8" s="3">
        <v>9.9999999999999991E-22</v>
      </c>
      <c r="V8" s="3">
        <v>9.9999999999999991E-22</v>
      </c>
      <c r="W8">
        <v>1</v>
      </c>
      <c r="X8" s="3">
        <v>9.9999999999999991E-22</v>
      </c>
      <c r="Y8">
        <v>130800</v>
      </c>
      <c r="Z8">
        <f t="shared" si="5"/>
        <v>130.80000000000001</v>
      </c>
      <c r="AA8">
        <f t="shared" si="2"/>
        <v>0.18656716417910449</v>
      </c>
      <c r="AB8">
        <v>4</v>
      </c>
      <c r="AC8">
        <v>3</v>
      </c>
      <c r="AD8">
        <v>0</v>
      </c>
      <c r="AE8">
        <v>0</v>
      </c>
      <c r="AF8">
        <v>1</v>
      </c>
      <c r="AG8">
        <v>19</v>
      </c>
      <c r="AH8">
        <v>30000</v>
      </c>
      <c r="AI8">
        <v>1</v>
      </c>
      <c r="AJ8">
        <v>7080</v>
      </c>
      <c r="AK8">
        <v>0</v>
      </c>
      <c r="AL8">
        <v>0</v>
      </c>
      <c r="AM8">
        <v>2000</v>
      </c>
      <c r="AN8">
        <v>0</v>
      </c>
      <c r="AO8">
        <v>0</v>
      </c>
      <c r="AP8">
        <f t="shared" si="6"/>
        <v>9.08</v>
      </c>
      <c r="AQ8">
        <f t="shared" si="7"/>
        <v>30.266666666666669</v>
      </c>
      <c r="AR8">
        <f t="shared" si="8"/>
        <v>20.92</v>
      </c>
      <c r="AS8">
        <f t="shared" si="9"/>
        <v>69.733333333333348</v>
      </c>
    </row>
    <row r="9" spans="1:49">
      <c r="A9">
        <v>8</v>
      </c>
      <c r="B9" t="s">
        <v>34</v>
      </c>
      <c r="C9">
        <v>1</v>
      </c>
      <c r="D9">
        <v>54</v>
      </c>
      <c r="E9">
        <v>1</v>
      </c>
      <c r="F9">
        <v>4</v>
      </c>
      <c r="G9">
        <v>44</v>
      </c>
      <c r="H9">
        <v>5</v>
      </c>
      <c r="I9">
        <f t="shared" si="0"/>
        <v>18.399999999999999</v>
      </c>
      <c r="J9">
        <f t="shared" si="1"/>
        <v>32000</v>
      </c>
      <c r="K9">
        <f t="shared" si="3"/>
        <v>32</v>
      </c>
      <c r="L9">
        <v>2.5</v>
      </c>
      <c r="M9">
        <v>1</v>
      </c>
      <c r="N9">
        <v>16</v>
      </c>
      <c r="O9">
        <v>120</v>
      </c>
      <c r="P9">
        <v>1</v>
      </c>
      <c r="Q9" s="3">
        <v>9.9999999999999991E-22</v>
      </c>
      <c r="R9">
        <f>50*84</f>
        <v>4200</v>
      </c>
      <c r="S9">
        <f t="shared" si="4"/>
        <v>4.2</v>
      </c>
      <c r="T9" s="3">
        <v>9.9999999999999991E-22</v>
      </c>
      <c r="U9" s="3">
        <v>9.9999999999999991E-22</v>
      </c>
      <c r="V9" s="3">
        <v>9.9999999999999991E-22</v>
      </c>
      <c r="W9">
        <v>1</v>
      </c>
      <c r="X9">
        <v>1</v>
      </c>
      <c r="Y9">
        <v>564000</v>
      </c>
      <c r="Z9">
        <f t="shared" si="5"/>
        <v>564</v>
      </c>
      <c r="AA9">
        <f t="shared" si="2"/>
        <v>0.12422360248447205</v>
      </c>
      <c r="AB9">
        <v>4</v>
      </c>
      <c r="AC9">
        <v>3</v>
      </c>
      <c r="AD9">
        <v>0</v>
      </c>
      <c r="AE9">
        <v>0</v>
      </c>
      <c r="AF9">
        <v>1</v>
      </c>
      <c r="AG9">
        <v>46</v>
      </c>
      <c r="AH9">
        <v>80000</v>
      </c>
      <c r="AI9">
        <v>2</v>
      </c>
      <c r="AJ9">
        <v>24800</v>
      </c>
      <c r="AK9">
        <v>15000</v>
      </c>
      <c r="AL9">
        <v>0</v>
      </c>
      <c r="AM9">
        <v>37800</v>
      </c>
      <c r="AN9">
        <v>0</v>
      </c>
      <c r="AO9">
        <v>0</v>
      </c>
      <c r="AP9">
        <f t="shared" si="6"/>
        <v>77.599999999999994</v>
      </c>
      <c r="AQ9">
        <f t="shared" si="7"/>
        <v>31.04</v>
      </c>
      <c r="AR9">
        <f t="shared" si="8"/>
        <v>2.4000000000000057</v>
      </c>
      <c r="AS9">
        <f t="shared" si="9"/>
        <v>0.9600000000000023</v>
      </c>
    </row>
    <row r="10" spans="1:49">
      <c r="A10">
        <v>9</v>
      </c>
      <c r="B10" t="s">
        <v>34</v>
      </c>
      <c r="C10">
        <v>1</v>
      </c>
      <c r="D10">
        <v>64</v>
      </c>
      <c r="E10">
        <v>0</v>
      </c>
      <c r="F10">
        <v>5</v>
      </c>
      <c r="G10">
        <v>25</v>
      </c>
      <c r="H10">
        <v>3</v>
      </c>
      <c r="I10">
        <f t="shared" si="0"/>
        <v>70</v>
      </c>
      <c r="J10">
        <f t="shared" si="1"/>
        <v>81000</v>
      </c>
      <c r="K10">
        <f t="shared" si="3"/>
        <v>81</v>
      </c>
      <c r="L10">
        <v>1</v>
      </c>
      <c r="M10">
        <v>1</v>
      </c>
      <c r="N10">
        <v>22.75</v>
      </c>
      <c r="O10">
        <v>31</v>
      </c>
      <c r="P10" s="3">
        <v>9.9999999999999991E-22</v>
      </c>
      <c r="Q10">
        <v>2</v>
      </c>
      <c r="R10">
        <v>600</v>
      </c>
      <c r="S10">
        <f t="shared" si="4"/>
        <v>0.6</v>
      </c>
      <c r="T10" s="3">
        <v>9.9999999999999991E-22</v>
      </c>
      <c r="U10">
        <v>100</v>
      </c>
      <c r="V10" s="3">
        <v>9.9999999999999991E-22</v>
      </c>
      <c r="W10">
        <v>1</v>
      </c>
      <c r="X10">
        <v>1</v>
      </c>
      <c r="Y10">
        <v>2218400</v>
      </c>
      <c r="Z10">
        <f t="shared" si="5"/>
        <v>2218.4</v>
      </c>
      <c r="AA10">
        <f t="shared" si="2"/>
        <v>3.5226580847177523E-2</v>
      </c>
      <c r="AB10">
        <v>3</v>
      </c>
      <c r="AC10">
        <v>3</v>
      </c>
      <c r="AD10">
        <v>3</v>
      </c>
      <c r="AE10">
        <v>0</v>
      </c>
      <c r="AF10">
        <v>1</v>
      </c>
      <c r="AG10">
        <v>70</v>
      </c>
      <c r="AH10">
        <v>81000</v>
      </c>
      <c r="AI10">
        <v>2</v>
      </c>
      <c r="AJ10">
        <v>31490</v>
      </c>
      <c r="AK10">
        <v>0</v>
      </c>
      <c r="AL10">
        <v>600</v>
      </c>
      <c r="AM10">
        <v>12000</v>
      </c>
      <c r="AN10">
        <v>0</v>
      </c>
      <c r="AO10">
        <v>1800</v>
      </c>
      <c r="AP10">
        <f t="shared" si="6"/>
        <v>45.89</v>
      </c>
      <c r="AQ10">
        <f t="shared" si="7"/>
        <v>45.89</v>
      </c>
      <c r="AR10">
        <f t="shared" si="8"/>
        <v>35.11</v>
      </c>
      <c r="AS10">
        <f t="shared" si="9"/>
        <v>35.11</v>
      </c>
    </row>
    <row r="11" spans="1:49">
      <c r="A11">
        <v>10</v>
      </c>
      <c r="B11" t="s">
        <v>34</v>
      </c>
      <c r="C11">
        <v>1</v>
      </c>
      <c r="D11">
        <v>58</v>
      </c>
      <c r="E11">
        <v>1</v>
      </c>
      <c r="F11">
        <v>2</v>
      </c>
      <c r="G11">
        <v>44</v>
      </c>
      <c r="H11">
        <v>6</v>
      </c>
      <c r="I11">
        <f t="shared" si="0"/>
        <v>40</v>
      </c>
      <c r="J11">
        <f t="shared" si="1"/>
        <v>40000</v>
      </c>
      <c r="K11">
        <f t="shared" si="3"/>
        <v>40</v>
      </c>
      <c r="L11">
        <v>2</v>
      </c>
      <c r="M11">
        <v>1</v>
      </c>
      <c r="N11">
        <v>115.5</v>
      </c>
      <c r="O11">
        <v>26</v>
      </c>
      <c r="P11">
        <v>1</v>
      </c>
      <c r="Q11">
        <v>11</v>
      </c>
      <c r="R11">
        <f>30*50</f>
        <v>1500</v>
      </c>
      <c r="S11">
        <f t="shared" si="4"/>
        <v>1.5</v>
      </c>
      <c r="T11" s="3">
        <v>9.9999999999999991E-22</v>
      </c>
      <c r="U11" s="3">
        <v>9.9999999999999991E-22</v>
      </c>
      <c r="V11" s="3">
        <v>9.9999999999999991E-22</v>
      </c>
      <c r="W11">
        <v>1</v>
      </c>
      <c r="X11" s="3">
        <v>9.9999999999999991E-22</v>
      </c>
      <c r="Y11">
        <v>2500</v>
      </c>
      <c r="Z11">
        <f t="shared" si="5"/>
        <v>2.5</v>
      </c>
      <c r="AA11">
        <f t="shared" si="2"/>
        <v>0.96969696969696972</v>
      </c>
      <c r="AB11">
        <v>3</v>
      </c>
      <c r="AC11">
        <v>3</v>
      </c>
      <c r="AD11">
        <v>0</v>
      </c>
      <c r="AE11">
        <v>3</v>
      </c>
      <c r="AF11">
        <v>1</v>
      </c>
      <c r="AG11">
        <v>80</v>
      </c>
      <c r="AH11">
        <v>80000</v>
      </c>
      <c r="AI11">
        <v>1</v>
      </c>
      <c r="AJ11">
        <f>2400+7750+32000</f>
        <v>42150</v>
      </c>
      <c r="AK11">
        <v>12000</v>
      </c>
      <c r="AL11">
        <v>5500</v>
      </c>
      <c r="AM11">
        <v>14400</v>
      </c>
      <c r="AN11">
        <v>0</v>
      </c>
      <c r="AO11">
        <v>0</v>
      </c>
      <c r="AP11">
        <f t="shared" si="6"/>
        <v>74.05</v>
      </c>
      <c r="AQ11">
        <f t="shared" si="7"/>
        <v>37.024999999999999</v>
      </c>
      <c r="AR11">
        <f t="shared" si="8"/>
        <v>5.9500000000000028</v>
      </c>
      <c r="AS11">
        <f t="shared" si="9"/>
        <v>2.9750000000000014</v>
      </c>
    </row>
    <row r="12" spans="1:49">
      <c r="A12">
        <v>11</v>
      </c>
      <c r="B12" t="s">
        <v>34</v>
      </c>
      <c r="C12" s="3">
        <v>0</v>
      </c>
      <c r="D12">
        <v>80</v>
      </c>
      <c r="E12">
        <v>0</v>
      </c>
      <c r="F12">
        <v>1</v>
      </c>
      <c r="G12">
        <v>20</v>
      </c>
      <c r="H12">
        <v>1</v>
      </c>
      <c r="I12">
        <f t="shared" si="0"/>
        <v>10</v>
      </c>
      <c r="J12">
        <f t="shared" si="1"/>
        <v>26666.666666666668</v>
      </c>
      <c r="K12">
        <f t="shared" si="3"/>
        <v>26.666666666666668</v>
      </c>
      <c r="L12">
        <v>0.6</v>
      </c>
      <c r="M12">
        <v>1</v>
      </c>
      <c r="N12">
        <v>12</v>
      </c>
      <c r="O12">
        <v>21</v>
      </c>
      <c r="P12" s="3">
        <v>9.9999999999999991E-22</v>
      </c>
      <c r="Q12">
        <v>3</v>
      </c>
      <c r="R12">
        <v>200</v>
      </c>
      <c r="S12">
        <f t="shared" si="4"/>
        <v>0.2</v>
      </c>
      <c r="T12" s="3">
        <v>9.9999999999999991E-22</v>
      </c>
      <c r="U12" s="3">
        <v>9.9999999999999991E-22</v>
      </c>
      <c r="V12" s="3">
        <v>9.9999999999999991E-22</v>
      </c>
      <c r="W12">
        <v>1</v>
      </c>
      <c r="X12" s="3">
        <v>9.9999999999999991E-22</v>
      </c>
      <c r="Y12">
        <v>24000</v>
      </c>
      <c r="Z12">
        <f t="shared" si="5"/>
        <v>24</v>
      </c>
      <c r="AA12">
        <f t="shared" si="2"/>
        <v>0.4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6</v>
      </c>
      <c r="AH12">
        <v>16000</v>
      </c>
      <c r="AI12">
        <v>1</v>
      </c>
      <c r="AJ12">
        <v>7700</v>
      </c>
      <c r="AK12">
        <v>0</v>
      </c>
      <c r="AL12">
        <v>1800</v>
      </c>
      <c r="AM12">
        <v>2200</v>
      </c>
      <c r="AN12">
        <v>0</v>
      </c>
      <c r="AO12">
        <v>0</v>
      </c>
      <c r="AP12">
        <f t="shared" si="6"/>
        <v>11.7</v>
      </c>
      <c r="AQ12">
        <f t="shared" si="7"/>
        <v>19.5</v>
      </c>
      <c r="AR12">
        <f t="shared" si="8"/>
        <v>4.3000000000000007</v>
      </c>
      <c r="AS12">
        <f t="shared" si="9"/>
        <v>7.1666666666666679</v>
      </c>
    </row>
    <row r="13" spans="1:49">
      <c r="A13">
        <v>12</v>
      </c>
      <c r="B13" t="s">
        <v>34</v>
      </c>
      <c r="C13">
        <v>1</v>
      </c>
      <c r="D13">
        <v>69</v>
      </c>
      <c r="E13">
        <v>0</v>
      </c>
      <c r="F13">
        <v>4</v>
      </c>
      <c r="G13">
        <v>30</v>
      </c>
      <c r="H13">
        <v>8</v>
      </c>
      <c r="I13">
        <f t="shared" si="0"/>
        <v>50</v>
      </c>
      <c r="J13">
        <f t="shared" si="1"/>
        <v>87500</v>
      </c>
      <c r="K13">
        <f t="shared" si="3"/>
        <v>87.5</v>
      </c>
      <c r="L13">
        <v>1.2</v>
      </c>
      <c r="M13">
        <v>1</v>
      </c>
      <c r="N13">
        <v>225</v>
      </c>
      <c r="O13">
        <v>25</v>
      </c>
      <c r="P13">
        <v>2</v>
      </c>
      <c r="Q13">
        <v>3</v>
      </c>
      <c r="R13">
        <v>500</v>
      </c>
      <c r="S13">
        <f t="shared" si="4"/>
        <v>0.5</v>
      </c>
      <c r="T13" s="3">
        <v>9.9999999999999991E-22</v>
      </c>
      <c r="U13" s="3">
        <v>9.9999999999999991E-22</v>
      </c>
      <c r="V13" s="3">
        <v>9.9999999999999991E-22</v>
      </c>
      <c r="W13">
        <v>1</v>
      </c>
      <c r="X13" s="3">
        <v>9.9999999999999991E-22</v>
      </c>
      <c r="Y13">
        <v>24000</v>
      </c>
      <c r="Z13">
        <f t="shared" si="5"/>
        <v>24</v>
      </c>
      <c r="AA13">
        <f t="shared" si="2"/>
        <v>0.81395348837209303</v>
      </c>
      <c r="AB13">
        <v>4</v>
      </c>
      <c r="AC13">
        <v>3</v>
      </c>
      <c r="AD13">
        <v>0</v>
      </c>
      <c r="AE13">
        <v>0</v>
      </c>
      <c r="AF13">
        <v>1</v>
      </c>
      <c r="AG13">
        <v>60</v>
      </c>
      <c r="AH13">
        <v>105000</v>
      </c>
      <c r="AI13">
        <v>2</v>
      </c>
      <c r="AJ13">
        <v>25500</v>
      </c>
      <c r="AK13">
        <v>25000</v>
      </c>
      <c r="AL13">
        <v>5000</v>
      </c>
      <c r="AM13">
        <v>12000</v>
      </c>
      <c r="AN13">
        <v>0</v>
      </c>
      <c r="AO13">
        <v>0</v>
      </c>
      <c r="AP13">
        <f t="shared" si="6"/>
        <v>67.5</v>
      </c>
      <c r="AQ13">
        <f t="shared" si="7"/>
        <v>56.25</v>
      </c>
      <c r="AR13">
        <f t="shared" si="8"/>
        <v>37.5</v>
      </c>
      <c r="AS13">
        <f t="shared" si="9"/>
        <v>31.25</v>
      </c>
    </row>
    <row r="14" spans="1:49">
      <c r="A14">
        <v>13</v>
      </c>
      <c r="B14" t="s">
        <v>36</v>
      </c>
      <c r="C14">
        <v>1</v>
      </c>
      <c r="D14">
        <v>84</v>
      </c>
      <c r="E14">
        <v>1</v>
      </c>
      <c r="F14">
        <v>5</v>
      </c>
      <c r="G14">
        <v>75</v>
      </c>
      <c r="H14">
        <v>5</v>
      </c>
      <c r="I14">
        <f t="shared" si="0"/>
        <v>48</v>
      </c>
      <c r="J14">
        <f t="shared" si="1"/>
        <v>78780</v>
      </c>
      <c r="K14">
        <f t="shared" si="3"/>
        <v>78.78</v>
      </c>
      <c r="L14">
        <v>1</v>
      </c>
      <c r="M14">
        <v>1</v>
      </c>
      <c r="N14">
        <v>48</v>
      </c>
      <c r="O14">
        <v>6</v>
      </c>
      <c r="P14" s="3">
        <v>9.9999999999999991E-22</v>
      </c>
      <c r="Q14">
        <v>2</v>
      </c>
      <c r="R14">
        <v>1000</v>
      </c>
      <c r="S14">
        <f t="shared" si="4"/>
        <v>1</v>
      </c>
      <c r="T14" s="3">
        <v>9.9999999999999991E-22</v>
      </c>
      <c r="U14" s="3">
        <v>9.9999999999999991E-22</v>
      </c>
      <c r="V14" s="3">
        <v>9.9999999999999991E-22</v>
      </c>
      <c r="W14">
        <v>1</v>
      </c>
      <c r="X14" s="3">
        <v>9.9999999999999991E-22</v>
      </c>
      <c r="Y14">
        <v>60000</v>
      </c>
      <c r="Z14">
        <f t="shared" si="5"/>
        <v>60</v>
      </c>
      <c r="AA14">
        <f t="shared" si="2"/>
        <v>0.56766104626026803</v>
      </c>
      <c r="AB14">
        <v>4</v>
      </c>
      <c r="AC14">
        <v>3</v>
      </c>
      <c r="AD14">
        <v>0</v>
      </c>
      <c r="AE14">
        <v>0</v>
      </c>
      <c r="AF14">
        <v>1</v>
      </c>
      <c r="AG14">
        <v>48</v>
      </c>
      <c r="AH14">
        <v>78780</v>
      </c>
      <c r="AI14">
        <v>2</v>
      </c>
      <c r="AJ14">
        <v>20150</v>
      </c>
      <c r="AK14">
        <v>0</v>
      </c>
      <c r="AL14">
        <v>1500</v>
      </c>
      <c r="AM14">
        <v>9200</v>
      </c>
      <c r="AN14">
        <v>0</v>
      </c>
      <c r="AO14">
        <v>0</v>
      </c>
      <c r="AP14">
        <f t="shared" si="6"/>
        <v>30.85</v>
      </c>
      <c r="AQ14">
        <f t="shared" si="7"/>
        <v>30.85</v>
      </c>
      <c r="AR14">
        <f t="shared" si="8"/>
        <v>47.93</v>
      </c>
      <c r="AS14">
        <f t="shared" si="9"/>
        <v>47.93</v>
      </c>
    </row>
    <row r="15" spans="1:49">
      <c r="A15">
        <v>14</v>
      </c>
      <c r="B15" t="s">
        <v>34</v>
      </c>
      <c r="C15">
        <v>1</v>
      </c>
      <c r="D15">
        <v>49</v>
      </c>
      <c r="E15">
        <v>0</v>
      </c>
      <c r="F15">
        <v>4</v>
      </c>
      <c r="G15">
        <v>45</v>
      </c>
      <c r="H15">
        <v>5</v>
      </c>
      <c r="I15">
        <f t="shared" si="0"/>
        <v>54.324999999999996</v>
      </c>
      <c r="J15">
        <f t="shared" si="1"/>
        <v>76055</v>
      </c>
      <c r="K15">
        <f t="shared" si="3"/>
        <v>76.055000000000007</v>
      </c>
      <c r="L15">
        <v>0.4</v>
      </c>
      <c r="M15">
        <v>1</v>
      </c>
      <c r="N15">
        <v>120</v>
      </c>
      <c r="O15">
        <v>16</v>
      </c>
      <c r="P15">
        <v>1</v>
      </c>
      <c r="Q15">
        <v>3</v>
      </c>
      <c r="R15">
        <v>400</v>
      </c>
      <c r="S15">
        <f t="shared" si="4"/>
        <v>0.4</v>
      </c>
      <c r="T15" s="3">
        <v>9.9999999999999991E-22</v>
      </c>
      <c r="U15" s="3">
        <v>9.9999999999999991E-22</v>
      </c>
      <c r="V15" s="3">
        <v>9.9999999999999991E-22</v>
      </c>
      <c r="W15" s="3">
        <v>9.9999999999999991E-22</v>
      </c>
      <c r="X15" s="3">
        <v>9.9999999999999991E-22</v>
      </c>
      <c r="Y15">
        <v>19200</v>
      </c>
      <c r="Z15">
        <f t="shared" si="5"/>
        <v>19.2</v>
      </c>
      <c r="AA15">
        <f t="shared" si="2"/>
        <v>0.61307484583450889</v>
      </c>
      <c r="AB15">
        <v>4</v>
      </c>
      <c r="AC15">
        <v>3</v>
      </c>
      <c r="AD15">
        <v>0</v>
      </c>
      <c r="AE15">
        <v>0</v>
      </c>
      <c r="AF15">
        <v>1</v>
      </c>
      <c r="AG15">
        <v>21.73</v>
      </c>
      <c r="AH15">
        <v>30422</v>
      </c>
      <c r="AI15">
        <v>2</v>
      </c>
      <c r="AJ15">
        <v>14600</v>
      </c>
      <c r="AK15">
        <v>6400</v>
      </c>
      <c r="AL15">
        <v>1900</v>
      </c>
      <c r="AM15">
        <v>3600</v>
      </c>
      <c r="AN15">
        <v>0</v>
      </c>
      <c r="AO15">
        <v>0</v>
      </c>
      <c r="AP15">
        <f t="shared" si="6"/>
        <v>26.5</v>
      </c>
      <c r="AQ15">
        <f t="shared" si="7"/>
        <v>66.25</v>
      </c>
      <c r="AR15">
        <f t="shared" si="8"/>
        <v>3.9220000000000006</v>
      </c>
      <c r="AS15">
        <f t="shared" si="9"/>
        <v>9.8050000000000015</v>
      </c>
    </row>
    <row r="16" spans="1:49">
      <c r="A16">
        <v>15</v>
      </c>
      <c r="B16" t="s">
        <v>36</v>
      </c>
      <c r="C16">
        <v>1</v>
      </c>
      <c r="D16">
        <v>56</v>
      </c>
      <c r="E16">
        <v>1</v>
      </c>
      <c r="F16">
        <v>5</v>
      </c>
      <c r="G16">
        <v>30</v>
      </c>
      <c r="H16">
        <v>3</v>
      </c>
      <c r="I16">
        <f t="shared" si="0"/>
        <v>29</v>
      </c>
      <c r="J16">
        <f t="shared" si="1"/>
        <v>33750</v>
      </c>
      <c r="K16">
        <f t="shared" si="3"/>
        <v>33.75</v>
      </c>
      <c r="L16">
        <v>2</v>
      </c>
      <c r="M16">
        <v>2</v>
      </c>
      <c r="N16">
        <v>96</v>
      </c>
      <c r="O16">
        <v>15</v>
      </c>
      <c r="P16">
        <v>1</v>
      </c>
      <c r="Q16" s="3">
        <v>9.9999999999999991E-22</v>
      </c>
      <c r="R16">
        <f>25*50</f>
        <v>1250</v>
      </c>
      <c r="S16">
        <f t="shared" si="4"/>
        <v>1.25</v>
      </c>
      <c r="T16" s="3">
        <v>9.9999999999999991E-22</v>
      </c>
      <c r="U16" s="3">
        <v>9.9999999999999991E-22</v>
      </c>
      <c r="V16" s="3">
        <v>9.9999999999999991E-22</v>
      </c>
      <c r="W16">
        <v>1</v>
      </c>
      <c r="X16" s="3">
        <v>9.9999999999999991E-22</v>
      </c>
      <c r="Y16">
        <v>300000</v>
      </c>
      <c r="Z16">
        <f t="shared" si="5"/>
        <v>300</v>
      </c>
      <c r="AA16">
        <f t="shared" si="2"/>
        <v>0.18367346938775511</v>
      </c>
      <c r="AB16">
        <v>4</v>
      </c>
      <c r="AC16">
        <v>1</v>
      </c>
      <c r="AD16">
        <v>0</v>
      </c>
      <c r="AE16">
        <v>0</v>
      </c>
      <c r="AF16">
        <v>1</v>
      </c>
      <c r="AG16">
        <v>58</v>
      </c>
      <c r="AH16">
        <v>67500</v>
      </c>
      <c r="AI16">
        <v>2</v>
      </c>
      <c r="AJ16">
        <v>21850</v>
      </c>
      <c r="AK16">
        <v>15000</v>
      </c>
      <c r="AL16">
        <v>0</v>
      </c>
      <c r="AM16">
        <v>25000</v>
      </c>
      <c r="AN16">
        <v>0</v>
      </c>
      <c r="AO16">
        <v>0</v>
      </c>
      <c r="AP16">
        <f t="shared" si="6"/>
        <v>61.85</v>
      </c>
      <c r="AQ16">
        <f t="shared" si="7"/>
        <v>30.925000000000001</v>
      </c>
      <c r="AR16">
        <f t="shared" si="8"/>
        <v>5.6499999999999986</v>
      </c>
      <c r="AS16">
        <f t="shared" si="9"/>
        <v>2.8249999999999993</v>
      </c>
    </row>
    <row r="17" spans="1:45">
      <c r="A17">
        <v>16</v>
      </c>
      <c r="B17" t="s">
        <v>36</v>
      </c>
      <c r="C17">
        <v>1</v>
      </c>
      <c r="D17">
        <v>63</v>
      </c>
      <c r="E17">
        <v>0</v>
      </c>
      <c r="F17">
        <v>3</v>
      </c>
      <c r="G17">
        <v>40</v>
      </c>
      <c r="H17">
        <v>7</v>
      </c>
      <c r="I17">
        <f t="shared" si="0"/>
        <v>50</v>
      </c>
      <c r="J17">
        <f t="shared" si="1"/>
        <v>65142.857142857145</v>
      </c>
      <c r="K17">
        <f t="shared" si="3"/>
        <v>65.142857142857139</v>
      </c>
      <c r="L17">
        <v>0.7</v>
      </c>
      <c r="M17">
        <v>1</v>
      </c>
      <c r="N17">
        <v>26</v>
      </c>
      <c r="O17">
        <v>14</v>
      </c>
      <c r="P17" s="3">
        <v>9.9999999999999991E-22</v>
      </c>
      <c r="Q17">
        <v>4</v>
      </c>
      <c r="R17">
        <v>500</v>
      </c>
      <c r="S17">
        <f t="shared" si="4"/>
        <v>0.5</v>
      </c>
      <c r="T17" s="3">
        <v>9.9999999999999991E-22</v>
      </c>
      <c r="U17" s="3">
        <v>9.9999999999999991E-22</v>
      </c>
      <c r="V17" s="3">
        <v>9.9999999999999991E-22</v>
      </c>
      <c r="W17" s="3">
        <v>9.9999999999999991E-22</v>
      </c>
      <c r="X17" s="3">
        <v>9.9999999999999991E-22</v>
      </c>
      <c r="Y17">
        <v>15000</v>
      </c>
      <c r="Z17">
        <f t="shared" si="5"/>
        <v>15</v>
      </c>
      <c r="AA17">
        <f t="shared" si="2"/>
        <v>0.75247524752475248</v>
      </c>
      <c r="AB17">
        <v>4</v>
      </c>
      <c r="AC17">
        <v>3</v>
      </c>
      <c r="AD17">
        <v>0</v>
      </c>
      <c r="AE17">
        <v>0</v>
      </c>
      <c r="AF17">
        <v>1</v>
      </c>
      <c r="AG17">
        <v>35</v>
      </c>
      <c r="AH17">
        <v>45600</v>
      </c>
      <c r="AI17">
        <v>2</v>
      </c>
      <c r="AJ17">
        <v>14350</v>
      </c>
      <c r="AK17">
        <v>0</v>
      </c>
      <c r="AL17">
        <v>3500</v>
      </c>
      <c r="AM17">
        <v>4500</v>
      </c>
      <c r="AN17">
        <v>0</v>
      </c>
      <c r="AO17">
        <v>0</v>
      </c>
      <c r="AP17">
        <f t="shared" si="6"/>
        <v>22.35</v>
      </c>
      <c r="AQ17">
        <f t="shared" si="7"/>
        <v>31.928571428571434</v>
      </c>
      <c r="AR17">
        <f t="shared" si="8"/>
        <v>23.25</v>
      </c>
      <c r="AS17">
        <f t="shared" si="9"/>
        <v>33.214285714285715</v>
      </c>
    </row>
    <row r="18" spans="1:45">
      <c r="A18">
        <v>17</v>
      </c>
      <c r="B18" t="s">
        <v>36</v>
      </c>
      <c r="C18">
        <v>1</v>
      </c>
      <c r="D18">
        <v>45</v>
      </c>
      <c r="E18">
        <v>1</v>
      </c>
      <c r="F18">
        <v>6</v>
      </c>
      <c r="G18">
        <v>30</v>
      </c>
      <c r="H18">
        <v>4</v>
      </c>
      <c r="I18">
        <f t="shared" si="0"/>
        <v>50</v>
      </c>
      <c r="J18">
        <f t="shared" si="1"/>
        <v>93333.333333333343</v>
      </c>
      <c r="K18">
        <f t="shared" si="3"/>
        <v>93.333333333333343</v>
      </c>
      <c r="L18">
        <v>1.2</v>
      </c>
      <c r="M18">
        <v>1</v>
      </c>
      <c r="N18">
        <v>72</v>
      </c>
      <c r="O18">
        <v>38</v>
      </c>
      <c r="P18">
        <v>2</v>
      </c>
      <c r="Q18">
        <v>3</v>
      </c>
      <c r="R18">
        <v>200</v>
      </c>
      <c r="S18">
        <f t="shared" si="4"/>
        <v>0.2</v>
      </c>
      <c r="T18" s="3">
        <v>9.9999999999999991E-22</v>
      </c>
      <c r="U18" s="3">
        <v>9.9999999999999991E-22</v>
      </c>
      <c r="V18" s="3">
        <v>9.9999999999999991E-22</v>
      </c>
      <c r="W18">
        <v>1</v>
      </c>
      <c r="X18">
        <v>1</v>
      </c>
      <c r="Y18">
        <v>11600</v>
      </c>
      <c r="Z18">
        <f t="shared" si="5"/>
        <v>11.6</v>
      </c>
      <c r="AA18">
        <f t="shared" si="2"/>
        <v>0.90614886731391586</v>
      </c>
      <c r="AB18">
        <v>3</v>
      </c>
      <c r="AC18">
        <v>3</v>
      </c>
      <c r="AD18">
        <v>0</v>
      </c>
      <c r="AE18">
        <v>0</v>
      </c>
      <c r="AF18">
        <v>1</v>
      </c>
      <c r="AG18">
        <v>60</v>
      </c>
      <c r="AH18">
        <v>112000</v>
      </c>
      <c r="AI18">
        <v>2</v>
      </c>
      <c r="AJ18">
        <v>33800</v>
      </c>
      <c r="AK18">
        <v>16000</v>
      </c>
      <c r="AL18">
        <v>1800</v>
      </c>
      <c r="AM18">
        <v>2000</v>
      </c>
      <c r="AN18">
        <v>0</v>
      </c>
      <c r="AO18">
        <v>0</v>
      </c>
      <c r="AP18">
        <f t="shared" si="6"/>
        <v>53.6</v>
      </c>
      <c r="AQ18">
        <f t="shared" si="7"/>
        <v>44.666666666666671</v>
      </c>
      <c r="AR18">
        <f t="shared" si="8"/>
        <v>58.4</v>
      </c>
      <c r="AS18">
        <f t="shared" si="9"/>
        <v>48.666666666666664</v>
      </c>
    </row>
    <row r="19" spans="1:45">
      <c r="A19">
        <v>18</v>
      </c>
      <c r="B19" t="s">
        <v>36</v>
      </c>
      <c r="C19" s="3">
        <v>0</v>
      </c>
      <c r="D19">
        <v>84</v>
      </c>
      <c r="E19">
        <v>0</v>
      </c>
      <c r="F19">
        <v>3</v>
      </c>
      <c r="G19">
        <v>82</v>
      </c>
      <c r="H19">
        <v>3</v>
      </c>
      <c r="I19">
        <f t="shared" si="0"/>
        <v>45</v>
      </c>
      <c r="J19">
        <f t="shared" si="1"/>
        <v>68400</v>
      </c>
      <c r="K19">
        <f t="shared" si="3"/>
        <v>68.400000000000006</v>
      </c>
      <c r="L19">
        <v>1</v>
      </c>
      <c r="M19">
        <v>1</v>
      </c>
      <c r="N19">
        <v>4</v>
      </c>
      <c r="O19">
        <v>18</v>
      </c>
      <c r="P19">
        <v>5</v>
      </c>
      <c r="Q19">
        <v>3</v>
      </c>
      <c r="R19">
        <v>1000</v>
      </c>
      <c r="S19">
        <f t="shared" si="4"/>
        <v>1</v>
      </c>
      <c r="T19" s="3">
        <v>9.9999999999999991E-22</v>
      </c>
      <c r="U19" s="3">
        <v>9.9999999999999991E-22</v>
      </c>
      <c r="V19" s="3">
        <v>9.9999999999999991E-22</v>
      </c>
      <c r="W19">
        <v>1</v>
      </c>
      <c r="X19" s="3">
        <v>9.9999999999999991E-22</v>
      </c>
      <c r="Y19">
        <v>35000</v>
      </c>
      <c r="Z19">
        <f t="shared" si="5"/>
        <v>35</v>
      </c>
      <c r="AA19">
        <f t="shared" si="2"/>
        <v>0.66150870406189555</v>
      </c>
      <c r="AB19">
        <v>4</v>
      </c>
      <c r="AC19">
        <v>3</v>
      </c>
      <c r="AD19">
        <v>0</v>
      </c>
      <c r="AE19">
        <v>0</v>
      </c>
      <c r="AF19">
        <v>1</v>
      </c>
      <c r="AG19">
        <v>45</v>
      </c>
      <c r="AH19">
        <v>68400</v>
      </c>
      <c r="AI19">
        <v>2</v>
      </c>
      <c r="AJ19">
        <v>17800</v>
      </c>
      <c r="AK19">
        <v>20000</v>
      </c>
      <c r="AL19">
        <v>2100</v>
      </c>
      <c r="AM19">
        <v>10000</v>
      </c>
      <c r="AN19">
        <v>0</v>
      </c>
      <c r="AO19">
        <v>0</v>
      </c>
      <c r="AP19">
        <f t="shared" si="6"/>
        <v>49.9</v>
      </c>
      <c r="AQ19">
        <f t="shared" si="7"/>
        <v>49.9</v>
      </c>
      <c r="AR19">
        <f t="shared" si="8"/>
        <v>18.500000000000007</v>
      </c>
      <c r="AS19">
        <f t="shared" si="9"/>
        <v>18.500000000000007</v>
      </c>
    </row>
    <row r="20" spans="1:45">
      <c r="A20">
        <v>19</v>
      </c>
      <c r="B20" t="s">
        <v>37</v>
      </c>
      <c r="C20" s="3">
        <v>0</v>
      </c>
      <c r="D20">
        <v>81</v>
      </c>
      <c r="E20">
        <v>1</v>
      </c>
      <c r="F20">
        <v>2</v>
      </c>
      <c r="G20">
        <v>3</v>
      </c>
      <c r="H20">
        <v>3</v>
      </c>
      <c r="I20">
        <f t="shared" si="0"/>
        <v>38.888888888888886</v>
      </c>
      <c r="J20">
        <f t="shared" si="1"/>
        <v>56388.888888888891</v>
      </c>
      <c r="K20">
        <f t="shared" si="3"/>
        <v>56.388888888888893</v>
      </c>
      <c r="L20">
        <v>1.8</v>
      </c>
      <c r="M20">
        <v>1</v>
      </c>
      <c r="N20">
        <v>60</v>
      </c>
      <c r="O20">
        <v>10</v>
      </c>
      <c r="P20" s="3">
        <v>9.9999999999999991E-22</v>
      </c>
      <c r="Q20">
        <v>4</v>
      </c>
      <c r="R20">
        <f>34*50</f>
        <v>1700</v>
      </c>
      <c r="S20">
        <f t="shared" si="4"/>
        <v>1.7</v>
      </c>
      <c r="T20" s="3">
        <v>9.9999999999999991E-22</v>
      </c>
      <c r="U20" s="3">
        <v>9.9999999999999991E-22</v>
      </c>
      <c r="V20" s="3">
        <v>9.9999999999999991E-22</v>
      </c>
      <c r="W20">
        <v>1</v>
      </c>
      <c r="X20" s="3">
        <v>9.9999999999999991E-22</v>
      </c>
      <c r="Y20">
        <v>11960</v>
      </c>
      <c r="Z20">
        <f t="shared" si="5"/>
        <v>11.96</v>
      </c>
      <c r="AA20">
        <f t="shared" si="2"/>
        <v>0.89458840119866034</v>
      </c>
      <c r="AB20">
        <v>5</v>
      </c>
      <c r="AC20">
        <v>1</v>
      </c>
      <c r="AD20">
        <v>0</v>
      </c>
      <c r="AE20">
        <v>0</v>
      </c>
      <c r="AF20">
        <v>1</v>
      </c>
      <c r="AG20">
        <v>70</v>
      </c>
      <c r="AH20">
        <v>101500</v>
      </c>
      <c r="AI20">
        <v>2</v>
      </c>
      <c r="AJ20">
        <v>34500</v>
      </c>
      <c r="AK20">
        <v>0</v>
      </c>
      <c r="AL20">
        <v>500</v>
      </c>
      <c r="AM20">
        <v>18700</v>
      </c>
      <c r="AN20">
        <v>0</v>
      </c>
      <c r="AO20">
        <v>0</v>
      </c>
      <c r="AP20">
        <f t="shared" si="6"/>
        <v>53.7</v>
      </c>
      <c r="AQ20">
        <f t="shared" si="7"/>
        <v>29.833333333333336</v>
      </c>
      <c r="AR20">
        <f t="shared" si="8"/>
        <v>47.8</v>
      </c>
      <c r="AS20">
        <f t="shared" si="9"/>
        <v>26.555555555555554</v>
      </c>
    </row>
    <row r="21" spans="1:45">
      <c r="A21">
        <v>20</v>
      </c>
      <c r="B21" t="s">
        <v>37</v>
      </c>
      <c r="C21" s="3">
        <v>0</v>
      </c>
      <c r="D21">
        <v>72</v>
      </c>
      <c r="E21">
        <v>1</v>
      </c>
      <c r="F21">
        <v>1</v>
      </c>
      <c r="G21">
        <v>60</v>
      </c>
      <c r="H21">
        <v>3</v>
      </c>
      <c r="I21">
        <f t="shared" si="0"/>
        <v>35</v>
      </c>
      <c r="J21">
        <f t="shared" si="1"/>
        <v>43200</v>
      </c>
      <c r="K21">
        <f t="shared" si="3"/>
        <v>43.2</v>
      </c>
      <c r="L21">
        <v>1</v>
      </c>
      <c r="M21">
        <v>1</v>
      </c>
      <c r="N21">
        <v>42</v>
      </c>
      <c r="O21">
        <v>11</v>
      </c>
      <c r="P21" s="3">
        <v>9.9999999999999991E-22</v>
      </c>
      <c r="Q21" s="3">
        <v>9.9999999999999991E-22</v>
      </c>
      <c r="R21">
        <v>1000</v>
      </c>
      <c r="S21">
        <f t="shared" si="4"/>
        <v>1</v>
      </c>
      <c r="T21" s="3">
        <v>9.9999999999999991E-22</v>
      </c>
      <c r="U21" s="3">
        <v>9.9999999999999991E-22</v>
      </c>
      <c r="V21" s="3">
        <v>9.9999999999999991E-22</v>
      </c>
      <c r="W21" s="3">
        <v>9.9999999999999991E-22</v>
      </c>
      <c r="X21" s="3">
        <v>9.9999999999999991E-22</v>
      </c>
      <c r="Y21">
        <v>24000</v>
      </c>
      <c r="Z21">
        <f t="shared" si="5"/>
        <v>24</v>
      </c>
      <c r="AA21">
        <f t="shared" si="2"/>
        <v>0.6428571428571429</v>
      </c>
      <c r="AB21">
        <v>4</v>
      </c>
      <c r="AC21">
        <v>3</v>
      </c>
      <c r="AD21">
        <v>0</v>
      </c>
      <c r="AE21">
        <v>0</v>
      </c>
      <c r="AF21">
        <v>1</v>
      </c>
      <c r="AG21">
        <v>35</v>
      </c>
      <c r="AH21">
        <v>43200</v>
      </c>
      <c r="AI21">
        <v>2</v>
      </c>
      <c r="AJ21">
        <v>10500</v>
      </c>
      <c r="AK21">
        <v>0</v>
      </c>
      <c r="AL21">
        <v>0</v>
      </c>
      <c r="AM21">
        <v>11000</v>
      </c>
      <c r="AN21">
        <v>0</v>
      </c>
      <c r="AO21">
        <v>0</v>
      </c>
      <c r="AP21">
        <f t="shared" si="6"/>
        <v>21.5</v>
      </c>
      <c r="AQ21">
        <f t="shared" si="7"/>
        <v>21.5</v>
      </c>
      <c r="AR21">
        <f t="shared" si="8"/>
        <v>21.700000000000003</v>
      </c>
      <c r="AS21">
        <f t="shared" si="9"/>
        <v>21.700000000000003</v>
      </c>
    </row>
    <row r="22" spans="1:45">
      <c r="A22">
        <v>21</v>
      </c>
      <c r="B22" t="s">
        <v>37</v>
      </c>
      <c r="C22" s="3">
        <v>0</v>
      </c>
      <c r="D22">
        <v>59</v>
      </c>
      <c r="E22">
        <v>0</v>
      </c>
      <c r="F22">
        <v>4</v>
      </c>
      <c r="G22">
        <v>40</v>
      </c>
      <c r="H22">
        <v>5</v>
      </c>
      <c r="I22">
        <f t="shared" si="0"/>
        <v>52.5</v>
      </c>
      <c r="J22">
        <f t="shared" si="1"/>
        <v>90000</v>
      </c>
      <c r="K22">
        <f t="shared" si="3"/>
        <v>90</v>
      </c>
      <c r="L22">
        <v>0.8</v>
      </c>
      <c r="M22">
        <v>1</v>
      </c>
      <c r="N22">
        <v>92</v>
      </c>
      <c r="O22">
        <v>15</v>
      </c>
      <c r="P22">
        <v>1</v>
      </c>
      <c r="Q22">
        <v>2</v>
      </c>
      <c r="R22">
        <f>12*50</f>
        <v>600</v>
      </c>
      <c r="S22">
        <f t="shared" si="4"/>
        <v>0.6</v>
      </c>
      <c r="T22" s="3">
        <v>9.9999999999999991E-22</v>
      </c>
      <c r="U22" s="3">
        <v>9.9999999999999991E-22</v>
      </c>
      <c r="V22" s="3">
        <v>9.9999999999999991E-22</v>
      </c>
      <c r="W22">
        <v>1</v>
      </c>
      <c r="X22" s="3">
        <v>9.9999999999999991E-22</v>
      </c>
      <c r="Y22">
        <v>54400</v>
      </c>
      <c r="Z22">
        <f t="shared" si="5"/>
        <v>54.4</v>
      </c>
      <c r="AA22">
        <f t="shared" si="2"/>
        <v>0.569620253164557</v>
      </c>
      <c r="AB22">
        <v>4</v>
      </c>
      <c r="AC22">
        <v>1</v>
      </c>
      <c r="AD22">
        <v>0</v>
      </c>
      <c r="AE22">
        <v>0</v>
      </c>
      <c r="AF22">
        <v>1</v>
      </c>
      <c r="AG22">
        <v>42</v>
      </c>
      <c r="AH22">
        <f>60*1200</f>
        <v>72000</v>
      </c>
      <c r="AI22">
        <v>2</v>
      </c>
      <c r="AJ22">
        <v>16200</v>
      </c>
      <c r="AK22">
        <v>3500</v>
      </c>
      <c r="AL22">
        <v>2400</v>
      </c>
      <c r="AM22">
        <v>13800</v>
      </c>
      <c r="AN22">
        <v>0</v>
      </c>
      <c r="AO22">
        <v>0</v>
      </c>
      <c r="AP22">
        <f t="shared" si="6"/>
        <v>35.9</v>
      </c>
      <c r="AQ22">
        <f t="shared" si="7"/>
        <v>44.874999999999993</v>
      </c>
      <c r="AR22">
        <f t="shared" si="8"/>
        <v>36.1</v>
      </c>
      <c r="AS22">
        <f t="shared" si="9"/>
        <v>45.125</v>
      </c>
    </row>
    <row r="23" spans="1:45">
      <c r="A23">
        <v>22</v>
      </c>
      <c r="B23" t="s">
        <v>37</v>
      </c>
      <c r="C23" s="3">
        <v>0</v>
      </c>
      <c r="D23">
        <v>43</v>
      </c>
      <c r="E23">
        <v>1</v>
      </c>
      <c r="F23">
        <v>5</v>
      </c>
      <c r="G23">
        <v>20</v>
      </c>
      <c r="H23">
        <v>4</v>
      </c>
      <c r="I23">
        <f t="shared" si="0"/>
        <v>40</v>
      </c>
      <c r="J23">
        <f t="shared" si="1"/>
        <v>58500</v>
      </c>
      <c r="K23">
        <f t="shared" si="3"/>
        <v>58.5</v>
      </c>
      <c r="L23">
        <v>1</v>
      </c>
      <c r="M23">
        <v>2</v>
      </c>
      <c r="N23">
        <v>76</v>
      </c>
      <c r="O23">
        <v>18</v>
      </c>
      <c r="P23">
        <v>1</v>
      </c>
      <c r="Q23">
        <v>5</v>
      </c>
      <c r="R23">
        <f>25*50</f>
        <v>1250</v>
      </c>
      <c r="S23">
        <f t="shared" si="4"/>
        <v>1.25</v>
      </c>
      <c r="T23" s="3">
        <v>9.9999999999999991E-22</v>
      </c>
      <c r="U23" s="3">
        <v>9.9999999999999991E-22</v>
      </c>
      <c r="V23" s="3">
        <v>9.9999999999999991E-22</v>
      </c>
      <c r="W23" s="3">
        <v>9.9999999999999991E-22</v>
      </c>
      <c r="X23" s="3">
        <v>9.9999999999999991E-22</v>
      </c>
      <c r="Y23">
        <v>106800</v>
      </c>
      <c r="Z23">
        <f t="shared" si="5"/>
        <v>106.8</v>
      </c>
      <c r="AA23">
        <f t="shared" si="2"/>
        <v>0.35390199637023595</v>
      </c>
      <c r="AB23">
        <v>4</v>
      </c>
      <c r="AC23">
        <v>1</v>
      </c>
      <c r="AD23">
        <v>0</v>
      </c>
      <c r="AE23">
        <v>0</v>
      </c>
      <c r="AF23">
        <v>1</v>
      </c>
      <c r="AG23">
        <v>40</v>
      </c>
      <c r="AH23">
        <v>58500</v>
      </c>
      <c r="AI23">
        <v>3</v>
      </c>
      <c r="AJ23">
        <v>16500</v>
      </c>
      <c r="AK23">
        <v>10000</v>
      </c>
      <c r="AL23">
        <v>4000</v>
      </c>
      <c r="AM23">
        <v>13750</v>
      </c>
      <c r="AN23">
        <v>0</v>
      </c>
      <c r="AO23">
        <v>0</v>
      </c>
      <c r="AP23">
        <f t="shared" si="6"/>
        <v>44.25</v>
      </c>
      <c r="AQ23">
        <f t="shared" si="7"/>
        <v>44.25</v>
      </c>
      <c r="AR23">
        <f t="shared" si="8"/>
        <v>14.25</v>
      </c>
      <c r="AS23">
        <f t="shared" si="9"/>
        <v>14.25</v>
      </c>
    </row>
    <row r="24" spans="1:45" hidden="1">
      <c r="A24">
        <v>23</v>
      </c>
      <c r="B24" t="s">
        <v>37</v>
      </c>
      <c r="C24" s="3">
        <v>0</v>
      </c>
      <c r="D24">
        <v>52</v>
      </c>
      <c r="E24">
        <v>1</v>
      </c>
      <c r="F24">
        <v>4</v>
      </c>
      <c r="G24">
        <v>30</v>
      </c>
      <c r="H24">
        <v>7</v>
      </c>
      <c r="I24">
        <f t="shared" si="0"/>
        <v>45</v>
      </c>
      <c r="J24">
        <f t="shared" si="1"/>
        <v>72500</v>
      </c>
      <c r="K24">
        <f t="shared" si="3"/>
        <v>72.5</v>
      </c>
      <c r="L24">
        <v>10</v>
      </c>
      <c r="M24">
        <v>4</v>
      </c>
      <c r="N24">
        <v>180</v>
      </c>
      <c r="O24">
        <v>27</v>
      </c>
      <c r="P24">
        <v>10</v>
      </c>
      <c r="Q24" s="3">
        <v>9.9999999999999991E-22</v>
      </c>
      <c r="R24">
        <f>300*50</f>
        <v>15000</v>
      </c>
      <c r="S24">
        <f t="shared" si="4"/>
        <v>15</v>
      </c>
      <c r="T24">
        <v>5</v>
      </c>
      <c r="U24" s="3">
        <v>9.9999999999999991E-22</v>
      </c>
      <c r="V24" s="3">
        <v>9.9999999999999991E-22</v>
      </c>
      <c r="W24">
        <v>1</v>
      </c>
      <c r="X24">
        <v>1</v>
      </c>
      <c r="Y24">
        <v>720000</v>
      </c>
      <c r="Z24">
        <f t="shared" si="5"/>
        <v>720</v>
      </c>
      <c r="AA24">
        <f t="shared" si="2"/>
        <v>0.5017301038062284</v>
      </c>
      <c r="AB24">
        <v>3</v>
      </c>
      <c r="AC24">
        <v>3</v>
      </c>
      <c r="AD24">
        <v>0</v>
      </c>
      <c r="AE24">
        <v>3</v>
      </c>
      <c r="AF24">
        <v>1</v>
      </c>
      <c r="AG24">
        <v>450</v>
      </c>
      <c r="AH24">
        <v>725000</v>
      </c>
      <c r="AI24">
        <v>1</v>
      </c>
      <c r="AJ24">
        <f>90000+21000+157500</f>
        <v>268500</v>
      </c>
      <c r="AK24">
        <v>160000</v>
      </c>
      <c r="AL24">
        <v>0</v>
      </c>
      <c r="AM24">
        <f>86000+112000</f>
        <v>198000</v>
      </c>
      <c r="AN24">
        <v>850</v>
      </c>
      <c r="AO24">
        <v>0</v>
      </c>
      <c r="AP24">
        <f t="shared" si="6"/>
        <v>627.35</v>
      </c>
      <c r="AQ24">
        <f t="shared" si="7"/>
        <v>62.734999999999999</v>
      </c>
      <c r="AR24">
        <f t="shared" si="8"/>
        <v>97.649999999999977</v>
      </c>
      <c r="AS24">
        <f t="shared" si="9"/>
        <v>9.764999999999997</v>
      </c>
    </row>
    <row r="25" spans="1:45">
      <c r="A25">
        <v>24</v>
      </c>
      <c r="B25" t="s">
        <v>37</v>
      </c>
      <c r="C25">
        <v>1</v>
      </c>
      <c r="D25">
        <v>53</v>
      </c>
      <c r="E25">
        <v>0</v>
      </c>
      <c r="F25">
        <v>4</v>
      </c>
      <c r="G25">
        <v>25</v>
      </c>
      <c r="H25">
        <v>2</v>
      </c>
      <c r="I25">
        <f t="shared" si="0"/>
        <v>57.3</v>
      </c>
      <c r="J25">
        <f t="shared" si="1"/>
        <v>138056</v>
      </c>
      <c r="K25">
        <f t="shared" si="3"/>
        <v>138.05600000000001</v>
      </c>
      <c r="L25">
        <v>1</v>
      </c>
      <c r="M25">
        <v>1</v>
      </c>
      <c r="N25">
        <v>27</v>
      </c>
      <c r="O25">
        <v>14</v>
      </c>
      <c r="P25" s="3">
        <v>9.9999999999999991E-22</v>
      </c>
      <c r="Q25">
        <v>3</v>
      </c>
      <c r="R25">
        <v>500</v>
      </c>
      <c r="S25">
        <f t="shared" si="4"/>
        <v>0.5</v>
      </c>
      <c r="T25" s="3">
        <v>9.9999999999999991E-22</v>
      </c>
      <c r="U25" s="3">
        <v>9.9999999999999991E-22</v>
      </c>
      <c r="V25" s="3">
        <v>9.9999999999999991E-22</v>
      </c>
      <c r="W25">
        <v>1</v>
      </c>
      <c r="X25" s="3">
        <v>9.9999999999999991E-22</v>
      </c>
      <c r="Y25">
        <v>36000</v>
      </c>
      <c r="Z25">
        <f t="shared" si="5"/>
        <v>36</v>
      </c>
      <c r="AA25">
        <f t="shared" si="2"/>
        <v>0.79317001424828792</v>
      </c>
      <c r="AB25">
        <v>4</v>
      </c>
      <c r="AC25">
        <v>3</v>
      </c>
      <c r="AD25">
        <v>0</v>
      </c>
      <c r="AE25">
        <v>0</v>
      </c>
      <c r="AF25">
        <v>1</v>
      </c>
      <c r="AG25">
        <v>57.3</v>
      </c>
      <c r="AH25">
        <v>138056</v>
      </c>
      <c r="AI25">
        <v>2</v>
      </c>
      <c r="AJ25">
        <f>9300+28810</f>
        <v>38110</v>
      </c>
      <c r="AK25">
        <v>0</v>
      </c>
      <c r="AL25">
        <v>1500</v>
      </c>
      <c r="AM25">
        <v>10000</v>
      </c>
      <c r="AN25">
        <v>0</v>
      </c>
      <c r="AO25">
        <v>0</v>
      </c>
      <c r="AP25">
        <f t="shared" si="6"/>
        <v>49.61</v>
      </c>
      <c r="AQ25">
        <f t="shared" si="7"/>
        <v>49.61</v>
      </c>
      <c r="AR25">
        <f t="shared" si="8"/>
        <v>88.446000000000012</v>
      </c>
      <c r="AS25">
        <f t="shared" si="9"/>
        <v>88.446000000000012</v>
      </c>
    </row>
    <row r="26" spans="1:45">
      <c r="A26">
        <v>25</v>
      </c>
      <c r="B26" t="s">
        <v>37</v>
      </c>
      <c r="C26">
        <v>1</v>
      </c>
      <c r="D26">
        <v>51</v>
      </c>
      <c r="E26">
        <v>1</v>
      </c>
      <c r="F26">
        <v>4</v>
      </c>
      <c r="G26">
        <v>26</v>
      </c>
      <c r="H26">
        <v>3</v>
      </c>
      <c r="I26">
        <f t="shared" si="0"/>
        <v>52.5</v>
      </c>
      <c r="J26">
        <f t="shared" si="1"/>
        <v>122185</v>
      </c>
      <c r="K26">
        <f t="shared" si="3"/>
        <v>122.185</v>
      </c>
      <c r="L26">
        <v>0.4</v>
      </c>
      <c r="M26">
        <v>1</v>
      </c>
      <c r="N26">
        <v>45</v>
      </c>
      <c r="O26">
        <v>47</v>
      </c>
      <c r="P26">
        <v>1</v>
      </c>
      <c r="Q26">
        <v>2</v>
      </c>
      <c r="R26">
        <v>400</v>
      </c>
      <c r="S26">
        <f t="shared" si="4"/>
        <v>0.4</v>
      </c>
      <c r="T26" s="3">
        <v>9.9999999999999991E-22</v>
      </c>
      <c r="U26" s="3">
        <v>9.9999999999999991E-22</v>
      </c>
      <c r="V26" s="3">
        <v>9.9999999999999991E-22</v>
      </c>
      <c r="W26" s="3">
        <v>9.9999999999999991E-22</v>
      </c>
      <c r="X26" s="3">
        <v>9.9999999999999991E-22</v>
      </c>
      <c r="Y26">
        <v>192000</v>
      </c>
      <c r="Z26">
        <f t="shared" si="5"/>
        <v>192</v>
      </c>
      <c r="AA26">
        <f t="shared" si="2"/>
        <v>0.20290276244011393</v>
      </c>
      <c r="AB26">
        <v>3</v>
      </c>
      <c r="AC26">
        <v>3</v>
      </c>
      <c r="AD26">
        <v>0</v>
      </c>
      <c r="AE26">
        <v>0</v>
      </c>
      <c r="AF26">
        <v>1</v>
      </c>
      <c r="AG26">
        <v>21</v>
      </c>
      <c r="AH26">
        <v>48874</v>
      </c>
      <c r="AI26">
        <v>2</v>
      </c>
      <c r="AJ26">
        <f>2500+8980+10868</f>
        <v>22348</v>
      </c>
      <c r="AK26">
        <v>6400</v>
      </c>
      <c r="AL26">
        <v>1200</v>
      </c>
      <c r="AM26">
        <v>4000</v>
      </c>
      <c r="AN26">
        <v>0</v>
      </c>
      <c r="AO26">
        <v>0</v>
      </c>
      <c r="AP26">
        <f t="shared" si="6"/>
        <v>33.948</v>
      </c>
      <c r="AQ26">
        <f t="shared" si="7"/>
        <v>84.86999999999999</v>
      </c>
      <c r="AR26">
        <f t="shared" si="8"/>
        <v>14.926000000000002</v>
      </c>
      <c r="AS26">
        <f t="shared" si="9"/>
        <v>37.315000000000005</v>
      </c>
    </row>
    <row r="27" spans="1:45">
      <c r="A27">
        <v>26</v>
      </c>
      <c r="B27" t="s">
        <v>37</v>
      </c>
      <c r="C27">
        <v>1</v>
      </c>
      <c r="D27">
        <v>51</v>
      </c>
      <c r="E27">
        <v>1</v>
      </c>
      <c r="F27">
        <v>4</v>
      </c>
      <c r="G27">
        <v>26</v>
      </c>
      <c r="H27">
        <v>3</v>
      </c>
      <c r="I27">
        <f t="shared" si="0"/>
        <v>60</v>
      </c>
      <c r="J27">
        <f t="shared" si="1"/>
        <v>127070</v>
      </c>
      <c r="K27">
        <f t="shared" si="3"/>
        <v>127.07</v>
      </c>
      <c r="L27">
        <v>0.5</v>
      </c>
      <c r="M27">
        <v>1</v>
      </c>
      <c r="N27">
        <v>67</v>
      </c>
      <c r="O27">
        <v>10</v>
      </c>
      <c r="P27" s="3">
        <v>9.9999999999999991E-22</v>
      </c>
      <c r="Q27">
        <v>2</v>
      </c>
      <c r="R27">
        <v>500</v>
      </c>
      <c r="S27">
        <f t="shared" si="4"/>
        <v>0.5</v>
      </c>
      <c r="T27" s="3">
        <v>9.9999999999999991E-22</v>
      </c>
      <c r="U27" s="3">
        <v>9.9999999999999991E-22</v>
      </c>
      <c r="V27" s="3">
        <v>9.9999999999999991E-22</v>
      </c>
      <c r="W27">
        <v>1</v>
      </c>
      <c r="X27" s="3">
        <v>9.9999999999999991E-22</v>
      </c>
      <c r="Y27">
        <v>0</v>
      </c>
      <c r="Z27">
        <f t="shared" si="5"/>
        <v>0</v>
      </c>
      <c r="AA27">
        <f t="shared" si="2"/>
        <v>1</v>
      </c>
      <c r="AB27">
        <v>4</v>
      </c>
      <c r="AC27">
        <v>3</v>
      </c>
      <c r="AD27">
        <v>0</v>
      </c>
      <c r="AE27">
        <v>0</v>
      </c>
      <c r="AF27">
        <v>1</v>
      </c>
      <c r="AG27">
        <v>30</v>
      </c>
      <c r="AH27">
        <v>63535</v>
      </c>
      <c r="AI27">
        <v>2</v>
      </c>
      <c r="AJ27">
        <v>13500</v>
      </c>
      <c r="AK27">
        <v>0</v>
      </c>
      <c r="AL27">
        <v>1200</v>
      </c>
      <c r="AM27">
        <v>5000</v>
      </c>
      <c r="AN27">
        <v>0</v>
      </c>
      <c r="AO27">
        <v>0</v>
      </c>
      <c r="AP27">
        <f t="shared" si="6"/>
        <v>19.7</v>
      </c>
      <c r="AQ27">
        <f t="shared" si="7"/>
        <v>39.4</v>
      </c>
      <c r="AR27">
        <f t="shared" si="8"/>
        <v>43.834999999999994</v>
      </c>
      <c r="AS27">
        <f t="shared" si="9"/>
        <v>87.669999999999987</v>
      </c>
    </row>
    <row r="28" spans="1:45">
      <c r="A28">
        <v>27</v>
      </c>
      <c r="B28" t="s">
        <v>37</v>
      </c>
      <c r="C28">
        <v>1</v>
      </c>
      <c r="D28">
        <v>63</v>
      </c>
      <c r="E28">
        <v>0</v>
      </c>
      <c r="F28">
        <v>3</v>
      </c>
      <c r="G28">
        <v>44</v>
      </c>
      <c r="H28">
        <v>2</v>
      </c>
      <c r="I28">
        <f t="shared" si="0"/>
        <v>54.466666666666669</v>
      </c>
      <c r="J28">
        <f t="shared" si="1"/>
        <v>118834.66666666667</v>
      </c>
      <c r="K28">
        <f t="shared" si="3"/>
        <v>118.83466666666668</v>
      </c>
      <c r="L28">
        <v>1.5</v>
      </c>
      <c r="M28">
        <v>2</v>
      </c>
      <c r="N28">
        <v>32</v>
      </c>
      <c r="O28">
        <v>17</v>
      </c>
      <c r="P28" s="3">
        <v>9.9999999999999991E-22</v>
      </c>
      <c r="Q28">
        <v>1.5</v>
      </c>
      <c r="R28">
        <f>30*50</f>
        <v>1500</v>
      </c>
      <c r="S28">
        <f t="shared" si="4"/>
        <v>1.5</v>
      </c>
      <c r="T28">
        <v>15</v>
      </c>
      <c r="U28" s="3">
        <v>9.9999999999999991E-22</v>
      </c>
      <c r="V28" s="3">
        <v>9.9999999999999991E-22</v>
      </c>
      <c r="W28">
        <v>1</v>
      </c>
      <c r="X28">
        <v>1</v>
      </c>
      <c r="Y28">
        <v>146400</v>
      </c>
      <c r="Z28">
        <f t="shared" si="5"/>
        <v>146.4</v>
      </c>
      <c r="AA28">
        <f t="shared" si="2"/>
        <v>0.54905560415460242</v>
      </c>
      <c r="AB28">
        <v>4</v>
      </c>
      <c r="AC28">
        <v>3</v>
      </c>
      <c r="AD28">
        <v>0</v>
      </c>
      <c r="AE28">
        <v>0</v>
      </c>
      <c r="AF28">
        <v>1</v>
      </c>
      <c r="AG28">
        <v>81.7</v>
      </c>
      <c r="AH28">
        <v>178252</v>
      </c>
      <c r="AI28">
        <v>2</v>
      </c>
      <c r="AJ28">
        <v>45380</v>
      </c>
      <c r="AK28">
        <v>0</v>
      </c>
      <c r="AL28">
        <v>3000</v>
      </c>
      <c r="AM28">
        <v>15000</v>
      </c>
      <c r="AN28">
        <v>1650</v>
      </c>
      <c r="AO28">
        <v>0</v>
      </c>
      <c r="AP28">
        <f t="shared" si="6"/>
        <v>65.03</v>
      </c>
      <c r="AQ28">
        <f t="shared" si="7"/>
        <v>43.353333333333332</v>
      </c>
      <c r="AR28">
        <f t="shared" si="8"/>
        <v>113.22200000000001</v>
      </c>
      <c r="AS28">
        <f t="shared" si="9"/>
        <v>75.481333333333339</v>
      </c>
    </row>
    <row r="29" spans="1:45">
      <c r="A29">
        <v>28</v>
      </c>
      <c r="B29" t="s">
        <v>37</v>
      </c>
      <c r="C29">
        <v>1</v>
      </c>
      <c r="D29">
        <v>67</v>
      </c>
      <c r="E29">
        <v>0</v>
      </c>
      <c r="F29">
        <v>3</v>
      </c>
      <c r="G29">
        <v>46</v>
      </c>
      <c r="H29">
        <v>4</v>
      </c>
      <c r="I29">
        <f t="shared" si="0"/>
        <v>37.5</v>
      </c>
      <c r="J29">
        <f t="shared" si="1"/>
        <v>80220</v>
      </c>
      <c r="K29">
        <f t="shared" si="3"/>
        <v>80.22</v>
      </c>
      <c r="L29">
        <v>0.6</v>
      </c>
      <c r="M29">
        <v>1</v>
      </c>
      <c r="N29">
        <v>79</v>
      </c>
      <c r="O29">
        <v>14</v>
      </c>
      <c r="P29" s="3">
        <v>9.9999999999999991E-22</v>
      </c>
      <c r="Q29">
        <v>4</v>
      </c>
      <c r="R29">
        <v>500</v>
      </c>
      <c r="S29">
        <f t="shared" si="4"/>
        <v>0.5</v>
      </c>
      <c r="T29" s="3">
        <v>9.9999999999999991E-22</v>
      </c>
      <c r="U29" s="3">
        <v>9.9999999999999991E-22</v>
      </c>
      <c r="V29" s="3">
        <v>9.9999999999999991E-22</v>
      </c>
      <c r="W29">
        <v>1</v>
      </c>
      <c r="X29" s="3">
        <v>9.9999999999999991E-22</v>
      </c>
      <c r="Y29">
        <f>115200+73000+3120</f>
        <v>191320</v>
      </c>
      <c r="Z29">
        <f t="shared" si="5"/>
        <v>191.32</v>
      </c>
      <c r="AA29">
        <f t="shared" si="2"/>
        <v>0.20100897048260194</v>
      </c>
      <c r="AB29">
        <v>4</v>
      </c>
      <c r="AC29">
        <v>3</v>
      </c>
      <c r="AD29">
        <v>0</v>
      </c>
      <c r="AE29">
        <v>0</v>
      </c>
      <c r="AF29">
        <v>1</v>
      </c>
      <c r="AG29">
        <v>22.5</v>
      </c>
      <c r="AH29">
        <v>48132</v>
      </c>
      <c r="AI29">
        <v>1</v>
      </c>
      <c r="AJ29">
        <v>10850</v>
      </c>
      <c r="AK29">
        <v>0</v>
      </c>
      <c r="AL29">
        <v>3000</v>
      </c>
      <c r="AM29">
        <v>5000</v>
      </c>
      <c r="AN29">
        <v>0</v>
      </c>
      <c r="AO29">
        <v>0</v>
      </c>
      <c r="AP29">
        <f t="shared" si="6"/>
        <v>18.850000000000001</v>
      </c>
      <c r="AQ29">
        <f t="shared" si="7"/>
        <v>31.416666666666671</v>
      </c>
      <c r="AR29">
        <f t="shared" si="8"/>
        <v>29.281999999999996</v>
      </c>
      <c r="AS29">
        <f t="shared" si="9"/>
        <v>48.803333333333327</v>
      </c>
    </row>
    <row r="30" spans="1:45">
      <c r="A30">
        <v>29</v>
      </c>
      <c r="B30" t="s">
        <v>37</v>
      </c>
      <c r="C30">
        <v>1</v>
      </c>
      <c r="D30">
        <v>71</v>
      </c>
      <c r="E30">
        <v>1</v>
      </c>
      <c r="F30">
        <v>1</v>
      </c>
      <c r="G30">
        <v>56</v>
      </c>
      <c r="H30">
        <v>5</v>
      </c>
      <c r="I30">
        <f t="shared" si="0"/>
        <v>53.70000000000001</v>
      </c>
      <c r="J30">
        <f t="shared" si="1"/>
        <v>107621.42857142858</v>
      </c>
      <c r="K30">
        <f t="shared" si="3"/>
        <v>107.62142857142858</v>
      </c>
      <c r="L30">
        <v>0.7</v>
      </c>
      <c r="M30">
        <v>1</v>
      </c>
      <c r="N30">
        <v>90</v>
      </c>
      <c r="O30">
        <v>32</v>
      </c>
      <c r="P30" s="3">
        <v>9.9999999999999991E-22</v>
      </c>
      <c r="Q30">
        <v>4</v>
      </c>
      <c r="R30">
        <v>1500</v>
      </c>
      <c r="S30">
        <f t="shared" si="4"/>
        <v>1.5</v>
      </c>
      <c r="T30" s="3">
        <v>9.9999999999999991E-22</v>
      </c>
      <c r="U30" s="3">
        <v>9.9999999999999991E-22</v>
      </c>
      <c r="V30" s="3">
        <v>9.9999999999999991E-22</v>
      </c>
      <c r="W30">
        <v>1</v>
      </c>
      <c r="X30" s="3">
        <v>9.9999999999999991E-22</v>
      </c>
      <c r="Y30">
        <v>195200</v>
      </c>
      <c r="Z30">
        <f t="shared" si="5"/>
        <v>195.2</v>
      </c>
      <c r="AA30">
        <f t="shared" si="2"/>
        <v>0.27846674182638104</v>
      </c>
      <c r="AB30">
        <v>4</v>
      </c>
      <c r="AC30">
        <v>3</v>
      </c>
      <c r="AD30">
        <v>0</v>
      </c>
      <c r="AE30">
        <v>0</v>
      </c>
      <c r="AF30">
        <v>1</v>
      </c>
      <c r="AG30">
        <v>37.590000000000003</v>
      </c>
      <c r="AH30">
        <v>75335</v>
      </c>
      <c r="AI30">
        <v>2</v>
      </c>
      <c r="AJ30">
        <v>33850</v>
      </c>
      <c r="AK30">
        <v>0</v>
      </c>
      <c r="AL30">
        <v>1200</v>
      </c>
      <c r="AM30">
        <v>16500</v>
      </c>
      <c r="AN30">
        <v>0</v>
      </c>
      <c r="AO30">
        <v>0</v>
      </c>
      <c r="AP30">
        <f t="shared" si="6"/>
        <v>51.55</v>
      </c>
      <c r="AQ30">
        <f t="shared" si="7"/>
        <v>73.642857142857139</v>
      </c>
      <c r="AR30">
        <f t="shared" si="8"/>
        <v>23.784999999999997</v>
      </c>
      <c r="AS30">
        <f t="shared" si="9"/>
        <v>33.978571428571428</v>
      </c>
    </row>
    <row r="31" spans="1:45">
      <c r="A31">
        <v>30</v>
      </c>
      <c r="B31" t="s">
        <v>37</v>
      </c>
      <c r="C31" s="3">
        <v>0</v>
      </c>
      <c r="D31">
        <v>70</v>
      </c>
      <c r="E31">
        <v>1</v>
      </c>
      <c r="F31">
        <v>3</v>
      </c>
      <c r="G31">
        <v>55</v>
      </c>
      <c r="H31">
        <v>5</v>
      </c>
      <c r="I31">
        <f t="shared" si="0"/>
        <v>90.909090909090907</v>
      </c>
      <c r="J31">
        <f t="shared" si="1"/>
        <v>90909.090909090897</v>
      </c>
      <c r="K31">
        <f t="shared" si="3"/>
        <v>90.909090909090892</v>
      </c>
      <c r="L31">
        <v>0.55000000000000004</v>
      </c>
      <c r="M31">
        <v>1</v>
      </c>
      <c r="N31">
        <v>263</v>
      </c>
      <c r="O31">
        <v>10</v>
      </c>
      <c r="P31" s="3">
        <v>9.9999999999999991E-22</v>
      </c>
      <c r="Q31" s="3">
        <v>9.9999999999999991E-22</v>
      </c>
      <c r="R31">
        <v>500</v>
      </c>
      <c r="S31">
        <f t="shared" si="4"/>
        <v>0.5</v>
      </c>
      <c r="T31" s="3">
        <v>9.9999999999999991E-22</v>
      </c>
      <c r="U31" s="3">
        <v>9.9999999999999991E-22</v>
      </c>
      <c r="V31" s="3">
        <v>9.9999999999999991E-22</v>
      </c>
      <c r="W31" s="3">
        <v>9.9999999999999991E-22</v>
      </c>
      <c r="X31" s="3">
        <v>9.9999999999999991E-22</v>
      </c>
      <c r="Y31">
        <v>5000</v>
      </c>
      <c r="Z31">
        <f t="shared" si="5"/>
        <v>5</v>
      </c>
      <c r="AA31">
        <f t="shared" si="2"/>
        <v>0.90909090909090906</v>
      </c>
      <c r="AB31">
        <v>4</v>
      </c>
      <c r="AC31">
        <v>1</v>
      </c>
      <c r="AD31">
        <v>0</v>
      </c>
      <c r="AE31">
        <v>0</v>
      </c>
      <c r="AF31">
        <v>1</v>
      </c>
      <c r="AG31">
        <v>50</v>
      </c>
      <c r="AH31">
        <v>50000</v>
      </c>
      <c r="AI31">
        <v>2</v>
      </c>
      <c r="AJ31">
        <v>19500</v>
      </c>
      <c r="AK31">
        <v>0</v>
      </c>
      <c r="AL31">
        <v>0</v>
      </c>
      <c r="AM31">
        <v>10000</v>
      </c>
      <c r="AN31">
        <v>0</v>
      </c>
      <c r="AO31">
        <v>0</v>
      </c>
      <c r="AP31">
        <f t="shared" si="6"/>
        <v>29.5</v>
      </c>
      <c r="AQ31">
        <f t="shared" si="7"/>
        <v>53.636363636363633</v>
      </c>
      <c r="AR31">
        <f t="shared" si="8"/>
        <v>20.5</v>
      </c>
      <c r="AS31">
        <f t="shared" si="9"/>
        <v>37.272727272727266</v>
      </c>
    </row>
    <row r="32" spans="1:45">
      <c r="A32">
        <v>31</v>
      </c>
      <c r="B32" t="s">
        <v>37</v>
      </c>
      <c r="C32" s="3">
        <v>0</v>
      </c>
      <c r="D32">
        <v>70</v>
      </c>
      <c r="E32">
        <v>0</v>
      </c>
      <c r="F32">
        <v>2</v>
      </c>
      <c r="G32">
        <v>43</v>
      </c>
      <c r="H32">
        <v>3</v>
      </c>
      <c r="I32">
        <f t="shared" si="0"/>
        <v>36</v>
      </c>
      <c r="J32">
        <f t="shared" si="1"/>
        <v>84000</v>
      </c>
      <c r="K32">
        <f t="shared" si="3"/>
        <v>84</v>
      </c>
      <c r="L32">
        <v>0.5</v>
      </c>
      <c r="M32">
        <v>1</v>
      </c>
      <c r="N32">
        <v>39</v>
      </c>
      <c r="O32">
        <v>5</v>
      </c>
      <c r="P32" s="3">
        <v>9.9999999999999991E-22</v>
      </c>
      <c r="Q32">
        <v>1</v>
      </c>
      <c r="R32">
        <v>400</v>
      </c>
      <c r="S32">
        <f t="shared" si="4"/>
        <v>0.4</v>
      </c>
      <c r="T32" s="3">
        <v>9.9999999999999991E-22</v>
      </c>
      <c r="U32" s="3">
        <v>9.9999999999999991E-22</v>
      </c>
      <c r="V32" s="3">
        <v>9.9999999999999991E-22</v>
      </c>
      <c r="W32">
        <v>1</v>
      </c>
      <c r="X32" s="3">
        <v>9.9999999999999991E-22</v>
      </c>
      <c r="Y32">
        <v>51000</v>
      </c>
      <c r="Z32">
        <f t="shared" si="5"/>
        <v>51</v>
      </c>
      <c r="AA32">
        <f t="shared" si="2"/>
        <v>0.45161290322580644</v>
      </c>
      <c r="AB32">
        <v>4</v>
      </c>
      <c r="AC32">
        <v>3</v>
      </c>
      <c r="AD32">
        <v>0</v>
      </c>
      <c r="AE32">
        <v>0</v>
      </c>
      <c r="AF32">
        <v>1</v>
      </c>
      <c r="AG32">
        <v>18</v>
      </c>
      <c r="AH32">
        <v>42000</v>
      </c>
      <c r="AI32">
        <v>2</v>
      </c>
      <c r="AJ32">
        <v>6900</v>
      </c>
      <c r="AK32">
        <v>0</v>
      </c>
      <c r="AL32">
        <v>900</v>
      </c>
      <c r="AM32">
        <v>4000</v>
      </c>
      <c r="AN32">
        <v>0</v>
      </c>
      <c r="AO32">
        <v>0</v>
      </c>
      <c r="AP32">
        <f t="shared" si="6"/>
        <v>11.8</v>
      </c>
      <c r="AQ32">
        <f t="shared" si="7"/>
        <v>23.6</v>
      </c>
      <c r="AR32">
        <f t="shared" si="8"/>
        <v>30.2</v>
      </c>
      <c r="AS32">
        <f t="shared" si="9"/>
        <v>60.4</v>
      </c>
    </row>
    <row r="33" spans="1:45">
      <c r="A33">
        <v>32</v>
      </c>
      <c r="B33" t="s">
        <v>37</v>
      </c>
      <c r="C33" s="3">
        <v>0</v>
      </c>
      <c r="D33">
        <v>76</v>
      </c>
      <c r="E33">
        <v>0</v>
      </c>
      <c r="F33">
        <v>1</v>
      </c>
      <c r="G33">
        <v>51</v>
      </c>
      <c r="H33">
        <v>5</v>
      </c>
      <c r="I33">
        <f t="shared" si="0"/>
        <v>40</v>
      </c>
      <c r="J33">
        <f t="shared" si="1"/>
        <v>60000</v>
      </c>
      <c r="K33">
        <f t="shared" si="3"/>
        <v>60</v>
      </c>
      <c r="L33">
        <v>0.5</v>
      </c>
      <c r="M33">
        <v>1</v>
      </c>
      <c r="N33">
        <v>179</v>
      </c>
      <c r="O33">
        <v>9</v>
      </c>
      <c r="P33" s="3">
        <v>9.9999999999999991E-22</v>
      </c>
      <c r="Q33">
        <v>2</v>
      </c>
      <c r="R33">
        <v>100</v>
      </c>
      <c r="S33">
        <f t="shared" si="4"/>
        <v>0.1</v>
      </c>
      <c r="T33" s="3">
        <v>9.9999999999999991E-22</v>
      </c>
      <c r="U33" s="3">
        <v>9.9999999999999991E-22</v>
      </c>
      <c r="V33" s="3">
        <v>9.9999999999999991E-22</v>
      </c>
      <c r="W33" s="3">
        <v>9.9999999999999991E-22</v>
      </c>
      <c r="X33" s="3">
        <v>9.9999999999999991E-22</v>
      </c>
      <c r="Y33">
        <v>201600</v>
      </c>
      <c r="Z33">
        <f t="shared" si="5"/>
        <v>201.6</v>
      </c>
      <c r="AA33">
        <f t="shared" si="2"/>
        <v>0.12953367875647667</v>
      </c>
      <c r="AB33">
        <v>4</v>
      </c>
      <c r="AC33">
        <v>5</v>
      </c>
      <c r="AD33">
        <v>0</v>
      </c>
      <c r="AE33">
        <v>0</v>
      </c>
      <c r="AF33">
        <v>1</v>
      </c>
      <c r="AG33">
        <v>20</v>
      </c>
      <c r="AH33">
        <v>30000</v>
      </c>
      <c r="AI33">
        <v>2</v>
      </c>
      <c r="AJ33">
        <v>10850</v>
      </c>
      <c r="AK33">
        <v>0</v>
      </c>
      <c r="AL33">
        <v>1000</v>
      </c>
      <c r="AM33">
        <v>2000</v>
      </c>
      <c r="AN33">
        <v>0</v>
      </c>
      <c r="AO33">
        <v>0</v>
      </c>
      <c r="AP33">
        <f t="shared" si="6"/>
        <v>13.85</v>
      </c>
      <c r="AQ33">
        <f t="shared" si="7"/>
        <v>27.7</v>
      </c>
      <c r="AR33">
        <f t="shared" si="8"/>
        <v>16.149999999999999</v>
      </c>
      <c r="AS33">
        <f t="shared" si="9"/>
        <v>32.299999999999997</v>
      </c>
    </row>
    <row r="34" spans="1:45">
      <c r="A34">
        <v>33</v>
      </c>
      <c r="B34" t="s">
        <v>37</v>
      </c>
      <c r="C34" s="3">
        <v>0</v>
      </c>
      <c r="D34">
        <v>74</v>
      </c>
      <c r="E34">
        <v>0</v>
      </c>
      <c r="F34">
        <v>2</v>
      </c>
      <c r="G34">
        <v>50</v>
      </c>
      <c r="H34">
        <v>7</v>
      </c>
      <c r="I34">
        <f t="shared" ref="I34:I65" si="10">AG34/L34</f>
        <v>70</v>
      </c>
      <c r="J34">
        <f t="shared" ref="J34:J65" si="11">AH34/L34</f>
        <v>150000</v>
      </c>
      <c r="K34">
        <f t="shared" si="3"/>
        <v>150</v>
      </c>
      <c r="L34">
        <v>0.5</v>
      </c>
      <c r="M34">
        <v>1</v>
      </c>
      <c r="N34">
        <v>42</v>
      </c>
      <c r="O34">
        <v>5</v>
      </c>
      <c r="P34" s="3">
        <v>9.9999999999999991E-22</v>
      </c>
      <c r="Q34">
        <v>7</v>
      </c>
      <c r="R34">
        <v>500</v>
      </c>
      <c r="S34">
        <f t="shared" si="4"/>
        <v>0.5</v>
      </c>
      <c r="T34" s="3">
        <v>9.9999999999999991E-22</v>
      </c>
      <c r="U34" s="3">
        <v>9.9999999999999991E-22</v>
      </c>
      <c r="V34" s="3">
        <v>9.9999999999999991E-22</v>
      </c>
      <c r="W34" s="3">
        <v>9.9999999999999991E-22</v>
      </c>
      <c r="X34" s="3">
        <v>9.9999999999999991E-22</v>
      </c>
      <c r="Y34">
        <v>3350</v>
      </c>
      <c r="Z34">
        <f t="shared" si="5"/>
        <v>3.35</v>
      </c>
      <c r="AA34">
        <f t="shared" ref="AA34:AA65" si="12">AH34/(AH34+Y34)</f>
        <v>0.95724313975749842</v>
      </c>
      <c r="AB34">
        <v>4</v>
      </c>
      <c r="AC34">
        <v>3</v>
      </c>
      <c r="AD34">
        <v>0</v>
      </c>
      <c r="AE34">
        <v>0</v>
      </c>
      <c r="AF34">
        <v>1</v>
      </c>
      <c r="AG34">
        <v>35</v>
      </c>
      <c r="AH34">
        <v>75000</v>
      </c>
      <c r="AI34">
        <v>2</v>
      </c>
      <c r="AJ34">
        <v>15500</v>
      </c>
      <c r="AK34">
        <v>0</v>
      </c>
      <c r="AL34">
        <v>4200</v>
      </c>
      <c r="AM34">
        <v>5000</v>
      </c>
      <c r="AN34">
        <v>0</v>
      </c>
      <c r="AO34">
        <v>0</v>
      </c>
      <c r="AP34">
        <f t="shared" si="6"/>
        <v>24.7</v>
      </c>
      <c r="AQ34">
        <f t="shared" si="7"/>
        <v>49.4</v>
      </c>
      <c r="AR34">
        <f t="shared" si="8"/>
        <v>50.3</v>
      </c>
      <c r="AS34">
        <f t="shared" si="9"/>
        <v>100.6</v>
      </c>
    </row>
    <row r="35" spans="1:45">
      <c r="A35">
        <v>34</v>
      </c>
      <c r="B35" t="s">
        <v>37</v>
      </c>
      <c r="C35" s="3">
        <v>0</v>
      </c>
      <c r="D35">
        <v>61</v>
      </c>
      <c r="E35">
        <v>1</v>
      </c>
      <c r="F35">
        <v>4</v>
      </c>
      <c r="G35">
        <v>46</v>
      </c>
      <c r="H35">
        <v>2</v>
      </c>
      <c r="I35">
        <f t="shared" si="10"/>
        <v>75</v>
      </c>
      <c r="J35">
        <f t="shared" si="11"/>
        <v>100000</v>
      </c>
      <c r="K35">
        <f t="shared" si="3"/>
        <v>100</v>
      </c>
      <c r="L35">
        <v>0.8</v>
      </c>
      <c r="M35">
        <v>1</v>
      </c>
      <c r="N35">
        <v>80</v>
      </c>
      <c r="O35">
        <v>10</v>
      </c>
      <c r="P35">
        <v>1</v>
      </c>
      <c r="Q35">
        <v>6</v>
      </c>
      <c r="R35">
        <v>7500</v>
      </c>
      <c r="S35">
        <f t="shared" si="4"/>
        <v>7.5</v>
      </c>
      <c r="T35" s="3">
        <v>9.9999999999999991E-22</v>
      </c>
      <c r="U35">
        <v>3</v>
      </c>
      <c r="V35" s="3">
        <v>9.9999999999999991E-22</v>
      </c>
      <c r="W35">
        <v>1</v>
      </c>
      <c r="X35" s="3">
        <v>9.9999999999999991E-22</v>
      </c>
      <c r="Y35">
        <f>11976+1200</f>
        <v>13176</v>
      </c>
      <c r="Z35">
        <f t="shared" si="5"/>
        <v>13.176</v>
      </c>
      <c r="AA35">
        <f t="shared" si="12"/>
        <v>0.85859019489997424</v>
      </c>
      <c r="AB35">
        <v>2</v>
      </c>
      <c r="AC35">
        <v>1</v>
      </c>
      <c r="AD35">
        <v>1</v>
      </c>
      <c r="AE35">
        <v>0</v>
      </c>
      <c r="AF35">
        <v>1</v>
      </c>
      <c r="AG35">
        <v>60</v>
      </c>
      <c r="AH35">
        <v>80000</v>
      </c>
      <c r="AI35">
        <v>2</v>
      </c>
      <c r="AJ35">
        <v>25200</v>
      </c>
      <c r="AK35">
        <v>10000</v>
      </c>
      <c r="AL35">
        <v>3000</v>
      </c>
      <c r="AM35">
        <v>8250</v>
      </c>
      <c r="AN35">
        <v>0</v>
      </c>
      <c r="AO35">
        <v>1950</v>
      </c>
      <c r="AP35">
        <f t="shared" si="6"/>
        <v>48.4</v>
      </c>
      <c r="AQ35">
        <f t="shared" si="7"/>
        <v>60.499999999999993</v>
      </c>
      <c r="AR35">
        <f t="shared" si="8"/>
        <v>31.6</v>
      </c>
      <c r="AS35">
        <f t="shared" si="9"/>
        <v>39.5</v>
      </c>
    </row>
    <row r="36" spans="1:45">
      <c r="A36">
        <v>35</v>
      </c>
      <c r="B36" t="s">
        <v>37</v>
      </c>
      <c r="C36" s="3">
        <v>0</v>
      </c>
      <c r="D36">
        <v>67</v>
      </c>
      <c r="E36">
        <v>0</v>
      </c>
      <c r="F36">
        <v>3</v>
      </c>
      <c r="G36">
        <v>57</v>
      </c>
      <c r="H36">
        <v>4</v>
      </c>
      <c r="I36">
        <f t="shared" si="10"/>
        <v>60</v>
      </c>
      <c r="J36">
        <f t="shared" si="11"/>
        <v>100000</v>
      </c>
      <c r="K36">
        <f t="shared" si="3"/>
        <v>100</v>
      </c>
      <c r="L36">
        <v>2</v>
      </c>
      <c r="M36">
        <v>3</v>
      </c>
      <c r="N36">
        <v>90</v>
      </c>
      <c r="O36">
        <v>64</v>
      </c>
      <c r="P36">
        <v>2</v>
      </c>
      <c r="Q36">
        <v>7</v>
      </c>
      <c r="R36">
        <v>3000</v>
      </c>
      <c r="S36">
        <f t="shared" si="4"/>
        <v>3</v>
      </c>
      <c r="T36" s="3">
        <v>9.9999999999999991E-22</v>
      </c>
      <c r="U36" s="3">
        <v>9.9999999999999991E-22</v>
      </c>
      <c r="V36" s="3">
        <v>9.9999999999999991E-22</v>
      </c>
      <c r="W36" s="3">
        <v>9.9999999999999991E-22</v>
      </c>
      <c r="X36" s="3">
        <v>9.9999999999999991E-22</v>
      </c>
      <c r="Y36">
        <f>120000+11500+73000</f>
        <v>204500</v>
      </c>
      <c r="Z36">
        <f t="shared" si="5"/>
        <v>204.5</v>
      </c>
      <c r="AA36">
        <f t="shared" si="12"/>
        <v>0.49443757725587145</v>
      </c>
      <c r="AB36">
        <v>3</v>
      </c>
      <c r="AC36">
        <v>3</v>
      </c>
      <c r="AD36">
        <v>0</v>
      </c>
      <c r="AE36">
        <v>0</v>
      </c>
      <c r="AF36">
        <v>1</v>
      </c>
      <c r="AG36">
        <v>120</v>
      </c>
      <c r="AH36">
        <v>200000</v>
      </c>
      <c r="AI36">
        <v>2</v>
      </c>
      <c r="AJ36">
        <v>68100</v>
      </c>
      <c r="AK36">
        <v>13000</v>
      </c>
      <c r="AL36">
        <v>4200</v>
      </c>
      <c r="AM36">
        <v>30000</v>
      </c>
      <c r="AN36">
        <v>0</v>
      </c>
      <c r="AO36">
        <v>0</v>
      </c>
      <c r="AP36">
        <f t="shared" si="6"/>
        <v>115.3</v>
      </c>
      <c r="AQ36">
        <f t="shared" si="7"/>
        <v>57.65</v>
      </c>
      <c r="AR36">
        <f t="shared" si="8"/>
        <v>84.7</v>
      </c>
      <c r="AS36">
        <f t="shared" si="9"/>
        <v>42.35</v>
      </c>
    </row>
    <row r="37" spans="1:45">
      <c r="A37">
        <v>36</v>
      </c>
      <c r="B37" t="s">
        <v>37</v>
      </c>
      <c r="C37">
        <v>1</v>
      </c>
      <c r="D37">
        <v>66</v>
      </c>
      <c r="E37">
        <v>0</v>
      </c>
      <c r="F37">
        <v>5</v>
      </c>
      <c r="G37">
        <v>39</v>
      </c>
      <c r="H37">
        <v>2</v>
      </c>
      <c r="I37">
        <f t="shared" si="10"/>
        <v>60</v>
      </c>
      <c r="J37">
        <f t="shared" si="11"/>
        <v>112000</v>
      </c>
      <c r="K37">
        <f t="shared" si="3"/>
        <v>112</v>
      </c>
      <c r="L37">
        <v>4.5</v>
      </c>
      <c r="M37">
        <v>3</v>
      </c>
      <c r="N37">
        <v>70</v>
      </c>
      <c r="O37">
        <v>214</v>
      </c>
      <c r="P37" s="3">
        <v>9.9999999999999991E-22</v>
      </c>
      <c r="Q37">
        <v>8</v>
      </c>
      <c r="R37">
        <v>2500</v>
      </c>
      <c r="S37">
        <f t="shared" si="4"/>
        <v>2.5</v>
      </c>
      <c r="T37" s="3">
        <v>9.9999999999999991E-22</v>
      </c>
      <c r="U37" s="3">
        <v>9.9999999999999991E-22</v>
      </c>
      <c r="V37" s="3">
        <v>9.9999999999999991E-22</v>
      </c>
      <c r="W37">
        <v>1</v>
      </c>
      <c r="X37" s="3">
        <v>9.9999999999999991E-22</v>
      </c>
      <c r="Y37">
        <f>42000+36000+6000+18000+12000</f>
        <v>114000</v>
      </c>
      <c r="Z37">
        <f t="shared" si="5"/>
        <v>114</v>
      </c>
      <c r="AA37">
        <f t="shared" si="12"/>
        <v>0.81553398058252424</v>
      </c>
      <c r="AB37">
        <v>3</v>
      </c>
      <c r="AC37">
        <v>3</v>
      </c>
      <c r="AD37">
        <v>0</v>
      </c>
      <c r="AE37">
        <v>0</v>
      </c>
      <c r="AF37">
        <v>1</v>
      </c>
      <c r="AG37">
        <v>270</v>
      </c>
      <c r="AH37">
        <v>504000</v>
      </c>
      <c r="AI37">
        <v>2</v>
      </c>
      <c r="AJ37">
        <f>25500+86600</f>
        <v>112100</v>
      </c>
      <c r="AK37">
        <v>0</v>
      </c>
      <c r="AL37">
        <v>2000</v>
      </c>
      <c r="AM37">
        <v>250000</v>
      </c>
      <c r="AN37">
        <v>0</v>
      </c>
      <c r="AO37">
        <v>0</v>
      </c>
      <c r="AP37">
        <f t="shared" si="6"/>
        <v>364.1</v>
      </c>
      <c r="AQ37">
        <f t="shared" si="7"/>
        <v>80.911111111111111</v>
      </c>
      <c r="AR37">
        <f t="shared" si="8"/>
        <v>139.89999999999998</v>
      </c>
      <c r="AS37">
        <f t="shared" si="9"/>
        <v>31.088888888888885</v>
      </c>
    </row>
    <row r="38" spans="1:45">
      <c r="A38">
        <v>37</v>
      </c>
      <c r="B38" t="s">
        <v>37</v>
      </c>
      <c r="C38">
        <v>1</v>
      </c>
      <c r="D38">
        <v>54</v>
      </c>
      <c r="E38">
        <v>0</v>
      </c>
      <c r="F38">
        <v>6</v>
      </c>
      <c r="G38">
        <v>5</v>
      </c>
      <c r="H38">
        <v>5</v>
      </c>
      <c r="I38">
        <f t="shared" si="10"/>
        <v>44</v>
      </c>
      <c r="J38">
        <f t="shared" si="11"/>
        <v>61600</v>
      </c>
      <c r="K38">
        <f t="shared" si="3"/>
        <v>61.6</v>
      </c>
      <c r="L38">
        <v>0.5</v>
      </c>
      <c r="M38">
        <v>1</v>
      </c>
      <c r="N38">
        <v>28</v>
      </c>
      <c r="O38">
        <v>32</v>
      </c>
      <c r="P38" s="3">
        <v>9.9999999999999991E-22</v>
      </c>
      <c r="Q38">
        <v>2</v>
      </c>
      <c r="R38">
        <v>400</v>
      </c>
      <c r="S38">
        <f t="shared" si="4"/>
        <v>0.4</v>
      </c>
      <c r="T38" s="3">
        <v>9.9999999999999991E-22</v>
      </c>
      <c r="U38" s="3">
        <v>9.9999999999999991E-22</v>
      </c>
      <c r="V38" s="3">
        <v>9.9999999999999991E-22</v>
      </c>
      <c r="W38">
        <v>1</v>
      </c>
      <c r="X38" s="3">
        <v>9.9999999999999991E-22</v>
      </c>
      <c r="Y38">
        <v>44400</v>
      </c>
      <c r="Z38">
        <f t="shared" si="5"/>
        <v>44.4</v>
      </c>
      <c r="AA38">
        <f t="shared" si="12"/>
        <v>0.40957446808510639</v>
      </c>
      <c r="AB38">
        <v>3</v>
      </c>
      <c r="AC38">
        <v>3</v>
      </c>
      <c r="AD38">
        <v>0</v>
      </c>
      <c r="AE38">
        <v>0</v>
      </c>
      <c r="AF38">
        <v>1</v>
      </c>
      <c r="AG38">
        <v>22</v>
      </c>
      <c r="AH38">
        <v>30800</v>
      </c>
      <c r="AI38">
        <v>2</v>
      </c>
      <c r="AJ38">
        <v>10100</v>
      </c>
      <c r="AK38">
        <v>0</v>
      </c>
      <c r="AL38">
        <v>1600</v>
      </c>
      <c r="AM38">
        <v>4240</v>
      </c>
      <c r="AN38">
        <v>0</v>
      </c>
      <c r="AO38">
        <v>0</v>
      </c>
      <c r="AP38">
        <f t="shared" si="6"/>
        <v>15.94</v>
      </c>
      <c r="AQ38">
        <f t="shared" si="7"/>
        <v>31.88</v>
      </c>
      <c r="AR38">
        <f t="shared" si="8"/>
        <v>14.860000000000001</v>
      </c>
      <c r="AS38">
        <f t="shared" si="9"/>
        <v>29.720000000000002</v>
      </c>
    </row>
    <row r="39" spans="1:45">
      <c r="A39">
        <v>38</v>
      </c>
      <c r="B39" t="s">
        <v>37</v>
      </c>
      <c r="C39">
        <v>1</v>
      </c>
      <c r="D39">
        <v>48</v>
      </c>
      <c r="E39">
        <v>1</v>
      </c>
      <c r="F39">
        <v>4</v>
      </c>
      <c r="G39">
        <v>31</v>
      </c>
      <c r="H39">
        <v>3</v>
      </c>
      <c r="I39">
        <f t="shared" si="10"/>
        <v>37.5</v>
      </c>
      <c r="J39">
        <f t="shared" si="11"/>
        <v>61250</v>
      </c>
      <c r="K39">
        <f t="shared" si="3"/>
        <v>61.25</v>
      </c>
      <c r="L39">
        <v>0.8</v>
      </c>
      <c r="M39">
        <v>1</v>
      </c>
      <c r="N39">
        <v>15</v>
      </c>
      <c r="O39">
        <v>20</v>
      </c>
      <c r="P39" s="3">
        <v>9.9999999999999991E-22</v>
      </c>
      <c r="Q39">
        <v>2</v>
      </c>
      <c r="R39">
        <v>500</v>
      </c>
      <c r="S39">
        <f t="shared" si="4"/>
        <v>0.5</v>
      </c>
      <c r="T39">
        <v>1</v>
      </c>
      <c r="U39" s="3">
        <v>9.9999999999999991E-22</v>
      </c>
      <c r="V39" s="3">
        <v>9.9999999999999991E-22</v>
      </c>
      <c r="W39" s="3">
        <v>9.9999999999999991E-22</v>
      </c>
      <c r="X39" s="3">
        <v>9.9999999999999991E-22</v>
      </c>
      <c r="Y39">
        <v>0</v>
      </c>
      <c r="Z39">
        <f t="shared" si="5"/>
        <v>0</v>
      </c>
      <c r="AA39">
        <f t="shared" si="12"/>
        <v>1</v>
      </c>
      <c r="AB39">
        <v>3</v>
      </c>
      <c r="AC39">
        <v>3</v>
      </c>
      <c r="AD39">
        <v>0</v>
      </c>
      <c r="AE39">
        <v>3</v>
      </c>
      <c r="AF39">
        <v>1</v>
      </c>
      <c r="AG39">
        <v>30</v>
      </c>
      <c r="AH39">
        <v>49000</v>
      </c>
      <c r="AI39">
        <v>2</v>
      </c>
      <c r="AJ39">
        <v>14500</v>
      </c>
      <c r="AK39">
        <v>0</v>
      </c>
      <c r="AL39">
        <v>1000</v>
      </c>
      <c r="AM39">
        <v>5000</v>
      </c>
      <c r="AN39">
        <v>700</v>
      </c>
      <c r="AO39">
        <v>0</v>
      </c>
      <c r="AP39">
        <f t="shared" si="6"/>
        <v>21.2</v>
      </c>
      <c r="AQ39">
        <f t="shared" si="7"/>
        <v>26.499999999999996</v>
      </c>
      <c r="AR39">
        <f t="shared" si="8"/>
        <v>27.8</v>
      </c>
      <c r="AS39">
        <f t="shared" si="9"/>
        <v>34.75</v>
      </c>
    </row>
    <row r="40" spans="1:45">
      <c r="A40">
        <v>39</v>
      </c>
      <c r="B40" t="s">
        <v>37</v>
      </c>
      <c r="C40">
        <v>1</v>
      </c>
      <c r="D40">
        <v>52</v>
      </c>
      <c r="E40">
        <v>1</v>
      </c>
      <c r="F40">
        <v>6</v>
      </c>
      <c r="G40">
        <v>30</v>
      </c>
      <c r="H40">
        <v>3</v>
      </c>
      <c r="I40">
        <f t="shared" si="10"/>
        <v>60.909090909090907</v>
      </c>
      <c r="J40">
        <f t="shared" si="11"/>
        <v>111999.99999999999</v>
      </c>
      <c r="K40">
        <f t="shared" si="3"/>
        <v>111.99999999999999</v>
      </c>
      <c r="L40">
        <v>1.1000000000000001</v>
      </c>
      <c r="M40">
        <v>1</v>
      </c>
      <c r="N40">
        <v>5</v>
      </c>
      <c r="O40">
        <v>20</v>
      </c>
      <c r="P40" s="3">
        <v>9.9999999999999991E-22</v>
      </c>
      <c r="Q40">
        <v>2</v>
      </c>
      <c r="R40">
        <f>22*50</f>
        <v>1100</v>
      </c>
      <c r="S40">
        <f t="shared" si="4"/>
        <v>1.1000000000000001</v>
      </c>
      <c r="T40">
        <v>2</v>
      </c>
      <c r="U40" s="3">
        <v>9.9999999999999991E-22</v>
      </c>
      <c r="V40" s="3">
        <v>9.9999999999999991E-22</v>
      </c>
      <c r="W40">
        <v>1</v>
      </c>
      <c r="X40" s="3">
        <v>9.9999999999999991E-22</v>
      </c>
      <c r="Y40">
        <v>132000</v>
      </c>
      <c r="Z40">
        <f t="shared" si="5"/>
        <v>132</v>
      </c>
      <c r="AA40">
        <f t="shared" si="12"/>
        <v>0.48275862068965519</v>
      </c>
      <c r="AB40">
        <v>3</v>
      </c>
      <c r="AC40">
        <v>3</v>
      </c>
      <c r="AD40">
        <v>0</v>
      </c>
      <c r="AE40">
        <v>3</v>
      </c>
      <c r="AF40">
        <v>1</v>
      </c>
      <c r="AG40">
        <v>67</v>
      </c>
      <c r="AH40">
        <v>123200</v>
      </c>
      <c r="AI40">
        <v>2</v>
      </c>
      <c r="AJ40">
        <f>7570+22600</f>
        <v>30170</v>
      </c>
      <c r="AK40">
        <v>0</v>
      </c>
      <c r="AL40">
        <v>1000</v>
      </c>
      <c r="AM40">
        <v>11000</v>
      </c>
      <c r="AN40">
        <v>1500</v>
      </c>
      <c r="AO40">
        <v>0</v>
      </c>
      <c r="AP40">
        <f t="shared" si="6"/>
        <v>43.67</v>
      </c>
      <c r="AQ40">
        <f t="shared" si="7"/>
        <v>39.699999999999996</v>
      </c>
      <c r="AR40">
        <f t="shared" si="8"/>
        <v>79.53</v>
      </c>
      <c r="AS40">
        <f t="shared" si="9"/>
        <v>72.3</v>
      </c>
    </row>
    <row r="41" spans="1:45">
      <c r="A41">
        <v>40</v>
      </c>
      <c r="B41" t="s">
        <v>37</v>
      </c>
      <c r="C41">
        <v>1</v>
      </c>
      <c r="D41">
        <v>72</v>
      </c>
      <c r="E41">
        <v>1</v>
      </c>
      <c r="F41">
        <v>2</v>
      </c>
      <c r="G41">
        <v>45</v>
      </c>
      <c r="H41">
        <v>5</v>
      </c>
      <c r="I41">
        <f t="shared" si="10"/>
        <v>44.444444444444443</v>
      </c>
      <c r="J41">
        <f t="shared" si="11"/>
        <v>64555.555555555555</v>
      </c>
      <c r="K41">
        <f t="shared" si="3"/>
        <v>64.555555555555557</v>
      </c>
      <c r="L41">
        <v>1.8</v>
      </c>
      <c r="M41">
        <v>1</v>
      </c>
      <c r="N41">
        <v>12</v>
      </c>
      <c r="O41">
        <v>16</v>
      </c>
      <c r="P41" s="3">
        <v>9.9999999999999991E-22</v>
      </c>
      <c r="Q41">
        <v>2</v>
      </c>
      <c r="R41">
        <f>15*50</f>
        <v>750</v>
      </c>
      <c r="S41">
        <f t="shared" si="4"/>
        <v>0.75</v>
      </c>
      <c r="T41">
        <v>5</v>
      </c>
      <c r="U41" s="3">
        <v>9.9999999999999991E-22</v>
      </c>
      <c r="V41" s="3">
        <v>9.9999999999999991E-22</v>
      </c>
      <c r="W41" s="3">
        <v>9.9999999999999991E-22</v>
      </c>
      <c r="X41" s="3">
        <v>9.9999999999999991E-22</v>
      </c>
      <c r="Y41">
        <v>0</v>
      </c>
      <c r="Z41">
        <f t="shared" si="5"/>
        <v>0</v>
      </c>
      <c r="AA41">
        <f t="shared" si="12"/>
        <v>1</v>
      </c>
      <c r="AB41">
        <v>3</v>
      </c>
      <c r="AC41">
        <v>3</v>
      </c>
      <c r="AD41">
        <v>0</v>
      </c>
      <c r="AE41">
        <v>3</v>
      </c>
      <c r="AF41">
        <v>1</v>
      </c>
      <c r="AG41">
        <v>80</v>
      </c>
      <c r="AH41">
        <v>116200</v>
      </c>
      <c r="AI41">
        <v>2</v>
      </c>
      <c r="AJ41">
        <f>44000+2800</f>
        <v>46800</v>
      </c>
      <c r="AK41">
        <v>0</v>
      </c>
      <c r="AL41">
        <v>1000</v>
      </c>
      <c r="AM41">
        <v>7950</v>
      </c>
      <c r="AN41">
        <v>750</v>
      </c>
      <c r="AO41">
        <v>0</v>
      </c>
      <c r="AP41">
        <f t="shared" si="6"/>
        <v>56.5</v>
      </c>
      <c r="AQ41">
        <f t="shared" si="7"/>
        <v>31.388888888888889</v>
      </c>
      <c r="AR41">
        <f t="shared" si="8"/>
        <v>59.7</v>
      </c>
      <c r="AS41">
        <f t="shared" si="9"/>
        <v>33.166666666666664</v>
      </c>
    </row>
    <row r="42" spans="1:45">
      <c r="A42">
        <v>41</v>
      </c>
      <c r="B42" t="s">
        <v>37</v>
      </c>
      <c r="C42">
        <v>1</v>
      </c>
      <c r="D42">
        <v>56</v>
      </c>
      <c r="E42">
        <v>1</v>
      </c>
      <c r="F42">
        <v>4</v>
      </c>
      <c r="G42">
        <v>25</v>
      </c>
      <c r="H42">
        <v>4</v>
      </c>
      <c r="I42">
        <f t="shared" si="10"/>
        <v>46.875</v>
      </c>
      <c r="J42">
        <f t="shared" si="11"/>
        <v>70312.5</v>
      </c>
      <c r="K42">
        <f t="shared" si="3"/>
        <v>70.3125</v>
      </c>
      <c r="L42">
        <v>0.64</v>
      </c>
      <c r="M42">
        <v>1</v>
      </c>
      <c r="N42">
        <v>12</v>
      </c>
      <c r="O42">
        <v>8</v>
      </c>
      <c r="P42" s="3">
        <v>9.9999999999999991E-22</v>
      </c>
      <c r="Q42">
        <v>2</v>
      </c>
      <c r="R42">
        <v>600</v>
      </c>
      <c r="S42">
        <f t="shared" si="4"/>
        <v>0.6</v>
      </c>
      <c r="T42">
        <v>5</v>
      </c>
      <c r="U42" s="3">
        <v>9.9999999999999991E-22</v>
      </c>
      <c r="V42" s="3">
        <v>9.9999999999999991E-22</v>
      </c>
      <c r="W42" s="3">
        <v>9.9999999999999991E-22</v>
      </c>
      <c r="X42" s="3">
        <v>9.9999999999999991E-22</v>
      </c>
      <c r="Y42">
        <f>24000+13620+240000</f>
        <v>277620</v>
      </c>
      <c r="Z42">
        <f t="shared" si="5"/>
        <v>277.62</v>
      </c>
      <c r="AA42">
        <f t="shared" si="12"/>
        <v>0.13948298307606471</v>
      </c>
      <c r="AB42">
        <v>3</v>
      </c>
      <c r="AC42">
        <v>3</v>
      </c>
      <c r="AD42">
        <v>0</v>
      </c>
      <c r="AE42">
        <v>3</v>
      </c>
      <c r="AF42">
        <v>1</v>
      </c>
      <c r="AG42">
        <v>30</v>
      </c>
      <c r="AH42">
        <v>45000</v>
      </c>
      <c r="AI42">
        <v>2</v>
      </c>
      <c r="AJ42">
        <v>10000</v>
      </c>
      <c r="AK42">
        <v>0</v>
      </c>
      <c r="AL42">
        <v>800</v>
      </c>
      <c r="AM42">
        <v>6240</v>
      </c>
      <c r="AN42">
        <v>750</v>
      </c>
      <c r="AO42">
        <v>0</v>
      </c>
      <c r="AP42">
        <f t="shared" si="6"/>
        <v>17.79</v>
      </c>
      <c r="AQ42">
        <f t="shared" si="7"/>
        <v>27.796874999999996</v>
      </c>
      <c r="AR42">
        <f t="shared" si="8"/>
        <v>27.21</v>
      </c>
      <c r="AS42">
        <f t="shared" si="9"/>
        <v>42.515625</v>
      </c>
    </row>
    <row r="43" spans="1:45">
      <c r="A43">
        <v>42</v>
      </c>
      <c r="B43" t="s">
        <v>37</v>
      </c>
      <c r="C43">
        <v>1</v>
      </c>
      <c r="D43">
        <v>41</v>
      </c>
      <c r="E43">
        <v>0</v>
      </c>
      <c r="F43">
        <v>6</v>
      </c>
      <c r="G43">
        <v>9</v>
      </c>
      <c r="H43">
        <v>5</v>
      </c>
      <c r="I43">
        <f t="shared" si="10"/>
        <v>35</v>
      </c>
      <c r="J43">
        <f t="shared" si="11"/>
        <v>61500</v>
      </c>
      <c r="K43">
        <f t="shared" si="3"/>
        <v>61.5</v>
      </c>
      <c r="L43">
        <v>0.8</v>
      </c>
      <c r="M43">
        <v>1</v>
      </c>
      <c r="N43">
        <v>18</v>
      </c>
      <c r="O43">
        <v>36</v>
      </c>
      <c r="P43" s="3">
        <v>9.9999999999999991E-22</v>
      </c>
      <c r="Q43" s="3">
        <v>9.9999999999999991E-22</v>
      </c>
      <c r="R43">
        <v>400</v>
      </c>
      <c r="S43">
        <f t="shared" si="4"/>
        <v>0.4</v>
      </c>
      <c r="T43" s="3">
        <v>9.9999999999999991E-22</v>
      </c>
      <c r="U43" s="3">
        <v>9.9999999999999991E-22</v>
      </c>
      <c r="V43" s="3">
        <v>9.9999999999999991E-22</v>
      </c>
      <c r="W43" s="3">
        <v>9.9999999999999991E-22</v>
      </c>
      <c r="X43">
        <v>1</v>
      </c>
      <c r="Y43">
        <v>240000</v>
      </c>
      <c r="Z43">
        <f t="shared" si="5"/>
        <v>240</v>
      </c>
      <c r="AA43">
        <f t="shared" si="12"/>
        <v>0.17012448132780084</v>
      </c>
      <c r="AB43">
        <v>3</v>
      </c>
      <c r="AC43">
        <v>3</v>
      </c>
      <c r="AD43">
        <v>0</v>
      </c>
      <c r="AE43">
        <v>0</v>
      </c>
      <c r="AF43">
        <v>1</v>
      </c>
      <c r="AG43">
        <v>28</v>
      </c>
      <c r="AH43">
        <v>49200</v>
      </c>
      <c r="AI43">
        <v>3</v>
      </c>
      <c r="AJ43">
        <v>15160</v>
      </c>
      <c r="AK43">
        <v>0</v>
      </c>
      <c r="AL43">
        <v>0</v>
      </c>
      <c r="AM43">
        <v>8800</v>
      </c>
      <c r="AN43">
        <v>0</v>
      </c>
      <c r="AO43">
        <v>0</v>
      </c>
      <c r="AP43">
        <f t="shared" si="6"/>
        <v>23.96</v>
      </c>
      <c r="AQ43">
        <f t="shared" si="7"/>
        <v>29.95</v>
      </c>
      <c r="AR43">
        <f t="shared" si="8"/>
        <v>25.240000000000002</v>
      </c>
      <c r="AS43">
        <f t="shared" si="9"/>
        <v>31.55</v>
      </c>
    </row>
    <row r="44" spans="1:45">
      <c r="A44">
        <v>43</v>
      </c>
      <c r="B44" t="s">
        <v>37</v>
      </c>
      <c r="C44">
        <v>1</v>
      </c>
      <c r="D44">
        <v>69</v>
      </c>
      <c r="E44">
        <v>0</v>
      </c>
      <c r="F44">
        <v>4</v>
      </c>
      <c r="G44">
        <v>51</v>
      </c>
      <c r="H44">
        <v>2</v>
      </c>
      <c r="I44">
        <f t="shared" si="10"/>
        <v>60</v>
      </c>
      <c r="J44">
        <f t="shared" si="11"/>
        <v>93333.333333333328</v>
      </c>
      <c r="K44">
        <f t="shared" si="3"/>
        <v>93.333333333333329</v>
      </c>
      <c r="L44">
        <v>3</v>
      </c>
      <c r="M44">
        <v>3</v>
      </c>
      <c r="N44">
        <v>12</v>
      </c>
      <c r="O44">
        <v>44</v>
      </c>
      <c r="P44" s="3">
        <v>9.9999999999999991E-22</v>
      </c>
      <c r="Q44">
        <v>2</v>
      </c>
      <c r="R44">
        <v>1200</v>
      </c>
      <c r="S44">
        <f t="shared" si="4"/>
        <v>1.2</v>
      </c>
      <c r="T44">
        <v>18</v>
      </c>
      <c r="U44" s="3">
        <v>9.9999999999999991E-22</v>
      </c>
      <c r="V44" s="3">
        <v>9.9999999999999991E-22</v>
      </c>
      <c r="W44">
        <v>1</v>
      </c>
      <c r="X44" s="3">
        <v>9.9999999999999991E-22</v>
      </c>
      <c r="Y44">
        <v>72000</v>
      </c>
      <c r="Z44">
        <f t="shared" si="5"/>
        <v>72</v>
      </c>
      <c r="AA44">
        <f t="shared" si="12"/>
        <v>0.79545454545454541</v>
      </c>
      <c r="AB44">
        <v>3</v>
      </c>
      <c r="AC44">
        <v>3</v>
      </c>
      <c r="AD44">
        <v>3</v>
      </c>
      <c r="AE44">
        <v>3</v>
      </c>
      <c r="AF44">
        <v>1</v>
      </c>
      <c r="AG44">
        <v>180</v>
      </c>
      <c r="AH44">
        <v>280000</v>
      </c>
      <c r="AI44">
        <v>2</v>
      </c>
      <c r="AJ44">
        <f>3440+69000</f>
        <v>72440</v>
      </c>
      <c r="AK44">
        <v>0</v>
      </c>
      <c r="AL44">
        <v>1000</v>
      </c>
      <c r="AM44">
        <v>24000</v>
      </c>
      <c r="AN44">
        <v>7500</v>
      </c>
      <c r="AO44">
        <v>0</v>
      </c>
      <c r="AP44">
        <f t="shared" si="6"/>
        <v>104.94</v>
      </c>
      <c r="AQ44">
        <f t="shared" si="7"/>
        <v>34.979999999999997</v>
      </c>
      <c r="AR44">
        <f t="shared" si="8"/>
        <v>175.06</v>
      </c>
      <c r="AS44">
        <f t="shared" si="9"/>
        <v>58.353333333333332</v>
      </c>
    </row>
    <row r="45" spans="1:45">
      <c r="A45">
        <v>44</v>
      </c>
      <c r="B45" t="s">
        <v>37</v>
      </c>
      <c r="C45">
        <v>1</v>
      </c>
      <c r="D45">
        <v>45</v>
      </c>
      <c r="E45">
        <v>1</v>
      </c>
      <c r="F45">
        <v>1</v>
      </c>
      <c r="G45">
        <v>5</v>
      </c>
      <c r="H45">
        <v>1</v>
      </c>
      <c r="I45">
        <f t="shared" si="10"/>
        <v>37.5</v>
      </c>
      <c r="J45">
        <f t="shared" si="11"/>
        <v>61250</v>
      </c>
      <c r="K45">
        <f t="shared" si="3"/>
        <v>61.25</v>
      </c>
      <c r="L45">
        <v>0.8</v>
      </c>
      <c r="M45">
        <v>1</v>
      </c>
      <c r="N45">
        <v>25</v>
      </c>
      <c r="O45">
        <v>28</v>
      </c>
      <c r="P45" s="3">
        <v>9.9999999999999991E-22</v>
      </c>
      <c r="Q45">
        <v>2</v>
      </c>
      <c r="R45">
        <v>500</v>
      </c>
      <c r="S45">
        <f t="shared" si="4"/>
        <v>0.5</v>
      </c>
      <c r="T45" s="3">
        <v>9.9999999999999991E-22</v>
      </c>
      <c r="U45" s="3">
        <v>9.9999999999999991E-22</v>
      </c>
      <c r="V45" s="3">
        <v>9.9999999999999991E-22</v>
      </c>
      <c r="W45" s="3">
        <v>9.9999999999999991E-22</v>
      </c>
      <c r="X45" s="3">
        <v>9.9999999999999991E-22</v>
      </c>
      <c r="Y45">
        <v>0</v>
      </c>
      <c r="Z45">
        <f t="shared" si="5"/>
        <v>0</v>
      </c>
      <c r="AA45">
        <f t="shared" si="12"/>
        <v>1</v>
      </c>
      <c r="AB45">
        <v>3</v>
      </c>
      <c r="AC45">
        <v>3</v>
      </c>
      <c r="AD45">
        <v>0</v>
      </c>
      <c r="AE45">
        <v>0</v>
      </c>
      <c r="AF45">
        <v>1</v>
      </c>
      <c r="AG45">
        <v>30</v>
      </c>
      <c r="AH45">
        <v>49000</v>
      </c>
      <c r="AI45">
        <v>2</v>
      </c>
      <c r="AJ45">
        <v>12250</v>
      </c>
      <c r="AK45">
        <v>0</v>
      </c>
      <c r="AL45">
        <v>1000</v>
      </c>
      <c r="AM45">
        <v>5300</v>
      </c>
      <c r="AN45">
        <v>0</v>
      </c>
      <c r="AO45">
        <v>0</v>
      </c>
      <c r="AP45">
        <f t="shared" si="6"/>
        <v>18.55</v>
      </c>
      <c r="AQ45">
        <f t="shared" si="7"/>
        <v>23.1875</v>
      </c>
      <c r="AR45">
        <f t="shared" si="8"/>
        <v>30.45</v>
      </c>
      <c r="AS45">
        <f t="shared" si="9"/>
        <v>38.0625</v>
      </c>
    </row>
    <row r="46" spans="1:45">
      <c r="A46">
        <v>45</v>
      </c>
      <c r="B46" t="s">
        <v>37</v>
      </c>
      <c r="C46" s="3">
        <v>0</v>
      </c>
      <c r="D46">
        <v>76</v>
      </c>
      <c r="E46">
        <v>1</v>
      </c>
      <c r="F46">
        <v>2</v>
      </c>
      <c r="G46">
        <v>66</v>
      </c>
      <c r="H46">
        <v>6</v>
      </c>
      <c r="I46">
        <f t="shared" si="10"/>
        <v>16.666666666666668</v>
      </c>
      <c r="J46">
        <f t="shared" si="11"/>
        <v>23333.333333333332</v>
      </c>
      <c r="K46">
        <f t="shared" si="3"/>
        <v>23.333333333333332</v>
      </c>
      <c r="L46">
        <v>3</v>
      </c>
      <c r="M46">
        <v>1</v>
      </c>
      <c r="N46">
        <v>21</v>
      </c>
      <c r="O46">
        <v>100</v>
      </c>
      <c r="P46">
        <v>1</v>
      </c>
      <c r="Q46">
        <v>5</v>
      </c>
      <c r="R46">
        <v>2000</v>
      </c>
      <c r="S46">
        <f t="shared" si="4"/>
        <v>2</v>
      </c>
      <c r="T46">
        <v>54</v>
      </c>
      <c r="U46" s="3">
        <v>9.9999999999999991E-22</v>
      </c>
      <c r="V46" s="3">
        <v>9.9999999999999991E-22</v>
      </c>
      <c r="W46" s="3">
        <v>9.9999999999999991E-22</v>
      </c>
      <c r="X46" s="3">
        <v>9.9999999999999991E-22</v>
      </c>
      <c r="Y46">
        <f>240000+26000</f>
        <v>266000</v>
      </c>
      <c r="Z46">
        <f t="shared" si="5"/>
        <v>266</v>
      </c>
      <c r="AA46">
        <f t="shared" si="12"/>
        <v>0.20833333333333334</v>
      </c>
      <c r="AB46">
        <v>4</v>
      </c>
      <c r="AC46">
        <v>1</v>
      </c>
      <c r="AD46">
        <v>0</v>
      </c>
      <c r="AE46">
        <v>1</v>
      </c>
      <c r="AF46">
        <v>1</v>
      </c>
      <c r="AG46">
        <v>50</v>
      </c>
      <c r="AH46">
        <v>70000</v>
      </c>
      <c r="AI46">
        <v>2</v>
      </c>
      <c r="AJ46">
        <f>3500+19500+22000</f>
        <v>45000</v>
      </c>
      <c r="AK46">
        <v>15000</v>
      </c>
      <c r="AL46">
        <v>2500</v>
      </c>
      <c r="AM46">
        <v>22000</v>
      </c>
      <c r="AN46">
        <v>6480</v>
      </c>
      <c r="AO46">
        <v>0</v>
      </c>
      <c r="AP46">
        <f t="shared" si="6"/>
        <v>90.98</v>
      </c>
      <c r="AQ46">
        <f t="shared" si="7"/>
        <v>30.326666666666668</v>
      </c>
      <c r="AR46">
        <f t="shared" si="8"/>
        <v>-20.980000000000004</v>
      </c>
      <c r="AS46">
        <f t="shared" si="9"/>
        <v>-6.993333333333335</v>
      </c>
    </row>
    <row r="47" spans="1:45">
      <c r="A47">
        <v>46</v>
      </c>
      <c r="B47" t="s">
        <v>37</v>
      </c>
      <c r="C47" s="3">
        <v>0</v>
      </c>
      <c r="D47">
        <v>76</v>
      </c>
      <c r="E47">
        <v>1</v>
      </c>
      <c r="F47">
        <v>2</v>
      </c>
      <c r="G47">
        <v>65</v>
      </c>
      <c r="H47">
        <v>7</v>
      </c>
      <c r="I47">
        <f t="shared" si="10"/>
        <v>60</v>
      </c>
      <c r="J47">
        <f t="shared" si="11"/>
        <v>84000</v>
      </c>
      <c r="K47">
        <f t="shared" si="3"/>
        <v>84</v>
      </c>
      <c r="L47">
        <v>4</v>
      </c>
      <c r="M47">
        <v>2</v>
      </c>
      <c r="N47">
        <v>5</v>
      </c>
      <c r="O47">
        <v>56</v>
      </c>
      <c r="P47" s="3">
        <v>9.9999999999999991E-22</v>
      </c>
      <c r="Q47">
        <v>12</v>
      </c>
      <c r="R47">
        <v>4000</v>
      </c>
      <c r="S47">
        <f t="shared" si="4"/>
        <v>4</v>
      </c>
      <c r="T47">
        <v>40</v>
      </c>
      <c r="U47" s="3">
        <v>9.9999999999999991E-22</v>
      </c>
      <c r="V47" s="3">
        <v>9.9999999999999991E-22</v>
      </c>
      <c r="W47" s="3">
        <v>9.9999999999999991E-22</v>
      </c>
      <c r="X47" s="3">
        <v>9.9999999999999991E-22</v>
      </c>
      <c r="Y47">
        <f>180000+180000</f>
        <v>360000</v>
      </c>
      <c r="Z47">
        <f t="shared" si="5"/>
        <v>360</v>
      </c>
      <c r="AA47">
        <f t="shared" si="12"/>
        <v>0.48275862068965519</v>
      </c>
      <c r="AB47">
        <v>4</v>
      </c>
      <c r="AC47">
        <v>1</v>
      </c>
      <c r="AD47">
        <v>0</v>
      </c>
      <c r="AE47">
        <v>1</v>
      </c>
      <c r="AF47">
        <v>1</v>
      </c>
      <c r="AG47">
        <v>240</v>
      </c>
      <c r="AH47">
        <v>336000</v>
      </c>
      <c r="AI47">
        <v>2</v>
      </c>
      <c r="AJ47">
        <v>84800</v>
      </c>
      <c r="AK47">
        <v>0</v>
      </c>
      <c r="AL47">
        <v>6000</v>
      </c>
      <c r="AM47">
        <v>40000</v>
      </c>
      <c r="AN47">
        <f>8320+4480</f>
        <v>12800</v>
      </c>
      <c r="AO47">
        <v>0</v>
      </c>
      <c r="AP47">
        <f t="shared" si="6"/>
        <v>143.6</v>
      </c>
      <c r="AQ47">
        <f t="shared" si="7"/>
        <v>35.9</v>
      </c>
      <c r="AR47">
        <f t="shared" si="8"/>
        <v>192.4</v>
      </c>
      <c r="AS47">
        <f t="shared" si="9"/>
        <v>48.1</v>
      </c>
    </row>
    <row r="48" spans="1:45">
      <c r="A48">
        <v>47</v>
      </c>
      <c r="B48" t="s">
        <v>37</v>
      </c>
      <c r="C48" s="3">
        <v>0</v>
      </c>
      <c r="D48">
        <v>65</v>
      </c>
      <c r="E48">
        <v>1</v>
      </c>
      <c r="F48">
        <v>4</v>
      </c>
      <c r="G48">
        <v>45</v>
      </c>
      <c r="H48">
        <v>2</v>
      </c>
      <c r="I48">
        <f t="shared" si="10"/>
        <v>30</v>
      </c>
      <c r="J48">
        <f t="shared" si="11"/>
        <v>36000</v>
      </c>
      <c r="K48">
        <f t="shared" si="3"/>
        <v>36</v>
      </c>
      <c r="L48">
        <v>1</v>
      </c>
      <c r="M48">
        <v>1</v>
      </c>
      <c r="N48">
        <v>5</v>
      </c>
      <c r="O48">
        <v>32</v>
      </c>
      <c r="P48" s="3">
        <v>9.9999999999999991E-22</v>
      </c>
      <c r="Q48">
        <v>6</v>
      </c>
      <c r="R48">
        <v>1250</v>
      </c>
      <c r="S48">
        <f t="shared" si="4"/>
        <v>1.25</v>
      </c>
      <c r="T48" s="3">
        <v>9.9999999999999991E-22</v>
      </c>
      <c r="U48" s="3">
        <v>9.9999999999999991E-22</v>
      </c>
      <c r="V48" s="3">
        <v>9.9999999999999991E-22</v>
      </c>
      <c r="W48" s="3">
        <v>9.9999999999999991E-22</v>
      </c>
      <c r="X48" s="3">
        <v>9.9999999999999991E-22</v>
      </c>
      <c r="Y48">
        <f>12000+18000+60000</f>
        <v>90000</v>
      </c>
      <c r="Z48">
        <f t="shared" si="5"/>
        <v>90</v>
      </c>
      <c r="AA48">
        <f t="shared" si="12"/>
        <v>0.2857142857142857</v>
      </c>
      <c r="AB48">
        <v>5</v>
      </c>
      <c r="AC48">
        <v>1</v>
      </c>
      <c r="AD48">
        <v>0</v>
      </c>
      <c r="AE48">
        <v>0</v>
      </c>
      <c r="AF48">
        <v>1</v>
      </c>
      <c r="AG48">
        <v>30</v>
      </c>
      <c r="AH48">
        <v>36000</v>
      </c>
      <c r="AI48">
        <v>2</v>
      </c>
      <c r="AJ48">
        <f>2100+5750+11500</f>
        <v>19350</v>
      </c>
      <c r="AK48">
        <v>0</v>
      </c>
      <c r="AL48">
        <v>3000</v>
      </c>
      <c r="AM48">
        <v>12500</v>
      </c>
      <c r="AN48">
        <v>0</v>
      </c>
      <c r="AO48">
        <v>0</v>
      </c>
      <c r="AP48">
        <f t="shared" si="6"/>
        <v>34.85</v>
      </c>
      <c r="AQ48">
        <f t="shared" si="7"/>
        <v>34.85</v>
      </c>
      <c r="AR48">
        <f t="shared" si="8"/>
        <v>1.1499999999999986</v>
      </c>
      <c r="AS48">
        <f t="shared" si="9"/>
        <v>1.1499999999999986</v>
      </c>
    </row>
    <row r="49" spans="1:45">
      <c r="A49">
        <v>48</v>
      </c>
      <c r="B49" t="s">
        <v>37</v>
      </c>
      <c r="C49" s="3">
        <v>0</v>
      </c>
      <c r="D49">
        <v>53</v>
      </c>
      <c r="E49">
        <v>1</v>
      </c>
      <c r="F49">
        <v>2</v>
      </c>
      <c r="G49">
        <v>15</v>
      </c>
      <c r="H49">
        <v>8</v>
      </c>
      <c r="I49">
        <f t="shared" si="10"/>
        <v>60</v>
      </c>
      <c r="J49">
        <f t="shared" si="11"/>
        <v>104000</v>
      </c>
      <c r="K49">
        <f t="shared" si="3"/>
        <v>104</v>
      </c>
      <c r="L49">
        <v>1</v>
      </c>
      <c r="M49">
        <v>2</v>
      </c>
      <c r="N49">
        <v>21</v>
      </c>
      <c r="O49">
        <v>32</v>
      </c>
      <c r="P49" s="3">
        <v>9.9999999999999991E-22</v>
      </c>
      <c r="Q49">
        <v>3</v>
      </c>
      <c r="R49">
        <v>1000</v>
      </c>
      <c r="S49">
        <f t="shared" si="4"/>
        <v>1</v>
      </c>
      <c r="T49" s="3">
        <v>9.9999999999999991E-22</v>
      </c>
      <c r="U49" s="3">
        <v>9.9999999999999991E-22</v>
      </c>
      <c r="V49" s="3">
        <v>9.9999999999999991E-22</v>
      </c>
      <c r="W49" s="3">
        <v>9.9999999999999991E-22</v>
      </c>
      <c r="X49" s="3">
        <v>9.9999999999999991E-22</v>
      </c>
      <c r="Y49">
        <v>36000</v>
      </c>
      <c r="Z49">
        <f t="shared" si="5"/>
        <v>36</v>
      </c>
      <c r="AA49">
        <f t="shared" si="12"/>
        <v>0.74285714285714288</v>
      </c>
      <c r="AB49">
        <v>4</v>
      </c>
      <c r="AC49">
        <v>1</v>
      </c>
      <c r="AD49">
        <v>0</v>
      </c>
      <c r="AE49">
        <v>0</v>
      </c>
      <c r="AF49">
        <v>1</v>
      </c>
      <c r="AG49">
        <v>60</v>
      </c>
      <c r="AH49">
        <v>104000</v>
      </c>
      <c r="AI49">
        <v>2</v>
      </c>
      <c r="AJ49">
        <v>27000</v>
      </c>
      <c r="AK49">
        <v>0</v>
      </c>
      <c r="AL49">
        <v>1500</v>
      </c>
      <c r="AM49">
        <v>10400</v>
      </c>
      <c r="AN49">
        <v>0</v>
      </c>
      <c r="AO49">
        <v>0</v>
      </c>
      <c r="AP49">
        <f t="shared" si="6"/>
        <v>38.9</v>
      </c>
      <c r="AQ49">
        <f t="shared" si="7"/>
        <v>38.9</v>
      </c>
      <c r="AR49">
        <f t="shared" si="8"/>
        <v>65.099999999999994</v>
      </c>
      <c r="AS49">
        <f t="shared" si="9"/>
        <v>65.099999999999994</v>
      </c>
    </row>
    <row r="50" spans="1:45">
      <c r="A50">
        <v>49</v>
      </c>
      <c r="B50" t="s">
        <v>38</v>
      </c>
      <c r="C50">
        <v>1</v>
      </c>
      <c r="D50">
        <v>70</v>
      </c>
      <c r="E50">
        <v>0</v>
      </c>
      <c r="F50">
        <v>2</v>
      </c>
      <c r="G50">
        <v>49</v>
      </c>
      <c r="H50">
        <v>8</v>
      </c>
      <c r="I50">
        <f t="shared" si="10"/>
        <v>50</v>
      </c>
      <c r="J50">
        <f t="shared" si="11"/>
        <v>67200</v>
      </c>
      <c r="K50">
        <f t="shared" si="3"/>
        <v>67.2</v>
      </c>
      <c r="L50">
        <v>1</v>
      </c>
      <c r="M50">
        <v>1</v>
      </c>
      <c r="N50">
        <v>22.5</v>
      </c>
      <c r="O50">
        <v>60</v>
      </c>
      <c r="P50" s="3">
        <v>9.9999999999999991E-22</v>
      </c>
      <c r="Q50">
        <v>1</v>
      </c>
      <c r="R50">
        <f>45*50</f>
        <v>2250</v>
      </c>
      <c r="S50">
        <f t="shared" si="4"/>
        <v>2.25</v>
      </c>
      <c r="T50" s="3">
        <v>9.9999999999999991E-22</v>
      </c>
      <c r="U50" s="3">
        <v>9.9999999999999991E-22</v>
      </c>
      <c r="V50" s="3">
        <v>9.9999999999999991E-22</v>
      </c>
      <c r="W50">
        <v>1</v>
      </c>
      <c r="X50" s="3">
        <v>9.9999999999999991E-22</v>
      </c>
      <c r="Y50">
        <v>81000</v>
      </c>
      <c r="Z50">
        <f t="shared" si="5"/>
        <v>81</v>
      </c>
      <c r="AA50">
        <f t="shared" si="12"/>
        <v>0.45344129554655871</v>
      </c>
      <c r="AB50">
        <v>3</v>
      </c>
      <c r="AC50">
        <v>3</v>
      </c>
      <c r="AD50">
        <v>0</v>
      </c>
      <c r="AE50">
        <v>0</v>
      </c>
      <c r="AF50">
        <v>1</v>
      </c>
      <c r="AG50">
        <v>50</v>
      </c>
      <c r="AH50">
        <v>67200</v>
      </c>
      <c r="AI50">
        <v>2</v>
      </c>
      <c r="AJ50">
        <v>21600</v>
      </c>
      <c r="AK50">
        <v>0</v>
      </c>
      <c r="AL50">
        <v>1200</v>
      </c>
      <c r="AM50">
        <v>24000</v>
      </c>
      <c r="AN50">
        <v>0</v>
      </c>
      <c r="AO50">
        <v>0</v>
      </c>
      <c r="AP50">
        <f t="shared" si="6"/>
        <v>46.8</v>
      </c>
      <c r="AQ50">
        <f t="shared" si="7"/>
        <v>46.8</v>
      </c>
      <c r="AR50">
        <f t="shared" si="8"/>
        <v>20.400000000000006</v>
      </c>
      <c r="AS50">
        <f t="shared" si="9"/>
        <v>20.400000000000006</v>
      </c>
    </row>
    <row r="51" spans="1:45">
      <c r="A51">
        <v>50</v>
      </c>
      <c r="B51" t="s">
        <v>38</v>
      </c>
      <c r="C51" s="3">
        <v>0</v>
      </c>
      <c r="D51">
        <v>52</v>
      </c>
      <c r="E51">
        <v>1</v>
      </c>
      <c r="F51">
        <v>4</v>
      </c>
      <c r="G51">
        <v>25</v>
      </c>
      <c r="H51">
        <v>7</v>
      </c>
      <c r="I51">
        <f t="shared" si="10"/>
        <v>67.666666666666671</v>
      </c>
      <c r="J51">
        <f t="shared" si="11"/>
        <v>88666.666666666672</v>
      </c>
      <c r="K51">
        <f t="shared" si="3"/>
        <v>88.666666666666671</v>
      </c>
      <c r="L51">
        <v>3</v>
      </c>
      <c r="M51">
        <v>2</v>
      </c>
      <c r="N51">
        <v>42</v>
      </c>
      <c r="O51">
        <v>263</v>
      </c>
      <c r="P51" s="3">
        <v>9.9999999999999991E-22</v>
      </c>
      <c r="Q51">
        <v>7.5</v>
      </c>
      <c r="R51">
        <f>65*50</f>
        <v>3250</v>
      </c>
      <c r="S51">
        <f t="shared" si="4"/>
        <v>3.25</v>
      </c>
      <c r="T51" s="3">
        <v>9.9999999999999991E-22</v>
      </c>
      <c r="U51" s="3">
        <v>9.9999999999999991E-22</v>
      </c>
      <c r="V51" s="3">
        <v>9.9999999999999991E-22</v>
      </c>
      <c r="W51">
        <v>1</v>
      </c>
      <c r="X51">
        <v>1</v>
      </c>
      <c r="Y51">
        <v>778320</v>
      </c>
      <c r="Z51">
        <f t="shared" si="5"/>
        <v>778.32</v>
      </c>
      <c r="AA51">
        <f t="shared" si="12"/>
        <v>0.2547111996322966</v>
      </c>
      <c r="AB51">
        <v>4</v>
      </c>
      <c r="AC51">
        <v>3</v>
      </c>
      <c r="AD51">
        <v>0</v>
      </c>
      <c r="AE51">
        <v>0</v>
      </c>
      <c r="AF51">
        <v>1</v>
      </c>
      <c r="AG51">
        <v>203</v>
      </c>
      <c r="AH51">
        <v>266000</v>
      </c>
      <c r="AI51">
        <v>2</v>
      </c>
      <c r="AJ51">
        <f>13750+62810</f>
        <v>76560</v>
      </c>
      <c r="AK51">
        <v>0</v>
      </c>
      <c r="AL51">
        <v>2500</v>
      </c>
      <c r="AM51">
        <v>27300</v>
      </c>
      <c r="AN51">
        <v>0</v>
      </c>
      <c r="AO51">
        <v>0</v>
      </c>
      <c r="AP51">
        <f t="shared" si="6"/>
        <v>106.36</v>
      </c>
      <c r="AQ51">
        <f t="shared" si="7"/>
        <v>35.453333333333333</v>
      </c>
      <c r="AR51">
        <f t="shared" si="8"/>
        <v>159.63999999999999</v>
      </c>
      <c r="AS51">
        <f t="shared" si="9"/>
        <v>53.213333333333331</v>
      </c>
    </row>
    <row r="52" spans="1:45">
      <c r="A52">
        <v>51</v>
      </c>
      <c r="B52" t="s">
        <v>38</v>
      </c>
      <c r="C52" s="3">
        <v>0</v>
      </c>
      <c r="D52">
        <v>59</v>
      </c>
      <c r="E52">
        <v>1</v>
      </c>
      <c r="F52">
        <v>2</v>
      </c>
      <c r="G52">
        <v>42</v>
      </c>
      <c r="H52">
        <v>7</v>
      </c>
      <c r="I52">
        <f t="shared" si="10"/>
        <v>100</v>
      </c>
      <c r="J52">
        <f t="shared" si="11"/>
        <v>140000</v>
      </c>
      <c r="K52">
        <f t="shared" si="3"/>
        <v>140</v>
      </c>
      <c r="L52">
        <v>0.5</v>
      </c>
      <c r="M52">
        <v>1</v>
      </c>
      <c r="N52">
        <v>2</v>
      </c>
      <c r="O52">
        <v>64</v>
      </c>
      <c r="P52">
        <v>1</v>
      </c>
      <c r="Q52">
        <v>2</v>
      </c>
      <c r="R52">
        <v>1000</v>
      </c>
      <c r="S52">
        <f t="shared" si="4"/>
        <v>1</v>
      </c>
      <c r="T52" s="3">
        <v>9.9999999999999991E-22</v>
      </c>
      <c r="U52" s="3">
        <v>9.9999999999999991E-22</v>
      </c>
      <c r="V52" s="3">
        <v>9.9999999999999991E-22</v>
      </c>
      <c r="W52">
        <v>1</v>
      </c>
      <c r="X52" s="3">
        <v>9.9999999999999991E-22</v>
      </c>
      <c r="Y52">
        <v>244800</v>
      </c>
      <c r="Z52">
        <f t="shared" si="5"/>
        <v>244.8</v>
      </c>
      <c r="AA52">
        <f t="shared" si="12"/>
        <v>0.22236340533672172</v>
      </c>
      <c r="AB52">
        <v>3</v>
      </c>
      <c r="AC52">
        <v>3</v>
      </c>
      <c r="AD52">
        <v>0</v>
      </c>
      <c r="AE52">
        <v>0</v>
      </c>
      <c r="AF52">
        <v>1</v>
      </c>
      <c r="AG52">
        <v>50</v>
      </c>
      <c r="AH52">
        <v>70000</v>
      </c>
      <c r="AI52">
        <v>2</v>
      </c>
      <c r="AJ52">
        <f>5650+16500</f>
        <v>22150</v>
      </c>
      <c r="AK52">
        <v>7800</v>
      </c>
      <c r="AL52">
        <v>600</v>
      </c>
      <c r="AM52">
        <v>10000</v>
      </c>
      <c r="AN52">
        <v>0</v>
      </c>
      <c r="AO52">
        <v>0</v>
      </c>
      <c r="AP52">
        <f t="shared" si="6"/>
        <v>40.549999999999997</v>
      </c>
      <c r="AQ52">
        <f t="shared" si="7"/>
        <v>81.099999999999994</v>
      </c>
      <c r="AR52">
        <f t="shared" si="8"/>
        <v>29.450000000000003</v>
      </c>
      <c r="AS52">
        <f t="shared" si="9"/>
        <v>58.900000000000006</v>
      </c>
    </row>
    <row r="53" spans="1:45">
      <c r="A53">
        <v>52</v>
      </c>
      <c r="B53" t="s">
        <v>38</v>
      </c>
      <c r="C53">
        <v>1</v>
      </c>
      <c r="D53">
        <v>40</v>
      </c>
      <c r="E53">
        <v>0</v>
      </c>
      <c r="F53">
        <v>2</v>
      </c>
      <c r="G53">
        <v>21</v>
      </c>
      <c r="H53">
        <v>8</v>
      </c>
      <c r="I53">
        <f t="shared" si="10"/>
        <v>78</v>
      </c>
      <c r="J53">
        <f t="shared" si="11"/>
        <v>127600</v>
      </c>
      <c r="K53">
        <f t="shared" si="3"/>
        <v>127.6</v>
      </c>
      <c r="L53">
        <v>0.5</v>
      </c>
      <c r="M53">
        <v>1</v>
      </c>
      <c r="N53">
        <v>58</v>
      </c>
      <c r="O53">
        <v>30</v>
      </c>
      <c r="P53">
        <v>1</v>
      </c>
      <c r="Q53">
        <v>0.5</v>
      </c>
      <c r="R53">
        <v>600</v>
      </c>
      <c r="S53">
        <f t="shared" si="4"/>
        <v>0.6</v>
      </c>
      <c r="T53" s="3">
        <v>9.9999999999999991E-22</v>
      </c>
      <c r="U53" s="3">
        <v>9.9999999999999991E-22</v>
      </c>
      <c r="V53" s="3">
        <v>9.9999999999999991E-22</v>
      </c>
      <c r="W53">
        <v>1</v>
      </c>
      <c r="X53" s="3">
        <v>9.9999999999999991E-22</v>
      </c>
      <c r="Y53">
        <v>673920</v>
      </c>
      <c r="Z53">
        <f t="shared" si="5"/>
        <v>673.92</v>
      </c>
      <c r="AA53">
        <f t="shared" si="12"/>
        <v>8.6482676354172311E-2</v>
      </c>
      <c r="AB53">
        <v>3</v>
      </c>
      <c r="AC53">
        <v>3</v>
      </c>
      <c r="AD53">
        <v>0</v>
      </c>
      <c r="AE53">
        <v>0</v>
      </c>
      <c r="AF53">
        <v>1</v>
      </c>
      <c r="AG53">
        <v>39</v>
      </c>
      <c r="AH53">
        <v>63800</v>
      </c>
      <c r="AI53">
        <v>2</v>
      </c>
      <c r="AJ53">
        <v>13500</v>
      </c>
      <c r="AK53">
        <v>2600</v>
      </c>
      <c r="AL53">
        <v>450</v>
      </c>
      <c r="AM53">
        <v>5940</v>
      </c>
      <c r="AN53">
        <v>0</v>
      </c>
      <c r="AO53">
        <v>0</v>
      </c>
      <c r="AP53">
        <f t="shared" si="6"/>
        <v>22.49</v>
      </c>
      <c r="AQ53">
        <f t="shared" si="7"/>
        <v>44.98</v>
      </c>
      <c r="AR53">
        <f t="shared" si="8"/>
        <v>41.31</v>
      </c>
      <c r="AS53">
        <f t="shared" si="9"/>
        <v>82.62</v>
      </c>
    </row>
    <row r="54" spans="1:45">
      <c r="A54">
        <v>53</v>
      </c>
      <c r="B54" t="s">
        <v>38</v>
      </c>
      <c r="C54" s="3">
        <v>0</v>
      </c>
      <c r="D54">
        <v>51</v>
      </c>
      <c r="E54">
        <v>1</v>
      </c>
      <c r="F54">
        <v>4</v>
      </c>
      <c r="G54">
        <v>33</v>
      </c>
      <c r="H54">
        <v>4</v>
      </c>
      <c r="I54">
        <f t="shared" si="10"/>
        <v>62</v>
      </c>
      <c r="J54">
        <f t="shared" si="11"/>
        <v>85800</v>
      </c>
      <c r="K54">
        <f t="shared" si="3"/>
        <v>85.8</v>
      </c>
      <c r="L54">
        <v>0.5</v>
      </c>
      <c r="M54">
        <v>1</v>
      </c>
      <c r="N54">
        <v>9.75</v>
      </c>
      <c r="O54">
        <v>57</v>
      </c>
      <c r="P54" s="3">
        <v>9.9999999999999991E-22</v>
      </c>
      <c r="Q54">
        <v>2</v>
      </c>
      <c r="R54">
        <f>12*50</f>
        <v>600</v>
      </c>
      <c r="S54">
        <f t="shared" si="4"/>
        <v>0.6</v>
      </c>
      <c r="T54" s="3">
        <v>9.9999999999999991E-22</v>
      </c>
      <c r="U54" s="3">
        <v>9.9999999999999991E-22</v>
      </c>
      <c r="V54" s="3">
        <v>9.9999999999999991E-22</v>
      </c>
      <c r="W54">
        <v>1</v>
      </c>
      <c r="X54" s="3">
        <v>9.9999999999999991E-22</v>
      </c>
      <c r="Y54">
        <v>529000</v>
      </c>
      <c r="Z54">
        <f t="shared" si="5"/>
        <v>529</v>
      </c>
      <c r="AA54">
        <f t="shared" si="12"/>
        <v>7.5013114180800838E-2</v>
      </c>
      <c r="AB54">
        <v>3</v>
      </c>
      <c r="AC54">
        <v>3</v>
      </c>
      <c r="AD54">
        <v>0</v>
      </c>
      <c r="AE54">
        <v>0</v>
      </c>
      <c r="AF54">
        <v>1</v>
      </c>
      <c r="AG54">
        <v>31</v>
      </c>
      <c r="AH54">
        <v>42900</v>
      </c>
      <c r="AI54">
        <v>2</v>
      </c>
      <c r="AJ54">
        <f>1610+9680</f>
        <v>11290</v>
      </c>
      <c r="AK54">
        <v>0</v>
      </c>
      <c r="AL54">
        <v>0</v>
      </c>
      <c r="AM54">
        <v>5760</v>
      </c>
      <c r="AN54">
        <v>0</v>
      </c>
      <c r="AO54">
        <v>0</v>
      </c>
      <c r="AP54">
        <f t="shared" si="6"/>
        <v>17.05</v>
      </c>
      <c r="AQ54">
        <f t="shared" si="7"/>
        <v>34.1</v>
      </c>
      <c r="AR54">
        <f t="shared" si="8"/>
        <v>25.849999999999998</v>
      </c>
      <c r="AS54">
        <f t="shared" si="9"/>
        <v>51.699999999999996</v>
      </c>
    </row>
    <row r="55" spans="1:45">
      <c r="A55">
        <v>54</v>
      </c>
      <c r="B55" t="s">
        <v>38</v>
      </c>
      <c r="C55">
        <v>1</v>
      </c>
      <c r="D55">
        <v>61</v>
      </c>
      <c r="E55">
        <v>1</v>
      </c>
      <c r="F55">
        <v>2</v>
      </c>
      <c r="G55">
        <v>44</v>
      </c>
      <c r="H55">
        <v>4</v>
      </c>
      <c r="I55">
        <f t="shared" si="10"/>
        <v>50</v>
      </c>
      <c r="J55">
        <f t="shared" si="11"/>
        <v>84000</v>
      </c>
      <c r="K55">
        <f t="shared" si="3"/>
        <v>84</v>
      </c>
      <c r="L55">
        <v>1</v>
      </c>
      <c r="M55">
        <v>2</v>
      </c>
      <c r="N55">
        <v>62.5</v>
      </c>
      <c r="O55">
        <v>52</v>
      </c>
      <c r="P55" s="3">
        <v>9.9999999999999991E-22</v>
      </c>
      <c r="Q55">
        <v>4</v>
      </c>
      <c r="R55">
        <v>1000</v>
      </c>
      <c r="S55">
        <f t="shared" si="4"/>
        <v>1</v>
      </c>
      <c r="T55" s="3">
        <v>9.9999999999999991E-22</v>
      </c>
      <c r="U55" s="3">
        <v>9.9999999999999991E-22</v>
      </c>
      <c r="V55" s="3">
        <v>9.9999999999999991E-22</v>
      </c>
      <c r="W55">
        <v>1</v>
      </c>
      <c r="X55" s="3">
        <v>9.9999999999999991E-22</v>
      </c>
      <c r="Y55">
        <v>0</v>
      </c>
      <c r="Z55">
        <f t="shared" si="5"/>
        <v>0</v>
      </c>
      <c r="AA55">
        <f t="shared" si="12"/>
        <v>1</v>
      </c>
      <c r="AB55">
        <v>5</v>
      </c>
      <c r="AC55">
        <v>4</v>
      </c>
      <c r="AD55">
        <v>0</v>
      </c>
      <c r="AE55">
        <v>0</v>
      </c>
      <c r="AF55">
        <v>1</v>
      </c>
      <c r="AG55">
        <v>50</v>
      </c>
      <c r="AH55">
        <v>84000</v>
      </c>
      <c r="AI55">
        <v>3</v>
      </c>
      <c r="AJ55">
        <v>17600</v>
      </c>
      <c r="AK55">
        <v>0</v>
      </c>
      <c r="AL55">
        <v>2400</v>
      </c>
      <c r="AM55">
        <v>10160</v>
      </c>
      <c r="AN55">
        <v>0</v>
      </c>
      <c r="AO55">
        <v>0</v>
      </c>
      <c r="AP55">
        <f t="shared" si="6"/>
        <v>30.16</v>
      </c>
      <c r="AQ55">
        <f t="shared" si="7"/>
        <v>30.16</v>
      </c>
      <c r="AR55">
        <f t="shared" si="8"/>
        <v>53.84</v>
      </c>
      <c r="AS55">
        <f t="shared" si="9"/>
        <v>53.84</v>
      </c>
    </row>
    <row r="56" spans="1:45">
      <c r="A56">
        <v>55</v>
      </c>
      <c r="B56" t="s">
        <v>38</v>
      </c>
      <c r="C56">
        <v>1</v>
      </c>
      <c r="D56">
        <v>47</v>
      </c>
      <c r="E56">
        <v>0</v>
      </c>
      <c r="F56">
        <v>4</v>
      </c>
      <c r="G56">
        <v>8</v>
      </c>
      <c r="H56">
        <v>5</v>
      </c>
      <c r="I56">
        <f t="shared" si="10"/>
        <v>52.857142857142861</v>
      </c>
      <c r="J56">
        <f t="shared" si="11"/>
        <v>80714.285714285725</v>
      </c>
      <c r="K56">
        <f t="shared" si="3"/>
        <v>80.714285714285722</v>
      </c>
      <c r="L56">
        <v>0.7</v>
      </c>
      <c r="M56">
        <v>1</v>
      </c>
      <c r="N56">
        <v>144</v>
      </c>
      <c r="O56">
        <v>55</v>
      </c>
      <c r="P56" s="3">
        <v>9.9999999999999991E-22</v>
      </c>
      <c r="Q56">
        <v>2</v>
      </c>
      <c r="R56">
        <f>15*50</f>
        <v>750</v>
      </c>
      <c r="S56">
        <f t="shared" si="4"/>
        <v>0.75</v>
      </c>
      <c r="T56" s="3">
        <v>9.9999999999999991E-22</v>
      </c>
      <c r="U56" s="3">
        <v>9.9999999999999991E-22</v>
      </c>
      <c r="V56" s="3">
        <v>9.9999999999999991E-22</v>
      </c>
      <c r="W56">
        <v>1</v>
      </c>
      <c r="X56" s="3">
        <v>9.9999999999999991E-22</v>
      </c>
      <c r="Y56">
        <v>64000</v>
      </c>
      <c r="Z56">
        <f t="shared" si="5"/>
        <v>64</v>
      </c>
      <c r="AA56">
        <f t="shared" si="12"/>
        <v>0.46887966804979253</v>
      </c>
      <c r="AB56">
        <v>4</v>
      </c>
      <c r="AC56">
        <v>3</v>
      </c>
      <c r="AD56">
        <v>0</v>
      </c>
      <c r="AE56">
        <v>0</v>
      </c>
      <c r="AF56">
        <v>1</v>
      </c>
      <c r="AG56">
        <v>37</v>
      </c>
      <c r="AH56">
        <v>56500</v>
      </c>
      <c r="AI56">
        <v>2</v>
      </c>
      <c r="AJ56">
        <v>20560</v>
      </c>
      <c r="AK56">
        <v>0</v>
      </c>
      <c r="AL56">
        <v>1200</v>
      </c>
      <c r="AM56">
        <v>11876</v>
      </c>
      <c r="AN56">
        <v>0</v>
      </c>
      <c r="AO56">
        <v>0</v>
      </c>
      <c r="AP56">
        <f t="shared" si="6"/>
        <v>33.636000000000003</v>
      </c>
      <c r="AQ56">
        <f t="shared" si="7"/>
        <v>48.05142857142858</v>
      </c>
      <c r="AR56">
        <f t="shared" si="8"/>
        <v>22.863999999999997</v>
      </c>
      <c r="AS56">
        <f t="shared" si="9"/>
        <v>32.662857142857142</v>
      </c>
    </row>
    <row r="57" spans="1:45">
      <c r="A57">
        <v>56</v>
      </c>
      <c r="B57" t="s">
        <v>38</v>
      </c>
      <c r="C57">
        <v>1</v>
      </c>
      <c r="D57">
        <v>43</v>
      </c>
      <c r="E57">
        <v>1</v>
      </c>
      <c r="F57">
        <v>5</v>
      </c>
      <c r="G57">
        <v>20</v>
      </c>
      <c r="H57">
        <v>7</v>
      </c>
      <c r="I57">
        <f t="shared" si="10"/>
        <v>66.666666666666671</v>
      </c>
      <c r="J57">
        <f t="shared" si="11"/>
        <v>98000</v>
      </c>
      <c r="K57">
        <f t="shared" si="3"/>
        <v>98</v>
      </c>
      <c r="L57">
        <v>1.5</v>
      </c>
      <c r="M57">
        <v>1</v>
      </c>
      <c r="N57">
        <v>69.5</v>
      </c>
      <c r="O57">
        <v>96</v>
      </c>
      <c r="P57">
        <v>5</v>
      </c>
      <c r="Q57">
        <v>20</v>
      </c>
      <c r="R57">
        <f>45*50</f>
        <v>2250</v>
      </c>
      <c r="S57">
        <f t="shared" si="4"/>
        <v>2.25</v>
      </c>
      <c r="T57" s="3">
        <v>9.9999999999999991E-22</v>
      </c>
      <c r="U57" s="3">
        <v>9.9999999999999991E-22</v>
      </c>
      <c r="V57" s="3">
        <v>9.9999999999999991E-22</v>
      </c>
      <c r="W57">
        <v>1</v>
      </c>
      <c r="X57">
        <v>1</v>
      </c>
      <c r="Y57">
        <v>120000</v>
      </c>
      <c r="Z57">
        <f t="shared" si="5"/>
        <v>120</v>
      </c>
      <c r="AA57">
        <f t="shared" si="12"/>
        <v>0.550561797752809</v>
      </c>
      <c r="AB57">
        <v>3</v>
      </c>
      <c r="AC57">
        <v>3</v>
      </c>
      <c r="AD57">
        <v>0</v>
      </c>
      <c r="AE57">
        <v>0</v>
      </c>
      <c r="AF57">
        <v>1</v>
      </c>
      <c r="AG57">
        <v>100</v>
      </c>
      <c r="AH57">
        <v>147000</v>
      </c>
      <c r="AI57">
        <v>2</v>
      </c>
      <c r="AJ57">
        <v>34200</v>
      </c>
      <c r="AK57">
        <v>4000</v>
      </c>
      <c r="AL57">
        <v>0</v>
      </c>
      <c r="AM57">
        <f>18600+5500</f>
        <v>24100</v>
      </c>
      <c r="AN57">
        <v>0</v>
      </c>
      <c r="AO57">
        <v>0</v>
      </c>
      <c r="AP57">
        <f t="shared" si="6"/>
        <v>62.3</v>
      </c>
      <c r="AQ57">
        <f t="shared" si="7"/>
        <v>41.533333333333331</v>
      </c>
      <c r="AR57">
        <f t="shared" si="8"/>
        <v>84.7</v>
      </c>
      <c r="AS57">
        <f t="shared" si="9"/>
        <v>56.466666666666669</v>
      </c>
    </row>
    <row r="58" spans="1:45">
      <c r="A58">
        <v>57</v>
      </c>
      <c r="B58" t="s">
        <v>38</v>
      </c>
      <c r="C58">
        <v>1</v>
      </c>
      <c r="D58">
        <v>74</v>
      </c>
      <c r="E58">
        <v>0</v>
      </c>
      <c r="F58">
        <v>1</v>
      </c>
      <c r="G58">
        <v>60</v>
      </c>
      <c r="H58">
        <v>5</v>
      </c>
      <c r="I58">
        <f t="shared" si="10"/>
        <v>65.333333333333329</v>
      </c>
      <c r="J58">
        <f t="shared" si="11"/>
        <v>46805.333333333336</v>
      </c>
      <c r="K58">
        <f t="shared" si="3"/>
        <v>46.805333333333337</v>
      </c>
      <c r="L58">
        <v>1.5</v>
      </c>
      <c r="M58">
        <v>1</v>
      </c>
      <c r="N58">
        <v>559.5</v>
      </c>
      <c r="O58">
        <v>41</v>
      </c>
      <c r="P58">
        <v>1</v>
      </c>
      <c r="Q58">
        <v>19</v>
      </c>
      <c r="R58">
        <f>30*50</f>
        <v>1500</v>
      </c>
      <c r="S58">
        <f t="shared" si="4"/>
        <v>1.5</v>
      </c>
      <c r="T58" s="3">
        <v>9.9999999999999991E-22</v>
      </c>
      <c r="U58" s="3">
        <v>9.9999999999999991E-22</v>
      </c>
      <c r="V58" s="3">
        <v>9.9999999999999991E-22</v>
      </c>
      <c r="W58" s="3">
        <v>9.9999999999999991E-22</v>
      </c>
      <c r="X58" s="3">
        <v>9.9999999999999991E-22</v>
      </c>
      <c r="Y58">
        <v>12000</v>
      </c>
      <c r="Z58">
        <f t="shared" si="5"/>
        <v>12</v>
      </c>
      <c r="AA58">
        <f t="shared" si="12"/>
        <v>0.85402880498248346</v>
      </c>
      <c r="AB58">
        <v>4</v>
      </c>
      <c r="AC58">
        <v>3</v>
      </c>
      <c r="AD58">
        <v>0</v>
      </c>
      <c r="AE58">
        <v>0</v>
      </c>
      <c r="AF58">
        <v>1</v>
      </c>
      <c r="AG58">
        <v>98</v>
      </c>
      <c r="AH58">
        <v>70208</v>
      </c>
      <c r="AI58">
        <v>3</v>
      </c>
      <c r="AJ58">
        <f>31440+900</f>
        <v>32340</v>
      </c>
      <c r="AK58">
        <v>5000</v>
      </c>
      <c r="AL58">
        <v>0</v>
      </c>
      <c r="AM58">
        <v>15000</v>
      </c>
      <c r="AN58">
        <v>0</v>
      </c>
      <c r="AO58">
        <v>0</v>
      </c>
      <c r="AP58">
        <f t="shared" si="6"/>
        <v>52.34</v>
      </c>
      <c r="AQ58">
        <f t="shared" si="7"/>
        <v>34.893333333333338</v>
      </c>
      <c r="AR58">
        <f t="shared" si="8"/>
        <v>17.867999999999995</v>
      </c>
      <c r="AS58">
        <f t="shared" si="9"/>
        <v>11.911999999999997</v>
      </c>
    </row>
    <row r="59" spans="1:45">
      <c r="A59">
        <v>58</v>
      </c>
      <c r="B59" t="s">
        <v>38</v>
      </c>
      <c r="C59" s="3">
        <v>0</v>
      </c>
      <c r="D59">
        <v>69</v>
      </c>
      <c r="E59">
        <v>1</v>
      </c>
      <c r="F59">
        <v>4</v>
      </c>
      <c r="G59">
        <v>55</v>
      </c>
      <c r="H59">
        <v>4</v>
      </c>
      <c r="I59">
        <f t="shared" si="10"/>
        <v>85</v>
      </c>
      <c r="J59">
        <f t="shared" si="11"/>
        <v>84000</v>
      </c>
      <c r="K59">
        <f t="shared" si="3"/>
        <v>84</v>
      </c>
      <c r="L59">
        <v>1</v>
      </c>
      <c r="M59">
        <v>1</v>
      </c>
      <c r="N59">
        <v>66.5</v>
      </c>
      <c r="O59">
        <v>72</v>
      </c>
      <c r="P59">
        <v>1</v>
      </c>
      <c r="Q59">
        <v>74</v>
      </c>
      <c r="R59">
        <f>30*50</f>
        <v>1500</v>
      </c>
      <c r="S59">
        <f t="shared" si="4"/>
        <v>1.5</v>
      </c>
      <c r="T59" s="3">
        <v>9.9999999999999991E-22</v>
      </c>
      <c r="U59" s="3">
        <v>9.9999999999999991E-22</v>
      </c>
      <c r="V59" s="3">
        <v>9.9999999999999991E-22</v>
      </c>
      <c r="W59">
        <v>1</v>
      </c>
      <c r="X59" s="3">
        <v>9.9999999999999991E-22</v>
      </c>
      <c r="Y59">
        <v>43200</v>
      </c>
      <c r="Z59">
        <f t="shared" si="5"/>
        <v>43.2</v>
      </c>
      <c r="AA59">
        <f t="shared" si="12"/>
        <v>0.660377358490566</v>
      </c>
      <c r="AB59">
        <v>4</v>
      </c>
      <c r="AC59">
        <v>3</v>
      </c>
      <c r="AD59">
        <v>0</v>
      </c>
      <c r="AE59">
        <v>0</v>
      </c>
      <c r="AF59">
        <v>1</v>
      </c>
      <c r="AG59">
        <v>85</v>
      </c>
      <c r="AH59">
        <v>84000</v>
      </c>
      <c r="AI59">
        <v>3</v>
      </c>
      <c r="AJ59">
        <v>26800</v>
      </c>
      <c r="AK59">
        <v>1078</v>
      </c>
      <c r="AL59">
        <v>0</v>
      </c>
      <c r="AM59">
        <v>15600</v>
      </c>
      <c r="AN59">
        <v>0</v>
      </c>
      <c r="AO59">
        <v>0</v>
      </c>
      <c r="AP59">
        <f t="shared" si="6"/>
        <v>43.478000000000002</v>
      </c>
      <c r="AQ59">
        <f t="shared" si="7"/>
        <v>43.478000000000002</v>
      </c>
      <c r="AR59">
        <f t="shared" si="8"/>
        <v>40.521999999999998</v>
      </c>
      <c r="AS59">
        <f t="shared" si="9"/>
        <v>40.521999999999998</v>
      </c>
    </row>
    <row r="60" spans="1:45">
      <c r="A60">
        <v>59</v>
      </c>
      <c r="B60" t="s">
        <v>38</v>
      </c>
      <c r="C60" s="3">
        <v>0</v>
      </c>
      <c r="D60">
        <v>56</v>
      </c>
      <c r="E60">
        <v>0</v>
      </c>
      <c r="F60">
        <v>5</v>
      </c>
      <c r="G60">
        <v>34</v>
      </c>
      <c r="H60">
        <v>5</v>
      </c>
      <c r="I60">
        <f t="shared" si="10"/>
        <v>74.666666666666671</v>
      </c>
      <c r="J60">
        <f t="shared" si="11"/>
        <v>123000</v>
      </c>
      <c r="K60">
        <f t="shared" si="3"/>
        <v>123</v>
      </c>
      <c r="L60">
        <v>1.5</v>
      </c>
      <c r="M60">
        <v>2</v>
      </c>
      <c r="N60">
        <v>10</v>
      </c>
      <c r="O60">
        <f>12+19+15</f>
        <v>46</v>
      </c>
      <c r="P60" s="3">
        <v>9.9999999999999991E-22</v>
      </c>
      <c r="Q60">
        <v>3</v>
      </c>
      <c r="R60">
        <f>30*50</f>
        <v>1500</v>
      </c>
      <c r="S60">
        <f t="shared" si="4"/>
        <v>1.5</v>
      </c>
      <c r="T60" s="3">
        <v>9.9999999999999991E-22</v>
      </c>
      <c r="U60" s="3">
        <v>9.9999999999999991E-22</v>
      </c>
      <c r="V60" s="3">
        <v>9.9999999999999991E-22</v>
      </c>
      <c r="W60" s="3">
        <v>9.9999999999999991E-22</v>
      </c>
      <c r="X60" s="3">
        <v>9.9999999999999991E-22</v>
      </c>
      <c r="Y60">
        <f>180000+36000</f>
        <v>216000</v>
      </c>
      <c r="Z60">
        <f t="shared" si="5"/>
        <v>216</v>
      </c>
      <c r="AA60">
        <f t="shared" si="12"/>
        <v>0.4606741573033708</v>
      </c>
      <c r="AB60">
        <v>4</v>
      </c>
      <c r="AC60">
        <v>3</v>
      </c>
      <c r="AD60">
        <v>0</v>
      </c>
      <c r="AE60">
        <v>0</v>
      </c>
      <c r="AF60">
        <v>1</v>
      </c>
      <c r="AG60">
        <v>112</v>
      </c>
      <c r="AH60">
        <v>184500</v>
      </c>
      <c r="AI60">
        <v>2</v>
      </c>
      <c r="AJ60">
        <f>5850+34340</f>
        <v>40190</v>
      </c>
      <c r="AK60">
        <v>0</v>
      </c>
      <c r="AL60">
        <v>1800</v>
      </c>
      <c r="AM60">
        <v>14100</v>
      </c>
      <c r="AN60">
        <v>0</v>
      </c>
      <c r="AO60">
        <v>0</v>
      </c>
      <c r="AP60">
        <f t="shared" si="6"/>
        <v>56.09</v>
      </c>
      <c r="AQ60">
        <f t="shared" si="7"/>
        <v>37.393333333333338</v>
      </c>
      <c r="AR60">
        <f t="shared" si="8"/>
        <v>128.41</v>
      </c>
      <c r="AS60">
        <f t="shared" si="9"/>
        <v>85.606666666666669</v>
      </c>
    </row>
    <row r="61" spans="1:45">
      <c r="A61">
        <v>60</v>
      </c>
      <c r="B61" t="s">
        <v>38</v>
      </c>
      <c r="C61" s="3">
        <v>0</v>
      </c>
      <c r="D61">
        <v>65</v>
      </c>
      <c r="E61">
        <v>0</v>
      </c>
      <c r="F61">
        <v>2</v>
      </c>
      <c r="G61">
        <v>49</v>
      </c>
      <c r="H61">
        <v>9</v>
      </c>
      <c r="I61">
        <f t="shared" si="10"/>
        <v>53.333333333333336</v>
      </c>
      <c r="J61">
        <f t="shared" si="11"/>
        <v>55466.666666666664</v>
      </c>
      <c r="K61">
        <f t="shared" si="3"/>
        <v>55.466666666666661</v>
      </c>
      <c r="L61">
        <v>0.75</v>
      </c>
      <c r="M61">
        <v>1</v>
      </c>
      <c r="N61">
        <v>24</v>
      </c>
      <c r="O61">
        <v>27</v>
      </c>
      <c r="P61" s="3">
        <v>9.9999999999999991E-22</v>
      </c>
      <c r="Q61">
        <v>3</v>
      </c>
      <c r="R61">
        <v>600</v>
      </c>
      <c r="S61">
        <f t="shared" si="4"/>
        <v>0.6</v>
      </c>
      <c r="T61" s="3">
        <v>9.9999999999999991E-22</v>
      </c>
      <c r="U61" s="3">
        <v>9.9999999999999991E-22</v>
      </c>
      <c r="V61" s="3">
        <v>9.9999999999999991E-22</v>
      </c>
      <c r="W61" s="3">
        <v>9.9999999999999991E-22</v>
      </c>
      <c r="X61">
        <v>1</v>
      </c>
      <c r="Y61">
        <v>186000</v>
      </c>
      <c r="Z61">
        <f t="shared" si="5"/>
        <v>186</v>
      </c>
      <c r="AA61">
        <f t="shared" si="12"/>
        <v>0.18277680140597541</v>
      </c>
      <c r="AB61">
        <v>4</v>
      </c>
      <c r="AC61">
        <v>2</v>
      </c>
      <c r="AD61">
        <v>0</v>
      </c>
      <c r="AE61">
        <v>0</v>
      </c>
      <c r="AF61">
        <v>1</v>
      </c>
      <c r="AG61">
        <v>40</v>
      </c>
      <c r="AH61">
        <v>41600</v>
      </c>
      <c r="AI61">
        <v>2</v>
      </c>
      <c r="AJ61">
        <f>15300+3220</f>
        <v>18520</v>
      </c>
      <c r="AK61">
        <v>0</v>
      </c>
      <c r="AL61">
        <v>1800</v>
      </c>
      <c r="AM61">
        <v>6360</v>
      </c>
      <c r="AN61">
        <v>0</v>
      </c>
      <c r="AO61">
        <v>0</v>
      </c>
      <c r="AP61">
        <f t="shared" si="6"/>
        <v>26.68</v>
      </c>
      <c r="AQ61">
        <f t="shared" si="7"/>
        <v>35.573333333333331</v>
      </c>
      <c r="AR61">
        <f t="shared" si="8"/>
        <v>14.920000000000002</v>
      </c>
      <c r="AS61">
        <f t="shared" si="9"/>
        <v>19.893333333333334</v>
      </c>
    </row>
    <row r="62" spans="1:45">
      <c r="A62">
        <v>61</v>
      </c>
      <c r="B62" t="s">
        <v>38</v>
      </c>
      <c r="C62">
        <v>1</v>
      </c>
      <c r="D62">
        <v>44</v>
      </c>
      <c r="E62">
        <v>0</v>
      </c>
      <c r="F62">
        <v>5</v>
      </c>
      <c r="G62">
        <v>20</v>
      </c>
      <c r="H62">
        <v>5</v>
      </c>
      <c r="I62">
        <f t="shared" si="10"/>
        <v>64.5</v>
      </c>
      <c r="J62">
        <f t="shared" si="11"/>
        <v>108500</v>
      </c>
      <c r="K62">
        <f t="shared" si="3"/>
        <v>108.5</v>
      </c>
      <c r="L62">
        <v>2</v>
      </c>
      <c r="M62">
        <v>2</v>
      </c>
      <c r="N62" s="3">
        <v>9.9999999999999991E-22</v>
      </c>
      <c r="O62">
        <v>34</v>
      </c>
      <c r="P62">
        <v>2</v>
      </c>
      <c r="Q62">
        <v>4</v>
      </c>
      <c r="R62">
        <v>1250</v>
      </c>
      <c r="S62">
        <f t="shared" si="4"/>
        <v>1.25</v>
      </c>
      <c r="T62" s="3">
        <v>9.9999999999999991E-22</v>
      </c>
      <c r="U62" s="3">
        <v>9.9999999999999991E-22</v>
      </c>
      <c r="V62" s="3">
        <v>9.9999999999999991E-22</v>
      </c>
      <c r="W62" s="3">
        <v>9.9999999999999991E-22</v>
      </c>
      <c r="X62" s="3">
        <v>9.9999999999999991E-22</v>
      </c>
      <c r="Y62">
        <v>360000</v>
      </c>
      <c r="Z62">
        <f t="shared" si="5"/>
        <v>360</v>
      </c>
      <c r="AA62">
        <f t="shared" si="12"/>
        <v>0.37608318890814557</v>
      </c>
      <c r="AB62">
        <v>4</v>
      </c>
      <c r="AC62">
        <v>3</v>
      </c>
      <c r="AD62">
        <v>0</v>
      </c>
      <c r="AE62">
        <v>0</v>
      </c>
      <c r="AF62">
        <v>1</v>
      </c>
      <c r="AG62">
        <v>129</v>
      </c>
      <c r="AH62">
        <v>217000</v>
      </c>
      <c r="AI62">
        <v>2</v>
      </c>
      <c r="AJ62">
        <v>42580</v>
      </c>
      <c r="AK62">
        <v>10200</v>
      </c>
      <c r="AL62">
        <v>2000</v>
      </c>
      <c r="AM62">
        <v>13250</v>
      </c>
      <c r="AN62">
        <v>0</v>
      </c>
      <c r="AO62">
        <v>0</v>
      </c>
      <c r="AP62">
        <f t="shared" si="6"/>
        <v>68.03</v>
      </c>
      <c r="AQ62">
        <f t="shared" si="7"/>
        <v>34.015000000000001</v>
      </c>
      <c r="AR62">
        <f t="shared" si="8"/>
        <v>148.97</v>
      </c>
      <c r="AS62">
        <f t="shared" si="9"/>
        <v>74.484999999999999</v>
      </c>
    </row>
    <row r="63" spans="1:45">
      <c r="A63">
        <v>62</v>
      </c>
      <c r="B63" t="s">
        <v>38</v>
      </c>
      <c r="C63">
        <v>1</v>
      </c>
      <c r="D63">
        <v>38</v>
      </c>
      <c r="E63">
        <v>0</v>
      </c>
      <c r="F63">
        <v>3</v>
      </c>
      <c r="G63">
        <v>15</v>
      </c>
      <c r="H63">
        <v>5</v>
      </c>
      <c r="I63">
        <f t="shared" si="10"/>
        <v>42.307692307692307</v>
      </c>
      <c r="J63">
        <f t="shared" si="11"/>
        <v>63346.153846153844</v>
      </c>
      <c r="K63">
        <f t="shared" si="3"/>
        <v>63.346153846153847</v>
      </c>
      <c r="L63">
        <v>1.3</v>
      </c>
      <c r="M63">
        <v>1</v>
      </c>
      <c r="N63">
        <v>58</v>
      </c>
      <c r="O63">
        <v>55</v>
      </c>
      <c r="P63">
        <v>1</v>
      </c>
      <c r="Q63">
        <v>3</v>
      </c>
      <c r="R63">
        <v>750</v>
      </c>
      <c r="S63">
        <f t="shared" si="4"/>
        <v>0.75</v>
      </c>
      <c r="T63" s="3">
        <v>9.9999999999999991E-22</v>
      </c>
      <c r="U63" s="3">
        <v>9.9999999999999991E-22</v>
      </c>
      <c r="V63" s="3">
        <v>9.9999999999999991E-22</v>
      </c>
      <c r="W63">
        <v>1</v>
      </c>
      <c r="X63" s="3">
        <v>9.9999999999999991E-22</v>
      </c>
      <c r="Y63">
        <f>36000+12000</f>
        <v>48000</v>
      </c>
      <c r="Z63">
        <f t="shared" si="5"/>
        <v>48</v>
      </c>
      <c r="AA63">
        <f t="shared" si="12"/>
        <v>0.63176064441887225</v>
      </c>
      <c r="AB63">
        <v>3</v>
      </c>
      <c r="AC63">
        <v>3</v>
      </c>
      <c r="AD63">
        <v>0</v>
      </c>
      <c r="AE63">
        <v>0</v>
      </c>
      <c r="AF63">
        <v>1</v>
      </c>
      <c r="AG63">
        <v>55</v>
      </c>
      <c r="AH63">
        <v>82350</v>
      </c>
      <c r="AI63">
        <v>2</v>
      </c>
      <c r="AJ63">
        <f>11100+16850</f>
        <v>27950</v>
      </c>
      <c r="AK63">
        <v>2626</v>
      </c>
      <c r="AL63">
        <v>1500</v>
      </c>
      <c r="AM63">
        <v>7950</v>
      </c>
      <c r="AN63">
        <v>0</v>
      </c>
      <c r="AO63">
        <v>0</v>
      </c>
      <c r="AP63">
        <f t="shared" si="6"/>
        <v>40.026000000000003</v>
      </c>
      <c r="AQ63">
        <f t="shared" si="7"/>
        <v>30.78923076923077</v>
      </c>
      <c r="AR63">
        <f t="shared" si="8"/>
        <v>42.323999999999991</v>
      </c>
      <c r="AS63">
        <f t="shared" si="9"/>
        <v>32.55692307692307</v>
      </c>
    </row>
    <row r="64" spans="1:45">
      <c r="A64">
        <v>63</v>
      </c>
      <c r="B64" t="s">
        <v>38</v>
      </c>
      <c r="C64">
        <v>1</v>
      </c>
      <c r="D64">
        <v>60</v>
      </c>
      <c r="E64">
        <v>0</v>
      </c>
      <c r="F64">
        <v>2</v>
      </c>
      <c r="G64">
        <v>40</v>
      </c>
      <c r="H64">
        <v>6</v>
      </c>
      <c r="I64">
        <f t="shared" si="10"/>
        <v>47.058823529411768</v>
      </c>
      <c r="J64">
        <f t="shared" si="11"/>
        <v>82352.941176470587</v>
      </c>
      <c r="K64">
        <f t="shared" si="3"/>
        <v>82.352941176470594</v>
      </c>
      <c r="L64">
        <v>1.7</v>
      </c>
      <c r="M64">
        <v>2</v>
      </c>
      <c r="N64">
        <v>9</v>
      </c>
      <c r="O64">
        <v>32</v>
      </c>
      <c r="P64">
        <v>1</v>
      </c>
      <c r="Q64">
        <v>3</v>
      </c>
      <c r="R64">
        <v>2000</v>
      </c>
      <c r="S64">
        <f t="shared" si="4"/>
        <v>2</v>
      </c>
      <c r="T64" s="3">
        <v>9.9999999999999991E-22</v>
      </c>
      <c r="U64" s="3">
        <v>9.9999999999999991E-22</v>
      </c>
      <c r="V64" s="3">
        <v>9.9999999999999991E-22</v>
      </c>
      <c r="W64" s="3">
        <v>9.9999999999999991E-22</v>
      </c>
      <c r="X64">
        <v>1</v>
      </c>
      <c r="Y64">
        <v>180000</v>
      </c>
      <c r="Z64">
        <f t="shared" si="5"/>
        <v>180</v>
      </c>
      <c r="AA64">
        <f t="shared" si="12"/>
        <v>0.4375</v>
      </c>
      <c r="AB64">
        <v>4</v>
      </c>
      <c r="AC64">
        <v>1</v>
      </c>
      <c r="AD64">
        <v>0</v>
      </c>
      <c r="AE64">
        <v>0</v>
      </c>
      <c r="AF64">
        <v>1</v>
      </c>
      <c r="AG64">
        <v>80</v>
      </c>
      <c r="AH64">
        <v>140000</v>
      </c>
      <c r="AI64">
        <v>2</v>
      </c>
      <c r="AJ64">
        <f>12000+5000+24600</f>
        <v>41600</v>
      </c>
      <c r="AK64">
        <v>8670</v>
      </c>
      <c r="AL64">
        <v>1800</v>
      </c>
      <c r="AM64">
        <v>21200</v>
      </c>
      <c r="AN64">
        <v>0</v>
      </c>
      <c r="AO64">
        <v>0</v>
      </c>
      <c r="AP64">
        <f t="shared" si="6"/>
        <v>73.27</v>
      </c>
      <c r="AQ64">
        <f t="shared" si="7"/>
        <v>43.1</v>
      </c>
      <c r="AR64">
        <f t="shared" si="8"/>
        <v>66.73</v>
      </c>
      <c r="AS64">
        <f t="shared" si="9"/>
        <v>39.252941176470593</v>
      </c>
    </row>
    <row r="65" spans="1:45">
      <c r="A65">
        <v>64</v>
      </c>
      <c r="B65" t="s">
        <v>38</v>
      </c>
      <c r="C65" s="3">
        <v>0</v>
      </c>
      <c r="D65">
        <v>66</v>
      </c>
      <c r="E65">
        <v>1</v>
      </c>
      <c r="F65">
        <v>3</v>
      </c>
      <c r="G65">
        <v>40</v>
      </c>
      <c r="H65">
        <v>5</v>
      </c>
      <c r="I65">
        <f t="shared" si="10"/>
        <v>48</v>
      </c>
      <c r="J65">
        <f t="shared" si="11"/>
        <v>60000</v>
      </c>
      <c r="K65">
        <f t="shared" si="3"/>
        <v>60</v>
      </c>
      <c r="L65">
        <v>2.5</v>
      </c>
      <c r="M65">
        <v>1</v>
      </c>
      <c r="N65">
        <v>18</v>
      </c>
      <c r="O65">
        <v>107</v>
      </c>
      <c r="P65">
        <v>2</v>
      </c>
      <c r="Q65">
        <v>6</v>
      </c>
      <c r="R65">
        <f>50*55</f>
        <v>2750</v>
      </c>
      <c r="S65">
        <f t="shared" si="4"/>
        <v>2.75</v>
      </c>
      <c r="T65">
        <v>4</v>
      </c>
      <c r="U65">
        <v>8</v>
      </c>
      <c r="V65" s="3">
        <v>9.9999999999999991E-22</v>
      </c>
      <c r="W65">
        <v>1</v>
      </c>
      <c r="X65" s="3">
        <v>9.9999999999999991E-22</v>
      </c>
      <c r="Y65">
        <f>117000+162000+60000</f>
        <v>339000</v>
      </c>
      <c r="Z65">
        <f t="shared" si="5"/>
        <v>339</v>
      </c>
      <c r="AA65">
        <f t="shared" si="12"/>
        <v>0.30674846625766872</v>
      </c>
      <c r="AB65">
        <v>4</v>
      </c>
      <c r="AC65">
        <v>3</v>
      </c>
      <c r="AD65">
        <v>3</v>
      </c>
      <c r="AE65">
        <v>3</v>
      </c>
      <c r="AF65">
        <v>1</v>
      </c>
      <c r="AG65">
        <v>120</v>
      </c>
      <c r="AH65">
        <v>150000</v>
      </c>
      <c r="AI65">
        <v>2</v>
      </c>
      <c r="AJ65">
        <f>4200+20950+37400</f>
        <v>62550</v>
      </c>
      <c r="AK65">
        <v>5100</v>
      </c>
      <c r="AL65">
        <v>3600</v>
      </c>
      <c r="AM65">
        <v>26400</v>
      </c>
      <c r="AN65">
        <v>1000</v>
      </c>
      <c r="AO65">
        <v>2900</v>
      </c>
      <c r="AP65">
        <f t="shared" si="6"/>
        <v>101.55</v>
      </c>
      <c r="AQ65">
        <f t="shared" si="7"/>
        <v>40.619999999999997</v>
      </c>
      <c r="AR65">
        <f t="shared" si="8"/>
        <v>48.45</v>
      </c>
      <c r="AS65">
        <f t="shared" si="9"/>
        <v>19.380000000000003</v>
      </c>
    </row>
    <row r="66" spans="1:45">
      <c r="A66">
        <v>65</v>
      </c>
      <c r="B66" t="s">
        <v>38</v>
      </c>
      <c r="C66" s="3">
        <v>0</v>
      </c>
      <c r="D66">
        <v>60</v>
      </c>
      <c r="E66">
        <v>0</v>
      </c>
      <c r="F66">
        <v>4</v>
      </c>
      <c r="G66">
        <v>15</v>
      </c>
      <c r="H66">
        <v>5</v>
      </c>
      <c r="I66">
        <f t="shared" ref="I66:I97" si="13">AG66/L66</f>
        <v>32</v>
      </c>
      <c r="J66">
        <f t="shared" ref="J66:J97" si="14">AH66/L66</f>
        <v>44800</v>
      </c>
      <c r="K66">
        <f t="shared" si="3"/>
        <v>44.8</v>
      </c>
      <c r="L66">
        <v>0.5</v>
      </c>
      <c r="M66">
        <v>1</v>
      </c>
      <c r="N66">
        <v>18</v>
      </c>
      <c r="O66">
        <v>13</v>
      </c>
      <c r="P66" s="3">
        <v>9.9999999999999991E-22</v>
      </c>
      <c r="Q66">
        <v>3</v>
      </c>
      <c r="R66">
        <v>350</v>
      </c>
      <c r="S66">
        <f t="shared" si="4"/>
        <v>0.35</v>
      </c>
      <c r="T66" s="3">
        <v>9.9999999999999991E-22</v>
      </c>
      <c r="U66" s="3">
        <v>9.9999999999999991E-22</v>
      </c>
      <c r="V66" s="3">
        <v>9.9999999999999991E-22</v>
      </c>
      <c r="W66" s="3">
        <v>9.9999999999999991E-22</v>
      </c>
      <c r="X66" s="3">
        <v>9.9999999999999991E-22</v>
      </c>
      <c r="Y66">
        <f>127750+95400</f>
        <v>223150</v>
      </c>
      <c r="Z66">
        <f t="shared" si="5"/>
        <v>223.15</v>
      </c>
      <c r="AA66">
        <f t="shared" ref="AA66:AA97" si="15">AH66/(AH66+Y66)</f>
        <v>9.1223783343514553E-2</v>
      </c>
      <c r="AB66">
        <v>3</v>
      </c>
      <c r="AC66">
        <v>3</v>
      </c>
      <c r="AD66">
        <v>0</v>
      </c>
      <c r="AE66">
        <v>0</v>
      </c>
      <c r="AF66">
        <v>1</v>
      </c>
      <c r="AG66">
        <v>16</v>
      </c>
      <c r="AH66">
        <v>22400</v>
      </c>
      <c r="AI66">
        <v>1</v>
      </c>
      <c r="AJ66">
        <v>8520</v>
      </c>
      <c r="AK66">
        <v>0</v>
      </c>
      <c r="AL66">
        <v>1800</v>
      </c>
      <c r="AM66">
        <v>3430</v>
      </c>
      <c r="AN66">
        <v>0</v>
      </c>
      <c r="AO66">
        <v>0</v>
      </c>
      <c r="AP66">
        <f t="shared" si="6"/>
        <v>13.75</v>
      </c>
      <c r="AQ66">
        <f t="shared" si="7"/>
        <v>27.5</v>
      </c>
      <c r="AR66">
        <f t="shared" si="8"/>
        <v>8.6499999999999986</v>
      </c>
      <c r="AS66">
        <f t="shared" si="9"/>
        <v>17.299999999999997</v>
      </c>
    </row>
    <row r="67" spans="1:45">
      <c r="A67">
        <v>66</v>
      </c>
      <c r="B67" t="s">
        <v>38</v>
      </c>
      <c r="C67" s="3">
        <v>0</v>
      </c>
      <c r="D67">
        <v>75</v>
      </c>
      <c r="E67">
        <v>1</v>
      </c>
      <c r="F67">
        <v>1</v>
      </c>
      <c r="G67">
        <v>57</v>
      </c>
      <c r="H67">
        <v>3</v>
      </c>
      <c r="I67">
        <f t="shared" si="13"/>
        <v>53.333333333333336</v>
      </c>
      <c r="J67">
        <f t="shared" si="14"/>
        <v>108000</v>
      </c>
      <c r="K67">
        <f t="shared" ref="K67:K130" si="16">J67/1000</f>
        <v>108</v>
      </c>
      <c r="L67">
        <v>1.5</v>
      </c>
      <c r="M67">
        <v>3</v>
      </c>
      <c r="N67">
        <v>53</v>
      </c>
      <c r="O67">
        <v>10</v>
      </c>
      <c r="P67">
        <v>1</v>
      </c>
      <c r="Q67">
        <v>3</v>
      </c>
      <c r="R67">
        <v>2000</v>
      </c>
      <c r="S67">
        <f t="shared" ref="S67:S130" si="17">R67/1000</f>
        <v>2</v>
      </c>
      <c r="T67">
        <v>1</v>
      </c>
      <c r="U67" s="3">
        <v>9.9999999999999991E-22</v>
      </c>
      <c r="V67" s="3">
        <v>9.9999999999999991E-22</v>
      </c>
      <c r="W67" s="3">
        <v>9.9999999999999991E-22</v>
      </c>
      <c r="X67" s="3">
        <v>9.9999999999999991E-22</v>
      </c>
      <c r="Y67">
        <v>6000</v>
      </c>
      <c r="Z67">
        <f t="shared" ref="Z67:Z130" si="18">Y67/1000</f>
        <v>6</v>
      </c>
      <c r="AA67">
        <f t="shared" si="15"/>
        <v>0.9642857142857143</v>
      </c>
      <c r="AB67">
        <v>4</v>
      </c>
      <c r="AC67">
        <v>1</v>
      </c>
      <c r="AD67">
        <v>0</v>
      </c>
      <c r="AE67">
        <v>0</v>
      </c>
      <c r="AF67">
        <v>1</v>
      </c>
      <c r="AG67">
        <v>80</v>
      </c>
      <c r="AH67">
        <v>162000</v>
      </c>
      <c r="AI67">
        <v>4</v>
      </c>
      <c r="AJ67">
        <v>24100</v>
      </c>
      <c r="AK67">
        <v>7650</v>
      </c>
      <c r="AL67">
        <v>1500</v>
      </c>
      <c r="AM67">
        <v>18800</v>
      </c>
      <c r="AN67">
        <v>300</v>
      </c>
      <c r="AO67">
        <v>0</v>
      </c>
      <c r="AP67">
        <f t="shared" ref="AP67:AP130" si="19">(AJ67+AK67+AL67+AM67+AN67+AO67)/1000</f>
        <v>52.35</v>
      </c>
      <c r="AQ67">
        <f t="shared" ref="AQ67:AQ130" si="20">AP67/L67</f>
        <v>34.9</v>
      </c>
      <c r="AR67">
        <f t="shared" ref="AR67:AR130" si="21">AH67/1000-AP67</f>
        <v>109.65</v>
      </c>
      <c r="AS67">
        <f t="shared" ref="AS67:AS130" si="22">AR67/L67</f>
        <v>73.100000000000009</v>
      </c>
    </row>
    <row r="68" spans="1:45">
      <c r="A68">
        <v>67</v>
      </c>
      <c r="B68" t="s">
        <v>38</v>
      </c>
      <c r="C68">
        <v>1</v>
      </c>
      <c r="D68">
        <v>67</v>
      </c>
      <c r="E68">
        <v>1</v>
      </c>
      <c r="F68">
        <v>2</v>
      </c>
      <c r="G68">
        <v>57</v>
      </c>
      <c r="H68">
        <v>6</v>
      </c>
      <c r="I68">
        <f t="shared" si="13"/>
        <v>55</v>
      </c>
      <c r="J68">
        <f t="shared" si="14"/>
        <v>77000</v>
      </c>
      <c r="K68">
        <f t="shared" si="16"/>
        <v>77</v>
      </c>
      <c r="L68">
        <v>1</v>
      </c>
      <c r="M68">
        <v>1</v>
      </c>
      <c r="N68">
        <v>21</v>
      </c>
      <c r="O68">
        <v>34</v>
      </c>
      <c r="P68" s="3">
        <v>9.9999999999999991E-22</v>
      </c>
      <c r="Q68">
        <v>2</v>
      </c>
      <c r="R68">
        <v>1000</v>
      </c>
      <c r="S68">
        <f t="shared" si="17"/>
        <v>1</v>
      </c>
      <c r="T68" s="3">
        <v>9.9999999999999991E-22</v>
      </c>
      <c r="U68" s="3">
        <v>9.9999999999999991E-22</v>
      </c>
      <c r="V68" s="3">
        <v>9.9999999999999991E-22</v>
      </c>
      <c r="W68" s="3">
        <v>9.9999999999999991E-22</v>
      </c>
      <c r="X68" s="3">
        <v>9.9999999999999991E-22</v>
      </c>
      <c r="Y68">
        <f>46800+48000</f>
        <v>94800</v>
      </c>
      <c r="Z68">
        <f t="shared" si="18"/>
        <v>94.8</v>
      </c>
      <c r="AA68">
        <f t="shared" si="15"/>
        <v>0.44819557625145517</v>
      </c>
      <c r="AB68">
        <v>4</v>
      </c>
      <c r="AC68">
        <v>3</v>
      </c>
      <c r="AD68">
        <v>0</v>
      </c>
      <c r="AE68">
        <v>0</v>
      </c>
      <c r="AF68">
        <v>1</v>
      </c>
      <c r="AG68">
        <v>55</v>
      </c>
      <c r="AH68">
        <v>77000</v>
      </c>
      <c r="AI68">
        <v>3</v>
      </c>
      <c r="AJ68">
        <f>17050+6250</f>
        <v>23300</v>
      </c>
      <c r="AK68">
        <v>0</v>
      </c>
      <c r="AL68">
        <v>1200</v>
      </c>
      <c r="AM68">
        <v>9400</v>
      </c>
      <c r="AN68">
        <v>0</v>
      </c>
      <c r="AO68">
        <v>0</v>
      </c>
      <c r="AP68">
        <f t="shared" si="19"/>
        <v>33.9</v>
      </c>
      <c r="AQ68">
        <f t="shared" si="20"/>
        <v>33.9</v>
      </c>
      <c r="AR68">
        <f t="shared" si="21"/>
        <v>43.1</v>
      </c>
      <c r="AS68">
        <f t="shared" si="22"/>
        <v>43.1</v>
      </c>
    </row>
    <row r="69" spans="1:45">
      <c r="A69">
        <v>68</v>
      </c>
      <c r="B69" t="s">
        <v>38</v>
      </c>
      <c r="C69" s="3">
        <v>0</v>
      </c>
      <c r="D69">
        <v>48</v>
      </c>
      <c r="E69">
        <v>1</v>
      </c>
      <c r="F69">
        <v>2</v>
      </c>
      <c r="G69">
        <v>30</v>
      </c>
      <c r="H69">
        <v>8</v>
      </c>
      <c r="I69">
        <f t="shared" si="13"/>
        <v>65</v>
      </c>
      <c r="J69">
        <f t="shared" si="14"/>
        <v>112000</v>
      </c>
      <c r="K69">
        <f t="shared" si="16"/>
        <v>112</v>
      </c>
      <c r="L69">
        <v>2</v>
      </c>
      <c r="M69">
        <v>1</v>
      </c>
      <c r="N69">
        <v>36</v>
      </c>
      <c r="O69">
        <v>34</v>
      </c>
      <c r="P69">
        <v>1</v>
      </c>
      <c r="Q69">
        <v>2</v>
      </c>
      <c r="R69">
        <f>36*50</f>
        <v>1800</v>
      </c>
      <c r="S69">
        <f t="shared" si="17"/>
        <v>1.8</v>
      </c>
      <c r="T69" s="3">
        <v>9.9999999999999991E-22</v>
      </c>
      <c r="U69" s="3">
        <v>9.9999999999999991E-22</v>
      </c>
      <c r="V69" s="3">
        <v>9.9999999999999991E-22</v>
      </c>
      <c r="W69" s="3">
        <v>9.9999999999999991E-22</v>
      </c>
      <c r="X69" s="3">
        <v>9.9999999999999991E-22</v>
      </c>
      <c r="Y69">
        <v>72000</v>
      </c>
      <c r="Z69">
        <f t="shared" si="18"/>
        <v>72</v>
      </c>
      <c r="AA69">
        <f t="shared" si="15"/>
        <v>0.7567567567567568</v>
      </c>
      <c r="AB69">
        <v>4</v>
      </c>
      <c r="AC69">
        <v>3</v>
      </c>
      <c r="AD69">
        <v>0</v>
      </c>
      <c r="AE69">
        <v>0</v>
      </c>
      <c r="AF69">
        <v>1</v>
      </c>
      <c r="AG69">
        <v>130</v>
      </c>
      <c r="AH69">
        <v>224000</v>
      </c>
      <c r="AI69">
        <v>2</v>
      </c>
      <c r="AJ69">
        <f>8000+2800+42100</f>
        <v>52900</v>
      </c>
      <c r="AK69">
        <v>10200</v>
      </c>
      <c r="AL69">
        <v>1200</v>
      </c>
      <c r="AM69">
        <v>19080</v>
      </c>
      <c r="AN69">
        <v>0</v>
      </c>
      <c r="AO69">
        <v>0</v>
      </c>
      <c r="AP69">
        <f t="shared" si="19"/>
        <v>83.38</v>
      </c>
      <c r="AQ69">
        <f t="shared" si="20"/>
        <v>41.69</v>
      </c>
      <c r="AR69">
        <f t="shared" si="21"/>
        <v>140.62</v>
      </c>
      <c r="AS69">
        <f t="shared" si="22"/>
        <v>70.31</v>
      </c>
    </row>
    <row r="70" spans="1:45">
      <c r="A70">
        <v>69</v>
      </c>
      <c r="B70" t="s">
        <v>38</v>
      </c>
      <c r="C70" s="3">
        <v>0</v>
      </c>
      <c r="D70">
        <v>55</v>
      </c>
      <c r="E70">
        <v>1</v>
      </c>
      <c r="F70">
        <v>1</v>
      </c>
      <c r="G70">
        <v>40</v>
      </c>
      <c r="H70">
        <v>6</v>
      </c>
      <c r="I70">
        <f t="shared" si="13"/>
        <v>60</v>
      </c>
      <c r="J70">
        <f t="shared" si="14"/>
        <v>84000</v>
      </c>
      <c r="K70">
        <f t="shared" si="16"/>
        <v>84</v>
      </c>
      <c r="L70">
        <v>0.25</v>
      </c>
      <c r="M70">
        <v>1</v>
      </c>
      <c r="N70">
        <v>18</v>
      </c>
      <c r="O70">
        <v>1</v>
      </c>
      <c r="P70" s="3">
        <v>9.9999999999999991E-22</v>
      </c>
      <c r="Q70">
        <v>3</v>
      </c>
      <c r="R70">
        <v>250</v>
      </c>
      <c r="S70">
        <f t="shared" si="17"/>
        <v>0.25</v>
      </c>
      <c r="T70" s="3">
        <v>9.9999999999999991E-22</v>
      </c>
      <c r="U70" s="3">
        <v>9.9999999999999991E-22</v>
      </c>
      <c r="V70" s="3">
        <v>9.9999999999999991E-22</v>
      </c>
      <c r="W70" s="3">
        <v>9.9999999999999991E-22</v>
      </c>
      <c r="X70" s="3">
        <v>9.9999999999999991E-22</v>
      </c>
      <c r="Y70">
        <v>38400</v>
      </c>
      <c r="Z70">
        <f t="shared" si="18"/>
        <v>38.4</v>
      </c>
      <c r="AA70">
        <f t="shared" si="15"/>
        <v>0.35353535353535354</v>
      </c>
      <c r="AB70">
        <v>4</v>
      </c>
      <c r="AC70">
        <v>3</v>
      </c>
      <c r="AD70">
        <v>0</v>
      </c>
      <c r="AE70">
        <v>0</v>
      </c>
      <c r="AF70">
        <v>1</v>
      </c>
      <c r="AG70">
        <v>15</v>
      </c>
      <c r="AH70">
        <v>21000</v>
      </c>
      <c r="AI70">
        <v>2</v>
      </c>
      <c r="AJ70">
        <v>500</v>
      </c>
      <c r="AK70">
        <v>0</v>
      </c>
      <c r="AL70">
        <v>1800</v>
      </c>
      <c r="AM70">
        <v>2650</v>
      </c>
      <c r="AN70">
        <v>0</v>
      </c>
      <c r="AO70">
        <v>0</v>
      </c>
      <c r="AP70">
        <f t="shared" si="19"/>
        <v>4.95</v>
      </c>
      <c r="AQ70">
        <f t="shared" si="20"/>
        <v>19.8</v>
      </c>
      <c r="AR70">
        <f t="shared" si="21"/>
        <v>16.05</v>
      </c>
      <c r="AS70">
        <f t="shared" si="22"/>
        <v>64.2</v>
      </c>
    </row>
    <row r="71" spans="1:45">
      <c r="A71">
        <v>70</v>
      </c>
      <c r="B71" t="s">
        <v>38</v>
      </c>
      <c r="C71" s="3">
        <v>0</v>
      </c>
      <c r="D71">
        <v>48</v>
      </c>
      <c r="E71">
        <v>1</v>
      </c>
      <c r="F71">
        <v>3</v>
      </c>
      <c r="G71">
        <v>31</v>
      </c>
      <c r="H71">
        <v>4</v>
      </c>
      <c r="I71">
        <f t="shared" si="13"/>
        <v>65</v>
      </c>
      <c r="J71">
        <f t="shared" si="14"/>
        <v>125000</v>
      </c>
      <c r="K71">
        <f t="shared" si="16"/>
        <v>125</v>
      </c>
      <c r="L71">
        <v>0.4</v>
      </c>
      <c r="M71">
        <v>1</v>
      </c>
      <c r="N71">
        <v>20</v>
      </c>
      <c r="O71">
        <v>8</v>
      </c>
      <c r="P71" s="3">
        <v>9.9999999999999991E-22</v>
      </c>
      <c r="Q71">
        <v>2</v>
      </c>
      <c r="R71">
        <v>600</v>
      </c>
      <c r="S71">
        <f t="shared" si="17"/>
        <v>0.6</v>
      </c>
      <c r="T71" s="3">
        <v>9.9999999999999991E-22</v>
      </c>
      <c r="U71" s="3">
        <v>9.9999999999999991E-22</v>
      </c>
      <c r="V71" s="3">
        <v>9.9999999999999991E-22</v>
      </c>
      <c r="W71">
        <v>1</v>
      </c>
      <c r="X71" s="3">
        <v>9.9999999999999991E-22</v>
      </c>
      <c r="Y71">
        <v>24000</v>
      </c>
      <c r="Z71">
        <f t="shared" si="18"/>
        <v>24</v>
      </c>
      <c r="AA71">
        <f t="shared" si="15"/>
        <v>0.67567567567567566</v>
      </c>
      <c r="AB71">
        <v>4</v>
      </c>
      <c r="AC71">
        <v>3</v>
      </c>
      <c r="AD71">
        <v>0</v>
      </c>
      <c r="AE71">
        <v>0</v>
      </c>
      <c r="AF71">
        <v>1</v>
      </c>
      <c r="AG71">
        <v>26</v>
      </c>
      <c r="AH71">
        <v>50000</v>
      </c>
      <c r="AI71">
        <v>2</v>
      </c>
      <c r="AJ71">
        <v>9540</v>
      </c>
      <c r="AK71">
        <v>0</v>
      </c>
      <c r="AL71">
        <v>1200</v>
      </c>
      <c r="AM71">
        <v>6000</v>
      </c>
      <c r="AN71">
        <v>0</v>
      </c>
      <c r="AO71">
        <v>0</v>
      </c>
      <c r="AP71">
        <f t="shared" si="19"/>
        <v>16.739999999999998</v>
      </c>
      <c r="AQ71">
        <f t="shared" si="20"/>
        <v>41.849999999999994</v>
      </c>
      <c r="AR71">
        <f t="shared" si="21"/>
        <v>33.260000000000005</v>
      </c>
      <c r="AS71">
        <f t="shared" si="22"/>
        <v>83.15</v>
      </c>
    </row>
    <row r="72" spans="1:45">
      <c r="A72">
        <v>71</v>
      </c>
      <c r="B72" t="s">
        <v>38</v>
      </c>
      <c r="C72" s="3">
        <v>0</v>
      </c>
      <c r="D72">
        <v>70</v>
      </c>
      <c r="E72">
        <v>1</v>
      </c>
      <c r="F72">
        <v>6</v>
      </c>
      <c r="G72">
        <v>20</v>
      </c>
      <c r="H72">
        <v>4</v>
      </c>
      <c r="I72">
        <f t="shared" si="13"/>
        <v>70.5</v>
      </c>
      <c r="J72">
        <f t="shared" si="14"/>
        <v>125000</v>
      </c>
      <c r="K72">
        <f t="shared" si="16"/>
        <v>125</v>
      </c>
      <c r="L72">
        <v>2</v>
      </c>
      <c r="M72">
        <v>1</v>
      </c>
      <c r="N72" s="3">
        <v>9.9999999999999991E-22</v>
      </c>
      <c r="O72">
        <v>56</v>
      </c>
      <c r="P72">
        <v>1</v>
      </c>
      <c r="Q72">
        <v>4</v>
      </c>
      <c r="R72">
        <v>2500</v>
      </c>
      <c r="S72">
        <f t="shared" si="17"/>
        <v>2.5</v>
      </c>
      <c r="T72" s="3">
        <v>9.9999999999999991E-22</v>
      </c>
      <c r="U72" s="3">
        <v>9.9999999999999991E-22</v>
      </c>
      <c r="V72" s="3">
        <v>9.9999999999999991E-22</v>
      </c>
      <c r="W72">
        <v>1</v>
      </c>
      <c r="X72" s="3">
        <v>9.9999999999999991E-22</v>
      </c>
      <c r="Y72">
        <v>6000</v>
      </c>
      <c r="Z72">
        <f t="shared" si="18"/>
        <v>6</v>
      </c>
      <c r="AA72">
        <f t="shared" si="15"/>
        <v>0.9765625</v>
      </c>
      <c r="AB72">
        <v>4</v>
      </c>
      <c r="AC72">
        <v>1</v>
      </c>
      <c r="AD72">
        <v>0</v>
      </c>
      <c r="AE72">
        <v>0</v>
      </c>
      <c r="AF72">
        <v>1</v>
      </c>
      <c r="AG72">
        <v>141</v>
      </c>
      <c r="AH72">
        <v>250000</v>
      </c>
      <c r="AI72">
        <v>4</v>
      </c>
      <c r="AJ72">
        <f>1250+7750+48300</f>
        <v>57300</v>
      </c>
      <c r="AK72">
        <v>3905</v>
      </c>
      <c r="AL72">
        <v>2400</v>
      </c>
      <c r="AM72">
        <v>22500</v>
      </c>
      <c r="AN72">
        <v>0</v>
      </c>
      <c r="AO72">
        <v>0</v>
      </c>
      <c r="AP72">
        <f t="shared" si="19"/>
        <v>86.105000000000004</v>
      </c>
      <c r="AQ72">
        <f t="shared" si="20"/>
        <v>43.052500000000002</v>
      </c>
      <c r="AR72">
        <f t="shared" si="21"/>
        <v>163.89499999999998</v>
      </c>
      <c r="AS72">
        <f t="shared" si="22"/>
        <v>81.947499999999991</v>
      </c>
    </row>
    <row r="73" spans="1:45">
      <c r="A73">
        <v>72</v>
      </c>
      <c r="B73" t="s">
        <v>38</v>
      </c>
      <c r="C73" s="3">
        <v>0</v>
      </c>
      <c r="D73">
        <v>75</v>
      </c>
      <c r="E73">
        <v>0</v>
      </c>
      <c r="F73">
        <v>1</v>
      </c>
      <c r="G73">
        <v>50</v>
      </c>
      <c r="H73">
        <v>2</v>
      </c>
      <c r="I73">
        <f t="shared" si="13"/>
        <v>90.909090909090907</v>
      </c>
      <c r="J73">
        <f t="shared" si="14"/>
        <v>127272.72727272726</v>
      </c>
      <c r="K73">
        <f t="shared" si="16"/>
        <v>127.27272727272727</v>
      </c>
      <c r="L73">
        <v>0.55000000000000004</v>
      </c>
      <c r="M73">
        <v>1</v>
      </c>
      <c r="N73" s="3">
        <v>9.9999999999999991E-22</v>
      </c>
      <c r="O73">
        <v>46</v>
      </c>
      <c r="P73" s="3">
        <v>9.9999999999999991E-22</v>
      </c>
      <c r="Q73">
        <v>5</v>
      </c>
      <c r="R73">
        <v>1500</v>
      </c>
      <c r="S73">
        <f t="shared" si="17"/>
        <v>1.5</v>
      </c>
      <c r="T73" s="3">
        <v>9.9999999999999991E-22</v>
      </c>
      <c r="U73" s="3">
        <v>9.9999999999999991E-22</v>
      </c>
      <c r="V73" s="3">
        <v>9.9999999999999991E-22</v>
      </c>
      <c r="W73" s="3">
        <v>9.9999999999999991E-22</v>
      </c>
      <c r="X73" s="3">
        <v>9.9999999999999991E-22</v>
      </c>
      <c r="Y73">
        <v>96000</v>
      </c>
      <c r="Z73">
        <f t="shared" si="18"/>
        <v>96</v>
      </c>
      <c r="AA73">
        <f t="shared" si="15"/>
        <v>0.42168674698795183</v>
      </c>
      <c r="AB73">
        <v>4</v>
      </c>
      <c r="AC73">
        <v>3</v>
      </c>
      <c r="AD73">
        <v>0</v>
      </c>
      <c r="AE73">
        <v>0</v>
      </c>
      <c r="AF73">
        <v>1</v>
      </c>
      <c r="AG73">
        <v>50</v>
      </c>
      <c r="AH73">
        <v>70000</v>
      </c>
      <c r="AI73">
        <v>2</v>
      </c>
      <c r="AJ73">
        <v>23300</v>
      </c>
      <c r="AK73">
        <v>0</v>
      </c>
      <c r="AL73">
        <v>2500</v>
      </c>
      <c r="AM73">
        <v>13500</v>
      </c>
      <c r="AN73">
        <v>0</v>
      </c>
      <c r="AO73">
        <v>0</v>
      </c>
      <c r="AP73">
        <f t="shared" si="19"/>
        <v>39.299999999999997</v>
      </c>
      <c r="AQ73">
        <f t="shared" si="20"/>
        <v>71.454545454545439</v>
      </c>
      <c r="AR73">
        <f t="shared" si="21"/>
        <v>30.700000000000003</v>
      </c>
      <c r="AS73">
        <f t="shared" si="22"/>
        <v>55.81818181818182</v>
      </c>
    </row>
    <row r="74" spans="1:45">
      <c r="A74">
        <v>73</v>
      </c>
      <c r="B74" t="s">
        <v>38</v>
      </c>
      <c r="C74" s="3">
        <v>0</v>
      </c>
      <c r="D74">
        <v>79</v>
      </c>
      <c r="E74">
        <v>1</v>
      </c>
      <c r="F74">
        <v>2</v>
      </c>
      <c r="G74">
        <v>54</v>
      </c>
      <c r="H74">
        <v>5</v>
      </c>
      <c r="I74">
        <f t="shared" si="13"/>
        <v>50</v>
      </c>
      <c r="J74">
        <f t="shared" si="14"/>
        <v>70000</v>
      </c>
      <c r="K74">
        <f t="shared" si="16"/>
        <v>70</v>
      </c>
      <c r="L74">
        <v>3</v>
      </c>
      <c r="M74">
        <v>3</v>
      </c>
      <c r="N74" s="3">
        <v>9.9999999999999991E-22</v>
      </c>
      <c r="O74">
        <v>32</v>
      </c>
      <c r="P74">
        <v>1</v>
      </c>
      <c r="Q74">
        <v>28</v>
      </c>
      <c r="R74">
        <f>90*50</f>
        <v>4500</v>
      </c>
      <c r="S74">
        <f t="shared" si="17"/>
        <v>4.5</v>
      </c>
      <c r="T74" s="3">
        <v>9.9999999999999991E-22</v>
      </c>
      <c r="U74" s="3">
        <v>9.9999999999999991E-22</v>
      </c>
      <c r="V74" s="3">
        <v>9.9999999999999991E-22</v>
      </c>
      <c r="W74">
        <v>1</v>
      </c>
      <c r="X74" s="3">
        <v>9.9999999999999991E-22</v>
      </c>
      <c r="Y74">
        <f>109500+20000</f>
        <v>129500</v>
      </c>
      <c r="Z74">
        <f t="shared" si="18"/>
        <v>129.5</v>
      </c>
      <c r="AA74">
        <f t="shared" si="15"/>
        <v>0.61855670103092786</v>
      </c>
      <c r="AB74">
        <v>4</v>
      </c>
      <c r="AC74">
        <v>3</v>
      </c>
      <c r="AD74">
        <v>0</v>
      </c>
      <c r="AE74">
        <v>0</v>
      </c>
      <c r="AF74">
        <v>1</v>
      </c>
      <c r="AG74">
        <v>150</v>
      </c>
      <c r="AH74">
        <v>210000</v>
      </c>
      <c r="AI74">
        <v>3</v>
      </c>
      <c r="AJ74">
        <f>6750+9030+56000</f>
        <v>71780</v>
      </c>
      <c r="AK74">
        <v>7900</v>
      </c>
      <c r="AL74">
        <v>16800</v>
      </c>
      <c r="AM74">
        <v>44100</v>
      </c>
      <c r="AN74">
        <v>0</v>
      </c>
      <c r="AO74">
        <v>0</v>
      </c>
      <c r="AP74">
        <f t="shared" si="19"/>
        <v>140.58000000000001</v>
      </c>
      <c r="AQ74">
        <f t="shared" si="20"/>
        <v>46.860000000000007</v>
      </c>
      <c r="AR74">
        <f t="shared" si="21"/>
        <v>69.419999999999987</v>
      </c>
      <c r="AS74">
        <f t="shared" si="22"/>
        <v>23.139999999999997</v>
      </c>
    </row>
    <row r="75" spans="1:45">
      <c r="A75">
        <v>74</v>
      </c>
      <c r="B75" t="s">
        <v>38</v>
      </c>
      <c r="C75" s="3">
        <v>0</v>
      </c>
      <c r="D75">
        <v>66</v>
      </c>
      <c r="E75">
        <v>1</v>
      </c>
      <c r="F75">
        <v>1</v>
      </c>
      <c r="G75">
        <v>40</v>
      </c>
      <c r="H75">
        <v>6</v>
      </c>
      <c r="I75">
        <f t="shared" si="13"/>
        <v>80</v>
      </c>
      <c r="J75">
        <f t="shared" si="14"/>
        <v>120000</v>
      </c>
      <c r="K75">
        <f t="shared" si="16"/>
        <v>120</v>
      </c>
      <c r="L75">
        <v>0.5</v>
      </c>
      <c r="M75">
        <v>1</v>
      </c>
      <c r="N75">
        <v>67</v>
      </c>
      <c r="O75">
        <v>14</v>
      </c>
      <c r="P75">
        <v>1</v>
      </c>
      <c r="Q75">
        <v>2</v>
      </c>
      <c r="R75">
        <v>400</v>
      </c>
      <c r="S75">
        <f t="shared" si="17"/>
        <v>0.4</v>
      </c>
      <c r="T75" s="3">
        <v>9.9999999999999991E-22</v>
      </c>
      <c r="U75" s="3">
        <v>9.9999999999999991E-22</v>
      </c>
      <c r="V75" s="3">
        <v>9.9999999999999991E-22</v>
      </c>
      <c r="W75">
        <v>1</v>
      </c>
      <c r="X75" s="3">
        <v>9.9999999999999991E-22</v>
      </c>
      <c r="Y75">
        <v>300000</v>
      </c>
      <c r="Z75">
        <f t="shared" si="18"/>
        <v>300</v>
      </c>
      <c r="AA75">
        <f t="shared" si="15"/>
        <v>0.16666666666666666</v>
      </c>
      <c r="AB75">
        <v>4</v>
      </c>
      <c r="AC75">
        <v>1</v>
      </c>
      <c r="AD75">
        <v>0</v>
      </c>
      <c r="AE75">
        <v>0</v>
      </c>
      <c r="AF75">
        <v>1</v>
      </c>
      <c r="AG75">
        <v>40</v>
      </c>
      <c r="AH75">
        <v>60000</v>
      </c>
      <c r="AI75">
        <v>2</v>
      </c>
      <c r="AJ75">
        <v>12700</v>
      </c>
      <c r="AK75">
        <v>800</v>
      </c>
      <c r="AL75">
        <v>1000</v>
      </c>
      <c r="AM75">
        <v>4200</v>
      </c>
      <c r="AN75">
        <v>0</v>
      </c>
      <c r="AO75">
        <v>0</v>
      </c>
      <c r="AP75">
        <f t="shared" si="19"/>
        <v>18.7</v>
      </c>
      <c r="AQ75">
        <f t="shared" si="20"/>
        <v>37.4</v>
      </c>
      <c r="AR75">
        <f t="shared" si="21"/>
        <v>41.3</v>
      </c>
      <c r="AS75">
        <f t="shared" si="22"/>
        <v>82.6</v>
      </c>
    </row>
    <row r="76" spans="1:45">
      <c r="A76">
        <v>75</v>
      </c>
      <c r="B76" t="s">
        <v>38</v>
      </c>
      <c r="C76" s="3">
        <v>0</v>
      </c>
      <c r="D76">
        <v>66</v>
      </c>
      <c r="E76">
        <v>1</v>
      </c>
      <c r="F76">
        <v>3</v>
      </c>
      <c r="G76">
        <v>46</v>
      </c>
      <c r="H76">
        <v>5</v>
      </c>
      <c r="I76">
        <f t="shared" si="13"/>
        <v>50</v>
      </c>
      <c r="J76">
        <f t="shared" si="14"/>
        <v>116666.66666666667</v>
      </c>
      <c r="K76">
        <f t="shared" si="16"/>
        <v>116.66666666666667</v>
      </c>
      <c r="L76">
        <v>0.3</v>
      </c>
      <c r="M76">
        <v>1</v>
      </c>
      <c r="N76">
        <v>32</v>
      </c>
      <c r="O76">
        <v>5.5</v>
      </c>
      <c r="P76" s="3">
        <v>9.9999999999999991E-22</v>
      </c>
      <c r="Q76">
        <v>2</v>
      </c>
      <c r="R76">
        <v>550</v>
      </c>
      <c r="S76">
        <f t="shared" si="17"/>
        <v>0.55000000000000004</v>
      </c>
      <c r="T76" s="3">
        <v>9.9999999999999991E-22</v>
      </c>
      <c r="U76" s="3">
        <v>9.9999999999999991E-22</v>
      </c>
      <c r="V76" s="3">
        <v>9.9999999999999991E-22</v>
      </c>
      <c r="W76">
        <v>1</v>
      </c>
      <c r="X76" s="3">
        <v>9.9999999999999991E-22</v>
      </c>
      <c r="Y76">
        <v>456000</v>
      </c>
      <c r="Z76">
        <f t="shared" si="18"/>
        <v>456</v>
      </c>
      <c r="AA76">
        <f t="shared" si="15"/>
        <v>7.128309572301425E-2</v>
      </c>
      <c r="AB76">
        <v>4</v>
      </c>
      <c r="AC76">
        <v>3</v>
      </c>
      <c r="AD76">
        <v>0</v>
      </c>
      <c r="AE76">
        <v>0</v>
      </c>
      <c r="AF76">
        <v>1</v>
      </c>
      <c r="AG76">
        <v>15</v>
      </c>
      <c r="AH76">
        <v>35000</v>
      </c>
      <c r="AI76">
        <v>2</v>
      </c>
      <c r="AJ76">
        <v>6000</v>
      </c>
      <c r="AK76">
        <v>0</v>
      </c>
      <c r="AL76">
        <v>1400</v>
      </c>
      <c r="AM76">
        <v>5665</v>
      </c>
      <c r="AN76">
        <v>0</v>
      </c>
      <c r="AO76">
        <v>0</v>
      </c>
      <c r="AP76">
        <f t="shared" si="19"/>
        <v>13.065</v>
      </c>
      <c r="AQ76">
        <f t="shared" si="20"/>
        <v>43.55</v>
      </c>
      <c r="AR76">
        <f t="shared" si="21"/>
        <v>21.935000000000002</v>
      </c>
      <c r="AS76">
        <f t="shared" si="22"/>
        <v>73.116666666666674</v>
      </c>
    </row>
    <row r="77" spans="1:45">
      <c r="A77">
        <v>76</v>
      </c>
      <c r="B77" t="s">
        <v>38</v>
      </c>
      <c r="C77">
        <v>1</v>
      </c>
      <c r="D77">
        <v>72</v>
      </c>
      <c r="E77">
        <v>1</v>
      </c>
      <c r="F77">
        <v>1</v>
      </c>
      <c r="G77">
        <v>48</v>
      </c>
      <c r="H77">
        <v>8</v>
      </c>
      <c r="I77">
        <f t="shared" si="13"/>
        <v>54.033613445378151</v>
      </c>
      <c r="J77">
        <f t="shared" si="14"/>
        <v>122914.61344537817</v>
      </c>
      <c r="K77">
        <f t="shared" si="16"/>
        <v>122.91461344537817</v>
      </c>
      <c r="L77">
        <v>1.19</v>
      </c>
      <c r="M77">
        <v>1</v>
      </c>
      <c r="N77">
        <v>38</v>
      </c>
      <c r="O77">
        <v>13</v>
      </c>
      <c r="P77">
        <v>1</v>
      </c>
      <c r="Q77">
        <v>7</v>
      </c>
      <c r="R77">
        <f>256*50</f>
        <v>12800</v>
      </c>
      <c r="S77">
        <f t="shared" si="17"/>
        <v>12.8</v>
      </c>
      <c r="T77" s="3">
        <v>9.9999999999999991E-22</v>
      </c>
      <c r="U77" s="3">
        <v>9.9999999999999991E-22</v>
      </c>
      <c r="V77" s="3">
        <v>9.9999999999999991E-22</v>
      </c>
      <c r="W77">
        <v>1</v>
      </c>
      <c r="X77" s="3">
        <v>9.9999999999999991E-22</v>
      </c>
      <c r="Y77">
        <f>57600+86400+96000</f>
        <v>240000</v>
      </c>
      <c r="Z77">
        <f t="shared" si="18"/>
        <v>240</v>
      </c>
      <c r="AA77">
        <f t="shared" si="15"/>
        <v>0.37867035922872178</v>
      </c>
      <c r="AB77">
        <v>4</v>
      </c>
      <c r="AC77">
        <v>3</v>
      </c>
      <c r="AD77">
        <v>0</v>
      </c>
      <c r="AE77">
        <v>0</v>
      </c>
      <c r="AF77">
        <v>1</v>
      </c>
      <c r="AG77">
        <v>64.3</v>
      </c>
      <c r="AH77">
        <v>146268.39000000001</v>
      </c>
      <c r="AI77">
        <v>3</v>
      </c>
      <c r="AJ77">
        <f>2823+16438</f>
        <v>19261</v>
      </c>
      <c r="AK77">
        <v>3230</v>
      </c>
      <c r="AL77">
        <v>4200</v>
      </c>
      <c r="AM77">
        <v>16250</v>
      </c>
      <c r="AN77">
        <v>0</v>
      </c>
      <c r="AO77">
        <v>0</v>
      </c>
      <c r="AP77">
        <f t="shared" si="19"/>
        <v>42.941000000000003</v>
      </c>
      <c r="AQ77">
        <f t="shared" si="20"/>
        <v>36.084873949579837</v>
      </c>
      <c r="AR77">
        <f t="shared" si="21"/>
        <v>103.32739000000001</v>
      </c>
      <c r="AS77">
        <f t="shared" si="22"/>
        <v>86.829739495798336</v>
      </c>
    </row>
    <row r="78" spans="1:45">
      <c r="A78">
        <v>77</v>
      </c>
      <c r="B78" t="s">
        <v>38</v>
      </c>
      <c r="C78">
        <v>1</v>
      </c>
      <c r="D78">
        <v>57</v>
      </c>
      <c r="E78">
        <v>0</v>
      </c>
      <c r="F78">
        <v>3</v>
      </c>
      <c r="G78">
        <v>2</v>
      </c>
      <c r="H78">
        <v>8</v>
      </c>
      <c r="I78">
        <f t="shared" si="13"/>
        <v>166.66666666666669</v>
      </c>
      <c r="J78">
        <f t="shared" si="14"/>
        <v>241666.66666666669</v>
      </c>
      <c r="K78">
        <f t="shared" si="16"/>
        <v>241.66666666666669</v>
      </c>
      <c r="L78">
        <v>0.3</v>
      </c>
      <c r="M78">
        <v>1</v>
      </c>
      <c r="N78">
        <v>72</v>
      </c>
      <c r="O78">
        <v>16</v>
      </c>
      <c r="P78">
        <v>1</v>
      </c>
      <c r="Q78">
        <v>2</v>
      </c>
      <c r="R78">
        <f>22*50</f>
        <v>1100</v>
      </c>
      <c r="S78">
        <f t="shared" si="17"/>
        <v>1.1000000000000001</v>
      </c>
      <c r="T78" s="3">
        <v>9.9999999999999991E-22</v>
      </c>
      <c r="U78" s="3">
        <v>9.9999999999999991E-22</v>
      </c>
      <c r="V78" s="3">
        <v>9.9999999999999991E-22</v>
      </c>
      <c r="W78">
        <v>1</v>
      </c>
      <c r="X78" s="3">
        <v>9.9999999999999991E-22</v>
      </c>
      <c r="Y78">
        <f>240000+96000+48000+33600+33600+96000</f>
        <v>547200</v>
      </c>
      <c r="Z78">
        <f t="shared" si="18"/>
        <v>547.20000000000005</v>
      </c>
      <c r="AA78">
        <f t="shared" si="15"/>
        <v>0.11699209294820075</v>
      </c>
      <c r="AB78">
        <v>4</v>
      </c>
      <c r="AC78">
        <v>3</v>
      </c>
      <c r="AD78">
        <v>0</v>
      </c>
      <c r="AE78">
        <v>0</v>
      </c>
      <c r="AF78">
        <v>1</v>
      </c>
      <c r="AG78">
        <v>50</v>
      </c>
      <c r="AH78">
        <v>72500</v>
      </c>
      <c r="AI78">
        <v>3</v>
      </c>
      <c r="AJ78">
        <f>14000+1680</f>
        <v>15680</v>
      </c>
      <c r="AK78">
        <v>1700</v>
      </c>
      <c r="AL78">
        <v>1200</v>
      </c>
      <c r="AM78">
        <v>11600</v>
      </c>
      <c r="AN78">
        <v>0</v>
      </c>
      <c r="AO78">
        <v>0</v>
      </c>
      <c r="AP78">
        <f t="shared" si="19"/>
        <v>30.18</v>
      </c>
      <c r="AQ78">
        <f t="shared" si="20"/>
        <v>100.60000000000001</v>
      </c>
      <c r="AR78">
        <f t="shared" si="21"/>
        <v>42.32</v>
      </c>
      <c r="AS78">
        <f t="shared" si="22"/>
        <v>141.06666666666666</v>
      </c>
    </row>
    <row r="79" spans="1:45">
      <c r="A79">
        <v>78</v>
      </c>
      <c r="B79" t="s">
        <v>38</v>
      </c>
      <c r="C79">
        <v>1</v>
      </c>
      <c r="D79">
        <v>49</v>
      </c>
      <c r="E79">
        <v>0</v>
      </c>
      <c r="F79">
        <v>2</v>
      </c>
      <c r="G79">
        <v>34</v>
      </c>
      <c r="H79">
        <v>8</v>
      </c>
      <c r="I79">
        <f t="shared" si="13"/>
        <v>77.085714285714289</v>
      </c>
      <c r="J79">
        <f t="shared" si="14"/>
        <v>145037.14285714287</v>
      </c>
      <c r="K79">
        <f t="shared" si="16"/>
        <v>145.03714285714287</v>
      </c>
      <c r="L79">
        <v>0.35</v>
      </c>
      <c r="M79">
        <v>1</v>
      </c>
      <c r="N79">
        <v>59</v>
      </c>
      <c r="O79">
        <v>14</v>
      </c>
      <c r="P79">
        <v>1</v>
      </c>
      <c r="Q79">
        <v>1</v>
      </c>
      <c r="R79">
        <v>350</v>
      </c>
      <c r="S79">
        <f t="shared" si="17"/>
        <v>0.35</v>
      </c>
      <c r="T79" s="3">
        <v>9.9999999999999991E-22</v>
      </c>
      <c r="U79" s="3">
        <v>9.9999999999999991E-22</v>
      </c>
      <c r="V79" s="3">
        <v>9.9999999999999991E-22</v>
      </c>
      <c r="W79">
        <v>1</v>
      </c>
      <c r="X79" s="3">
        <v>9.9999999999999991E-22</v>
      </c>
      <c r="Y79">
        <v>15000</v>
      </c>
      <c r="Z79">
        <f t="shared" si="18"/>
        <v>15</v>
      </c>
      <c r="AA79">
        <f t="shared" si="15"/>
        <v>0.77190821586606451</v>
      </c>
      <c r="AB79">
        <v>3</v>
      </c>
      <c r="AC79">
        <v>3</v>
      </c>
      <c r="AD79">
        <v>0</v>
      </c>
      <c r="AE79">
        <v>0</v>
      </c>
      <c r="AF79">
        <v>1</v>
      </c>
      <c r="AG79">
        <v>26.98</v>
      </c>
      <c r="AH79">
        <v>50763</v>
      </c>
      <c r="AI79">
        <v>2</v>
      </c>
      <c r="AJ79">
        <f>8944+1225</f>
        <v>10169</v>
      </c>
      <c r="AK79">
        <v>2170</v>
      </c>
      <c r="AL79">
        <v>500</v>
      </c>
      <c r="AM79">
        <v>4287.5</v>
      </c>
      <c r="AN79">
        <v>0</v>
      </c>
      <c r="AO79">
        <v>0</v>
      </c>
      <c r="AP79">
        <f t="shared" si="19"/>
        <v>17.1265</v>
      </c>
      <c r="AQ79">
        <f t="shared" si="20"/>
        <v>48.932857142857145</v>
      </c>
      <c r="AR79">
        <f t="shared" si="21"/>
        <v>33.636499999999998</v>
      </c>
      <c r="AS79">
        <f t="shared" si="22"/>
        <v>96.104285714285709</v>
      </c>
    </row>
    <row r="80" spans="1:45">
      <c r="A80">
        <v>79</v>
      </c>
      <c r="B80" t="s">
        <v>38</v>
      </c>
      <c r="C80">
        <v>1</v>
      </c>
      <c r="D80">
        <v>72</v>
      </c>
      <c r="E80">
        <v>1</v>
      </c>
      <c r="F80">
        <v>3</v>
      </c>
      <c r="G80">
        <v>60</v>
      </c>
      <c r="H80">
        <v>3</v>
      </c>
      <c r="I80">
        <f t="shared" si="13"/>
        <v>60.873333333333335</v>
      </c>
      <c r="J80">
        <f t="shared" si="14"/>
        <v>114538</v>
      </c>
      <c r="K80">
        <f t="shared" si="16"/>
        <v>114.538</v>
      </c>
      <c r="L80">
        <v>1.5</v>
      </c>
      <c r="M80">
        <v>2</v>
      </c>
      <c r="N80">
        <v>32</v>
      </c>
      <c r="O80">
        <v>34</v>
      </c>
      <c r="P80">
        <v>1</v>
      </c>
      <c r="Q80">
        <v>2</v>
      </c>
      <c r="R80">
        <f>40*50</f>
        <v>2000</v>
      </c>
      <c r="S80">
        <f t="shared" si="17"/>
        <v>2</v>
      </c>
      <c r="T80" s="3">
        <v>9.9999999999999991E-22</v>
      </c>
      <c r="U80" s="3">
        <v>9.9999999999999991E-22</v>
      </c>
      <c r="V80" s="3">
        <v>9.9999999999999991E-22</v>
      </c>
      <c r="W80">
        <v>1</v>
      </c>
      <c r="X80" s="3">
        <v>9.9999999999999991E-22</v>
      </c>
      <c r="Y80">
        <f>60000+115200+48000</f>
        <v>223200</v>
      </c>
      <c r="Z80">
        <f t="shared" si="18"/>
        <v>223.2</v>
      </c>
      <c r="AA80">
        <f t="shared" si="15"/>
        <v>0.4349467224631462</v>
      </c>
      <c r="AB80">
        <v>4</v>
      </c>
      <c r="AC80">
        <v>3</v>
      </c>
      <c r="AD80">
        <v>0</v>
      </c>
      <c r="AE80">
        <v>0</v>
      </c>
      <c r="AF80">
        <v>1</v>
      </c>
      <c r="AG80">
        <v>91.31</v>
      </c>
      <c r="AH80">
        <v>171807</v>
      </c>
      <c r="AI80">
        <v>3</v>
      </c>
      <c r="AJ80">
        <f>1620+4560+32567</f>
        <v>38747</v>
      </c>
      <c r="AK80">
        <v>1590</v>
      </c>
      <c r="AL80">
        <v>1000</v>
      </c>
      <c r="AM80">
        <v>20000</v>
      </c>
      <c r="AN80">
        <v>0</v>
      </c>
      <c r="AO80">
        <v>0</v>
      </c>
      <c r="AP80">
        <f t="shared" si="19"/>
        <v>61.337000000000003</v>
      </c>
      <c r="AQ80">
        <f t="shared" si="20"/>
        <v>40.891333333333336</v>
      </c>
      <c r="AR80">
        <f t="shared" si="21"/>
        <v>110.46999999999998</v>
      </c>
      <c r="AS80">
        <f t="shared" si="22"/>
        <v>73.646666666666661</v>
      </c>
    </row>
    <row r="81" spans="1:45">
      <c r="A81">
        <v>80</v>
      </c>
      <c r="B81" t="s">
        <v>38</v>
      </c>
      <c r="C81" s="3">
        <v>0</v>
      </c>
      <c r="D81">
        <v>38</v>
      </c>
      <c r="E81">
        <v>1</v>
      </c>
      <c r="F81">
        <v>4</v>
      </c>
      <c r="G81">
        <v>10</v>
      </c>
      <c r="H81">
        <v>4</v>
      </c>
      <c r="I81">
        <f t="shared" si="13"/>
        <v>50</v>
      </c>
      <c r="J81">
        <f t="shared" si="14"/>
        <v>84000</v>
      </c>
      <c r="K81">
        <f t="shared" si="16"/>
        <v>84</v>
      </c>
      <c r="L81">
        <v>2</v>
      </c>
      <c r="M81">
        <v>2</v>
      </c>
      <c r="N81">
        <v>15</v>
      </c>
      <c r="O81">
        <v>38</v>
      </c>
      <c r="P81">
        <v>1</v>
      </c>
      <c r="Q81">
        <v>3</v>
      </c>
      <c r="R81">
        <f>35*50</f>
        <v>1750</v>
      </c>
      <c r="S81">
        <f t="shared" si="17"/>
        <v>1.75</v>
      </c>
      <c r="T81" s="3">
        <v>9.9999999999999991E-22</v>
      </c>
      <c r="U81" s="3">
        <v>9.9999999999999991E-22</v>
      </c>
      <c r="V81" s="3">
        <v>9.9999999999999991E-22</v>
      </c>
      <c r="W81" s="3">
        <v>9.9999999999999991E-22</v>
      </c>
      <c r="X81" s="3">
        <v>9.9999999999999991E-22</v>
      </c>
      <c r="Y81">
        <v>45600</v>
      </c>
      <c r="Z81">
        <f t="shared" si="18"/>
        <v>45.6</v>
      </c>
      <c r="AA81">
        <f t="shared" si="15"/>
        <v>0.7865168539325843</v>
      </c>
      <c r="AB81">
        <v>1</v>
      </c>
      <c r="AC81">
        <v>1</v>
      </c>
      <c r="AD81">
        <v>0</v>
      </c>
      <c r="AE81">
        <v>0</v>
      </c>
      <c r="AF81">
        <v>1</v>
      </c>
      <c r="AG81">
        <v>100</v>
      </c>
      <c r="AH81">
        <v>168000</v>
      </c>
      <c r="AI81">
        <v>2</v>
      </c>
      <c r="AJ81">
        <f>2000+2400+32500</f>
        <v>36900</v>
      </c>
      <c r="AK81">
        <v>10000</v>
      </c>
      <c r="AL81">
        <v>1800</v>
      </c>
      <c r="AM81">
        <f>8250+11000</f>
        <v>19250</v>
      </c>
      <c r="AN81">
        <v>0</v>
      </c>
      <c r="AO81">
        <v>0</v>
      </c>
      <c r="AP81">
        <f t="shared" si="19"/>
        <v>67.95</v>
      </c>
      <c r="AQ81">
        <f t="shared" si="20"/>
        <v>33.975000000000001</v>
      </c>
      <c r="AR81">
        <f t="shared" si="21"/>
        <v>100.05</v>
      </c>
      <c r="AS81">
        <f t="shared" si="22"/>
        <v>50.024999999999999</v>
      </c>
    </row>
    <row r="82" spans="1:45">
      <c r="A82">
        <v>81</v>
      </c>
      <c r="B82" t="s">
        <v>38</v>
      </c>
      <c r="C82" s="3">
        <v>0</v>
      </c>
      <c r="D82">
        <v>72</v>
      </c>
      <c r="E82">
        <v>1</v>
      </c>
      <c r="F82">
        <v>1</v>
      </c>
      <c r="G82">
        <v>60</v>
      </c>
      <c r="H82">
        <v>7</v>
      </c>
      <c r="I82">
        <f t="shared" si="13"/>
        <v>60</v>
      </c>
      <c r="J82">
        <f t="shared" si="14"/>
        <v>80000</v>
      </c>
      <c r="K82">
        <f t="shared" si="16"/>
        <v>80</v>
      </c>
      <c r="L82">
        <v>1</v>
      </c>
      <c r="M82">
        <v>1</v>
      </c>
      <c r="N82">
        <v>15</v>
      </c>
      <c r="O82">
        <v>15</v>
      </c>
      <c r="P82" s="3">
        <v>9.9999999999999991E-22</v>
      </c>
      <c r="Q82" s="3">
        <v>9.9999999999999991E-22</v>
      </c>
      <c r="R82">
        <v>600</v>
      </c>
      <c r="S82">
        <f t="shared" si="17"/>
        <v>0.6</v>
      </c>
      <c r="T82" s="3">
        <v>9.9999999999999991E-22</v>
      </c>
      <c r="U82" s="3">
        <v>9.9999999999999991E-22</v>
      </c>
      <c r="V82" s="3">
        <v>9.9999999999999991E-22</v>
      </c>
      <c r="W82" s="3">
        <v>9.9999999999999991E-22</v>
      </c>
      <c r="X82" s="3">
        <v>9.9999999999999991E-22</v>
      </c>
      <c r="Y82">
        <v>120000</v>
      </c>
      <c r="Z82">
        <f t="shared" si="18"/>
        <v>120</v>
      </c>
      <c r="AA82">
        <f t="shared" si="15"/>
        <v>0.4</v>
      </c>
      <c r="AB82">
        <v>4</v>
      </c>
      <c r="AC82">
        <v>1</v>
      </c>
      <c r="AD82">
        <v>0</v>
      </c>
      <c r="AE82">
        <v>0</v>
      </c>
      <c r="AF82">
        <v>1</v>
      </c>
      <c r="AG82">
        <v>60</v>
      </c>
      <c r="AH82">
        <v>80000</v>
      </c>
      <c r="AI82">
        <v>2</v>
      </c>
      <c r="AJ82">
        <f>1250+21200</f>
        <v>22450</v>
      </c>
      <c r="AK82">
        <v>0</v>
      </c>
      <c r="AL82">
        <v>0</v>
      </c>
      <c r="AM82">
        <v>6000</v>
      </c>
      <c r="AN82">
        <v>0</v>
      </c>
      <c r="AO82">
        <v>0</v>
      </c>
      <c r="AP82">
        <f t="shared" si="19"/>
        <v>28.45</v>
      </c>
      <c r="AQ82">
        <f t="shared" si="20"/>
        <v>28.45</v>
      </c>
      <c r="AR82">
        <f t="shared" si="21"/>
        <v>51.55</v>
      </c>
      <c r="AS82">
        <f t="shared" si="22"/>
        <v>51.55</v>
      </c>
    </row>
    <row r="83" spans="1:45">
      <c r="A83">
        <v>82</v>
      </c>
      <c r="B83" t="s">
        <v>38</v>
      </c>
      <c r="C83" s="3">
        <v>0</v>
      </c>
      <c r="D83">
        <v>52</v>
      </c>
      <c r="E83">
        <v>0</v>
      </c>
      <c r="F83">
        <v>2</v>
      </c>
      <c r="G83">
        <v>31</v>
      </c>
      <c r="H83">
        <v>6</v>
      </c>
      <c r="I83">
        <f t="shared" si="13"/>
        <v>65</v>
      </c>
      <c r="J83">
        <f t="shared" si="14"/>
        <v>91000</v>
      </c>
      <c r="K83">
        <f t="shared" si="16"/>
        <v>91</v>
      </c>
      <c r="L83">
        <v>2</v>
      </c>
      <c r="M83">
        <v>1</v>
      </c>
      <c r="N83">
        <v>36</v>
      </c>
      <c r="O83">
        <v>20</v>
      </c>
      <c r="P83" s="3">
        <v>9.9999999999999991E-22</v>
      </c>
      <c r="Q83">
        <v>4</v>
      </c>
      <c r="R83">
        <f>80*50</f>
        <v>4000</v>
      </c>
      <c r="S83">
        <f t="shared" si="17"/>
        <v>4</v>
      </c>
      <c r="T83" s="3">
        <v>9.9999999999999991E-22</v>
      </c>
      <c r="U83" s="3">
        <v>9.9999999999999991E-22</v>
      </c>
      <c r="V83" s="3">
        <v>9.9999999999999991E-22</v>
      </c>
      <c r="W83">
        <v>1</v>
      </c>
      <c r="X83" s="3">
        <v>9.9999999999999991E-22</v>
      </c>
      <c r="Y83">
        <v>196000</v>
      </c>
      <c r="Z83">
        <f t="shared" si="18"/>
        <v>196</v>
      </c>
      <c r="AA83">
        <f t="shared" si="15"/>
        <v>0.48148148148148145</v>
      </c>
      <c r="AB83">
        <v>1</v>
      </c>
      <c r="AC83">
        <v>3</v>
      </c>
      <c r="AD83">
        <v>0</v>
      </c>
      <c r="AE83">
        <v>0</v>
      </c>
      <c r="AF83">
        <v>1</v>
      </c>
      <c r="AG83">
        <v>130</v>
      </c>
      <c r="AH83">
        <v>182000</v>
      </c>
      <c r="AI83">
        <v>2</v>
      </c>
      <c r="AJ83">
        <v>42000</v>
      </c>
      <c r="AK83">
        <v>0</v>
      </c>
      <c r="AL83">
        <v>600</v>
      </c>
      <c r="AM83">
        <v>44000</v>
      </c>
      <c r="AN83">
        <v>0</v>
      </c>
      <c r="AO83">
        <v>0</v>
      </c>
      <c r="AP83">
        <f t="shared" si="19"/>
        <v>86.6</v>
      </c>
      <c r="AQ83">
        <f t="shared" si="20"/>
        <v>43.3</v>
      </c>
      <c r="AR83">
        <f t="shared" si="21"/>
        <v>95.4</v>
      </c>
      <c r="AS83">
        <f t="shared" si="22"/>
        <v>47.7</v>
      </c>
    </row>
    <row r="84" spans="1:45">
      <c r="A84">
        <v>83</v>
      </c>
      <c r="B84" t="s">
        <v>38</v>
      </c>
      <c r="C84">
        <v>1</v>
      </c>
      <c r="D84">
        <v>64</v>
      </c>
      <c r="E84">
        <v>0</v>
      </c>
      <c r="F84">
        <v>2</v>
      </c>
      <c r="G84">
        <v>44</v>
      </c>
      <c r="H84">
        <v>4</v>
      </c>
      <c r="I84">
        <f t="shared" si="13"/>
        <v>61.764705882352942</v>
      </c>
      <c r="J84">
        <f t="shared" si="14"/>
        <v>86470.588235294126</v>
      </c>
      <c r="K84">
        <f t="shared" si="16"/>
        <v>86.47058823529413</v>
      </c>
      <c r="L84">
        <v>1.7</v>
      </c>
      <c r="M84">
        <v>2</v>
      </c>
      <c r="N84">
        <v>22.5</v>
      </c>
      <c r="O84">
        <v>23</v>
      </c>
      <c r="P84" s="3">
        <v>9.9999999999999991E-22</v>
      </c>
      <c r="Q84">
        <v>8</v>
      </c>
      <c r="R84">
        <f>32*50</f>
        <v>1600</v>
      </c>
      <c r="S84">
        <f t="shared" si="17"/>
        <v>1.6</v>
      </c>
      <c r="T84" s="3">
        <v>9.9999999999999991E-22</v>
      </c>
      <c r="U84" s="3">
        <v>9.9999999999999991E-22</v>
      </c>
      <c r="V84" s="3">
        <v>9.9999999999999991E-22</v>
      </c>
      <c r="W84" s="3">
        <v>9.9999999999999991E-22</v>
      </c>
      <c r="X84">
        <v>1</v>
      </c>
      <c r="Y84">
        <v>36000</v>
      </c>
      <c r="Z84">
        <f t="shared" si="18"/>
        <v>36</v>
      </c>
      <c r="AA84">
        <f t="shared" si="15"/>
        <v>0.80327868852459017</v>
      </c>
      <c r="AB84">
        <v>3</v>
      </c>
      <c r="AC84">
        <v>3</v>
      </c>
      <c r="AD84">
        <v>0</v>
      </c>
      <c r="AE84">
        <v>0</v>
      </c>
      <c r="AF84">
        <v>1</v>
      </c>
      <c r="AG84">
        <v>105</v>
      </c>
      <c r="AH84">
        <f>1400*105</f>
        <v>147000</v>
      </c>
      <c r="AI84">
        <v>2</v>
      </c>
      <c r="AJ84">
        <f>38450</f>
        <v>38450</v>
      </c>
      <c r="AK84">
        <v>0</v>
      </c>
      <c r="AL84">
        <v>1200</v>
      </c>
      <c r="AM84">
        <v>16000</v>
      </c>
      <c r="AN84">
        <v>0</v>
      </c>
      <c r="AO84">
        <v>0</v>
      </c>
      <c r="AP84">
        <f t="shared" si="19"/>
        <v>55.65</v>
      </c>
      <c r="AQ84">
        <f t="shared" si="20"/>
        <v>32.735294117647058</v>
      </c>
      <c r="AR84">
        <f t="shared" si="21"/>
        <v>91.35</v>
      </c>
      <c r="AS84">
        <f t="shared" si="22"/>
        <v>53.735294117647058</v>
      </c>
    </row>
    <row r="85" spans="1:45">
      <c r="A85">
        <v>84</v>
      </c>
      <c r="B85" t="s">
        <v>38</v>
      </c>
      <c r="C85">
        <v>1</v>
      </c>
      <c r="D85">
        <v>42</v>
      </c>
      <c r="E85">
        <v>0</v>
      </c>
      <c r="F85">
        <v>5</v>
      </c>
      <c r="G85">
        <v>5</v>
      </c>
      <c r="H85">
        <v>2</v>
      </c>
      <c r="I85">
        <f t="shared" si="13"/>
        <v>54.278947368421051</v>
      </c>
      <c r="J85">
        <f t="shared" si="14"/>
        <v>102127.36842105264</v>
      </c>
      <c r="K85">
        <f t="shared" si="16"/>
        <v>102.12736842105264</v>
      </c>
      <c r="L85">
        <v>1.9</v>
      </c>
      <c r="M85">
        <v>1</v>
      </c>
      <c r="N85">
        <v>81</v>
      </c>
      <c r="O85">
        <v>22</v>
      </c>
      <c r="P85">
        <v>1</v>
      </c>
      <c r="Q85">
        <v>3</v>
      </c>
      <c r="R85">
        <v>1500</v>
      </c>
      <c r="S85">
        <f t="shared" si="17"/>
        <v>1.5</v>
      </c>
      <c r="T85" s="3">
        <v>9.9999999999999991E-22</v>
      </c>
      <c r="U85" s="3">
        <v>9.9999999999999991E-22</v>
      </c>
      <c r="V85" s="3">
        <v>9.9999999999999991E-22</v>
      </c>
      <c r="W85" s="3">
        <v>9.9999999999999991E-22</v>
      </c>
      <c r="X85" s="3">
        <v>9.9999999999999991E-22</v>
      </c>
      <c r="Y85">
        <v>47400</v>
      </c>
      <c r="Z85">
        <f t="shared" si="18"/>
        <v>47.4</v>
      </c>
      <c r="AA85">
        <f t="shared" si="15"/>
        <v>0.80367955865176732</v>
      </c>
      <c r="AB85">
        <v>4</v>
      </c>
      <c r="AC85">
        <v>3</v>
      </c>
      <c r="AD85">
        <v>0</v>
      </c>
      <c r="AE85">
        <v>0</v>
      </c>
      <c r="AF85">
        <v>1</v>
      </c>
      <c r="AG85">
        <v>103.13</v>
      </c>
      <c r="AH85">
        <v>194042</v>
      </c>
      <c r="AI85">
        <v>1</v>
      </c>
      <c r="AJ85">
        <v>25750</v>
      </c>
      <c r="AK85">
        <v>10000</v>
      </c>
      <c r="AL85">
        <v>1800</v>
      </c>
      <c r="AM85">
        <v>15000</v>
      </c>
      <c r="AN85">
        <v>0</v>
      </c>
      <c r="AO85">
        <v>0</v>
      </c>
      <c r="AP85">
        <f t="shared" si="19"/>
        <v>52.55</v>
      </c>
      <c r="AQ85">
        <f t="shared" si="20"/>
        <v>27.657894736842106</v>
      </c>
      <c r="AR85">
        <f t="shared" si="21"/>
        <v>141.49200000000002</v>
      </c>
      <c r="AS85">
        <f t="shared" si="22"/>
        <v>74.469473684210541</v>
      </c>
    </row>
    <row r="86" spans="1:45">
      <c r="A86">
        <v>85</v>
      </c>
      <c r="B86" t="s">
        <v>38</v>
      </c>
      <c r="C86">
        <v>1</v>
      </c>
      <c r="D86">
        <v>83</v>
      </c>
      <c r="E86">
        <v>1</v>
      </c>
      <c r="F86">
        <v>1</v>
      </c>
      <c r="G86">
        <v>74</v>
      </c>
      <c r="H86">
        <v>3</v>
      </c>
      <c r="I86">
        <f t="shared" si="13"/>
        <v>12.660727272727273</v>
      </c>
      <c r="J86">
        <f t="shared" si="14"/>
        <v>29364</v>
      </c>
      <c r="K86">
        <f t="shared" si="16"/>
        <v>29.364000000000001</v>
      </c>
      <c r="L86">
        <v>2.75</v>
      </c>
      <c r="M86">
        <v>1</v>
      </c>
      <c r="N86">
        <v>68</v>
      </c>
      <c r="O86">
        <v>30</v>
      </c>
      <c r="P86">
        <v>1</v>
      </c>
      <c r="Q86">
        <v>4</v>
      </c>
      <c r="R86">
        <f>55*50</f>
        <v>2750</v>
      </c>
      <c r="S86">
        <f t="shared" si="17"/>
        <v>2.75</v>
      </c>
      <c r="T86">
        <v>4</v>
      </c>
      <c r="U86" s="3">
        <v>9.9999999999999991E-22</v>
      </c>
      <c r="V86" s="3">
        <v>9.9999999999999991E-22</v>
      </c>
      <c r="W86" s="3">
        <v>9.9999999999999991E-22</v>
      </c>
      <c r="X86" s="3">
        <v>9.9999999999999991E-22</v>
      </c>
      <c r="Y86">
        <v>10000</v>
      </c>
      <c r="Z86">
        <f t="shared" si="18"/>
        <v>10</v>
      </c>
      <c r="AA86">
        <f t="shared" si="15"/>
        <v>0.88980837676719815</v>
      </c>
      <c r="AB86">
        <v>1</v>
      </c>
      <c r="AC86">
        <v>3</v>
      </c>
      <c r="AD86">
        <v>0</v>
      </c>
      <c r="AE86">
        <v>1</v>
      </c>
      <c r="AF86">
        <v>1</v>
      </c>
      <c r="AG86">
        <v>34.817</v>
      </c>
      <c r="AH86">
        <v>80751</v>
      </c>
      <c r="AI86">
        <v>3</v>
      </c>
      <c r="AJ86">
        <v>26500</v>
      </c>
      <c r="AK86">
        <v>15000</v>
      </c>
      <c r="AL86">
        <v>500</v>
      </c>
      <c r="AM86">
        <v>23100</v>
      </c>
      <c r="AN86">
        <v>2000</v>
      </c>
      <c r="AO86">
        <v>0</v>
      </c>
      <c r="AP86">
        <f t="shared" si="19"/>
        <v>67.099999999999994</v>
      </c>
      <c r="AQ86">
        <f t="shared" si="20"/>
        <v>24.4</v>
      </c>
      <c r="AR86">
        <f t="shared" si="21"/>
        <v>13.65100000000001</v>
      </c>
      <c r="AS86">
        <f t="shared" si="22"/>
        <v>4.964000000000004</v>
      </c>
    </row>
    <row r="87" spans="1:45">
      <c r="A87">
        <v>86</v>
      </c>
      <c r="B87" t="s">
        <v>38</v>
      </c>
      <c r="C87" s="3">
        <v>0</v>
      </c>
      <c r="D87">
        <v>54</v>
      </c>
      <c r="E87">
        <v>1</v>
      </c>
      <c r="F87">
        <v>2</v>
      </c>
      <c r="G87">
        <v>40</v>
      </c>
      <c r="H87">
        <v>6</v>
      </c>
      <c r="I87">
        <f t="shared" si="13"/>
        <v>30</v>
      </c>
      <c r="J87">
        <f t="shared" si="14"/>
        <v>50333.333333333336</v>
      </c>
      <c r="K87">
        <f t="shared" si="16"/>
        <v>50.333333333333336</v>
      </c>
      <c r="L87">
        <v>3</v>
      </c>
      <c r="M87">
        <v>1</v>
      </c>
      <c r="N87">
        <v>21.75</v>
      </c>
      <c r="O87">
        <v>16</v>
      </c>
      <c r="P87" s="3">
        <v>9.9999999999999991E-22</v>
      </c>
      <c r="Q87" s="3">
        <v>9.9999999999999991E-22</v>
      </c>
      <c r="R87">
        <f>65*55</f>
        <v>3575</v>
      </c>
      <c r="S87">
        <f t="shared" si="17"/>
        <v>3.5750000000000002</v>
      </c>
      <c r="T87" s="3">
        <v>9.9999999999999991E-22</v>
      </c>
      <c r="U87" s="3">
        <v>9.9999999999999991E-22</v>
      </c>
      <c r="V87" s="3">
        <v>9.9999999999999991E-22</v>
      </c>
      <c r="W87" s="3">
        <v>9.9999999999999991E-22</v>
      </c>
      <c r="X87" s="3">
        <v>9.9999999999999991E-22</v>
      </c>
      <c r="Y87">
        <v>0</v>
      </c>
      <c r="Z87">
        <f t="shared" si="18"/>
        <v>0</v>
      </c>
      <c r="AA87">
        <f t="shared" si="15"/>
        <v>1</v>
      </c>
      <c r="AB87">
        <v>4</v>
      </c>
      <c r="AC87">
        <v>3</v>
      </c>
      <c r="AD87">
        <v>1</v>
      </c>
      <c r="AE87">
        <v>0</v>
      </c>
      <c r="AF87">
        <v>1</v>
      </c>
      <c r="AG87">
        <v>90</v>
      </c>
      <c r="AH87">
        <v>151000</v>
      </c>
      <c r="AI87">
        <v>4</v>
      </c>
      <c r="AJ87">
        <v>27600</v>
      </c>
      <c r="AK87">
        <v>0</v>
      </c>
      <c r="AL87">
        <v>0</v>
      </c>
      <c r="AM87">
        <v>28600</v>
      </c>
      <c r="AN87">
        <v>0</v>
      </c>
      <c r="AO87">
        <v>0</v>
      </c>
      <c r="AP87">
        <f t="shared" si="19"/>
        <v>56.2</v>
      </c>
      <c r="AQ87">
        <f t="shared" si="20"/>
        <v>18.733333333333334</v>
      </c>
      <c r="AR87">
        <f t="shared" si="21"/>
        <v>94.8</v>
      </c>
      <c r="AS87">
        <f t="shared" si="22"/>
        <v>31.599999999999998</v>
      </c>
    </row>
    <row r="88" spans="1:45">
      <c r="A88">
        <v>87</v>
      </c>
      <c r="B88" t="s">
        <v>38</v>
      </c>
      <c r="C88">
        <v>1</v>
      </c>
      <c r="D88">
        <v>72</v>
      </c>
      <c r="E88">
        <v>1</v>
      </c>
      <c r="F88">
        <v>1</v>
      </c>
      <c r="G88">
        <v>64</v>
      </c>
      <c r="H88">
        <v>4</v>
      </c>
      <c r="I88">
        <f t="shared" si="13"/>
        <v>35.714285714285715</v>
      </c>
      <c r="J88">
        <f t="shared" si="14"/>
        <v>41071.428571428572</v>
      </c>
      <c r="K88">
        <f t="shared" si="16"/>
        <v>41.071428571428569</v>
      </c>
      <c r="L88">
        <v>0.84</v>
      </c>
      <c r="M88">
        <v>1</v>
      </c>
      <c r="N88">
        <v>42.5</v>
      </c>
      <c r="O88">
        <v>19</v>
      </c>
      <c r="P88">
        <v>1</v>
      </c>
      <c r="Q88" s="3">
        <v>9.9999999999999991E-22</v>
      </c>
      <c r="R88">
        <f>13*50</f>
        <v>650</v>
      </c>
      <c r="S88">
        <f t="shared" si="17"/>
        <v>0.65</v>
      </c>
      <c r="T88" s="3">
        <v>9.9999999999999991E-22</v>
      </c>
      <c r="U88" s="3">
        <v>9.9999999999999991E-22</v>
      </c>
      <c r="V88" s="3">
        <v>9.9999999999999991E-22</v>
      </c>
      <c r="W88" s="3">
        <v>9.9999999999999991E-22</v>
      </c>
      <c r="X88" s="3">
        <v>9.9999999999999991E-22</v>
      </c>
      <c r="Y88">
        <v>102000</v>
      </c>
      <c r="Z88">
        <f t="shared" si="18"/>
        <v>102</v>
      </c>
      <c r="AA88">
        <f t="shared" si="15"/>
        <v>0.25274725274725274</v>
      </c>
      <c r="AB88">
        <v>3</v>
      </c>
      <c r="AC88">
        <v>3</v>
      </c>
      <c r="AD88">
        <v>0</v>
      </c>
      <c r="AE88">
        <v>0</v>
      </c>
      <c r="AF88">
        <v>1</v>
      </c>
      <c r="AG88">
        <v>30</v>
      </c>
      <c r="AH88">
        <v>34500</v>
      </c>
      <c r="AI88">
        <v>3</v>
      </c>
      <c r="AJ88">
        <v>9000</v>
      </c>
      <c r="AK88">
        <v>8000</v>
      </c>
      <c r="AL88">
        <v>0</v>
      </c>
      <c r="AM88">
        <v>5460</v>
      </c>
      <c r="AN88">
        <v>0</v>
      </c>
      <c r="AO88">
        <v>0</v>
      </c>
      <c r="AP88">
        <f t="shared" si="19"/>
        <v>22.46</v>
      </c>
      <c r="AQ88">
        <f t="shared" si="20"/>
        <v>26.738095238095241</v>
      </c>
      <c r="AR88">
        <f t="shared" si="21"/>
        <v>12.04</v>
      </c>
      <c r="AS88">
        <f t="shared" si="22"/>
        <v>14.333333333333332</v>
      </c>
    </row>
    <row r="89" spans="1:45">
      <c r="A89">
        <v>88</v>
      </c>
      <c r="B89" t="s">
        <v>38</v>
      </c>
      <c r="C89" s="3">
        <v>0</v>
      </c>
      <c r="D89">
        <v>64</v>
      </c>
      <c r="E89">
        <v>1</v>
      </c>
      <c r="F89">
        <v>3</v>
      </c>
      <c r="G89">
        <v>50</v>
      </c>
      <c r="H89">
        <v>4</v>
      </c>
      <c r="I89">
        <f t="shared" si="13"/>
        <v>16.666666666666668</v>
      </c>
      <c r="J89">
        <f t="shared" si="14"/>
        <v>15000</v>
      </c>
      <c r="K89">
        <f t="shared" si="16"/>
        <v>15</v>
      </c>
      <c r="L89">
        <v>1.2</v>
      </c>
      <c r="M89">
        <v>2</v>
      </c>
      <c r="N89">
        <v>37</v>
      </c>
      <c r="O89">
        <v>15</v>
      </c>
      <c r="P89">
        <v>1</v>
      </c>
      <c r="Q89">
        <v>3</v>
      </c>
      <c r="R89">
        <f>12*50</f>
        <v>600</v>
      </c>
      <c r="S89">
        <f t="shared" si="17"/>
        <v>0.6</v>
      </c>
      <c r="T89" s="3">
        <v>9.9999999999999991E-22</v>
      </c>
      <c r="U89" s="3">
        <v>9.9999999999999991E-22</v>
      </c>
      <c r="V89" s="3">
        <v>9.9999999999999991E-22</v>
      </c>
      <c r="W89" s="3">
        <v>9.9999999999999991E-22</v>
      </c>
      <c r="X89" s="3">
        <v>9.9999999999999991E-22</v>
      </c>
      <c r="Y89">
        <v>20000</v>
      </c>
      <c r="Z89">
        <f t="shared" si="18"/>
        <v>20</v>
      </c>
      <c r="AA89">
        <f t="shared" si="15"/>
        <v>0.47368421052631576</v>
      </c>
      <c r="AB89">
        <v>4</v>
      </c>
      <c r="AC89">
        <v>1</v>
      </c>
      <c r="AD89">
        <v>0</v>
      </c>
      <c r="AE89">
        <v>0</v>
      </c>
      <c r="AF89">
        <v>1</v>
      </c>
      <c r="AG89">
        <v>20</v>
      </c>
      <c r="AH89">
        <v>18000</v>
      </c>
      <c r="AI89">
        <v>4</v>
      </c>
      <c r="AJ89">
        <v>5000</v>
      </c>
      <c r="AK89">
        <v>5100</v>
      </c>
      <c r="AL89">
        <v>0</v>
      </c>
      <c r="AM89">
        <v>11880</v>
      </c>
      <c r="AN89">
        <v>0</v>
      </c>
      <c r="AO89">
        <v>0</v>
      </c>
      <c r="AP89">
        <f t="shared" si="19"/>
        <v>21.98</v>
      </c>
      <c r="AQ89">
        <f t="shared" si="20"/>
        <v>18.316666666666666</v>
      </c>
      <c r="AR89">
        <f t="shared" si="21"/>
        <v>-3.9800000000000004</v>
      </c>
      <c r="AS89">
        <f t="shared" si="22"/>
        <v>-3.3166666666666673</v>
      </c>
    </row>
    <row r="90" spans="1:45">
      <c r="A90">
        <v>89</v>
      </c>
      <c r="B90" t="s">
        <v>38</v>
      </c>
      <c r="C90" s="3">
        <v>0</v>
      </c>
      <c r="D90">
        <v>84</v>
      </c>
      <c r="E90">
        <v>1</v>
      </c>
      <c r="F90">
        <v>2</v>
      </c>
      <c r="G90">
        <v>65</v>
      </c>
      <c r="H90">
        <v>4</v>
      </c>
      <c r="I90">
        <f t="shared" si="13"/>
        <v>50</v>
      </c>
      <c r="J90">
        <f t="shared" si="14"/>
        <v>86000</v>
      </c>
      <c r="K90">
        <f t="shared" si="16"/>
        <v>86</v>
      </c>
      <c r="L90">
        <v>2</v>
      </c>
      <c r="M90">
        <v>3</v>
      </c>
      <c r="N90">
        <v>5</v>
      </c>
      <c r="O90">
        <v>26</v>
      </c>
      <c r="P90">
        <v>1</v>
      </c>
      <c r="Q90">
        <v>8</v>
      </c>
      <c r="R90">
        <f>45*50</f>
        <v>2250</v>
      </c>
      <c r="S90">
        <f t="shared" si="17"/>
        <v>2.25</v>
      </c>
      <c r="T90" s="3">
        <v>9.9999999999999991E-22</v>
      </c>
      <c r="U90" s="3">
        <v>9.9999999999999991E-22</v>
      </c>
      <c r="V90" s="3">
        <v>9.9999999999999991E-22</v>
      </c>
      <c r="W90" s="3">
        <v>9.9999999999999991E-22</v>
      </c>
      <c r="X90" s="3">
        <v>9.9999999999999991E-22</v>
      </c>
      <c r="Y90">
        <v>180000</v>
      </c>
      <c r="Z90">
        <f t="shared" si="18"/>
        <v>180</v>
      </c>
      <c r="AA90">
        <f t="shared" si="15"/>
        <v>0.48863636363636365</v>
      </c>
      <c r="AB90">
        <v>4</v>
      </c>
      <c r="AC90">
        <v>1</v>
      </c>
      <c r="AD90">
        <v>0</v>
      </c>
      <c r="AE90">
        <v>0</v>
      </c>
      <c r="AF90">
        <v>1</v>
      </c>
      <c r="AG90">
        <v>100</v>
      </c>
      <c r="AH90">
        <v>172000</v>
      </c>
      <c r="AI90">
        <v>3</v>
      </c>
      <c r="AJ90">
        <v>35000</v>
      </c>
      <c r="AK90">
        <v>4500</v>
      </c>
      <c r="AL90">
        <v>1200</v>
      </c>
      <c r="AM90">
        <v>22500</v>
      </c>
      <c r="AN90">
        <v>0</v>
      </c>
      <c r="AO90">
        <v>0</v>
      </c>
      <c r="AP90">
        <f t="shared" si="19"/>
        <v>63.2</v>
      </c>
      <c r="AQ90">
        <f t="shared" si="20"/>
        <v>31.6</v>
      </c>
      <c r="AR90">
        <f t="shared" si="21"/>
        <v>108.8</v>
      </c>
      <c r="AS90">
        <f t="shared" si="22"/>
        <v>54.4</v>
      </c>
    </row>
    <row r="91" spans="1:45">
      <c r="A91">
        <v>90</v>
      </c>
      <c r="B91" t="s">
        <v>39</v>
      </c>
      <c r="C91">
        <v>1</v>
      </c>
      <c r="D91">
        <v>56</v>
      </c>
      <c r="E91">
        <v>1</v>
      </c>
      <c r="F91">
        <v>4</v>
      </c>
      <c r="G91">
        <v>30</v>
      </c>
      <c r="H91">
        <v>7</v>
      </c>
      <c r="I91">
        <f t="shared" si="13"/>
        <v>70</v>
      </c>
      <c r="J91">
        <f t="shared" si="14"/>
        <v>84000</v>
      </c>
      <c r="K91">
        <f t="shared" si="16"/>
        <v>84</v>
      </c>
      <c r="L91">
        <v>0.5</v>
      </c>
      <c r="M91">
        <v>1</v>
      </c>
      <c r="N91">
        <v>4.5</v>
      </c>
      <c r="O91">
        <v>6</v>
      </c>
      <c r="P91">
        <v>0.5</v>
      </c>
      <c r="Q91">
        <v>4</v>
      </c>
      <c r="R91">
        <f>10*50</f>
        <v>500</v>
      </c>
      <c r="S91">
        <f t="shared" si="17"/>
        <v>0.5</v>
      </c>
      <c r="T91" s="3">
        <v>9.9999999999999991E-22</v>
      </c>
      <c r="U91" s="3">
        <v>9.9999999999999991E-22</v>
      </c>
      <c r="V91" s="3">
        <v>9.9999999999999991E-22</v>
      </c>
      <c r="W91" s="3">
        <v>9.9999999999999991E-22</v>
      </c>
      <c r="X91" s="3">
        <v>9.9999999999999991E-22</v>
      </c>
      <c r="Y91">
        <v>300000</v>
      </c>
      <c r="Z91">
        <f t="shared" si="18"/>
        <v>300</v>
      </c>
      <c r="AA91">
        <f t="shared" si="15"/>
        <v>0.12280701754385964</v>
      </c>
      <c r="AB91">
        <v>3</v>
      </c>
      <c r="AC91">
        <v>3</v>
      </c>
      <c r="AD91">
        <v>0</v>
      </c>
      <c r="AE91">
        <v>0</v>
      </c>
      <c r="AF91">
        <v>1</v>
      </c>
      <c r="AG91">
        <v>35</v>
      </c>
      <c r="AH91">
        <v>42000</v>
      </c>
      <c r="AI91">
        <v>1</v>
      </c>
      <c r="AJ91">
        <f>1250+12000</f>
        <v>13250</v>
      </c>
      <c r="AK91">
        <v>7000</v>
      </c>
      <c r="AL91">
        <v>2400</v>
      </c>
      <c r="AM91">
        <v>4500</v>
      </c>
      <c r="AN91">
        <v>0</v>
      </c>
      <c r="AO91">
        <v>0</v>
      </c>
      <c r="AP91">
        <f t="shared" si="19"/>
        <v>27.15</v>
      </c>
      <c r="AQ91">
        <f t="shared" si="20"/>
        <v>54.3</v>
      </c>
      <c r="AR91">
        <f t="shared" si="21"/>
        <v>14.850000000000001</v>
      </c>
      <c r="AS91">
        <f t="shared" si="22"/>
        <v>29.700000000000003</v>
      </c>
    </row>
    <row r="92" spans="1:45">
      <c r="A92">
        <v>91</v>
      </c>
      <c r="B92" t="s">
        <v>39</v>
      </c>
      <c r="C92">
        <v>1</v>
      </c>
      <c r="D92">
        <v>59</v>
      </c>
      <c r="E92">
        <v>0</v>
      </c>
      <c r="F92">
        <v>5</v>
      </c>
      <c r="G92">
        <v>25</v>
      </c>
      <c r="H92">
        <v>4</v>
      </c>
      <c r="I92">
        <f t="shared" si="13"/>
        <v>50</v>
      </c>
      <c r="J92">
        <f t="shared" si="14"/>
        <v>84000</v>
      </c>
      <c r="K92">
        <f t="shared" si="16"/>
        <v>84</v>
      </c>
      <c r="L92">
        <v>0.5</v>
      </c>
      <c r="M92">
        <v>1</v>
      </c>
      <c r="N92">
        <v>90</v>
      </c>
      <c r="O92">
        <v>14</v>
      </c>
      <c r="P92">
        <v>1</v>
      </c>
      <c r="Q92">
        <v>3</v>
      </c>
      <c r="R92">
        <v>400</v>
      </c>
      <c r="S92">
        <f t="shared" si="17"/>
        <v>0.4</v>
      </c>
      <c r="T92" s="3">
        <v>9.9999999999999991E-22</v>
      </c>
      <c r="U92" s="3">
        <v>9.9999999999999991E-22</v>
      </c>
      <c r="V92" s="3">
        <v>9.9999999999999991E-22</v>
      </c>
      <c r="W92" s="3">
        <v>9.9999999999999991E-22</v>
      </c>
      <c r="X92">
        <v>1</v>
      </c>
      <c r="Y92">
        <v>900000</v>
      </c>
      <c r="Z92">
        <f t="shared" si="18"/>
        <v>900</v>
      </c>
      <c r="AA92">
        <f t="shared" si="15"/>
        <v>4.4585987261146494E-2</v>
      </c>
      <c r="AB92">
        <v>3</v>
      </c>
      <c r="AC92">
        <v>3</v>
      </c>
      <c r="AD92">
        <v>0</v>
      </c>
      <c r="AE92">
        <v>0</v>
      </c>
      <c r="AF92">
        <v>1</v>
      </c>
      <c r="AG92">
        <v>25</v>
      </c>
      <c r="AH92">
        <v>42000</v>
      </c>
      <c r="AI92">
        <v>2</v>
      </c>
      <c r="AJ92">
        <f>1800+8750</f>
        <v>10550</v>
      </c>
      <c r="AK92">
        <v>2500</v>
      </c>
      <c r="AL92">
        <v>1800</v>
      </c>
      <c r="AM92">
        <v>3360</v>
      </c>
      <c r="AN92">
        <v>0</v>
      </c>
      <c r="AO92">
        <v>0</v>
      </c>
      <c r="AP92">
        <f t="shared" si="19"/>
        <v>18.21</v>
      </c>
      <c r="AQ92">
        <f t="shared" si="20"/>
        <v>36.42</v>
      </c>
      <c r="AR92">
        <f t="shared" si="21"/>
        <v>23.79</v>
      </c>
      <c r="AS92">
        <f t="shared" si="22"/>
        <v>47.58</v>
      </c>
    </row>
    <row r="93" spans="1:45">
      <c r="A93">
        <v>92</v>
      </c>
      <c r="B93" t="s">
        <v>39</v>
      </c>
      <c r="C93">
        <v>1</v>
      </c>
      <c r="D93">
        <v>82</v>
      </c>
      <c r="E93">
        <v>0</v>
      </c>
      <c r="F93">
        <v>1</v>
      </c>
      <c r="G93">
        <v>70</v>
      </c>
      <c r="H93">
        <v>5</v>
      </c>
      <c r="I93">
        <f t="shared" si="13"/>
        <v>32</v>
      </c>
      <c r="J93">
        <f t="shared" si="14"/>
        <v>186931.33333333334</v>
      </c>
      <c r="K93">
        <f t="shared" si="16"/>
        <v>186.93133333333336</v>
      </c>
      <c r="L93">
        <v>1.5</v>
      </c>
      <c r="M93">
        <v>1</v>
      </c>
      <c r="N93">
        <v>37.5</v>
      </c>
      <c r="O93">
        <v>23</v>
      </c>
      <c r="P93">
        <v>1</v>
      </c>
      <c r="Q93">
        <v>2</v>
      </c>
      <c r="R93">
        <f>40*50</f>
        <v>2000</v>
      </c>
      <c r="S93">
        <f t="shared" si="17"/>
        <v>2</v>
      </c>
      <c r="T93" s="3">
        <v>9.9999999999999991E-22</v>
      </c>
      <c r="U93" s="3">
        <v>9.9999999999999991E-22</v>
      </c>
      <c r="V93" s="3">
        <v>9.9999999999999991E-22</v>
      </c>
      <c r="W93" s="3">
        <v>9.9999999999999991E-22</v>
      </c>
      <c r="X93" s="3">
        <v>9.9999999999999991E-22</v>
      </c>
      <c r="Y93">
        <v>6000</v>
      </c>
      <c r="Z93">
        <f t="shared" si="18"/>
        <v>6</v>
      </c>
      <c r="AA93">
        <f t="shared" si="15"/>
        <v>0.97905005988191218</v>
      </c>
      <c r="AB93">
        <v>3</v>
      </c>
      <c r="AC93">
        <v>3</v>
      </c>
      <c r="AD93">
        <v>0</v>
      </c>
      <c r="AE93">
        <v>0</v>
      </c>
      <c r="AF93">
        <v>1</v>
      </c>
      <c r="AG93">
        <v>48</v>
      </c>
      <c r="AH93">
        <v>280397</v>
      </c>
      <c r="AI93">
        <v>2</v>
      </c>
      <c r="AJ93">
        <f>3000+900+18800</f>
        <v>22700</v>
      </c>
      <c r="AK93">
        <v>7500</v>
      </c>
      <c r="AL93">
        <v>1200</v>
      </c>
      <c r="AM93">
        <v>18800</v>
      </c>
      <c r="AN93">
        <v>0</v>
      </c>
      <c r="AO93">
        <v>0</v>
      </c>
      <c r="AP93">
        <f t="shared" si="19"/>
        <v>50.2</v>
      </c>
      <c r="AQ93">
        <f t="shared" si="20"/>
        <v>33.466666666666669</v>
      </c>
      <c r="AR93">
        <f t="shared" si="21"/>
        <v>230.197</v>
      </c>
      <c r="AS93">
        <f t="shared" si="22"/>
        <v>153.46466666666666</v>
      </c>
    </row>
    <row r="94" spans="1:45">
      <c r="A94">
        <v>93</v>
      </c>
      <c r="B94" t="s">
        <v>39</v>
      </c>
      <c r="C94" s="3">
        <v>0</v>
      </c>
      <c r="D94">
        <v>50</v>
      </c>
      <c r="E94">
        <v>1</v>
      </c>
      <c r="F94">
        <v>2</v>
      </c>
      <c r="G94">
        <v>40</v>
      </c>
      <c r="H94">
        <v>4</v>
      </c>
      <c r="I94">
        <f t="shared" si="13"/>
        <v>60</v>
      </c>
      <c r="J94">
        <f t="shared" si="14"/>
        <v>67200</v>
      </c>
      <c r="K94">
        <f t="shared" si="16"/>
        <v>67.2</v>
      </c>
      <c r="L94">
        <v>0.5</v>
      </c>
      <c r="M94">
        <v>1</v>
      </c>
      <c r="N94">
        <v>225</v>
      </c>
      <c r="O94">
        <v>18</v>
      </c>
      <c r="P94">
        <v>1</v>
      </c>
      <c r="Q94">
        <v>4</v>
      </c>
      <c r="R94">
        <f>50*10</f>
        <v>500</v>
      </c>
      <c r="S94">
        <f t="shared" si="17"/>
        <v>0.5</v>
      </c>
      <c r="T94">
        <v>6</v>
      </c>
      <c r="U94" s="3">
        <v>9.9999999999999991E-22</v>
      </c>
      <c r="V94" s="3">
        <v>9.9999999999999991E-22</v>
      </c>
      <c r="W94" s="3">
        <v>9.9999999999999991E-22</v>
      </c>
      <c r="X94" s="3">
        <v>9.9999999999999991E-22</v>
      </c>
      <c r="Y94">
        <v>16000</v>
      </c>
      <c r="Z94">
        <f t="shared" si="18"/>
        <v>16</v>
      </c>
      <c r="AA94">
        <f t="shared" si="15"/>
        <v>0.67741935483870963</v>
      </c>
      <c r="AB94">
        <v>3</v>
      </c>
      <c r="AC94">
        <v>3</v>
      </c>
      <c r="AD94">
        <v>0</v>
      </c>
      <c r="AE94">
        <v>3</v>
      </c>
      <c r="AF94">
        <v>1</v>
      </c>
      <c r="AG94">
        <v>30</v>
      </c>
      <c r="AH94">
        <f>24*1400</f>
        <v>33600</v>
      </c>
      <c r="AI94">
        <v>2</v>
      </c>
      <c r="AJ94">
        <f>1800+11500</f>
        <v>13300</v>
      </c>
      <c r="AK94">
        <v>5000</v>
      </c>
      <c r="AL94">
        <v>2400</v>
      </c>
      <c r="AM94">
        <v>5000</v>
      </c>
      <c r="AN94">
        <f>1200</f>
        <v>1200</v>
      </c>
      <c r="AO94">
        <v>0</v>
      </c>
      <c r="AP94">
        <f t="shared" si="19"/>
        <v>26.9</v>
      </c>
      <c r="AQ94">
        <f t="shared" si="20"/>
        <v>53.8</v>
      </c>
      <c r="AR94">
        <f t="shared" si="21"/>
        <v>6.7000000000000028</v>
      </c>
      <c r="AS94">
        <f t="shared" si="22"/>
        <v>13.400000000000006</v>
      </c>
    </row>
    <row r="95" spans="1:45">
      <c r="A95">
        <v>94</v>
      </c>
      <c r="B95" t="s">
        <v>39</v>
      </c>
      <c r="C95">
        <v>1</v>
      </c>
      <c r="D95">
        <v>69</v>
      </c>
      <c r="E95">
        <v>1</v>
      </c>
      <c r="F95">
        <v>1</v>
      </c>
      <c r="G95">
        <v>45</v>
      </c>
      <c r="H95">
        <v>6</v>
      </c>
      <c r="I95">
        <f t="shared" si="13"/>
        <v>50</v>
      </c>
      <c r="J95">
        <f t="shared" si="14"/>
        <v>72500</v>
      </c>
      <c r="K95">
        <f t="shared" si="16"/>
        <v>72.5</v>
      </c>
      <c r="L95">
        <v>1</v>
      </c>
      <c r="M95">
        <v>3</v>
      </c>
      <c r="N95">
        <v>135</v>
      </c>
      <c r="O95">
        <v>11</v>
      </c>
      <c r="P95" s="3">
        <v>9.9999999999999991E-22</v>
      </c>
      <c r="Q95">
        <v>8</v>
      </c>
      <c r="R95">
        <v>600</v>
      </c>
      <c r="S95">
        <f t="shared" si="17"/>
        <v>0.6</v>
      </c>
      <c r="T95" s="3">
        <v>9.9999999999999991E-22</v>
      </c>
      <c r="U95" s="3">
        <v>9.9999999999999991E-22</v>
      </c>
      <c r="V95" s="3">
        <v>9.9999999999999991E-22</v>
      </c>
      <c r="W95" s="3">
        <v>9.9999999999999991E-22</v>
      </c>
      <c r="X95" s="3">
        <v>9.9999999999999991E-22</v>
      </c>
      <c r="Y95">
        <v>0</v>
      </c>
      <c r="Z95">
        <f t="shared" si="18"/>
        <v>0</v>
      </c>
      <c r="AA95">
        <f t="shared" si="15"/>
        <v>1</v>
      </c>
      <c r="AB95">
        <v>4</v>
      </c>
      <c r="AC95">
        <v>1</v>
      </c>
      <c r="AD95">
        <v>0</v>
      </c>
      <c r="AE95">
        <v>0</v>
      </c>
      <c r="AF95">
        <v>1</v>
      </c>
      <c r="AG95">
        <v>50</v>
      </c>
      <c r="AH95">
        <v>72500</v>
      </c>
      <c r="AI95">
        <v>3</v>
      </c>
      <c r="AJ95">
        <f>6750+19000</f>
        <v>25750</v>
      </c>
      <c r="AK95">
        <v>0</v>
      </c>
      <c r="AL95">
        <v>1000</v>
      </c>
      <c r="AM95">
        <v>6000</v>
      </c>
      <c r="AN95">
        <v>0</v>
      </c>
      <c r="AO95">
        <v>0</v>
      </c>
      <c r="AP95">
        <f t="shared" si="19"/>
        <v>32.75</v>
      </c>
      <c r="AQ95">
        <f t="shared" si="20"/>
        <v>32.75</v>
      </c>
      <c r="AR95">
        <f t="shared" si="21"/>
        <v>39.75</v>
      </c>
      <c r="AS95">
        <f t="shared" si="22"/>
        <v>39.75</v>
      </c>
    </row>
    <row r="96" spans="1:45">
      <c r="A96">
        <v>95</v>
      </c>
      <c r="B96" t="s">
        <v>39</v>
      </c>
      <c r="C96">
        <v>1</v>
      </c>
      <c r="D96">
        <v>58</v>
      </c>
      <c r="E96">
        <v>0</v>
      </c>
      <c r="F96">
        <v>5</v>
      </c>
      <c r="G96">
        <v>24</v>
      </c>
      <c r="H96">
        <v>3</v>
      </c>
      <c r="I96">
        <f t="shared" si="13"/>
        <v>94.285714285714292</v>
      </c>
      <c r="J96">
        <f t="shared" si="14"/>
        <v>224205.71428571429</v>
      </c>
      <c r="K96">
        <f t="shared" si="16"/>
        <v>224.20571428571429</v>
      </c>
      <c r="L96">
        <v>0.35</v>
      </c>
      <c r="M96">
        <v>1</v>
      </c>
      <c r="N96" s="3">
        <v>9.9999999999999991E-22</v>
      </c>
      <c r="O96">
        <v>472</v>
      </c>
      <c r="P96" s="3">
        <v>9.9999999999999991E-22</v>
      </c>
      <c r="Q96">
        <v>5</v>
      </c>
      <c r="R96">
        <v>250</v>
      </c>
      <c r="S96">
        <f t="shared" si="17"/>
        <v>0.25</v>
      </c>
      <c r="T96" s="3">
        <v>9.9999999999999991E-22</v>
      </c>
      <c r="U96" s="3">
        <v>9.9999999999999991E-22</v>
      </c>
      <c r="V96" s="3">
        <v>9.9999999999999991E-22</v>
      </c>
      <c r="W96" s="3">
        <v>9.9999999999999991E-22</v>
      </c>
      <c r="X96" s="3">
        <v>9.9999999999999991E-22</v>
      </c>
      <c r="Y96">
        <v>288000</v>
      </c>
      <c r="Z96">
        <f t="shared" si="18"/>
        <v>288</v>
      </c>
      <c r="AA96">
        <f t="shared" si="15"/>
        <v>0.21412822807745202</v>
      </c>
      <c r="AB96">
        <v>4</v>
      </c>
      <c r="AC96">
        <v>3</v>
      </c>
      <c r="AD96">
        <v>0</v>
      </c>
      <c r="AE96">
        <v>0</v>
      </c>
      <c r="AF96">
        <v>1</v>
      </c>
      <c r="AG96">
        <v>33</v>
      </c>
      <c r="AH96">
        <v>78472</v>
      </c>
      <c r="AI96">
        <v>2</v>
      </c>
      <c r="AJ96">
        <v>17200</v>
      </c>
      <c r="AK96">
        <v>0</v>
      </c>
      <c r="AL96">
        <v>3000</v>
      </c>
      <c r="AM96">
        <v>4500</v>
      </c>
      <c r="AN96">
        <v>0</v>
      </c>
      <c r="AO96">
        <v>0</v>
      </c>
      <c r="AP96">
        <f t="shared" si="19"/>
        <v>24.7</v>
      </c>
      <c r="AQ96">
        <f t="shared" si="20"/>
        <v>70.571428571428569</v>
      </c>
      <c r="AR96">
        <f t="shared" si="21"/>
        <v>53.771999999999991</v>
      </c>
      <c r="AS96">
        <f t="shared" si="22"/>
        <v>153.63428571428571</v>
      </c>
    </row>
    <row r="97" spans="1:45">
      <c r="A97">
        <v>96</v>
      </c>
      <c r="B97" t="s">
        <v>39</v>
      </c>
      <c r="C97">
        <v>1</v>
      </c>
      <c r="D97">
        <v>66</v>
      </c>
      <c r="E97">
        <v>0</v>
      </c>
      <c r="F97">
        <v>6</v>
      </c>
      <c r="G97">
        <v>19</v>
      </c>
      <c r="H97">
        <v>3</v>
      </c>
      <c r="I97">
        <f t="shared" si="13"/>
        <v>76.666666666666671</v>
      </c>
      <c r="J97">
        <f t="shared" si="14"/>
        <v>186666.66666666669</v>
      </c>
      <c r="K97">
        <f t="shared" si="16"/>
        <v>186.66666666666669</v>
      </c>
      <c r="L97">
        <v>0.3</v>
      </c>
      <c r="M97">
        <v>1</v>
      </c>
      <c r="N97" s="3">
        <v>9.9999999999999991E-22</v>
      </c>
      <c r="O97">
        <v>17</v>
      </c>
      <c r="P97" s="3">
        <v>9.9999999999999991E-22</v>
      </c>
      <c r="Q97">
        <v>1.5</v>
      </c>
      <c r="R97">
        <v>350</v>
      </c>
      <c r="S97">
        <f t="shared" si="17"/>
        <v>0.35</v>
      </c>
      <c r="T97" s="3">
        <v>9.9999999999999991E-22</v>
      </c>
      <c r="U97" s="3">
        <v>9.9999999999999991E-22</v>
      </c>
      <c r="V97" s="3">
        <v>9.9999999999999991E-22</v>
      </c>
      <c r="W97" s="3">
        <v>9.9999999999999991E-22</v>
      </c>
      <c r="X97" s="3">
        <v>9.9999999999999991E-22</v>
      </c>
      <c r="Y97">
        <f>96000+60000+60000+108000</f>
        <v>324000</v>
      </c>
      <c r="Z97">
        <f t="shared" si="18"/>
        <v>324</v>
      </c>
      <c r="AA97">
        <f t="shared" si="15"/>
        <v>0.14736842105263157</v>
      </c>
      <c r="AB97">
        <v>3</v>
      </c>
      <c r="AC97">
        <v>3</v>
      </c>
      <c r="AD97">
        <v>0</v>
      </c>
      <c r="AE97">
        <v>0</v>
      </c>
      <c r="AF97">
        <v>1</v>
      </c>
      <c r="AG97">
        <v>23</v>
      </c>
      <c r="AH97">
        <v>56000</v>
      </c>
      <c r="AI97">
        <v>2</v>
      </c>
      <c r="AJ97">
        <f>7900+1800</f>
        <v>9700</v>
      </c>
      <c r="AK97">
        <v>0</v>
      </c>
      <c r="AL97">
        <v>7900</v>
      </c>
      <c r="AM97">
        <v>3150</v>
      </c>
      <c r="AN97">
        <v>0</v>
      </c>
      <c r="AO97">
        <v>0</v>
      </c>
      <c r="AP97">
        <f t="shared" si="19"/>
        <v>20.75</v>
      </c>
      <c r="AQ97">
        <f t="shared" si="20"/>
        <v>69.166666666666671</v>
      </c>
      <c r="AR97">
        <f t="shared" si="21"/>
        <v>35.25</v>
      </c>
      <c r="AS97">
        <f t="shared" si="22"/>
        <v>117.5</v>
      </c>
    </row>
    <row r="98" spans="1:45">
      <c r="A98">
        <v>97</v>
      </c>
      <c r="B98" t="s">
        <v>39</v>
      </c>
      <c r="C98">
        <v>1</v>
      </c>
      <c r="D98">
        <v>62</v>
      </c>
      <c r="E98">
        <v>0</v>
      </c>
      <c r="F98">
        <v>4</v>
      </c>
      <c r="G98">
        <v>25</v>
      </c>
      <c r="H98">
        <v>2</v>
      </c>
      <c r="I98">
        <f t="shared" ref="I98:I129" si="23">AG98/L98</f>
        <v>60.769230769230766</v>
      </c>
      <c r="J98">
        <f t="shared" ref="J98:J129" si="24">AH98/L98</f>
        <v>194433.84615384616</v>
      </c>
      <c r="K98">
        <f t="shared" si="16"/>
        <v>194.43384615384616</v>
      </c>
      <c r="L98">
        <v>2.6</v>
      </c>
      <c r="M98">
        <v>4</v>
      </c>
      <c r="N98" s="3">
        <v>9.9999999999999991E-22</v>
      </c>
      <c r="O98">
        <v>88</v>
      </c>
      <c r="P98">
        <v>1</v>
      </c>
      <c r="Q98">
        <v>11</v>
      </c>
      <c r="R98">
        <f>25*50</f>
        <v>1250</v>
      </c>
      <c r="S98">
        <f t="shared" si="17"/>
        <v>1.25</v>
      </c>
      <c r="T98" s="3">
        <v>9.9999999999999991E-22</v>
      </c>
      <c r="U98" s="3">
        <v>9.9999999999999991E-22</v>
      </c>
      <c r="V98" s="3">
        <v>9.9999999999999991E-22</v>
      </c>
      <c r="W98" s="3">
        <v>9.9999999999999991E-22</v>
      </c>
      <c r="X98">
        <v>1</v>
      </c>
      <c r="Y98">
        <v>180000</v>
      </c>
      <c r="Z98">
        <f t="shared" si="18"/>
        <v>180</v>
      </c>
      <c r="AA98">
        <f t="shared" ref="AA98:AA129" si="25">AH98/(AH98+Y98)</f>
        <v>0.73742866812150631</v>
      </c>
      <c r="AB98">
        <v>3</v>
      </c>
      <c r="AC98">
        <v>3</v>
      </c>
      <c r="AD98">
        <v>0</v>
      </c>
      <c r="AE98">
        <v>0</v>
      </c>
      <c r="AF98">
        <v>1</v>
      </c>
      <c r="AG98">
        <v>158</v>
      </c>
      <c r="AH98">
        <v>505528</v>
      </c>
      <c r="AI98">
        <v>2</v>
      </c>
      <c r="AJ98">
        <v>76300</v>
      </c>
      <c r="AK98">
        <v>4050</v>
      </c>
      <c r="AL98">
        <v>6600</v>
      </c>
      <c r="AM98">
        <v>22500</v>
      </c>
      <c r="AN98">
        <v>0</v>
      </c>
      <c r="AO98">
        <v>0</v>
      </c>
      <c r="AP98">
        <f t="shared" si="19"/>
        <v>109.45</v>
      </c>
      <c r="AQ98">
        <f t="shared" si="20"/>
        <v>42.096153846153847</v>
      </c>
      <c r="AR98">
        <f t="shared" si="21"/>
        <v>396.07800000000003</v>
      </c>
      <c r="AS98">
        <f t="shared" si="22"/>
        <v>152.33769230769232</v>
      </c>
    </row>
    <row r="99" spans="1:45">
      <c r="A99">
        <v>98</v>
      </c>
      <c r="B99" t="s">
        <v>39</v>
      </c>
      <c r="C99" s="3">
        <v>0</v>
      </c>
      <c r="D99">
        <v>51</v>
      </c>
      <c r="E99">
        <v>1</v>
      </c>
      <c r="F99">
        <v>4</v>
      </c>
      <c r="G99">
        <v>25</v>
      </c>
      <c r="H99">
        <v>6</v>
      </c>
      <c r="I99">
        <f t="shared" si="23"/>
        <v>63</v>
      </c>
      <c r="J99">
        <f t="shared" si="24"/>
        <v>171000</v>
      </c>
      <c r="K99">
        <f t="shared" si="16"/>
        <v>171</v>
      </c>
      <c r="L99">
        <v>1</v>
      </c>
      <c r="M99">
        <v>1</v>
      </c>
      <c r="N99">
        <v>105</v>
      </c>
      <c r="O99">
        <f>45</f>
        <v>45</v>
      </c>
      <c r="P99">
        <v>0.5</v>
      </c>
      <c r="Q99">
        <v>4</v>
      </c>
      <c r="R99">
        <v>500</v>
      </c>
      <c r="S99">
        <f t="shared" si="17"/>
        <v>0.5</v>
      </c>
      <c r="T99" s="3">
        <v>9.9999999999999991E-22</v>
      </c>
      <c r="U99" s="3">
        <v>9.9999999999999991E-22</v>
      </c>
      <c r="V99" s="3">
        <v>9.9999999999999991E-22</v>
      </c>
      <c r="W99" s="3">
        <v>9.9999999999999991E-22</v>
      </c>
      <c r="X99" s="3">
        <v>9.9999999999999991E-22</v>
      </c>
      <c r="Y99">
        <v>0</v>
      </c>
      <c r="Z99">
        <f t="shared" si="18"/>
        <v>0</v>
      </c>
      <c r="AA99">
        <f t="shared" si="25"/>
        <v>1</v>
      </c>
      <c r="AB99">
        <v>4</v>
      </c>
      <c r="AC99">
        <v>3</v>
      </c>
      <c r="AD99">
        <v>0</v>
      </c>
      <c r="AE99">
        <v>0</v>
      </c>
      <c r="AF99">
        <v>1</v>
      </c>
      <c r="AG99">
        <v>63</v>
      </c>
      <c r="AH99">
        <v>171000</v>
      </c>
      <c r="AI99">
        <v>3</v>
      </c>
      <c r="AJ99">
        <f>3000+4500+25050</f>
        <v>32550</v>
      </c>
      <c r="AK99">
        <v>7500</v>
      </c>
      <c r="AL99">
        <v>2100</v>
      </c>
      <c r="AM99">
        <v>4500</v>
      </c>
      <c r="AN99">
        <v>0</v>
      </c>
      <c r="AO99">
        <v>0</v>
      </c>
      <c r="AP99">
        <f t="shared" si="19"/>
        <v>46.65</v>
      </c>
      <c r="AQ99">
        <f t="shared" si="20"/>
        <v>46.65</v>
      </c>
      <c r="AR99">
        <f t="shared" si="21"/>
        <v>124.35</v>
      </c>
      <c r="AS99">
        <f t="shared" si="22"/>
        <v>124.35</v>
      </c>
    </row>
    <row r="100" spans="1:45">
      <c r="A100">
        <v>99</v>
      </c>
      <c r="B100" t="s">
        <v>39</v>
      </c>
      <c r="C100" s="3">
        <v>0</v>
      </c>
      <c r="D100">
        <v>54</v>
      </c>
      <c r="E100">
        <v>1</v>
      </c>
      <c r="F100">
        <v>2</v>
      </c>
      <c r="G100">
        <v>37</v>
      </c>
      <c r="H100">
        <v>8</v>
      </c>
      <c r="I100">
        <f t="shared" si="23"/>
        <v>60</v>
      </c>
      <c r="J100">
        <f t="shared" si="24"/>
        <v>95930</v>
      </c>
      <c r="K100">
        <f t="shared" si="16"/>
        <v>95.93</v>
      </c>
      <c r="L100">
        <v>0.5</v>
      </c>
      <c r="M100">
        <v>1</v>
      </c>
      <c r="N100">
        <v>90</v>
      </c>
      <c r="O100">
        <v>28</v>
      </c>
      <c r="P100" s="3">
        <v>9.9999999999999991E-22</v>
      </c>
      <c r="Q100">
        <v>2</v>
      </c>
      <c r="R100">
        <v>400</v>
      </c>
      <c r="S100">
        <f t="shared" si="17"/>
        <v>0.4</v>
      </c>
      <c r="T100" s="3">
        <v>9.9999999999999991E-22</v>
      </c>
      <c r="U100" s="3">
        <v>9.9999999999999991E-22</v>
      </c>
      <c r="V100" s="3">
        <v>9.9999999999999991E-22</v>
      </c>
      <c r="W100" s="3">
        <v>9.9999999999999991E-22</v>
      </c>
      <c r="X100" s="3">
        <v>9.9999999999999991E-22</v>
      </c>
      <c r="Y100">
        <f>129600+86400+87264</f>
        <v>303264</v>
      </c>
      <c r="Z100">
        <f t="shared" si="18"/>
        <v>303.26400000000001</v>
      </c>
      <c r="AA100">
        <f t="shared" si="25"/>
        <v>0.13656332478240693</v>
      </c>
      <c r="AB100">
        <v>5</v>
      </c>
      <c r="AC100">
        <v>3</v>
      </c>
      <c r="AD100">
        <v>0</v>
      </c>
      <c r="AE100">
        <v>0</v>
      </c>
      <c r="AF100">
        <v>1</v>
      </c>
      <c r="AG100">
        <v>30</v>
      </c>
      <c r="AH100">
        <v>47965</v>
      </c>
      <c r="AI100">
        <v>2</v>
      </c>
      <c r="AJ100">
        <v>15400</v>
      </c>
      <c r="AK100">
        <v>0</v>
      </c>
      <c r="AL100">
        <v>1200</v>
      </c>
      <c r="AM100">
        <v>3600</v>
      </c>
      <c r="AN100">
        <v>0</v>
      </c>
      <c r="AO100">
        <v>0</v>
      </c>
      <c r="AP100">
        <f t="shared" si="19"/>
        <v>20.2</v>
      </c>
      <c r="AQ100">
        <f t="shared" si="20"/>
        <v>40.4</v>
      </c>
      <c r="AR100">
        <f t="shared" si="21"/>
        <v>27.765000000000004</v>
      </c>
      <c r="AS100">
        <f t="shared" si="22"/>
        <v>55.530000000000008</v>
      </c>
    </row>
    <row r="101" spans="1:45">
      <c r="A101">
        <v>100</v>
      </c>
      <c r="B101" t="s">
        <v>39</v>
      </c>
      <c r="C101">
        <v>1</v>
      </c>
      <c r="D101">
        <v>41</v>
      </c>
      <c r="E101">
        <v>0</v>
      </c>
      <c r="F101">
        <v>4</v>
      </c>
      <c r="G101">
        <v>29</v>
      </c>
      <c r="H101">
        <v>4</v>
      </c>
      <c r="I101">
        <f t="shared" si="23"/>
        <v>50.128205128205131</v>
      </c>
      <c r="J101">
        <f t="shared" si="24"/>
        <v>154842.73504273506</v>
      </c>
      <c r="K101">
        <f t="shared" si="16"/>
        <v>154.84273504273506</v>
      </c>
      <c r="L101">
        <v>1.17</v>
      </c>
      <c r="M101">
        <v>2</v>
      </c>
      <c r="N101">
        <v>75</v>
      </c>
      <c r="O101">
        <v>21</v>
      </c>
      <c r="P101" s="3">
        <v>9.9999999999999991E-22</v>
      </c>
      <c r="Q101">
        <v>6</v>
      </c>
      <c r="R101">
        <v>1000</v>
      </c>
      <c r="S101">
        <f t="shared" si="17"/>
        <v>1</v>
      </c>
      <c r="T101" s="3">
        <v>9.9999999999999991E-22</v>
      </c>
      <c r="U101" s="3">
        <v>9.9999999999999991E-22</v>
      </c>
      <c r="V101" s="3">
        <v>9.9999999999999991E-22</v>
      </c>
      <c r="W101" s="3">
        <v>9.9999999999999991E-22</v>
      </c>
      <c r="X101" s="3">
        <v>9.9999999999999991E-22</v>
      </c>
      <c r="Y101">
        <v>60000</v>
      </c>
      <c r="Z101">
        <f t="shared" si="18"/>
        <v>60</v>
      </c>
      <c r="AA101">
        <f t="shared" si="25"/>
        <v>0.75120871101233178</v>
      </c>
      <c r="AB101">
        <v>4</v>
      </c>
      <c r="AC101">
        <v>3</v>
      </c>
      <c r="AD101">
        <v>0</v>
      </c>
      <c r="AE101">
        <v>0</v>
      </c>
      <c r="AF101">
        <v>1</v>
      </c>
      <c r="AG101">
        <v>58.65</v>
      </c>
      <c r="AH101">
        <v>181166</v>
      </c>
      <c r="AI101">
        <v>2</v>
      </c>
      <c r="AJ101">
        <f>2700+19345</f>
        <v>22045</v>
      </c>
      <c r="AK101">
        <v>0</v>
      </c>
      <c r="AL101">
        <v>3600</v>
      </c>
      <c r="AM101">
        <v>9000</v>
      </c>
      <c r="AN101">
        <v>0</v>
      </c>
      <c r="AO101">
        <v>0</v>
      </c>
      <c r="AP101">
        <f t="shared" si="19"/>
        <v>34.645000000000003</v>
      </c>
      <c r="AQ101">
        <f t="shared" si="20"/>
        <v>29.611111111111114</v>
      </c>
      <c r="AR101">
        <f t="shared" si="21"/>
        <v>146.52099999999999</v>
      </c>
      <c r="AS101">
        <f t="shared" si="22"/>
        <v>125.23162393162393</v>
      </c>
    </row>
    <row r="102" spans="1:45">
      <c r="A102">
        <v>101</v>
      </c>
      <c r="B102" t="s">
        <v>39</v>
      </c>
      <c r="C102">
        <v>1</v>
      </c>
      <c r="D102">
        <v>97</v>
      </c>
      <c r="E102">
        <v>0</v>
      </c>
      <c r="F102">
        <v>0</v>
      </c>
      <c r="G102">
        <v>82</v>
      </c>
      <c r="H102">
        <v>3</v>
      </c>
      <c r="I102">
        <f t="shared" si="23"/>
        <v>25</v>
      </c>
      <c r="J102">
        <f t="shared" si="24"/>
        <v>73333.333333333343</v>
      </c>
      <c r="K102">
        <f t="shared" si="16"/>
        <v>73.333333333333343</v>
      </c>
      <c r="L102">
        <v>0.6</v>
      </c>
      <c r="M102">
        <v>3</v>
      </c>
      <c r="N102" s="3">
        <v>9.9999999999999991E-22</v>
      </c>
      <c r="O102">
        <v>22</v>
      </c>
      <c r="P102" s="3">
        <v>9.9999999999999991E-22</v>
      </c>
      <c r="Q102">
        <v>5</v>
      </c>
      <c r="R102">
        <v>300</v>
      </c>
      <c r="S102">
        <f t="shared" si="17"/>
        <v>0.3</v>
      </c>
      <c r="T102" s="3">
        <v>9.9999999999999991E-22</v>
      </c>
      <c r="U102" s="3">
        <v>9.9999999999999991E-22</v>
      </c>
      <c r="V102" s="3">
        <v>9.9999999999999991E-22</v>
      </c>
      <c r="W102" s="3">
        <v>9.9999999999999991E-22</v>
      </c>
      <c r="X102" s="3">
        <v>9.9999999999999991E-22</v>
      </c>
      <c r="Y102">
        <v>36000</v>
      </c>
      <c r="Z102">
        <f t="shared" si="18"/>
        <v>36</v>
      </c>
      <c r="AA102">
        <f t="shared" si="25"/>
        <v>0.55000000000000004</v>
      </c>
      <c r="AB102">
        <v>3</v>
      </c>
      <c r="AC102">
        <v>3</v>
      </c>
      <c r="AD102">
        <v>0</v>
      </c>
      <c r="AE102">
        <v>0</v>
      </c>
      <c r="AF102">
        <v>1</v>
      </c>
      <c r="AG102">
        <v>15</v>
      </c>
      <c r="AH102">
        <v>44000</v>
      </c>
      <c r="AI102">
        <v>2</v>
      </c>
      <c r="AJ102">
        <v>8800</v>
      </c>
      <c r="AK102">
        <v>0</v>
      </c>
      <c r="AL102">
        <v>3000</v>
      </c>
      <c r="AM102">
        <v>2700</v>
      </c>
      <c r="AN102">
        <v>0</v>
      </c>
      <c r="AO102">
        <v>0</v>
      </c>
      <c r="AP102">
        <f t="shared" si="19"/>
        <v>14.5</v>
      </c>
      <c r="AQ102">
        <f t="shared" si="20"/>
        <v>24.166666666666668</v>
      </c>
      <c r="AR102">
        <f t="shared" si="21"/>
        <v>29.5</v>
      </c>
      <c r="AS102">
        <f t="shared" si="22"/>
        <v>49.166666666666671</v>
      </c>
    </row>
    <row r="103" spans="1:45">
      <c r="A103">
        <v>102</v>
      </c>
      <c r="B103" t="s">
        <v>39</v>
      </c>
      <c r="C103">
        <v>1</v>
      </c>
      <c r="D103">
        <v>78</v>
      </c>
      <c r="E103">
        <v>0</v>
      </c>
      <c r="F103">
        <v>1</v>
      </c>
      <c r="G103">
        <v>50</v>
      </c>
      <c r="H103">
        <v>2</v>
      </c>
      <c r="I103">
        <f t="shared" si="23"/>
        <v>36</v>
      </c>
      <c r="J103">
        <f t="shared" si="24"/>
        <v>160000</v>
      </c>
      <c r="K103">
        <f t="shared" si="16"/>
        <v>160</v>
      </c>
      <c r="L103">
        <v>0.5</v>
      </c>
      <c r="M103">
        <v>1</v>
      </c>
      <c r="N103">
        <v>90</v>
      </c>
      <c r="O103">
        <v>16</v>
      </c>
      <c r="P103">
        <v>0.5</v>
      </c>
      <c r="Q103">
        <v>3.5</v>
      </c>
      <c r="R103">
        <v>500</v>
      </c>
      <c r="S103">
        <f t="shared" si="17"/>
        <v>0.5</v>
      </c>
      <c r="T103" s="3">
        <v>9.9999999999999991E-22</v>
      </c>
      <c r="U103" s="3">
        <v>9.9999999999999991E-22</v>
      </c>
      <c r="V103" s="3">
        <v>9.9999999999999991E-22</v>
      </c>
      <c r="W103" s="3">
        <v>9.9999999999999991E-22</v>
      </c>
      <c r="X103" s="3">
        <v>9.9999999999999991E-22</v>
      </c>
      <c r="Y103">
        <v>36000</v>
      </c>
      <c r="Z103">
        <f t="shared" si="18"/>
        <v>36</v>
      </c>
      <c r="AA103">
        <f t="shared" si="25"/>
        <v>0.68965517241379315</v>
      </c>
      <c r="AB103">
        <v>4</v>
      </c>
      <c r="AC103">
        <v>3</v>
      </c>
      <c r="AD103">
        <v>0</v>
      </c>
      <c r="AE103">
        <v>0</v>
      </c>
      <c r="AF103">
        <v>1</v>
      </c>
      <c r="AG103">
        <v>18</v>
      </c>
      <c r="AH103">
        <v>80000</v>
      </c>
      <c r="AI103">
        <v>2</v>
      </c>
      <c r="AJ103">
        <v>8100</v>
      </c>
      <c r="AK103">
        <v>2700</v>
      </c>
      <c r="AL103">
        <v>2100</v>
      </c>
      <c r="AM103">
        <v>9900</v>
      </c>
      <c r="AN103">
        <v>0</v>
      </c>
      <c r="AO103">
        <v>0</v>
      </c>
      <c r="AP103">
        <f t="shared" si="19"/>
        <v>22.8</v>
      </c>
      <c r="AQ103">
        <f t="shared" si="20"/>
        <v>45.6</v>
      </c>
      <c r="AR103">
        <f t="shared" si="21"/>
        <v>57.2</v>
      </c>
      <c r="AS103">
        <f t="shared" si="22"/>
        <v>114.4</v>
      </c>
    </row>
    <row r="104" spans="1:45">
      <c r="A104">
        <v>103</v>
      </c>
      <c r="B104" t="s">
        <v>39</v>
      </c>
      <c r="C104">
        <v>1</v>
      </c>
      <c r="D104">
        <v>47</v>
      </c>
      <c r="E104">
        <v>1</v>
      </c>
      <c r="F104">
        <v>4</v>
      </c>
      <c r="G104">
        <v>20</v>
      </c>
      <c r="H104">
        <v>4</v>
      </c>
      <c r="I104">
        <f t="shared" si="23"/>
        <v>40</v>
      </c>
      <c r="J104">
        <f t="shared" si="24"/>
        <v>56000</v>
      </c>
      <c r="K104">
        <f t="shared" si="16"/>
        <v>56</v>
      </c>
      <c r="L104">
        <v>0.5</v>
      </c>
      <c r="M104">
        <v>1</v>
      </c>
      <c r="N104">
        <v>30</v>
      </c>
      <c r="O104">
        <v>18</v>
      </c>
      <c r="P104">
        <v>1</v>
      </c>
      <c r="Q104">
        <v>1</v>
      </c>
      <c r="R104">
        <v>250</v>
      </c>
      <c r="S104">
        <f t="shared" si="17"/>
        <v>0.25</v>
      </c>
      <c r="T104" s="3">
        <v>9.9999999999999991E-22</v>
      </c>
      <c r="U104" s="3">
        <v>9.9999999999999991E-22</v>
      </c>
      <c r="V104" s="3">
        <v>9.9999999999999991E-22</v>
      </c>
      <c r="W104" s="3">
        <v>9.9999999999999991E-22</v>
      </c>
      <c r="X104" s="3">
        <v>9.9999999999999991E-22</v>
      </c>
      <c r="Y104">
        <v>44700</v>
      </c>
      <c r="Z104">
        <f t="shared" si="18"/>
        <v>44.7</v>
      </c>
      <c r="AA104">
        <f t="shared" si="25"/>
        <v>0.38514442916093533</v>
      </c>
      <c r="AB104">
        <v>3</v>
      </c>
      <c r="AC104">
        <v>3</v>
      </c>
      <c r="AD104">
        <v>0</v>
      </c>
      <c r="AE104">
        <v>0</v>
      </c>
      <c r="AF104">
        <v>1</v>
      </c>
      <c r="AG104">
        <v>20</v>
      </c>
      <c r="AH104">
        <v>28000</v>
      </c>
      <c r="AI104">
        <v>2</v>
      </c>
      <c r="AJ104">
        <f>1800+6600</f>
        <v>8400</v>
      </c>
      <c r="AK104">
        <v>6000</v>
      </c>
      <c r="AL104">
        <v>600</v>
      </c>
      <c r="AM104">
        <v>4950</v>
      </c>
      <c r="AN104">
        <v>0</v>
      </c>
      <c r="AO104">
        <v>0</v>
      </c>
      <c r="AP104">
        <f t="shared" si="19"/>
        <v>19.95</v>
      </c>
      <c r="AQ104">
        <f t="shared" si="20"/>
        <v>39.9</v>
      </c>
      <c r="AR104">
        <f t="shared" si="21"/>
        <v>8.0500000000000007</v>
      </c>
      <c r="AS104">
        <f t="shared" si="22"/>
        <v>16.100000000000001</v>
      </c>
    </row>
    <row r="105" spans="1:45">
      <c r="A105">
        <v>104</v>
      </c>
      <c r="B105" t="s">
        <v>39</v>
      </c>
      <c r="C105">
        <v>1</v>
      </c>
      <c r="D105">
        <v>46</v>
      </c>
      <c r="E105">
        <v>1</v>
      </c>
      <c r="F105">
        <v>4</v>
      </c>
      <c r="G105">
        <v>12</v>
      </c>
      <c r="H105">
        <v>8</v>
      </c>
      <c r="I105">
        <f t="shared" si="23"/>
        <v>30</v>
      </c>
      <c r="J105">
        <f t="shared" si="24"/>
        <v>31500</v>
      </c>
      <c r="K105">
        <f t="shared" si="16"/>
        <v>31.5</v>
      </c>
      <c r="L105">
        <v>2</v>
      </c>
      <c r="M105">
        <v>2</v>
      </c>
      <c r="N105">
        <v>24</v>
      </c>
      <c r="O105">
        <v>25</v>
      </c>
      <c r="P105">
        <v>3</v>
      </c>
      <c r="Q105">
        <v>3</v>
      </c>
      <c r="R105">
        <v>1250</v>
      </c>
      <c r="S105">
        <f t="shared" si="17"/>
        <v>1.25</v>
      </c>
      <c r="T105" s="3">
        <v>9.9999999999999991E-22</v>
      </c>
      <c r="U105" s="3">
        <v>9.9999999999999991E-22</v>
      </c>
      <c r="V105" s="3">
        <v>9.9999999999999991E-22</v>
      </c>
      <c r="W105" s="3">
        <v>9.9999999999999991E-22</v>
      </c>
      <c r="X105" s="3">
        <v>9.9999999999999991E-22</v>
      </c>
      <c r="Y105">
        <v>96000</v>
      </c>
      <c r="Z105">
        <f t="shared" si="18"/>
        <v>96</v>
      </c>
      <c r="AA105">
        <f t="shared" si="25"/>
        <v>0.39622641509433965</v>
      </c>
      <c r="AB105">
        <v>3</v>
      </c>
      <c r="AC105">
        <v>3</v>
      </c>
      <c r="AD105">
        <v>0</v>
      </c>
      <c r="AE105">
        <v>0</v>
      </c>
      <c r="AF105">
        <v>1</v>
      </c>
      <c r="AG105">
        <v>60</v>
      </c>
      <c r="AH105">
        <v>63000</v>
      </c>
      <c r="AI105">
        <v>2</v>
      </c>
      <c r="AJ105">
        <v>24000</v>
      </c>
      <c r="AK105">
        <v>30500</v>
      </c>
      <c r="AL105">
        <v>7000</v>
      </c>
      <c r="AM105">
        <v>25000</v>
      </c>
      <c r="AN105">
        <v>0</v>
      </c>
      <c r="AO105">
        <v>0</v>
      </c>
      <c r="AP105">
        <f t="shared" si="19"/>
        <v>86.5</v>
      </c>
      <c r="AQ105">
        <f t="shared" si="20"/>
        <v>43.25</v>
      </c>
      <c r="AR105">
        <f t="shared" si="21"/>
        <v>-23.5</v>
      </c>
      <c r="AS105">
        <f t="shared" si="22"/>
        <v>-11.75</v>
      </c>
    </row>
    <row r="106" spans="1:45">
      <c r="A106">
        <v>105</v>
      </c>
      <c r="B106" t="s">
        <v>39</v>
      </c>
      <c r="C106">
        <v>1</v>
      </c>
      <c r="D106">
        <v>62</v>
      </c>
      <c r="E106">
        <v>1</v>
      </c>
      <c r="F106">
        <v>5</v>
      </c>
      <c r="G106">
        <v>23</v>
      </c>
      <c r="H106">
        <v>6</v>
      </c>
      <c r="I106">
        <f t="shared" si="23"/>
        <v>30</v>
      </c>
      <c r="J106">
        <f t="shared" si="24"/>
        <v>115500</v>
      </c>
      <c r="K106">
        <f t="shared" si="16"/>
        <v>115.5</v>
      </c>
      <c r="L106">
        <v>2</v>
      </c>
      <c r="M106">
        <v>1</v>
      </c>
      <c r="N106">
        <v>13</v>
      </c>
      <c r="O106">
        <v>23</v>
      </c>
      <c r="P106">
        <v>1</v>
      </c>
      <c r="Q106">
        <v>3</v>
      </c>
      <c r="R106">
        <v>750</v>
      </c>
      <c r="S106">
        <f t="shared" si="17"/>
        <v>0.75</v>
      </c>
      <c r="T106" s="3">
        <v>9.9999999999999991E-22</v>
      </c>
      <c r="U106" s="3">
        <v>9.9999999999999991E-22</v>
      </c>
      <c r="V106" s="3">
        <v>9.9999999999999991E-22</v>
      </c>
      <c r="W106" s="3">
        <v>9.9999999999999991E-22</v>
      </c>
      <c r="X106" s="3">
        <v>9.9999999999999991E-22</v>
      </c>
      <c r="Y106">
        <v>10000</v>
      </c>
      <c r="Z106">
        <f t="shared" si="18"/>
        <v>10</v>
      </c>
      <c r="AA106">
        <f t="shared" si="25"/>
        <v>0.95850622406639008</v>
      </c>
      <c r="AB106">
        <v>3</v>
      </c>
      <c r="AC106">
        <v>3</v>
      </c>
      <c r="AD106">
        <v>0</v>
      </c>
      <c r="AE106">
        <v>0</v>
      </c>
      <c r="AF106">
        <v>1</v>
      </c>
      <c r="AG106">
        <v>60</v>
      </c>
      <c r="AH106">
        <v>231000</v>
      </c>
      <c r="AI106">
        <v>2</v>
      </c>
      <c r="AJ106">
        <f>21000+350*5</f>
        <v>22750</v>
      </c>
      <c r="AK106">
        <v>22000</v>
      </c>
      <c r="AL106">
        <v>0</v>
      </c>
      <c r="AM106">
        <v>6300</v>
      </c>
      <c r="AN106">
        <v>0</v>
      </c>
      <c r="AO106">
        <v>0</v>
      </c>
      <c r="AP106">
        <f t="shared" si="19"/>
        <v>51.05</v>
      </c>
      <c r="AQ106">
        <f t="shared" si="20"/>
        <v>25.524999999999999</v>
      </c>
      <c r="AR106">
        <f t="shared" si="21"/>
        <v>179.95</v>
      </c>
      <c r="AS106">
        <f t="shared" si="22"/>
        <v>89.974999999999994</v>
      </c>
    </row>
    <row r="107" spans="1:45">
      <c r="A107">
        <v>106</v>
      </c>
      <c r="B107" t="s">
        <v>39</v>
      </c>
      <c r="C107" s="3">
        <v>0</v>
      </c>
      <c r="D107">
        <v>65</v>
      </c>
      <c r="E107">
        <v>1</v>
      </c>
      <c r="F107">
        <v>1</v>
      </c>
      <c r="G107">
        <v>50</v>
      </c>
      <c r="H107">
        <v>6</v>
      </c>
      <c r="I107">
        <f t="shared" si="23"/>
        <v>28.94</v>
      </c>
      <c r="J107">
        <f t="shared" si="24"/>
        <v>69441</v>
      </c>
      <c r="K107">
        <f t="shared" si="16"/>
        <v>69.441000000000003</v>
      </c>
      <c r="L107">
        <v>1</v>
      </c>
      <c r="M107">
        <v>1</v>
      </c>
      <c r="N107">
        <v>195</v>
      </c>
      <c r="O107">
        <v>60</v>
      </c>
      <c r="P107" s="3">
        <v>9.9999999999999991E-22</v>
      </c>
      <c r="Q107">
        <v>2</v>
      </c>
      <c r="R107">
        <v>500</v>
      </c>
      <c r="S107">
        <f t="shared" si="17"/>
        <v>0.5</v>
      </c>
      <c r="T107" s="3">
        <v>9.9999999999999991E-22</v>
      </c>
      <c r="U107" s="3">
        <v>9.9999999999999991E-22</v>
      </c>
      <c r="V107" s="3">
        <v>9.9999999999999991E-22</v>
      </c>
      <c r="W107" s="3">
        <v>9.9999999999999991E-22</v>
      </c>
      <c r="X107" s="3">
        <v>9.9999999999999991E-22</v>
      </c>
      <c r="Y107">
        <v>176280</v>
      </c>
      <c r="Z107">
        <f t="shared" si="18"/>
        <v>176.28</v>
      </c>
      <c r="AA107">
        <f t="shared" si="25"/>
        <v>0.28260099869364036</v>
      </c>
      <c r="AB107">
        <v>4</v>
      </c>
      <c r="AC107">
        <v>3</v>
      </c>
      <c r="AD107">
        <v>0</v>
      </c>
      <c r="AE107">
        <v>0</v>
      </c>
      <c r="AF107">
        <v>1</v>
      </c>
      <c r="AG107">
        <v>28.94</v>
      </c>
      <c r="AH107">
        <v>69441</v>
      </c>
      <c r="AI107">
        <v>2</v>
      </c>
      <c r="AJ107">
        <v>25040</v>
      </c>
      <c r="AK107">
        <v>0</v>
      </c>
      <c r="AL107">
        <v>2400</v>
      </c>
      <c r="AM107">
        <v>4500</v>
      </c>
      <c r="AN107">
        <v>0</v>
      </c>
      <c r="AO107">
        <v>0</v>
      </c>
      <c r="AP107">
        <f t="shared" si="19"/>
        <v>31.94</v>
      </c>
      <c r="AQ107">
        <f t="shared" si="20"/>
        <v>31.94</v>
      </c>
      <c r="AR107">
        <f t="shared" si="21"/>
        <v>37.501000000000005</v>
      </c>
      <c r="AS107">
        <f t="shared" si="22"/>
        <v>37.501000000000005</v>
      </c>
    </row>
    <row r="108" spans="1:45">
      <c r="A108">
        <v>107</v>
      </c>
      <c r="B108" t="s">
        <v>39</v>
      </c>
      <c r="C108">
        <v>1</v>
      </c>
      <c r="D108">
        <v>64</v>
      </c>
      <c r="E108">
        <v>1</v>
      </c>
      <c r="F108">
        <v>2</v>
      </c>
      <c r="G108">
        <v>35</v>
      </c>
      <c r="H108">
        <v>3</v>
      </c>
      <c r="I108">
        <f t="shared" si="23"/>
        <v>40</v>
      </c>
      <c r="J108">
        <f t="shared" si="24"/>
        <v>87300</v>
      </c>
      <c r="K108">
        <f t="shared" si="16"/>
        <v>87.3</v>
      </c>
      <c r="L108">
        <v>2</v>
      </c>
      <c r="M108">
        <v>2</v>
      </c>
      <c r="N108">
        <f>67.5+258.2</f>
        <v>325.7</v>
      </c>
      <c r="O108">
        <v>45</v>
      </c>
      <c r="P108">
        <v>0.25</v>
      </c>
      <c r="Q108">
        <v>4.5</v>
      </c>
      <c r="R108">
        <v>750</v>
      </c>
      <c r="S108">
        <f t="shared" si="17"/>
        <v>0.75</v>
      </c>
      <c r="T108" s="3">
        <v>9.9999999999999991E-22</v>
      </c>
      <c r="U108" s="3">
        <v>9.9999999999999991E-22</v>
      </c>
      <c r="V108" s="3">
        <v>9.9999999999999991E-22</v>
      </c>
      <c r="W108">
        <v>1</v>
      </c>
      <c r="X108" s="3">
        <v>9.9999999999999991E-22</v>
      </c>
      <c r="Y108">
        <v>0</v>
      </c>
      <c r="Z108">
        <f t="shared" si="18"/>
        <v>0</v>
      </c>
      <c r="AA108">
        <f t="shared" si="25"/>
        <v>1</v>
      </c>
      <c r="AB108">
        <v>4</v>
      </c>
      <c r="AC108">
        <v>3</v>
      </c>
      <c r="AD108">
        <v>0</v>
      </c>
      <c r="AE108">
        <v>0</v>
      </c>
      <c r="AF108">
        <v>1</v>
      </c>
      <c r="AG108">
        <v>80</v>
      </c>
      <c r="AH108">
        <v>174600</v>
      </c>
      <c r="AI108">
        <v>3</v>
      </c>
      <c r="AJ108">
        <v>38000</v>
      </c>
      <c r="AK108">
        <v>8000</v>
      </c>
      <c r="AL108">
        <v>2400</v>
      </c>
      <c r="AM108">
        <v>11000</v>
      </c>
      <c r="AN108">
        <v>0</v>
      </c>
      <c r="AO108">
        <v>0</v>
      </c>
      <c r="AP108">
        <f t="shared" si="19"/>
        <v>59.4</v>
      </c>
      <c r="AQ108">
        <f t="shared" si="20"/>
        <v>29.7</v>
      </c>
      <c r="AR108">
        <f t="shared" si="21"/>
        <v>115.19999999999999</v>
      </c>
      <c r="AS108">
        <f t="shared" si="22"/>
        <v>57.599999999999994</v>
      </c>
    </row>
    <row r="109" spans="1:45">
      <c r="A109">
        <v>108</v>
      </c>
      <c r="B109" t="s">
        <v>39</v>
      </c>
      <c r="C109">
        <v>1</v>
      </c>
      <c r="D109">
        <v>78</v>
      </c>
      <c r="E109">
        <v>1</v>
      </c>
      <c r="F109">
        <v>2</v>
      </c>
      <c r="G109">
        <v>30</v>
      </c>
      <c r="H109">
        <v>1</v>
      </c>
      <c r="I109">
        <f t="shared" si="23"/>
        <v>50</v>
      </c>
      <c r="J109">
        <f t="shared" si="24"/>
        <v>90000</v>
      </c>
      <c r="K109">
        <f t="shared" si="16"/>
        <v>90</v>
      </c>
      <c r="L109">
        <v>2</v>
      </c>
      <c r="M109">
        <v>2</v>
      </c>
      <c r="N109">
        <v>20.25</v>
      </c>
      <c r="O109">
        <v>112</v>
      </c>
      <c r="P109" s="3">
        <v>9.9999999999999991E-22</v>
      </c>
      <c r="Q109">
        <v>2</v>
      </c>
      <c r="R109">
        <f>30*50</f>
        <v>1500</v>
      </c>
      <c r="S109">
        <f t="shared" si="17"/>
        <v>1.5</v>
      </c>
      <c r="T109">
        <v>2</v>
      </c>
      <c r="U109" s="3">
        <v>9.9999999999999991E-22</v>
      </c>
      <c r="V109" s="3">
        <v>9.9999999999999991E-22</v>
      </c>
      <c r="W109">
        <v>1</v>
      </c>
      <c r="X109" s="3">
        <v>9.9999999999999991E-22</v>
      </c>
      <c r="Y109">
        <v>0</v>
      </c>
      <c r="Z109">
        <f t="shared" si="18"/>
        <v>0</v>
      </c>
      <c r="AA109">
        <f t="shared" si="25"/>
        <v>1</v>
      </c>
      <c r="AB109">
        <v>4</v>
      </c>
      <c r="AC109">
        <v>3</v>
      </c>
      <c r="AD109">
        <v>1</v>
      </c>
      <c r="AE109">
        <v>1</v>
      </c>
      <c r="AF109">
        <v>1</v>
      </c>
      <c r="AG109">
        <v>100</v>
      </c>
      <c r="AH109">
        <v>180000</v>
      </c>
      <c r="AI109">
        <v>2</v>
      </c>
      <c r="AJ109">
        <v>62000</v>
      </c>
      <c r="AK109">
        <v>0</v>
      </c>
      <c r="AL109">
        <v>1000</v>
      </c>
      <c r="AM109">
        <v>13500</v>
      </c>
      <c r="AN109">
        <v>850</v>
      </c>
      <c r="AO109">
        <v>0</v>
      </c>
      <c r="AP109">
        <f t="shared" si="19"/>
        <v>77.349999999999994</v>
      </c>
      <c r="AQ109">
        <f t="shared" si="20"/>
        <v>38.674999999999997</v>
      </c>
      <c r="AR109">
        <f t="shared" si="21"/>
        <v>102.65</v>
      </c>
      <c r="AS109">
        <f t="shared" si="22"/>
        <v>51.325000000000003</v>
      </c>
    </row>
    <row r="110" spans="1:45">
      <c r="A110">
        <v>109</v>
      </c>
      <c r="B110" t="s">
        <v>39</v>
      </c>
      <c r="C110">
        <v>1</v>
      </c>
      <c r="D110">
        <v>59</v>
      </c>
      <c r="E110">
        <v>1</v>
      </c>
      <c r="F110">
        <v>5</v>
      </c>
      <c r="G110">
        <v>18</v>
      </c>
      <c r="H110">
        <v>2</v>
      </c>
      <c r="I110">
        <f t="shared" si="23"/>
        <v>100</v>
      </c>
      <c r="J110">
        <f t="shared" si="24"/>
        <v>198000</v>
      </c>
      <c r="K110">
        <f t="shared" si="16"/>
        <v>198</v>
      </c>
      <c r="L110">
        <v>0.5</v>
      </c>
      <c r="M110">
        <v>1</v>
      </c>
      <c r="N110">
        <v>5.5</v>
      </c>
      <c r="O110">
        <v>5</v>
      </c>
      <c r="P110">
        <v>2</v>
      </c>
      <c r="Q110">
        <v>2</v>
      </c>
      <c r="R110">
        <f>12*50</f>
        <v>600</v>
      </c>
      <c r="S110">
        <f t="shared" si="17"/>
        <v>0.6</v>
      </c>
      <c r="T110" s="3">
        <v>9.9999999999999991E-22</v>
      </c>
      <c r="U110" s="3">
        <v>9.9999999999999991E-22</v>
      </c>
      <c r="V110" s="3">
        <v>9.9999999999999991E-22</v>
      </c>
      <c r="W110">
        <v>1</v>
      </c>
      <c r="X110" s="3">
        <v>9.9999999999999991E-22</v>
      </c>
      <c r="Y110">
        <v>128400</v>
      </c>
      <c r="Z110">
        <f t="shared" si="18"/>
        <v>128.4</v>
      </c>
      <c r="AA110">
        <f t="shared" si="25"/>
        <v>0.43535620052770446</v>
      </c>
      <c r="AB110">
        <v>3</v>
      </c>
      <c r="AC110">
        <v>3</v>
      </c>
      <c r="AD110">
        <v>0</v>
      </c>
      <c r="AE110">
        <v>0</v>
      </c>
      <c r="AF110">
        <v>1</v>
      </c>
      <c r="AG110">
        <v>50</v>
      </c>
      <c r="AH110">
        <v>99000</v>
      </c>
      <c r="AI110">
        <v>2</v>
      </c>
      <c r="AJ110">
        <f>3500+17500</f>
        <v>21000</v>
      </c>
      <c r="AK110">
        <v>15000</v>
      </c>
      <c r="AL110">
        <v>1000</v>
      </c>
      <c r="AM110">
        <v>5400</v>
      </c>
      <c r="AN110">
        <v>0</v>
      </c>
      <c r="AO110">
        <v>0</v>
      </c>
      <c r="AP110">
        <f t="shared" si="19"/>
        <v>42.4</v>
      </c>
      <c r="AQ110">
        <f t="shared" si="20"/>
        <v>84.8</v>
      </c>
      <c r="AR110">
        <f t="shared" si="21"/>
        <v>56.6</v>
      </c>
      <c r="AS110">
        <f t="shared" si="22"/>
        <v>113.2</v>
      </c>
    </row>
    <row r="111" spans="1:45">
      <c r="A111">
        <v>110</v>
      </c>
      <c r="B111" t="s">
        <v>39</v>
      </c>
      <c r="C111" s="3">
        <v>0</v>
      </c>
      <c r="D111">
        <v>65</v>
      </c>
      <c r="E111">
        <v>0</v>
      </c>
      <c r="F111">
        <v>1</v>
      </c>
      <c r="G111">
        <v>55</v>
      </c>
      <c r="H111">
        <v>1</v>
      </c>
      <c r="I111">
        <f t="shared" si="23"/>
        <v>40</v>
      </c>
      <c r="J111">
        <f t="shared" si="24"/>
        <v>88000</v>
      </c>
      <c r="K111">
        <f t="shared" si="16"/>
        <v>88</v>
      </c>
      <c r="L111">
        <v>1</v>
      </c>
      <c r="M111">
        <v>1</v>
      </c>
      <c r="N111">
        <v>54</v>
      </c>
      <c r="O111">
        <v>87</v>
      </c>
      <c r="P111" s="3">
        <v>9.9999999999999991E-22</v>
      </c>
      <c r="Q111">
        <v>2.5</v>
      </c>
      <c r="R111">
        <f>12*50</f>
        <v>600</v>
      </c>
      <c r="S111">
        <f t="shared" si="17"/>
        <v>0.6</v>
      </c>
      <c r="T111" s="3">
        <v>9.9999999999999991E-22</v>
      </c>
      <c r="U111" s="3">
        <v>9.9999999999999991E-22</v>
      </c>
      <c r="V111" s="3">
        <v>9.9999999999999991E-22</v>
      </c>
      <c r="W111" s="3">
        <v>9.9999999999999991E-22</v>
      </c>
      <c r="X111" s="3">
        <v>9.9999999999999991E-22</v>
      </c>
      <c r="Y111">
        <v>0</v>
      </c>
      <c r="Z111">
        <f t="shared" si="18"/>
        <v>0</v>
      </c>
      <c r="AA111">
        <f t="shared" si="25"/>
        <v>1</v>
      </c>
      <c r="AB111">
        <v>4</v>
      </c>
      <c r="AC111">
        <v>3</v>
      </c>
      <c r="AD111">
        <v>0</v>
      </c>
      <c r="AE111">
        <v>0</v>
      </c>
      <c r="AF111">
        <v>1</v>
      </c>
      <c r="AG111">
        <v>40</v>
      </c>
      <c r="AH111">
        <v>88000</v>
      </c>
      <c r="AI111">
        <v>3</v>
      </c>
      <c r="AJ111">
        <f>12600+21900</f>
        <v>34500</v>
      </c>
      <c r="AK111">
        <v>0</v>
      </c>
      <c r="AL111">
        <v>3000</v>
      </c>
      <c r="AM111">
        <v>10800</v>
      </c>
      <c r="AN111">
        <v>0</v>
      </c>
      <c r="AO111">
        <v>0</v>
      </c>
      <c r="AP111">
        <f t="shared" si="19"/>
        <v>48.3</v>
      </c>
      <c r="AQ111">
        <f t="shared" si="20"/>
        <v>48.3</v>
      </c>
      <c r="AR111">
        <f t="shared" si="21"/>
        <v>39.700000000000003</v>
      </c>
      <c r="AS111">
        <f t="shared" si="22"/>
        <v>39.700000000000003</v>
      </c>
    </row>
    <row r="112" spans="1:45">
      <c r="A112">
        <v>111</v>
      </c>
      <c r="B112" t="s">
        <v>39</v>
      </c>
      <c r="C112" s="3">
        <v>0</v>
      </c>
      <c r="D112">
        <v>61</v>
      </c>
      <c r="E112">
        <v>1</v>
      </c>
      <c r="F112">
        <v>1</v>
      </c>
      <c r="G112">
        <v>46</v>
      </c>
      <c r="H112">
        <v>3</v>
      </c>
      <c r="I112">
        <f t="shared" si="23"/>
        <v>47</v>
      </c>
      <c r="J112">
        <f t="shared" si="24"/>
        <v>102000</v>
      </c>
      <c r="K112">
        <f t="shared" si="16"/>
        <v>102</v>
      </c>
      <c r="L112">
        <v>1</v>
      </c>
      <c r="M112">
        <v>2</v>
      </c>
      <c r="N112">
        <v>36</v>
      </c>
      <c r="O112">
        <v>127</v>
      </c>
      <c r="P112">
        <v>1</v>
      </c>
      <c r="Q112">
        <v>1.9</v>
      </c>
      <c r="R112">
        <v>600</v>
      </c>
      <c r="S112">
        <f t="shared" si="17"/>
        <v>0.6</v>
      </c>
      <c r="T112" s="3">
        <v>9.9999999999999991E-22</v>
      </c>
      <c r="U112" s="3">
        <v>9.9999999999999991E-22</v>
      </c>
      <c r="V112" s="3">
        <v>9.9999999999999991E-22</v>
      </c>
      <c r="W112" s="3">
        <v>9.9999999999999991E-22</v>
      </c>
      <c r="X112" s="3">
        <v>9.9999999999999991E-22</v>
      </c>
      <c r="Y112">
        <v>0</v>
      </c>
      <c r="Z112">
        <f t="shared" si="18"/>
        <v>0</v>
      </c>
      <c r="AA112">
        <f t="shared" si="25"/>
        <v>1</v>
      </c>
      <c r="AB112">
        <v>4</v>
      </c>
      <c r="AC112">
        <v>3</v>
      </c>
      <c r="AD112">
        <v>0</v>
      </c>
      <c r="AE112">
        <v>0</v>
      </c>
      <c r="AF112">
        <v>1</v>
      </c>
      <c r="AG112">
        <v>47</v>
      </c>
      <c r="AH112">
        <v>102000</v>
      </c>
      <c r="AI112">
        <v>3</v>
      </c>
      <c r="AJ112">
        <f>3000+12600+24470</f>
        <v>40070</v>
      </c>
      <c r="AK112">
        <v>60001.9</v>
      </c>
      <c r="AL112">
        <v>3000</v>
      </c>
      <c r="AM112">
        <v>5400</v>
      </c>
      <c r="AN112">
        <v>0</v>
      </c>
      <c r="AO112">
        <v>0</v>
      </c>
      <c r="AP112">
        <f t="shared" si="19"/>
        <v>108.47189999999999</v>
      </c>
      <c r="AQ112">
        <f t="shared" si="20"/>
        <v>108.47189999999999</v>
      </c>
      <c r="AR112">
        <f t="shared" si="21"/>
        <v>-6.4718999999999909</v>
      </c>
      <c r="AS112">
        <f t="shared" si="22"/>
        <v>-6.4718999999999909</v>
      </c>
    </row>
    <row r="113" spans="1:45">
      <c r="A113">
        <v>112</v>
      </c>
      <c r="B113" t="s">
        <v>39</v>
      </c>
      <c r="C113" s="3">
        <v>0</v>
      </c>
      <c r="D113">
        <v>63</v>
      </c>
      <c r="E113">
        <v>0</v>
      </c>
      <c r="F113">
        <v>2</v>
      </c>
      <c r="G113">
        <v>44</v>
      </c>
      <c r="H113">
        <v>7</v>
      </c>
      <c r="I113">
        <f t="shared" si="23"/>
        <v>50</v>
      </c>
      <c r="J113">
        <f t="shared" si="24"/>
        <v>108000</v>
      </c>
      <c r="K113">
        <f t="shared" si="16"/>
        <v>108</v>
      </c>
      <c r="L113">
        <v>1</v>
      </c>
      <c r="M113">
        <v>1</v>
      </c>
      <c r="N113">
        <v>70</v>
      </c>
      <c r="O113">
        <v>100</v>
      </c>
      <c r="P113" s="3">
        <v>9.9999999999999991E-22</v>
      </c>
      <c r="Q113">
        <v>1</v>
      </c>
      <c r="R113">
        <v>750</v>
      </c>
      <c r="S113">
        <f t="shared" si="17"/>
        <v>0.75</v>
      </c>
      <c r="T113" s="3">
        <v>9.9999999999999991E-22</v>
      </c>
      <c r="U113" s="3">
        <v>9.9999999999999991E-22</v>
      </c>
      <c r="V113" s="3">
        <v>9.9999999999999991E-22</v>
      </c>
      <c r="W113">
        <v>1</v>
      </c>
      <c r="X113" s="3">
        <v>9.9999999999999991E-22</v>
      </c>
      <c r="Y113">
        <v>461520</v>
      </c>
      <c r="Z113">
        <f t="shared" si="18"/>
        <v>461.52</v>
      </c>
      <c r="AA113">
        <f t="shared" si="25"/>
        <v>0.18963337547408343</v>
      </c>
      <c r="AB113">
        <v>1</v>
      </c>
      <c r="AC113">
        <v>3</v>
      </c>
      <c r="AD113">
        <v>0</v>
      </c>
      <c r="AE113">
        <v>0</v>
      </c>
      <c r="AF113">
        <v>1</v>
      </c>
      <c r="AG113">
        <v>50</v>
      </c>
      <c r="AH113">
        <v>108000</v>
      </c>
      <c r="AI113">
        <v>3</v>
      </c>
      <c r="AJ113">
        <v>35000</v>
      </c>
      <c r="AK113">
        <v>0</v>
      </c>
      <c r="AL113">
        <v>1000</v>
      </c>
      <c r="AM113">
        <v>13500</v>
      </c>
      <c r="AN113">
        <v>0</v>
      </c>
      <c r="AO113">
        <v>0</v>
      </c>
      <c r="AP113">
        <f t="shared" si="19"/>
        <v>49.5</v>
      </c>
      <c r="AQ113">
        <f t="shared" si="20"/>
        <v>49.5</v>
      </c>
      <c r="AR113">
        <f t="shared" si="21"/>
        <v>58.5</v>
      </c>
      <c r="AS113">
        <f t="shared" si="22"/>
        <v>58.5</v>
      </c>
    </row>
    <row r="114" spans="1:45">
      <c r="A114">
        <v>113</v>
      </c>
      <c r="B114" t="s">
        <v>39</v>
      </c>
      <c r="C114">
        <v>1</v>
      </c>
      <c r="D114">
        <v>36</v>
      </c>
      <c r="E114">
        <v>0</v>
      </c>
      <c r="F114">
        <v>2</v>
      </c>
      <c r="G114">
        <v>20</v>
      </c>
      <c r="H114">
        <v>4</v>
      </c>
      <c r="I114">
        <f t="shared" si="23"/>
        <v>57.487783845932739</v>
      </c>
      <c r="J114">
        <f t="shared" si="24"/>
        <v>98174.762862891643</v>
      </c>
      <c r="K114">
        <f t="shared" si="16"/>
        <v>98.17476286289164</v>
      </c>
      <c r="L114">
        <v>0.69579999999999997</v>
      </c>
      <c r="M114">
        <v>1</v>
      </c>
      <c r="N114">
        <v>78</v>
      </c>
      <c r="O114">
        <v>23</v>
      </c>
      <c r="P114" s="3">
        <v>9.9999999999999991E-22</v>
      </c>
      <c r="Q114">
        <v>2</v>
      </c>
      <c r="R114">
        <v>500</v>
      </c>
      <c r="S114">
        <f t="shared" si="17"/>
        <v>0.5</v>
      </c>
      <c r="T114" s="3">
        <v>9.9999999999999991E-22</v>
      </c>
      <c r="U114" s="3">
        <v>9.9999999999999991E-22</v>
      </c>
      <c r="V114" s="3">
        <v>9.9999999999999991E-22</v>
      </c>
      <c r="W114" s="3">
        <v>9.9999999999999991E-22</v>
      </c>
      <c r="X114" s="3">
        <v>9.9999999999999991E-22</v>
      </c>
      <c r="Y114">
        <v>182500</v>
      </c>
      <c r="Z114">
        <f t="shared" si="18"/>
        <v>182.5</v>
      </c>
      <c r="AA114">
        <f t="shared" si="25"/>
        <v>0.27235756150073759</v>
      </c>
      <c r="AB114">
        <v>4</v>
      </c>
      <c r="AC114">
        <v>3</v>
      </c>
      <c r="AD114">
        <v>0</v>
      </c>
      <c r="AE114">
        <v>0</v>
      </c>
      <c r="AF114">
        <v>1</v>
      </c>
      <c r="AG114">
        <v>40</v>
      </c>
      <c r="AH114">
        <v>68310</v>
      </c>
      <c r="AI114">
        <v>2</v>
      </c>
      <c r="AJ114">
        <v>17000</v>
      </c>
      <c r="AK114">
        <v>0</v>
      </c>
      <c r="AL114">
        <v>1200</v>
      </c>
      <c r="AM114">
        <v>4700</v>
      </c>
      <c r="AN114">
        <v>0</v>
      </c>
      <c r="AO114">
        <v>0</v>
      </c>
      <c r="AP114">
        <f t="shared" si="19"/>
        <v>22.9</v>
      </c>
      <c r="AQ114">
        <f t="shared" si="20"/>
        <v>32.91175625179649</v>
      </c>
      <c r="AR114">
        <f t="shared" si="21"/>
        <v>45.410000000000004</v>
      </c>
      <c r="AS114">
        <f t="shared" si="22"/>
        <v>65.26300661109515</v>
      </c>
    </row>
    <row r="115" spans="1:45">
      <c r="A115">
        <v>114</v>
      </c>
      <c r="B115" t="s">
        <v>39</v>
      </c>
      <c r="C115">
        <v>1</v>
      </c>
      <c r="D115">
        <v>50</v>
      </c>
      <c r="E115">
        <v>1</v>
      </c>
      <c r="F115">
        <v>3</v>
      </c>
      <c r="G115">
        <v>35</v>
      </c>
      <c r="H115">
        <v>1</v>
      </c>
      <c r="I115">
        <f t="shared" si="23"/>
        <v>19.2</v>
      </c>
      <c r="J115">
        <f t="shared" si="24"/>
        <v>29120</v>
      </c>
      <c r="K115">
        <f t="shared" si="16"/>
        <v>29.12</v>
      </c>
      <c r="L115">
        <v>1.25</v>
      </c>
      <c r="M115">
        <v>1</v>
      </c>
      <c r="N115">
        <v>24</v>
      </c>
      <c r="O115">
        <v>13</v>
      </c>
      <c r="P115" s="3">
        <v>9.9999999999999991E-22</v>
      </c>
      <c r="Q115">
        <v>3</v>
      </c>
      <c r="R115">
        <v>500</v>
      </c>
      <c r="S115">
        <f t="shared" si="17"/>
        <v>0.5</v>
      </c>
      <c r="T115" s="3">
        <v>9.9999999999999991E-22</v>
      </c>
      <c r="U115" s="3">
        <v>9.9999999999999991E-22</v>
      </c>
      <c r="V115" s="3">
        <v>9.9999999999999991E-22</v>
      </c>
      <c r="W115">
        <v>1</v>
      </c>
      <c r="X115" s="3">
        <v>9.9999999999999991E-22</v>
      </c>
      <c r="Y115">
        <v>0</v>
      </c>
      <c r="Z115">
        <f t="shared" si="18"/>
        <v>0</v>
      </c>
      <c r="AA115">
        <f t="shared" si="25"/>
        <v>1</v>
      </c>
      <c r="AB115">
        <v>4</v>
      </c>
      <c r="AC115">
        <v>3</v>
      </c>
      <c r="AD115">
        <v>0</v>
      </c>
      <c r="AE115">
        <v>0</v>
      </c>
      <c r="AF115">
        <v>1</v>
      </c>
      <c r="AG115">
        <v>24</v>
      </c>
      <c r="AH115">
        <v>36400</v>
      </c>
      <c r="AI115">
        <v>2</v>
      </c>
      <c r="AJ115">
        <v>14700</v>
      </c>
      <c r="AK115">
        <v>0</v>
      </c>
      <c r="AL115">
        <v>1500</v>
      </c>
      <c r="AM115">
        <v>5000</v>
      </c>
      <c r="AN115">
        <v>0</v>
      </c>
      <c r="AO115">
        <v>0</v>
      </c>
      <c r="AP115">
        <f t="shared" si="19"/>
        <v>21.2</v>
      </c>
      <c r="AQ115">
        <f t="shared" si="20"/>
        <v>16.96</v>
      </c>
      <c r="AR115">
        <f t="shared" si="21"/>
        <v>15.2</v>
      </c>
      <c r="AS115">
        <f t="shared" si="22"/>
        <v>12.16</v>
      </c>
    </row>
    <row r="116" spans="1:45">
      <c r="A116">
        <v>115</v>
      </c>
      <c r="B116" t="s">
        <v>39</v>
      </c>
      <c r="C116">
        <v>1</v>
      </c>
      <c r="D116">
        <v>68</v>
      </c>
      <c r="E116">
        <v>1</v>
      </c>
      <c r="F116">
        <v>5</v>
      </c>
      <c r="G116">
        <v>50</v>
      </c>
      <c r="H116">
        <v>4</v>
      </c>
      <c r="I116">
        <f t="shared" si="23"/>
        <v>59.090909090909086</v>
      </c>
      <c r="J116">
        <f t="shared" si="24"/>
        <v>88636.363636363632</v>
      </c>
      <c r="K116">
        <f t="shared" si="16"/>
        <v>88.636363636363626</v>
      </c>
      <c r="L116">
        <v>1.1000000000000001</v>
      </c>
      <c r="M116">
        <v>1</v>
      </c>
      <c r="N116">
        <v>8</v>
      </c>
      <c r="O116">
        <v>38</v>
      </c>
      <c r="P116">
        <v>2</v>
      </c>
      <c r="Q116">
        <v>3</v>
      </c>
      <c r="R116">
        <v>1500</v>
      </c>
      <c r="S116">
        <f t="shared" si="17"/>
        <v>1.5</v>
      </c>
      <c r="T116">
        <v>1</v>
      </c>
      <c r="U116" s="3">
        <v>9.9999999999999991E-22</v>
      </c>
      <c r="V116" s="3">
        <v>9.9999999999999991E-22</v>
      </c>
      <c r="W116">
        <v>1</v>
      </c>
      <c r="X116" s="3">
        <v>9.9999999999999991E-22</v>
      </c>
      <c r="Y116">
        <v>0</v>
      </c>
      <c r="Z116">
        <f t="shared" si="18"/>
        <v>0</v>
      </c>
      <c r="AA116">
        <f t="shared" si="25"/>
        <v>1</v>
      </c>
      <c r="AB116">
        <v>4</v>
      </c>
      <c r="AC116">
        <v>3</v>
      </c>
      <c r="AD116">
        <v>1</v>
      </c>
      <c r="AE116">
        <v>0</v>
      </c>
      <c r="AF116">
        <v>1</v>
      </c>
      <c r="AG116">
        <v>65</v>
      </c>
      <c r="AH116">
        <v>97500</v>
      </c>
      <c r="AI116">
        <v>2</v>
      </c>
      <c r="AJ116">
        <f>4500+2400+19500</f>
        <v>26400</v>
      </c>
      <c r="AK116">
        <v>11000</v>
      </c>
      <c r="AL116">
        <v>1500</v>
      </c>
      <c r="AM116">
        <v>14100</v>
      </c>
      <c r="AN116">
        <v>1050</v>
      </c>
      <c r="AO116">
        <v>0</v>
      </c>
      <c r="AP116">
        <f t="shared" si="19"/>
        <v>54.05</v>
      </c>
      <c r="AQ116">
        <f t="shared" si="20"/>
        <v>49.136363636363633</v>
      </c>
      <c r="AR116">
        <f t="shared" si="21"/>
        <v>43.45</v>
      </c>
      <c r="AS116">
        <f t="shared" si="22"/>
        <v>39.5</v>
      </c>
    </row>
    <row r="117" spans="1:45">
      <c r="A117">
        <v>116</v>
      </c>
      <c r="B117" t="s">
        <v>39</v>
      </c>
      <c r="C117">
        <v>1</v>
      </c>
      <c r="D117">
        <v>57</v>
      </c>
      <c r="E117">
        <v>1</v>
      </c>
      <c r="F117">
        <v>4</v>
      </c>
      <c r="G117">
        <v>32</v>
      </c>
      <c r="H117">
        <v>3</v>
      </c>
      <c r="I117">
        <f t="shared" si="23"/>
        <v>52.941176470588239</v>
      </c>
      <c r="J117">
        <f t="shared" si="24"/>
        <v>79411.76470588235</v>
      </c>
      <c r="K117">
        <f t="shared" si="16"/>
        <v>79.411764705882348</v>
      </c>
      <c r="L117">
        <v>0.85</v>
      </c>
      <c r="M117">
        <v>1</v>
      </c>
      <c r="N117">
        <v>52</v>
      </c>
      <c r="O117">
        <v>26</v>
      </c>
      <c r="P117">
        <v>2</v>
      </c>
      <c r="Q117">
        <v>3</v>
      </c>
      <c r="R117">
        <f>15*50</f>
        <v>750</v>
      </c>
      <c r="S117">
        <f t="shared" si="17"/>
        <v>0.75</v>
      </c>
      <c r="T117" s="3">
        <v>9.9999999999999991E-22</v>
      </c>
      <c r="U117" s="3">
        <v>9.9999999999999991E-22</v>
      </c>
      <c r="V117" s="3">
        <v>9.9999999999999991E-22</v>
      </c>
      <c r="W117" s="3">
        <v>9.9999999999999991E-22</v>
      </c>
      <c r="X117" s="3">
        <v>9.9999999999999991E-22</v>
      </c>
      <c r="Y117">
        <v>240000</v>
      </c>
      <c r="Z117">
        <f t="shared" si="18"/>
        <v>240</v>
      </c>
      <c r="AA117">
        <f t="shared" si="25"/>
        <v>0.21951219512195122</v>
      </c>
      <c r="AB117">
        <v>3</v>
      </c>
      <c r="AC117">
        <v>3</v>
      </c>
      <c r="AD117">
        <v>0</v>
      </c>
      <c r="AE117">
        <v>0</v>
      </c>
      <c r="AF117">
        <v>1</v>
      </c>
      <c r="AG117">
        <v>45</v>
      </c>
      <c r="AH117">
        <v>67500</v>
      </c>
      <c r="AI117">
        <v>2</v>
      </c>
      <c r="AJ117">
        <f>3500+1800+15750</f>
        <v>21050</v>
      </c>
      <c r="AK117">
        <v>7000</v>
      </c>
      <c r="AL117">
        <v>1500</v>
      </c>
      <c r="AM117">
        <v>7050</v>
      </c>
      <c r="AN117">
        <v>0</v>
      </c>
      <c r="AO117">
        <v>0</v>
      </c>
      <c r="AP117">
        <f t="shared" si="19"/>
        <v>36.6</v>
      </c>
      <c r="AQ117">
        <f t="shared" si="20"/>
        <v>43.058823529411768</v>
      </c>
      <c r="AR117">
        <f t="shared" si="21"/>
        <v>30.9</v>
      </c>
      <c r="AS117">
        <f t="shared" si="22"/>
        <v>36.352941176470587</v>
      </c>
    </row>
    <row r="118" spans="1:45">
      <c r="A118">
        <v>117</v>
      </c>
      <c r="B118" t="s">
        <v>39</v>
      </c>
      <c r="C118" s="3">
        <v>0</v>
      </c>
      <c r="D118">
        <v>60</v>
      </c>
      <c r="E118">
        <v>1</v>
      </c>
      <c r="F118">
        <v>4</v>
      </c>
      <c r="G118">
        <v>7</v>
      </c>
      <c r="H118">
        <v>2</v>
      </c>
      <c r="I118">
        <f t="shared" si="23"/>
        <v>71.2</v>
      </c>
      <c r="J118">
        <f t="shared" si="24"/>
        <v>108000</v>
      </c>
      <c r="K118">
        <f t="shared" si="16"/>
        <v>108</v>
      </c>
      <c r="L118">
        <v>2.5</v>
      </c>
      <c r="M118">
        <v>4</v>
      </c>
      <c r="N118">
        <v>18</v>
      </c>
      <c r="O118">
        <v>47</v>
      </c>
      <c r="P118">
        <v>3</v>
      </c>
      <c r="Q118">
        <v>2</v>
      </c>
      <c r="R118">
        <v>1500</v>
      </c>
      <c r="S118">
        <f t="shared" si="17"/>
        <v>1.5</v>
      </c>
      <c r="T118" s="3">
        <v>9.9999999999999991E-22</v>
      </c>
      <c r="U118" s="3">
        <v>9.9999999999999991E-22</v>
      </c>
      <c r="V118" s="3">
        <v>9.9999999999999991E-22</v>
      </c>
      <c r="W118" s="3">
        <v>9.9999999999999991E-22</v>
      </c>
      <c r="X118" s="3">
        <v>9.9999999999999991E-22</v>
      </c>
      <c r="Y118">
        <v>0</v>
      </c>
      <c r="Z118">
        <f t="shared" si="18"/>
        <v>0</v>
      </c>
      <c r="AA118">
        <f t="shared" si="25"/>
        <v>1</v>
      </c>
      <c r="AB118">
        <v>4</v>
      </c>
      <c r="AC118">
        <v>3</v>
      </c>
      <c r="AD118">
        <v>0</v>
      </c>
      <c r="AE118">
        <v>0</v>
      </c>
      <c r="AF118">
        <v>1</v>
      </c>
      <c r="AG118">
        <v>178</v>
      </c>
      <c r="AH118">
        <v>270000</v>
      </c>
      <c r="AI118">
        <v>2</v>
      </c>
      <c r="AJ118">
        <f>4500+6000+3600</f>
        <v>14100</v>
      </c>
      <c r="AK118">
        <v>18000</v>
      </c>
      <c r="AL118">
        <v>1200</v>
      </c>
      <c r="AM118">
        <v>14100</v>
      </c>
      <c r="AN118">
        <v>0</v>
      </c>
      <c r="AO118">
        <v>0</v>
      </c>
      <c r="AP118">
        <f t="shared" si="19"/>
        <v>47.4</v>
      </c>
      <c r="AQ118">
        <f t="shared" si="20"/>
        <v>18.96</v>
      </c>
      <c r="AR118">
        <f t="shared" si="21"/>
        <v>222.6</v>
      </c>
      <c r="AS118">
        <f t="shared" si="22"/>
        <v>89.039999999999992</v>
      </c>
    </row>
    <row r="119" spans="1:45">
      <c r="A119">
        <v>118</v>
      </c>
      <c r="B119" t="s">
        <v>39</v>
      </c>
      <c r="C119" s="3">
        <v>0</v>
      </c>
      <c r="D119">
        <v>69</v>
      </c>
      <c r="E119">
        <v>0</v>
      </c>
      <c r="F119">
        <v>1</v>
      </c>
      <c r="G119">
        <v>50</v>
      </c>
      <c r="H119">
        <v>7</v>
      </c>
      <c r="I119">
        <f t="shared" si="23"/>
        <v>62.222222222222221</v>
      </c>
      <c r="J119">
        <f t="shared" si="24"/>
        <v>95666.666666666672</v>
      </c>
      <c r="K119">
        <f t="shared" si="16"/>
        <v>95.666666666666671</v>
      </c>
      <c r="L119">
        <v>1.8</v>
      </c>
      <c r="M119">
        <v>3</v>
      </c>
      <c r="N119">
        <v>38</v>
      </c>
      <c r="O119">
        <v>39</v>
      </c>
      <c r="P119">
        <v>2</v>
      </c>
      <c r="Q119" s="3">
        <v>9.9999999999999991E-22</v>
      </c>
      <c r="R119">
        <v>1000</v>
      </c>
      <c r="S119">
        <f t="shared" si="17"/>
        <v>1</v>
      </c>
      <c r="T119" s="3">
        <v>9.9999999999999991E-22</v>
      </c>
      <c r="U119" s="3">
        <v>9.9999999999999991E-22</v>
      </c>
      <c r="V119" s="3">
        <v>9.9999999999999991E-22</v>
      </c>
      <c r="W119">
        <v>1</v>
      </c>
      <c r="X119" s="3">
        <v>9.9999999999999991E-22</v>
      </c>
      <c r="Y119">
        <v>36000</v>
      </c>
      <c r="Z119">
        <f t="shared" si="18"/>
        <v>36</v>
      </c>
      <c r="AA119">
        <f t="shared" si="25"/>
        <v>0.82708933717579247</v>
      </c>
      <c r="AB119">
        <v>3</v>
      </c>
      <c r="AC119">
        <v>3</v>
      </c>
      <c r="AD119">
        <v>0</v>
      </c>
      <c r="AE119">
        <v>0</v>
      </c>
      <c r="AF119">
        <v>1</v>
      </c>
      <c r="AG119">
        <v>112</v>
      </c>
      <c r="AH119">
        <v>172200</v>
      </c>
      <c r="AI119">
        <v>2</v>
      </c>
      <c r="AJ119">
        <f>1500+1800+39200</f>
        <v>42500</v>
      </c>
      <c r="AK119">
        <v>18000</v>
      </c>
      <c r="AL119">
        <v>0</v>
      </c>
      <c r="AM119">
        <v>10000</v>
      </c>
      <c r="AN119">
        <v>0</v>
      </c>
      <c r="AO119">
        <v>0</v>
      </c>
      <c r="AP119">
        <f t="shared" si="19"/>
        <v>70.5</v>
      </c>
      <c r="AQ119">
        <f t="shared" si="20"/>
        <v>39.166666666666664</v>
      </c>
      <c r="AR119">
        <f t="shared" si="21"/>
        <v>101.69999999999999</v>
      </c>
      <c r="AS119">
        <f t="shared" si="22"/>
        <v>56.499999999999993</v>
      </c>
    </row>
    <row r="120" spans="1:45">
      <c r="A120">
        <v>119</v>
      </c>
      <c r="B120" t="s">
        <v>39</v>
      </c>
      <c r="C120" s="3">
        <v>0</v>
      </c>
      <c r="D120">
        <v>51</v>
      </c>
      <c r="E120">
        <v>0</v>
      </c>
      <c r="F120">
        <v>2</v>
      </c>
      <c r="G120">
        <v>32</v>
      </c>
      <c r="H120">
        <v>2</v>
      </c>
      <c r="I120">
        <f t="shared" si="23"/>
        <v>142</v>
      </c>
      <c r="J120">
        <f t="shared" si="24"/>
        <v>95066</v>
      </c>
      <c r="K120">
        <f t="shared" si="16"/>
        <v>95.066000000000003</v>
      </c>
      <c r="L120">
        <v>0.5</v>
      </c>
      <c r="M120">
        <v>1</v>
      </c>
      <c r="N120">
        <v>28</v>
      </c>
      <c r="O120">
        <v>18</v>
      </c>
      <c r="P120">
        <v>1</v>
      </c>
      <c r="Q120">
        <v>2</v>
      </c>
      <c r="R120">
        <v>200</v>
      </c>
      <c r="S120">
        <f t="shared" si="17"/>
        <v>0.2</v>
      </c>
      <c r="T120" s="3">
        <v>9.9999999999999991E-22</v>
      </c>
      <c r="U120" s="3">
        <v>9.9999999999999991E-22</v>
      </c>
      <c r="V120" s="3">
        <v>9.9999999999999991E-22</v>
      </c>
      <c r="W120" s="3">
        <v>9.9999999999999991E-22</v>
      </c>
      <c r="X120" s="3">
        <v>9.9999999999999991E-22</v>
      </c>
      <c r="Y120">
        <v>111600</v>
      </c>
      <c r="Z120">
        <f t="shared" si="18"/>
        <v>111.6</v>
      </c>
      <c r="AA120">
        <f t="shared" si="25"/>
        <v>0.29869982970219877</v>
      </c>
      <c r="AB120">
        <v>4</v>
      </c>
      <c r="AC120">
        <v>1</v>
      </c>
      <c r="AD120">
        <v>0</v>
      </c>
      <c r="AE120">
        <v>0</v>
      </c>
      <c r="AF120">
        <v>1</v>
      </c>
      <c r="AG120">
        <v>71</v>
      </c>
      <c r="AH120">
        <v>47533</v>
      </c>
      <c r="AI120">
        <v>3</v>
      </c>
      <c r="AJ120">
        <f>3000+1200+21300</f>
        <v>25500</v>
      </c>
      <c r="AK120">
        <v>6600</v>
      </c>
      <c r="AL120">
        <v>1200</v>
      </c>
      <c r="AM120">
        <v>1960</v>
      </c>
      <c r="AN120">
        <v>0</v>
      </c>
      <c r="AO120">
        <v>0</v>
      </c>
      <c r="AP120">
        <f t="shared" si="19"/>
        <v>35.26</v>
      </c>
      <c r="AQ120">
        <f t="shared" si="20"/>
        <v>70.52</v>
      </c>
      <c r="AR120">
        <f t="shared" si="21"/>
        <v>12.273000000000003</v>
      </c>
      <c r="AS120">
        <f t="shared" si="22"/>
        <v>24.546000000000006</v>
      </c>
    </row>
    <row r="121" spans="1:45">
      <c r="A121">
        <v>120</v>
      </c>
      <c r="B121" t="s">
        <v>39</v>
      </c>
      <c r="C121" s="3">
        <v>0</v>
      </c>
      <c r="D121">
        <v>66</v>
      </c>
      <c r="E121">
        <v>1</v>
      </c>
      <c r="F121">
        <v>2</v>
      </c>
      <c r="G121">
        <v>44</v>
      </c>
      <c r="H121">
        <v>5</v>
      </c>
      <c r="I121">
        <f t="shared" si="23"/>
        <v>40</v>
      </c>
      <c r="J121">
        <f t="shared" si="24"/>
        <v>60000</v>
      </c>
      <c r="K121">
        <f t="shared" si="16"/>
        <v>60</v>
      </c>
      <c r="L121">
        <v>1.5</v>
      </c>
      <c r="M121">
        <v>3</v>
      </c>
      <c r="N121">
        <v>12</v>
      </c>
      <c r="O121">
        <v>21</v>
      </c>
      <c r="P121">
        <v>1</v>
      </c>
      <c r="Q121">
        <v>5</v>
      </c>
      <c r="R121">
        <f>20*50</f>
        <v>1000</v>
      </c>
      <c r="S121">
        <f t="shared" si="17"/>
        <v>1</v>
      </c>
      <c r="T121" s="3">
        <v>9.9999999999999991E-22</v>
      </c>
      <c r="U121" s="3">
        <v>9.9999999999999991E-22</v>
      </c>
      <c r="V121" s="3">
        <v>9.9999999999999991E-22</v>
      </c>
      <c r="W121" s="3">
        <v>9.9999999999999991E-22</v>
      </c>
      <c r="X121" s="3">
        <v>9.9999999999999991E-22</v>
      </c>
      <c r="Y121">
        <v>36000</v>
      </c>
      <c r="Z121">
        <f t="shared" si="18"/>
        <v>36</v>
      </c>
      <c r="AA121">
        <f t="shared" si="25"/>
        <v>0.7142857142857143</v>
      </c>
      <c r="AB121">
        <v>4</v>
      </c>
      <c r="AC121">
        <v>3</v>
      </c>
      <c r="AD121">
        <v>0</v>
      </c>
      <c r="AE121">
        <v>0</v>
      </c>
      <c r="AF121">
        <v>1</v>
      </c>
      <c r="AG121">
        <v>60</v>
      </c>
      <c r="AH121">
        <v>90000</v>
      </c>
      <c r="AI121">
        <v>1</v>
      </c>
      <c r="AJ121">
        <f>1500+1800+21000</f>
        <v>24300</v>
      </c>
      <c r="AK121">
        <v>7500</v>
      </c>
      <c r="AL121">
        <v>2500</v>
      </c>
      <c r="AM121">
        <v>9000</v>
      </c>
      <c r="AN121">
        <v>0</v>
      </c>
      <c r="AO121">
        <v>0</v>
      </c>
      <c r="AP121">
        <f t="shared" si="19"/>
        <v>43.3</v>
      </c>
      <c r="AQ121">
        <f t="shared" si="20"/>
        <v>28.866666666666664</v>
      </c>
      <c r="AR121">
        <f t="shared" si="21"/>
        <v>46.7</v>
      </c>
      <c r="AS121">
        <f t="shared" si="22"/>
        <v>31.133333333333336</v>
      </c>
    </row>
    <row r="122" spans="1:45">
      <c r="A122">
        <v>121</v>
      </c>
      <c r="B122" t="s">
        <v>39</v>
      </c>
      <c r="C122" s="3">
        <v>0</v>
      </c>
      <c r="D122">
        <v>51</v>
      </c>
      <c r="E122">
        <v>0</v>
      </c>
      <c r="F122">
        <v>4</v>
      </c>
      <c r="G122">
        <v>2</v>
      </c>
      <c r="H122">
        <v>4</v>
      </c>
      <c r="I122">
        <f t="shared" si="23"/>
        <v>45</v>
      </c>
      <c r="J122">
        <f t="shared" si="24"/>
        <v>63000</v>
      </c>
      <c r="K122">
        <f t="shared" si="16"/>
        <v>63</v>
      </c>
      <c r="L122">
        <v>0.8</v>
      </c>
      <c r="M122">
        <v>2</v>
      </c>
      <c r="N122">
        <v>12</v>
      </c>
      <c r="O122">
        <v>31</v>
      </c>
      <c r="P122">
        <v>3</v>
      </c>
      <c r="Q122">
        <v>2</v>
      </c>
      <c r="R122">
        <v>500</v>
      </c>
      <c r="S122">
        <f t="shared" si="17"/>
        <v>0.5</v>
      </c>
      <c r="T122" s="3">
        <v>9.9999999999999991E-22</v>
      </c>
      <c r="U122" s="3">
        <v>9.9999999999999991E-22</v>
      </c>
      <c r="V122" s="3">
        <v>9.9999999999999991E-22</v>
      </c>
      <c r="W122" s="3">
        <v>9.9999999999999991E-22</v>
      </c>
      <c r="X122" s="3">
        <v>9.9999999999999991E-22</v>
      </c>
      <c r="Y122">
        <v>219000</v>
      </c>
      <c r="Z122">
        <f t="shared" si="18"/>
        <v>219</v>
      </c>
      <c r="AA122">
        <f t="shared" si="25"/>
        <v>0.18708240534521159</v>
      </c>
      <c r="AB122">
        <v>4</v>
      </c>
      <c r="AC122">
        <v>3</v>
      </c>
      <c r="AD122">
        <v>0</v>
      </c>
      <c r="AE122">
        <v>0</v>
      </c>
      <c r="AF122">
        <v>1</v>
      </c>
      <c r="AG122">
        <v>36</v>
      </c>
      <c r="AH122">
        <v>50400</v>
      </c>
      <c r="AI122">
        <v>1</v>
      </c>
      <c r="AJ122">
        <f>3500+3300+14100</f>
        <v>20900</v>
      </c>
      <c r="AK122">
        <v>18000</v>
      </c>
      <c r="AL122">
        <v>1000</v>
      </c>
      <c r="AM122">
        <v>4700</v>
      </c>
      <c r="AN122">
        <v>0</v>
      </c>
      <c r="AO122">
        <v>0</v>
      </c>
      <c r="AP122">
        <f t="shared" si="19"/>
        <v>44.6</v>
      </c>
      <c r="AQ122">
        <f t="shared" si="20"/>
        <v>55.75</v>
      </c>
      <c r="AR122">
        <f t="shared" si="21"/>
        <v>5.7999999999999972</v>
      </c>
      <c r="AS122">
        <f t="shared" si="22"/>
        <v>7.2499999999999964</v>
      </c>
    </row>
    <row r="123" spans="1:45">
      <c r="A123">
        <v>122</v>
      </c>
      <c r="B123" t="s">
        <v>39</v>
      </c>
      <c r="C123">
        <v>1</v>
      </c>
      <c r="D123">
        <v>59</v>
      </c>
      <c r="E123">
        <v>1</v>
      </c>
      <c r="F123">
        <v>6</v>
      </c>
      <c r="G123">
        <v>5</v>
      </c>
      <c r="H123">
        <v>4</v>
      </c>
      <c r="I123">
        <f t="shared" si="23"/>
        <v>50</v>
      </c>
      <c r="J123">
        <f t="shared" si="24"/>
        <v>75000</v>
      </c>
      <c r="K123">
        <f t="shared" si="16"/>
        <v>75</v>
      </c>
      <c r="L123">
        <v>0.6</v>
      </c>
      <c r="M123">
        <v>1</v>
      </c>
      <c r="N123">
        <v>10</v>
      </c>
      <c r="O123">
        <v>23</v>
      </c>
      <c r="P123" s="3">
        <v>9.9999999999999991E-22</v>
      </c>
      <c r="Q123">
        <v>2</v>
      </c>
      <c r="R123">
        <v>500</v>
      </c>
      <c r="S123">
        <f t="shared" si="17"/>
        <v>0.5</v>
      </c>
      <c r="T123" s="3">
        <v>9.9999999999999991E-22</v>
      </c>
      <c r="U123" s="3">
        <v>9.9999999999999991E-22</v>
      </c>
      <c r="V123" s="3">
        <v>9.9999999999999991E-22</v>
      </c>
      <c r="W123" s="3">
        <v>9.9999999999999991E-22</v>
      </c>
      <c r="X123" s="3">
        <v>9.9999999999999991E-22</v>
      </c>
      <c r="Y123">
        <v>240000</v>
      </c>
      <c r="Z123">
        <f t="shared" si="18"/>
        <v>240</v>
      </c>
      <c r="AA123">
        <f t="shared" si="25"/>
        <v>0.15789473684210525</v>
      </c>
      <c r="AB123">
        <v>2</v>
      </c>
      <c r="AC123">
        <v>3</v>
      </c>
      <c r="AD123">
        <v>0</v>
      </c>
      <c r="AE123">
        <v>0</v>
      </c>
      <c r="AF123">
        <v>1</v>
      </c>
      <c r="AG123">
        <v>30</v>
      </c>
      <c r="AH123">
        <v>45000</v>
      </c>
      <c r="AI123">
        <v>2</v>
      </c>
      <c r="AJ123">
        <v>15000</v>
      </c>
      <c r="AK123">
        <v>0</v>
      </c>
      <c r="AL123">
        <v>1200</v>
      </c>
      <c r="AM123">
        <v>47000</v>
      </c>
      <c r="AN123">
        <v>0</v>
      </c>
      <c r="AO123">
        <v>0</v>
      </c>
      <c r="AP123">
        <f t="shared" si="19"/>
        <v>63.2</v>
      </c>
      <c r="AQ123">
        <f t="shared" si="20"/>
        <v>105.33333333333334</v>
      </c>
      <c r="AR123">
        <f t="shared" si="21"/>
        <v>-18.200000000000003</v>
      </c>
      <c r="AS123">
        <f t="shared" si="22"/>
        <v>-30.333333333333339</v>
      </c>
    </row>
    <row r="124" spans="1:45">
      <c r="A124">
        <v>123</v>
      </c>
      <c r="B124" t="s">
        <v>39</v>
      </c>
      <c r="C124">
        <v>1</v>
      </c>
      <c r="D124">
        <v>76</v>
      </c>
      <c r="E124">
        <v>0</v>
      </c>
      <c r="F124">
        <v>2</v>
      </c>
      <c r="G124">
        <v>16</v>
      </c>
      <c r="H124">
        <v>2</v>
      </c>
      <c r="I124">
        <f t="shared" si="23"/>
        <v>66</v>
      </c>
      <c r="J124">
        <f t="shared" si="24"/>
        <v>60000</v>
      </c>
      <c r="K124">
        <f t="shared" si="16"/>
        <v>60</v>
      </c>
      <c r="L124">
        <v>0.5</v>
      </c>
      <c r="M124">
        <v>1</v>
      </c>
      <c r="N124">
        <v>42</v>
      </c>
      <c r="O124">
        <v>41</v>
      </c>
      <c r="P124" s="3">
        <v>9.9999999999999991E-22</v>
      </c>
      <c r="Q124">
        <v>5</v>
      </c>
      <c r="R124">
        <v>500</v>
      </c>
      <c r="S124">
        <f t="shared" si="17"/>
        <v>0.5</v>
      </c>
      <c r="T124" s="3">
        <v>9.9999999999999991E-22</v>
      </c>
      <c r="U124" s="3">
        <v>9.9999999999999991E-22</v>
      </c>
      <c r="V124" s="3">
        <v>9.9999999999999991E-22</v>
      </c>
      <c r="W124">
        <v>1</v>
      </c>
      <c r="X124" s="3">
        <v>9.9999999999999991E-22</v>
      </c>
      <c r="Y124">
        <v>90000</v>
      </c>
      <c r="Z124">
        <f t="shared" si="18"/>
        <v>90</v>
      </c>
      <c r="AA124">
        <f t="shared" si="25"/>
        <v>0.25</v>
      </c>
      <c r="AB124">
        <v>3</v>
      </c>
      <c r="AC124">
        <v>3</v>
      </c>
      <c r="AD124">
        <v>0</v>
      </c>
      <c r="AE124">
        <v>0</v>
      </c>
      <c r="AF124">
        <v>1</v>
      </c>
      <c r="AG124">
        <v>33</v>
      </c>
      <c r="AH124">
        <v>30000</v>
      </c>
      <c r="AI124">
        <v>1</v>
      </c>
      <c r="AJ124">
        <v>14700</v>
      </c>
      <c r="AK124">
        <v>0</v>
      </c>
      <c r="AL124">
        <v>4000</v>
      </c>
      <c r="AM124">
        <v>4200</v>
      </c>
      <c r="AN124">
        <v>0</v>
      </c>
      <c r="AO124">
        <v>0</v>
      </c>
      <c r="AP124">
        <f t="shared" si="19"/>
        <v>22.9</v>
      </c>
      <c r="AQ124">
        <f t="shared" si="20"/>
        <v>45.8</v>
      </c>
      <c r="AR124">
        <f t="shared" si="21"/>
        <v>7.1000000000000014</v>
      </c>
      <c r="AS124">
        <f t="shared" si="22"/>
        <v>14.200000000000003</v>
      </c>
    </row>
    <row r="125" spans="1:45">
      <c r="A125">
        <v>124</v>
      </c>
      <c r="B125" t="s">
        <v>39</v>
      </c>
      <c r="C125">
        <v>1</v>
      </c>
      <c r="D125">
        <v>80</v>
      </c>
      <c r="E125">
        <v>0</v>
      </c>
      <c r="F125">
        <v>1</v>
      </c>
      <c r="G125">
        <v>50</v>
      </c>
      <c r="H125">
        <v>2</v>
      </c>
      <c r="I125">
        <f t="shared" si="23"/>
        <v>81.428571428571431</v>
      </c>
      <c r="J125">
        <f t="shared" si="24"/>
        <v>239062.85714285716</v>
      </c>
      <c r="K125">
        <f t="shared" si="16"/>
        <v>239.06285714285715</v>
      </c>
      <c r="L125">
        <v>0.7</v>
      </c>
      <c r="M125">
        <v>1</v>
      </c>
      <c r="N125" s="3">
        <v>9.9999999999999991E-22</v>
      </c>
      <c r="O125">
        <v>60</v>
      </c>
      <c r="P125" s="3">
        <v>9.9999999999999991E-22</v>
      </c>
      <c r="Q125">
        <v>1</v>
      </c>
      <c r="R125">
        <v>750</v>
      </c>
      <c r="S125">
        <f t="shared" si="17"/>
        <v>0.75</v>
      </c>
      <c r="T125" s="3">
        <v>9.9999999999999991E-22</v>
      </c>
      <c r="U125" s="3">
        <v>9.9999999999999991E-22</v>
      </c>
      <c r="V125" s="3">
        <v>9.9999999999999991E-22</v>
      </c>
      <c r="W125" s="3">
        <v>9.9999999999999991E-22</v>
      </c>
      <c r="X125" s="3">
        <v>9.9999999999999991E-22</v>
      </c>
      <c r="Y125">
        <v>150800</v>
      </c>
      <c r="Z125">
        <f t="shared" si="18"/>
        <v>150.80000000000001</v>
      </c>
      <c r="AA125">
        <f t="shared" si="25"/>
        <v>0.526000804667069</v>
      </c>
      <c r="AB125">
        <v>4</v>
      </c>
      <c r="AC125">
        <v>3</v>
      </c>
      <c r="AD125">
        <v>0</v>
      </c>
      <c r="AE125">
        <v>0</v>
      </c>
      <c r="AF125">
        <v>1</v>
      </c>
      <c r="AG125">
        <v>57</v>
      </c>
      <c r="AH125">
        <v>167344</v>
      </c>
      <c r="AI125">
        <v>2</v>
      </c>
      <c r="AJ125">
        <f>14700+19100</f>
        <v>33800</v>
      </c>
      <c r="AK125">
        <v>0</v>
      </c>
      <c r="AL125">
        <v>1800</v>
      </c>
      <c r="AM125">
        <v>6750</v>
      </c>
      <c r="AN125">
        <v>0</v>
      </c>
      <c r="AO125">
        <v>0</v>
      </c>
      <c r="AP125">
        <f t="shared" si="19"/>
        <v>42.35</v>
      </c>
      <c r="AQ125">
        <f t="shared" si="20"/>
        <v>60.500000000000007</v>
      </c>
      <c r="AR125">
        <f t="shared" si="21"/>
        <v>124.994</v>
      </c>
      <c r="AS125">
        <f t="shared" si="22"/>
        <v>178.56285714285715</v>
      </c>
    </row>
    <row r="126" spans="1:45">
      <c r="A126">
        <v>125</v>
      </c>
      <c r="B126" t="s">
        <v>40</v>
      </c>
      <c r="C126">
        <v>1</v>
      </c>
      <c r="D126">
        <v>70</v>
      </c>
      <c r="E126">
        <v>0</v>
      </c>
      <c r="F126">
        <v>2</v>
      </c>
      <c r="G126">
        <v>56</v>
      </c>
      <c r="H126">
        <v>7</v>
      </c>
      <c r="I126">
        <f t="shared" si="23"/>
        <v>30</v>
      </c>
      <c r="J126">
        <f t="shared" si="24"/>
        <v>110000</v>
      </c>
      <c r="K126">
        <f t="shared" si="16"/>
        <v>110</v>
      </c>
      <c r="L126">
        <v>0.5</v>
      </c>
      <c r="M126">
        <v>1</v>
      </c>
      <c r="N126">
        <v>9</v>
      </c>
      <c r="O126">
        <v>10</v>
      </c>
      <c r="P126">
        <v>1</v>
      </c>
      <c r="Q126">
        <v>1</v>
      </c>
      <c r="R126">
        <v>350</v>
      </c>
      <c r="S126">
        <f t="shared" si="17"/>
        <v>0.35</v>
      </c>
      <c r="T126" s="3">
        <v>9.9999999999999991E-22</v>
      </c>
      <c r="U126" s="3">
        <v>9.9999999999999991E-22</v>
      </c>
      <c r="V126" s="3">
        <v>9.9999999999999991E-22</v>
      </c>
      <c r="W126" s="3">
        <v>9.9999999999999991E-22</v>
      </c>
      <c r="X126" s="3">
        <v>9.9999999999999991E-22</v>
      </c>
      <c r="Y126">
        <f>86400+144000</f>
        <v>230400</v>
      </c>
      <c r="Z126">
        <f t="shared" si="18"/>
        <v>230.4</v>
      </c>
      <c r="AA126">
        <f t="shared" si="25"/>
        <v>0.19271198318149965</v>
      </c>
      <c r="AB126">
        <v>3</v>
      </c>
      <c r="AC126">
        <v>3</v>
      </c>
      <c r="AD126">
        <v>0</v>
      </c>
      <c r="AE126">
        <v>0</v>
      </c>
      <c r="AF126">
        <v>1</v>
      </c>
      <c r="AG126">
        <v>15</v>
      </c>
      <c r="AH126">
        <v>55000</v>
      </c>
      <c r="AI126">
        <v>2</v>
      </c>
      <c r="AJ126">
        <v>5700</v>
      </c>
      <c r="AK126">
        <v>2750</v>
      </c>
      <c r="AL126">
        <v>600</v>
      </c>
      <c r="AM126">
        <v>3360</v>
      </c>
      <c r="AN126">
        <v>0</v>
      </c>
      <c r="AO126">
        <v>0</v>
      </c>
      <c r="AP126">
        <f t="shared" si="19"/>
        <v>12.41</v>
      </c>
      <c r="AQ126">
        <f t="shared" si="20"/>
        <v>24.82</v>
      </c>
      <c r="AR126">
        <f t="shared" si="21"/>
        <v>42.59</v>
      </c>
      <c r="AS126">
        <f t="shared" si="22"/>
        <v>85.18</v>
      </c>
    </row>
    <row r="127" spans="1:45">
      <c r="A127">
        <v>126</v>
      </c>
      <c r="B127" t="s">
        <v>40</v>
      </c>
      <c r="C127">
        <v>1</v>
      </c>
      <c r="D127">
        <v>68</v>
      </c>
      <c r="E127">
        <v>1</v>
      </c>
      <c r="F127">
        <v>3</v>
      </c>
      <c r="G127">
        <v>50</v>
      </c>
      <c r="H127">
        <v>6</v>
      </c>
      <c r="I127">
        <f t="shared" si="23"/>
        <v>90</v>
      </c>
      <c r="J127">
        <f t="shared" si="24"/>
        <v>144000</v>
      </c>
      <c r="K127">
        <f t="shared" si="16"/>
        <v>144</v>
      </c>
      <c r="L127">
        <v>2</v>
      </c>
      <c r="M127">
        <v>2</v>
      </c>
      <c r="N127">
        <v>40.5</v>
      </c>
      <c r="O127">
        <v>32</v>
      </c>
      <c r="P127">
        <v>3</v>
      </c>
      <c r="Q127" s="3">
        <v>9.9999999999999991E-22</v>
      </c>
      <c r="R127">
        <f>50*59</f>
        <v>2950</v>
      </c>
      <c r="S127">
        <f t="shared" si="17"/>
        <v>2.95</v>
      </c>
      <c r="T127" s="3">
        <v>9.9999999999999991E-22</v>
      </c>
      <c r="U127" s="3">
        <v>9.9999999999999991E-22</v>
      </c>
      <c r="V127" s="3">
        <v>9.9999999999999991E-22</v>
      </c>
      <c r="W127">
        <v>1</v>
      </c>
      <c r="X127">
        <v>1</v>
      </c>
      <c r="Y127">
        <f>150000+108000</f>
        <v>258000</v>
      </c>
      <c r="Z127">
        <f t="shared" si="18"/>
        <v>258</v>
      </c>
      <c r="AA127">
        <f t="shared" si="25"/>
        <v>0.52747252747252749</v>
      </c>
      <c r="AB127">
        <v>3</v>
      </c>
      <c r="AC127">
        <v>3</v>
      </c>
      <c r="AD127">
        <v>0</v>
      </c>
      <c r="AE127">
        <v>0</v>
      </c>
      <c r="AF127">
        <v>1</v>
      </c>
      <c r="AG127">
        <v>180</v>
      </c>
      <c r="AH127">
        <v>288000</v>
      </c>
      <c r="AI127">
        <v>1</v>
      </c>
      <c r="AJ127">
        <f>50400+10710</f>
        <v>61110</v>
      </c>
      <c r="AK127">
        <v>28500</v>
      </c>
      <c r="AL127">
        <v>0</v>
      </c>
      <c r="AM127">
        <f>24000+8010</f>
        <v>32010</v>
      </c>
      <c r="AN127">
        <v>0</v>
      </c>
      <c r="AO127">
        <v>0</v>
      </c>
      <c r="AP127">
        <f t="shared" si="19"/>
        <v>121.62</v>
      </c>
      <c r="AQ127">
        <f t="shared" si="20"/>
        <v>60.81</v>
      </c>
      <c r="AR127">
        <f t="shared" si="21"/>
        <v>166.38</v>
      </c>
      <c r="AS127">
        <f t="shared" si="22"/>
        <v>83.19</v>
      </c>
    </row>
    <row r="128" spans="1:45">
      <c r="A128">
        <v>127</v>
      </c>
      <c r="B128" t="s">
        <v>40</v>
      </c>
      <c r="C128">
        <v>1</v>
      </c>
      <c r="D128">
        <v>47</v>
      </c>
      <c r="E128">
        <v>0</v>
      </c>
      <c r="F128">
        <v>4</v>
      </c>
      <c r="G128">
        <v>7</v>
      </c>
      <c r="H128">
        <v>4</v>
      </c>
      <c r="I128">
        <f t="shared" si="23"/>
        <v>74.999999999999986</v>
      </c>
      <c r="J128">
        <f t="shared" si="24"/>
        <v>112499.99999999999</v>
      </c>
      <c r="K128">
        <f t="shared" si="16"/>
        <v>112.49999999999999</v>
      </c>
      <c r="L128">
        <v>0.56000000000000005</v>
      </c>
      <c r="M128">
        <v>1</v>
      </c>
      <c r="N128">
        <v>83</v>
      </c>
      <c r="O128">
        <v>6</v>
      </c>
      <c r="P128">
        <v>1</v>
      </c>
      <c r="Q128">
        <v>1.5</v>
      </c>
      <c r="R128">
        <f>50*15</f>
        <v>750</v>
      </c>
      <c r="S128">
        <f t="shared" si="17"/>
        <v>0.75</v>
      </c>
      <c r="T128" s="3">
        <v>9.9999999999999991E-22</v>
      </c>
      <c r="U128" s="3">
        <v>9.9999999999999991E-22</v>
      </c>
      <c r="V128" s="3">
        <v>9.9999999999999991E-22</v>
      </c>
      <c r="W128">
        <v>1</v>
      </c>
      <c r="X128" s="3">
        <v>9.9999999999999991E-22</v>
      </c>
      <c r="Y128">
        <f>144576+57600</f>
        <v>202176</v>
      </c>
      <c r="Z128">
        <f t="shared" si="18"/>
        <v>202.17599999999999</v>
      </c>
      <c r="AA128">
        <f t="shared" si="25"/>
        <v>0.23757806136301929</v>
      </c>
      <c r="AB128">
        <v>3</v>
      </c>
      <c r="AC128">
        <v>3</v>
      </c>
      <c r="AD128">
        <v>0</v>
      </c>
      <c r="AE128">
        <v>0</v>
      </c>
      <c r="AF128">
        <v>1</v>
      </c>
      <c r="AG128">
        <v>42</v>
      </c>
      <c r="AH128">
        <v>63000</v>
      </c>
      <c r="AI128">
        <v>2</v>
      </c>
      <c r="AJ128">
        <f>3080+11760</f>
        <v>14840</v>
      </c>
      <c r="AK128">
        <v>2750</v>
      </c>
      <c r="AL128">
        <v>900</v>
      </c>
      <c r="AM128">
        <v>7200</v>
      </c>
      <c r="AN128">
        <v>0</v>
      </c>
      <c r="AO128">
        <v>0</v>
      </c>
      <c r="AP128">
        <f t="shared" si="19"/>
        <v>25.69</v>
      </c>
      <c r="AQ128">
        <f t="shared" si="20"/>
        <v>45.875</v>
      </c>
      <c r="AR128">
        <f t="shared" si="21"/>
        <v>37.31</v>
      </c>
      <c r="AS128">
        <f t="shared" si="22"/>
        <v>66.625</v>
      </c>
    </row>
    <row r="129" spans="1:45">
      <c r="A129">
        <v>128</v>
      </c>
      <c r="B129" t="s">
        <v>40</v>
      </c>
      <c r="C129">
        <v>1</v>
      </c>
      <c r="D129">
        <v>71</v>
      </c>
      <c r="E129">
        <v>1</v>
      </c>
      <c r="F129">
        <v>2</v>
      </c>
      <c r="G129">
        <v>50</v>
      </c>
      <c r="H129">
        <v>3</v>
      </c>
      <c r="I129">
        <f t="shared" si="23"/>
        <v>96</v>
      </c>
      <c r="J129">
        <f t="shared" si="24"/>
        <v>200000</v>
      </c>
      <c r="K129">
        <f t="shared" si="16"/>
        <v>200</v>
      </c>
      <c r="L129">
        <v>0.5</v>
      </c>
      <c r="M129">
        <v>1</v>
      </c>
      <c r="N129">
        <v>26.5</v>
      </c>
      <c r="O129">
        <v>36</v>
      </c>
      <c r="P129">
        <v>0.5</v>
      </c>
      <c r="Q129">
        <v>1</v>
      </c>
      <c r="R129">
        <f>12*50</f>
        <v>600</v>
      </c>
      <c r="S129">
        <f t="shared" si="17"/>
        <v>0.6</v>
      </c>
      <c r="T129" s="3">
        <v>9.9999999999999991E-22</v>
      </c>
      <c r="U129" s="3">
        <v>9.9999999999999991E-22</v>
      </c>
      <c r="V129" s="3">
        <v>9.9999999999999991E-22</v>
      </c>
      <c r="W129">
        <v>1</v>
      </c>
      <c r="X129" s="3">
        <v>9.9999999999999991E-22</v>
      </c>
      <c r="Y129">
        <v>120000</v>
      </c>
      <c r="Z129">
        <f t="shared" si="18"/>
        <v>120</v>
      </c>
      <c r="AA129">
        <f t="shared" si="25"/>
        <v>0.45454545454545453</v>
      </c>
      <c r="AB129">
        <v>3</v>
      </c>
      <c r="AC129">
        <v>3</v>
      </c>
      <c r="AD129">
        <v>0</v>
      </c>
      <c r="AE129">
        <v>0</v>
      </c>
      <c r="AF129">
        <v>1</v>
      </c>
      <c r="AG129">
        <v>48</v>
      </c>
      <c r="AH129">
        <v>100000</v>
      </c>
      <c r="AI129">
        <v>2</v>
      </c>
      <c r="AJ129">
        <f>1200+13440</f>
        <v>14640</v>
      </c>
      <c r="AK129">
        <v>2750</v>
      </c>
      <c r="AL129">
        <v>600</v>
      </c>
      <c r="AM129">
        <v>10680</v>
      </c>
      <c r="AN129">
        <v>0</v>
      </c>
      <c r="AO129">
        <v>0</v>
      </c>
      <c r="AP129">
        <f t="shared" si="19"/>
        <v>28.67</v>
      </c>
      <c r="AQ129">
        <f t="shared" si="20"/>
        <v>57.34</v>
      </c>
      <c r="AR129">
        <f t="shared" si="21"/>
        <v>71.33</v>
      </c>
      <c r="AS129">
        <f t="shared" si="22"/>
        <v>142.66</v>
      </c>
    </row>
    <row r="130" spans="1:45">
      <c r="A130">
        <v>129</v>
      </c>
      <c r="B130" t="s">
        <v>40</v>
      </c>
      <c r="C130">
        <v>1</v>
      </c>
      <c r="D130">
        <v>79</v>
      </c>
      <c r="E130">
        <v>0</v>
      </c>
      <c r="F130">
        <v>2</v>
      </c>
      <c r="G130">
        <v>64</v>
      </c>
      <c r="H130">
        <v>3</v>
      </c>
      <c r="I130">
        <f t="shared" ref="I130:I166" si="26">AG130/L130</f>
        <v>50</v>
      </c>
      <c r="J130">
        <f t="shared" ref="J130:J161" si="27">AH130/L130</f>
        <v>60000</v>
      </c>
      <c r="K130">
        <f t="shared" si="16"/>
        <v>60</v>
      </c>
      <c r="L130">
        <v>0.5</v>
      </c>
      <c r="M130">
        <v>1</v>
      </c>
      <c r="N130">
        <v>30</v>
      </c>
      <c r="O130">
        <v>22</v>
      </c>
      <c r="P130">
        <v>1</v>
      </c>
      <c r="Q130">
        <v>0.5</v>
      </c>
      <c r="R130">
        <v>500</v>
      </c>
      <c r="S130">
        <f t="shared" si="17"/>
        <v>0.5</v>
      </c>
      <c r="T130" s="3">
        <v>9.9999999999999991E-22</v>
      </c>
      <c r="U130" s="3">
        <v>9.9999999999999991E-22</v>
      </c>
      <c r="V130" s="3">
        <v>9.9999999999999991E-22</v>
      </c>
      <c r="W130" s="3">
        <v>9.9999999999999991E-22</v>
      </c>
      <c r="X130" s="3">
        <v>9.9999999999999991E-22</v>
      </c>
      <c r="Y130">
        <f>42000+115200</f>
        <v>157200</v>
      </c>
      <c r="Z130">
        <f t="shared" si="18"/>
        <v>157.19999999999999</v>
      </c>
      <c r="AA130">
        <f t="shared" ref="AA130:AA161" si="28">AH130/(AH130+Y130)</f>
        <v>0.16025641025641027</v>
      </c>
      <c r="AB130">
        <v>3</v>
      </c>
      <c r="AC130">
        <v>3</v>
      </c>
      <c r="AD130">
        <v>0</v>
      </c>
      <c r="AE130">
        <v>0</v>
      </c>
      <c r="AF130">
        <v>1</v>
      </c>
      <c r="AG130">
        <v>25</v>
      </c>
      <c r="AH130">
        <v>30000</v>
      </c>
      <c r="AI130">
        <v>2</v>
      </c>
      <c r="AJ130">
        <f>600+7500</f>
        <v>8100</v>
      </c>
      <c r="AK130">
        <v>2500</v>
      </c>
      <c r="AL130">
        <v>300</v>
      </c>
      <c r="AM130">
        <v>4700</v>
      </c>
      <c r="AN130">
        <v>0</v>
      </c>
      <c r="AO130">
        <v>0</v>
      </c>
      <c r="AP130">
        <f t="shared" si="19"/>
        <v>15.6</v>
      </c>
      <c r="AQ130">
        <f t="shared" si="20"/>
        <v>31.2</v>
      </c>
      <c r="AR130">
        <f t="shared" si="21"/>
        <v>14.4</v>
      </c>
      <c r="AS130">
        <f t="shared" si="22"/>
        <v>28.8</v>
      </c>
    </row>
    <row r="131" spans="1:45">
      <c r="A131">
        <v>130</v>
      </c>
      <c r="B131" t="s">
        <v>40</v>
      </c>
      <c r="C131" s="3">
        <v>0</v>
      </c>
      <c r="D131">
        <v>67</v>
      </c>
      <c r="E131">
        <v>1</v>
      </c>
      <c r="F131">
        <v>2</v>
      </c>
      <c r="G131">
        <v>48</v>
      </c>
      <c r="H131">
        <v>7</v>
      </c>
      <c r="I131">
        <f t="shared" si="26"/>
        <v>62.666666666666664</v>
      </c>
      <c r="J131">
        <f t="shared" si="27"/>
        <v>13733.333333333334</v>
      </c>
      <c r="K131">
        <f t="shared" ref="K131:K166" si="29">J131/1000</f>
        <v>13.733333333333334</v>
      </c>
      <c r="L131">
        <v>0.75</v>
      </c>
      <c r="M131">
        <v>1</v>
      </c>
      <c r="N131">
        <v>37.5</v>
      </c>
      <c r="O131">
        <v>41</v>
      </c>
      <c r="P131">
        <v>2</v>
      </c>
      <c r="Q131" s="3">
        <v>9.9999999999999991E-22</v>
      </c>
      <c r="R131">
        <f>15*50</f>
        <v>750</v>
      </c>
      <c r="S131">
        <f t="shared" ref="S131:S166" si="30">R131/1000</f>
        <v>0.75</v>
      </c>
      <c r="T131" s="3">
        <v>9.9999999999999991E-22</v>
      </c>
      <c r="U131" s="3">
        <v>9.9999999999999991E-22</v>
      </c>
      <c r="V131" s="3">
        <v>9.9999999999999991E-22</v>
      </c>
      <c r="W131">
        <v>1</v>
      </c>
      <c r="X131" s="3">
        <v>9.9999999999999991E-22</v>
      </c>
      <c r="Y131">
        <f>100800+86400</f>
        <v>187200</v>
      </c>
      <c r="Z131">
        <f t="shared" ref="Z131:Z166" si="31">Y131/1000</f>
        <v>187.2</v>
      </c>
      <c r="AA131">
        <f t="shared" si="28"/>
        <v>5.2151898734177214E-2</v>
      </c>
      <c r="AB131">
        <v>4</v>
      </c>
      <c r="AC131">
        <v>3</v>
      </c>
      <c r="AD131">
        <v>0</v>
      </c>
      <c r="AE131">
        <v>0</v>
      </c>
      <c r="AF131">
        <v>1</v>
      </c>
      <c r="AG131">
        <v>47</v>
      </c>
      <c r="AH131">
        <v>10300</v>
      </c>
      <c r="AI131">
        <v>2</v>
      </c>
      <c r="AJ131">
        <f>13160+600</f>
        <v>13760</v>
      </c>
      <c r="AK131">
        <v>3094</v>
      </c>
      <c r="AL131">
        <v>0</v>
      </c>
      <c r="AM131">
        <v>7800</v>
      </c>
      <c r="AN131">
        <v>0</v>
      </c>
      <c r="AO131">
        <v>0</v>
      </c>
      <c r="AP131">
        <f t="shared" ref="AP131:AP166" si="32">(AJ131+AK131+AL131+AM131+AN131+AO131)/1000</f>
        <v>24.654</v>
      </c>
      <c r="AQ131">
        <f t="shared" ref="AQ131:AQ166" si="33">AP131/L131</f>
        <v>32.872</v>
      </c>
      <c r="AR131">
        <f t="shared" ref="AR131:AR166" si="34">AH131/1000-AP131</f>
        <v>-14.353999999999999</v>
      </c>
      <c r="AS131">
        <f t="shared" ref="AS131:AS166" si="35">AR131/L131</f>
        <v>-19.138666666666666</v>
      </c>
    </row>
    <row r="132" spans="1:45">
      <c r="A132">
        <v>131</v>
      </c>
      <c r="B132" t="s">
        <v>40</v>
      </c>
      <c r="C132" s="3">
        <v>0</v>
      </c>
      <c r="D132">
        <v>68</v>
      </c>
      <c r="E132">
        <v>0</v>
      </c>
      <c r="F132">
        <v>2</v>
      </c>
      <c r="G132">
        <v>50</v>
      </c>
      <c r="H132">
        <v>5</v>
      </c>
      <c r="I132">
        <f t="shared" si="26"/>
        <v>65.333333333333329</v>
      </c>
      <c r="J132">
        <f t="shared" si="27"/>
        <v>60000</v>
      </c>
      <c r="K132">
        <f t="shared" si="29"/>
        <v>60</v>
      </c>
      <c r="L132">
        <v>0.75</v>
      </c>
      <c r="M132">
        <v>1</v>
      </c>
      <c r="N132">
        <v>90</v>
      </c>
      <c r="O132">
        <v>15</v>
      </c>
      <c r="P132" s="3">
        <v>9.9999999999999991E-22</v>
      </c>
      <c r="Q132">
        <v>2</v>
      </c>
      <c r="R132">
        <f>15*50</f>
        <v>750</v>
      </c>
      <c r="S132">
        <f t="shared" si="30"/>
        <v>0.75</v>
      </c>
      <c r="T132" s="3">
        <v>9.9999999999999991E-22</v>
      </c>
      <c r="U132" s="3">
        <v>9.9999999999999991E-22</v>
      </c>
      <c r="V132" s="3">
        <v>9.9999999999999991E-22</v>
      </c>
      <c r="W132">
        <v>1</v>
      </c>
      <c r="X132" s="3">
        <v>9.9999999999999991E-22</v>
      </c>
      <c r="Y132">
        <f>10500+115200+42000</f>
        <v>167700</v>
      </c>
      <c r="Z132">
        <f t="shared" si="31"/>
        <v>167.7</v>
      </c>
      <c r="AA132">
        <f t="shared" si="28"/>
        <v>0.21156558533145275</v>
      </c>
      <c r="AB132">
        <v>3</v>
      </c>
      <c r="AC132">
        <v>3</v>
      </c>
      <c r="AD132">
        <v>0</v>
      </c>
      <c r="AE132">
        <v>0</v>
      </c>
      <c r="AF132">
        <v>1</v>
      </c>
      <c r="AG132">
        <v>49</v>
      </c>
      <c r="AH132">
        <v>45000</v>
      </c>
      <c r="AI132">
        <v>2</v>
      </c>
      <c r="AJ132">
        <f>14700+1800</f>
        <v>16500</v>
      </c>
      <c r="AK132">
        <v>0</v>
      </c>
      <c r="AL132">
        <v>1200</v>
      </c>
      <c r="AM132">
        <v>7200</v>
      </c>
      <c r="AN132">
        <v>0</v>
      </c>
      <c r="AO132">
        <v>0</v>
      </c>
      <c r="AP132">
        <f t="shared" si="32"/>
        <v>24.9</v>
      </c>
      <c r="AQ132">
        <f t="shared" si="33"/>
        <v>33.199999999999996</v>
      </c>
      <c r="AR132">
        <f t="shared" si="34"/>
        <v>20.100000000000001</v>
      </c>
      <c r="AS132">
        <f t="shared" si="35"/>
        <v>26.8</v>
      </c>
    </row>
    <row r="133" spans="1:45">
      <c r="A133">
        <v>132</v>
      </c>
      <c r="B133" t="s">
        <v>40</v>
      </c>
      <c r="C133" s="3">
        <v>0</v>
      </c>
      <c r="D133">
        <v>54</v>
      </c>
      <c r="E133">
        <v>0</v>
      </c>
      <c r="F133">
        <v>6</v>
      </c>
      <c r="G133">
        <v>9</v>
      </c>
      <c r="H133">
        <v>2</v>
      </c>
      <c r="I133">
        <f t="shared" si="26"/>
        <v>30</v>
      </c>
      <c r="J133">
        <f t="shared" si="27"/>
        <v>119000</v>
      </c>
      <c r="K133">
        <f t="shared" si="29"/>
        <v>119</v>
      </c>
      <c r="L133">
        <v>1</v>
      </c>
      <c r="M133">
        <v>1</v>
      </c>
      <c r="N133">
        <v>37.5</v>
      </c>
      <c r="O133">
        <v>51</v>
      </c>
      <c r="P133" s="3">
        <v>9.9999999999999991E-22</v>
      </c>
      <c r="Q133">
        <v>2</v>
      </c>
      <c r="R133">
        <f>35*50</f>
        <v>1750</v>
      </c>
      <c r="S133">
        <f t="shared" si="30"/>
        <v>1.75</v>
      </c>
      <c r="T133" s="3">
        <v>9.9999999999999991E-22</v>
      </c>
      <c r="U133" s="3">
        <v>9.9999999999999991E-22</v>
      </c>
      <c r="V133" s="3">
        <v>9.9999999999999991E-22</v>
      </c>
      <c r="W133">
        <v>1</v>
      </c>
      <c r="X133">
        <v>1</v>
      </c>
      <c r="Y133">
        <v>73000</v>
      </c>
      <c r="Z133">
        <f t="shared" si="31"/>
        <v>73</v>
      </c>
      <c r="AA133">
        <f t="shared" si="28"/>
        <v>0.61979166666666663</v>
      </c>
      <c r="AB133">
        <v>3</v>
      </c>
      <c r="AC133">
        <v>1</v>
      </c>
      <c r="AD133">
        <v>0</v>
      </c>
      <c r="AE133">
        <v>0</v>
      </c>
      <c r="AF133">
        <v>1</v>
      </c>
      <c r="AG133">
        <v>30</v>
      </c>
      <c r="AH133">
        <v>119000</v>
      </c>
      <c r="AI133">
        <v>4</v>
      </c>
      <c r="AJ133">
        <f>900+19600</f>
        <v>20500</v>
      </c>
      <c r="AK133">
        <v>0</v>
      </c>
      <c r="AL133">
        <v>1200</v>
      </c>
      <c r="AM133">
        <v>16800</v>
      </c>
      <c r="AN133">
        <v>0</v>
      </c>
      <c r="AO133">
        <v>0</v>
      </c>
      <c r="AP133">
        <f t="shared" si="32"/>
        <v>38.5</v>
      </c>
      <c r="AQ133">
        <f t="shared" si="33"/>
        <v>38.5</v>
      </c>
      <c r="AR133">
        <f t="shared" si="34"/>
        <v>80.5</v>
      </c>
      <c r="AS133">
        <f t="shared" si="35"/>
        <v>80.5</v>
      </c>
    </row>
    <row r="134" spans="1:45">
      <c r="A134">
        <v>133</v>
      </c>
      <c r="B134" t="s">
        <v>40</v>
      </c>
      <c r="C134" s="3">
        <v>0</v>
      </c>
      <c r="D134">
        <v>79</v>
      </c>
      <c r="E134">
        <v>1</v>
      </c>
      <c r="F134">
        <v>2</v>
      </c>
      <c r="G134">
        <v>64</v>
      </c>
      <c r="H134">
        <v>1</v>
      </c>
      <c r="I134">
        <f t="shared" si="26"/>
        <v>40</v>
      </c>
      <c r="J134">
        <f t="shared" si="27"/>
        <v>32000</v>
      </c>
      <c r="K134">
        <f t="shared" si="29"/>
        <v>32</v>
      </c>
      <c r="L134">
        <v>1.25</v>
      </c>
      <c r="M134">
        <v>1</v>
      </c>
      <c r="N134">
        <v>56</v>
      </c>
      <c r="O134">
        <v>33</v>
      </c>
      <c r="P134">
        <v>0.5</v>
      </c>
      <c r="Q134">
        <v>0.5</v>
      </c>
      <c r="R134">
        <f>50*18</f>
        <v>900</v>
      </c>
      <c r="S134">
        <f t="shared" si="30"/>
        <v>0.9</v>
      </c>
      <c r="T134" s="3">
        <v>9.9999999999999991E-22</v>
      </c>
      <c r="U134" s="3">
        <v>9.9999999999999991E-22</v>
      </c>
      <c r="V134" s="3">
        <v>9.9999999999999991E-22</v>
      </c>
      <c r="W134" s="3">
        <v>9.9999999999999991E-22</v>
      </c>
      <c r="X134" s="3">
        <v>9.9999999999999991E-22</v>
      </c>
      <c r="Y134">
        <v>6000</v>
      </c>
      <c r="Z134">
        <f t="shared" si="31"/>
        <v>6</v>
      </c>
      <c r="AA134">
        <f t="shared" si="28"/>
        <v>0.86956521739130432</v>
      </c>
      <c r="AB134">
        <v>3</v>
      </c>
      <c r="AC134">
        <v>3</v>
      </c>
      <c r="AD134">
        <v>0</v>
      </c>
      <c r="AE134">
        <v>0</v>
      </c>
      <c r="AF134">
        <v>1</v>
      </c>
      <c r="AG134">
        <v>50</v>
      </c>
      <c r="AH134">
        <v>40000</v>
      </c>
      <c r="AI134">
        <v>2</v>
      </c>
      <c r="AJ134">
        <f>15000+7500</f>
        <v>22500</v>
      </c>
      <c r="AK134">
        <v>6875</v>
      </c>
      <c r="AL134">
        <v>750</v>
      </c>
      <c r="AM134">
        <v>9180</v>
      </c>
      <c r="AN134">
        <v>0</v>
      </c>
      <c r="AO134">
        <v>0</v>
      </c>
      <c r="AP134">
        <f t="shared" si="32"/>
        <v>39.305</v>
      </c>
      <c r="AQ134">
        <f t="shared" si="33"/>
        <v>31.443999999999999</v>
      </c>
      <c r="AR134">
        <f t="shared" si="34"/>
        <v>0.69500000000000028</v>
      </c>
      <c r="AS134">
        <f t="shared" si="35"/>
        <v>0.55600000000000027</v>
      </c>
    </row>
    <row r="135" spans="1:45">
      <c r="A135">
        <v>134</v>
      </c>
      <c r="B135" t="s">
        <v>40</v>
      </c>
      <c r="C135" s="3">
        <v>0</v>
      </c>
      <c r="D135">
        <v>76</v>
      </c>
      <c r="E135">
        <v>1</v>
      </c>
      <c r="F135">
        <v>1</v>
      </c>
      <c r="G135">
        <v>64</v>
      </c>
      <c r="H135">
        <v>2</v>
      </c>
      <c r="I135">
        <f t="shared" si="26"/>
        <v>80</v>
      </c>
      <c r="J135">
        <f t="shared" si="27"/>
        <v>50000</v>
      </c>
      <c r="K135">
        <f t="shared" si="29"/>
        <v>50</v>
      </c>
      <c r="L135">
        <v>2</v>
      </c>
      <c r="M135">
        <v>1</v>
      </c>
      <c r="N135">
        <v>20</v>
      </c>
      <c r="O135">
        <v>22.5</v>
      </c>
      <c r="P135">
        <v>0.5</v>
      </c>
      <c r="Q135" s="3">
        <v>9.9999999999999991E-22</v>
      </c>
      <c r="R135">
        <f>38*50</f>
        <v>1900</v>
      </c>
      <c r="S135">
        <f t="shared" si="30"/>
        <v>1.9</v>
      </c>
      <c r="T135" s="3">
        <v>9.9999999999999991E-22</v>
      </c>
      <c r="U135" s="3">
        <v>9.9999999999999991E-22</v>
      </c>
      <c r="V135" s="3">
        <v>9.9999999999999991E-22</v>
      </c>
      <c r="W135">
        <v>1</v>
      </c>
      <c r="X135" s="3">
        <v>9.9999999999999991E-22</v>
      </c>
      <c r="Y135">
        <v>0</v>
      </c>
      <c r="Z135">
        <f t="shared" si="31"/>
        <v>0</v>
      </c>
      <c r="AA135">
        <f t="shared" si="28"/>
        <v>1</v>
      </c>
      <c r="AB135">
        <v>4</v>
      </c>
      <c r="AC135">
        <v>1</v>
      </c>
      <c r="AD135">
        <v>0</v>
      </c>
      <c r="AE135">
        <v>0</v>
      </c>
      <c r="AF135">
        <v>1</v>
      </c>
      <c r="AG135">
        <v>160</v>
      </c>
      <c r="AH135">
        <v>100000</v>
      </c>
      <c r="AI135">
        <v>2</v>
      </c>
      <c r="AJ135">
        <f>3850+4200+43200</f>
        <v>51250</v>
      </c>
      <c r="AK135">
        <v>3000</v>
      </c>
      <c r="AL135">
        <v>0</v>
      </c>
      <c r="AM135">
        <v>17480</v>
      </c>
      <c r="AN135">
        <v>0</v>
      </c>
      <c r="AO135">
        <v>0</v>
      </c>
      <c r="AP135">
        <f t="shared" si="32"/>
        <v>71.73</v>
      </c>
      <c r="AQ135">
        <f t="shared" si="33"/>
        <v>35.865000000000002</v>
      </c>
      <c r="AR135">
        <f t="shared" si="34"/>
        <v>28.269999999999996</v>
      </c>
      <c r="AS135">
        <f t="shared" si="35"/>
        <v>14.134999999999998</v>
      </c>
    </row>
    <row r="136" spans="1:45">
      <c r="A136">
        <v>135</v>
      </c>
      <c r="B136" t="s">
        <v>40</v>
      </c>
      <c r="C136">
        <v>1</v>
      </c>
      <c r="D136">
        <v>60</v>
      </c>
      <c r="E136">
        <v>0</v>
      </c>
      <c r="F136">
        <v>4</v>
      </c>
      <c r="G136">
        <v>40</v>
      </c>
      <c r="H136">
        <v>3</v>
      </c>
      <c r="I136">
        <f t="shared" si="26"/>
        <v>100</v>
      </c>
      <c r="J136">
        <f t="shared" si="27"/>
        <v>80000</v>
      </c>
      <c r="K136">
        <f t="shared" si="29"/>
        <v>80</v>
      </c>
      <c r="L136">
        <v>0.5</v>
      </c>
      <c r="M136">
        <v>2</v>
      </c>
      <c r="N136">
        <v>4</v>
      </c>
      <c r="O136">
        <v>3</v>
      </c>
      <c r="P136">
        <v>1</v>
      </c>
      <c r="Q136">
        <v>5</v>
      </c>
      <c r="R136">
        <f>14*50</f>
        <v>700</v>
      </c>
      <c r="S136">
        <f t="shared" si="30"/>
        <v>0.7</v>
      </c>
      <c r="T136" s="3">
        <v>9.9999999999999991E-22</v>
      </c>
      <c r="U136" s="3">
        <v>9.9999999999999991E-22</v>
      </c>
      <c r="V136" s="3">
        <v>9.9999999999999991E-22</v>
      </c>
      <c r="W136">
        <v>1</v>
      </c>
      <c r="X136" s="3">
        <v>9.9999999999999991E-22</v>
      </c>
      <c r="Y136">
        <f>109200+12600</f>
        <v>121800</v>
      </c>
      <c r="Z136">
        <f t="shared" si="31"/>
        <v>121.8</v>
      </c>
      <c r="AA136">
        <f t="shared" si="28"/>
        <v>0.24721878862793573</v>
      </c>
      <c r="AB136">
        <v>3</v>
      </c>
      <c r="AC136">
        <v>3</v>
      </c>
      <c r="AD136">
        <v>3</v>
      </c>
      <c r="AE136">
        <v>3</v>
      </c>
      <c r="AF136">
        <v>1</v>
      </c>
      <c r="AG136">
        <v>50</v>
      </c>
      <c r="AH136">
        <v>40000</v>
      </c>
      <c r="AI136">
        <v>2</v>
      </c>
      <c r="AJ136">
        <v>400</v>
      </c>
      <c r="AK136">
        <v>2750</v>
      </c>
      <c r="AL136">
        <v>2000</v>
      </c>
      <c r="AM136">
        <v>6650</v>
      </c>
      <c r="AN136">
        <v>0</v>
      </c>
      <c r="AO136">
        <v>0</v>
      </c>
      <c r="AP136">
        <f t="shared" si="32"/>
        <v>11.8</v>
      </c>
      <c r="AQ136">
        <f t="shared" si="33"/>
        <v>23.6</v>
      </c>
      <c r="AR136">
        <f t="shared" si="34"/>
        <v>28.2</v>
      </c>
      <c r="AS136">
        <f t="shared" si="35"/>
        <v>56.4</v>
      </c>
    </row>
    <row r="137" spans="1:45">
      <c r="A137">
        <v>136</v>
      </c>
      <c r="B137" t="s">
        <v>40</v>
      </c>
      <c r="C137" s="3">
        <v>0</v>
      </c>
      <c r="D137">
        <v>68</v>
      </c>
      <c r="E137">
        <v>0</v>
      </c>
      <c r="F137">
        <v>2</v>
      </c>
      <c r="G137">
        <v>40</v>
      </c>
      <c r="H137">
        <v>5</v>
      </c>
      <c r="I137">
        <f t="shared" si="26"/>
        <v>59</v>
      </c>
      <c r="J137">
        <f t="shared" si="27"/>
        <v>135000</v>
      </c>
      <c r="K137">
        <f t="shared" si="29"/>
        <v>135</v>
      </c>
      <c r="L137">
        <v>1</v>
      </c>
      <c r="M137">
        <v>1</v>
      </c>
      <c r="N137">
        <v>90</v>
      </c>
      <c r="O137">
        <v>12</v>
      </c>
      <c r="P137" s="3">
        <v>9.9999999999999991E-22</v>
      </c>
      <c r="Q137">
        <v>2</v>
      </c>
      <c r="R137">
        <f>20*50</f>
        <v>1000</v>
      </c>
      <c r="S137">
        <f t="shared" si="30"/>
        <v>1</v>
      </c>
      <c r="T137" s="3">
        <v>9.9999999999999991E-22</v>
      </c>
      <c r="U137" s="3">
        <v>9.9999999999999991E-22</v>
      </c>
      <c r="V137" s="3">
        <v>9.9999999999999991E-22</v>
      </c>
      <c r="W137" s="3">
        <v>9.9999999999999991E-22</v>
      </c>
      <c r="X137" s="3">
        <v>9.9999999999999991E-22</v>
      </c>
      <c r="Y137">
        <v>6000</v>
      </c>
      <c r="Z137">
        <f t="shared" si="31"/>
        <v>6</v>
      </c>
      <c r="AA137">
        <f t="shared" si="28"/>
        <v>0.95744680851063835</v>
      </c>
      <c r="AB137">
        <v>3</v>
      </c>
      <c r="AC137">
        <v>3</v>
      </c>
      <c r="AD137">
        <v>0</v>
      </c>
      <c r="AE137">
        <v>0</v>
      </c>
      <c r="AF137">
        <v>1</v>
      </c>
      <c r="AG137">
        <v>59</v>
      </c>
      <c r="AH137">
        <v>135000</v>
      </c>
      <c r="AI137">
        <v>2</v>
      </c>
      <c r="AJ137">
        <v>16500</v>
      </c>
      <c r="AK137">
        <v>0</v>
      </c>
      <c r="AL137">
        <v>1200</v>
      </c>
      <c r="AM137">
        <v>9400</v>
      </c>
      <c r="AN137">
        <v>0</v>
      </c>
      <c r="AO137">
        <v>0</v>
      </c>
      <c r="AP137">
        <f t="shared" si="32"/>
        <v>27.1</v>
      </c>
      <c r="AQ137">
        <f t="shared" si="33"/>
        <v>27.1</v>
      </c>
      <c r="AR137">
        <f t="shared" si="34"/>
        <v>107.9</v>
      </c>
      <c r="AS137">
        <f t="shared" si="35"/>
        <v>107.9</v>
      </c>
    </row>
    <row r="138" spans="1:45">
      <c r="A138">
        <v>137</v>
      </c>
      <c r="B138" t="s">
        <v>40</v>
      </c>
      <c r="C138">
        <v>1</v>
      </c>
      <c r="D138">
        <v>66</v>
      </c>
      <c r="E138">
        <v>0</v>
      </c>
      <c r="F138">
        <v>2</v>
      </c>
      <c r="G138">
        <v>46</v>
      </c>
      <c r="H138">
        <v>5</v>
      </c>
      <c r="I138">
        <f t="shared" si="26"/>
        <v>32</v>
      </c>
      <c r="J138">
        <f t="shared" si="27"/>
        <v>42000</v>
      </c>
      <c r="K138">
        <f t="shared" si="29"/>
        <v>42</v>
      </c>
      <c r="L138">
        <v>0.75</v>
      </c>
      <c r="M138">
        <v>1</v>
      </c>
      <c r="N138">
        <v>90</v>
      </c>
      <c r="O138">
        <v>16</v>
      </c>
      <c r="P138">
        <v>1</v>
      </c>
      <c r="Q138">
        <v>3</v>
      </c>
      <c r="R138">
        <v>500</v>
      </c>
      <c r="S138">
        <f t="shared" si="30"/>
        <v>0.5</v>
      </c>
      <c r="T138" s="3">
        <v>9.9999999999999991E-22</v>
      </c>
      <c r="U138" s="3">
        <v>9.9999999999999991E-22</v>
      </c>
      <c r="V138" s="3">
        <v>9.9999999999999991E-22</v>
      </c>
      <c r="W138" s="3">
        <v>9.9999999999999991E-22</v>
      </c>
      <c r="X138" s="3">
        <v>9.9999999999999991E-22</v>
      </c>
      <c r="Y138">
        <v>0</v>
      </c>
      <c r="Z138">
        <f t="shared" si="31"/>
        <v>0</v>
      </c>
      <c r="AA138">
        <f t="shared" si="28"/>
        <v>1</v>
      </c>
      <c r="AB138">
        <v>4</v>
      </c>
      <c r="AC138">
        <v>3</v>
      </c>
      <c r="AD138">
        <v>0</v>
      </c>
      <c r="AE138">
        <v>0</v>
      </c>
      <c r="AF138">
        <v>1</v>
      </c>
      <c r="AG138">
        <v>24</v>
      </c>
      <c r="AH138">
        <v>31500</v>
      </c>
      <c r="AI138">
        <v>2</v>
      </c>
      <c r="AJ138">
        <v>10200</v>
      </c>
      <c r="AK138">
        <v>4125</v>
      </c>
      <c r="AL138">
        <v>1800</v>
      </c>
      <c r="AM138">
        <v>4700</v>
      </c>
      <c r="AN138">
        <v>0</v>
      </c>
      <c r="AO138">
        <v>0</v>
      </c>
      <c r="AP138">
        <f t="shared" si="32"/>
        <v>20.824999999999999</v>
      </c>
      <c r="AQ138">
        <f t="shared" si="33"/>
        <v>27.766666666666666</v>
      </c>
      <c r="AR138">
        <f t="shared" si="34"/>
        <v>10.675000000000001</v>
      </c>
      <c r="AS138">
        <f t="shared" si="35"/>
        <v>14.233333333333334</v>
      </c>
    </row>
    <row r="139" spans="1:45">
      <c r="A139">
        <v>138</v>
      </c>
      <c r="B139" t="s">
        <v>40</v>
      </c>
      <c r="C139">
        <v>1</v>
      </c>
      <c r="D139">
        <v>32</v>
      </c>
      <c r="E139">
        <v>0</v>
      </c>
      <c r="F139">
        <v>6</v>
      </c>
      <c r="G139">
        <v>4</v>
      </c>
      <c r="H139">
        <v>3</v>
      </c>
      <c r="I139">
        <f t="shared" si="26"/>
        <v>48.75</v>
      </c>
      <c r="J139">
        <f t="shared" si="27"/>
        <v>84375</v>
      </c>
      <c r="K139">
        <f t="shared" si="29"/>
        <v>84.375</v>
      </c>
      <c r="L139">
        <v>0.8</v>
      </c>
      <c r="M139">
        <v>1</v>
      </c>
      <c r="N139">
        <v>208</v>
      </c>
      <c r="O139">
        <v>20</v>
      </c>
      <c r="P139">
        <v>1</v>
      </c>
      <c r="Q139">
        <v>1</v>
      </c>
      <c r="R139">
        <f>50*250</f>
        <v>12500</v>
      </c>
      <c r="S139">
        <f t="shared" si="30"/>
        <v>12.5</v>
      </c>
      <c r="T139" s="3">
        <v>9.9999999999999991E-22</v>
      </c>
      <c r="U139" s="3">
        <v>9.9999999999999991E-22</v>
      </c>
      <c r="V139" s="3">
        <v>9.9999999999999991E-22</v>
      </c>
      <c r="W139" s="3">
        <v>9.9999999999999991E-22</v>
      </c>
      <c r="X139" s="3">
        <v>9.9999999999999991E-22</v>
      </c>
      <c r="Y139">
        <f>11376+3000</f>
        <v>14376</v>
      </c>
      <c r="Z139">
        <f t="shared" si="31"/>
        <v>14.375999999999999</v>
      </c>
      <c r="AA139">
        <f t="shared" si="28"/>
        <v>0.82441741169573501</v>
      </c>
      <c r="AB139">
        <v>4</v>
      </c>
      <c r="AC139">
        <v>3</v>
      </c>
      <c r="AD139">
        <v>0</v>
      </c>
      <c r="AE139">
        <v>0</v>
      </c>
      <c r="AF139">
        <v>1</v>
      </c>
      <c r="AG139">
        <v>39</v>
      </c>
      <c r="AH139">
        <v>67500</v>
      </c>
      <c r="AI139">
        <v>3</v>
      </c>
      <c r="AJ139">
        <v>11400</v>
      </c>
      <c r="AK139">
        <v>4400</v>
      </c>
      <c r="AL139">
        <v>600</v>
      </c>
      <c r="AM139">
        <v>11750</v>
      </c>
      <c r="AN139">
        <v>0</v>
      </c>
      <c r="AO139">
        <v>0</v>
      </c>
      <c r="AP139">
        <f t="shared" si="32"/>
        <v>28.15</v>
      </c>
      <c r="AQ139">
        <f t="shared" si="33"/>
        <v>35.187499999999993</v>
      </c>
      <c r="AR139">
        <f t="shared" si="34"/>
        <v>39.35</v>
      </c>
      <c r="AS139">
        <f t="shared" si="35"/>
        <v>49.1875</v>
      </c>
    </row>
    <row r="140" spans="1:45">
      <c r="A140">
        <v>139</v>
      </c>
      <c r="B140" t="s">
        <v>40</v>
      </c>
      <c r="C140">
        <v>1</v>
      </c>
      <c r="D140">
        <v>60</v>
      </c>
      <c r="E140">
        <v>1</v>
      </c>
      <c r="F140">
        <v>1</v>
      </c>
      <c r="G140">
        <v>15</v>
      </c>
      <c r="H140">
        <v>14</v>
      </c>
      <c r="I140">
        <f t="shared" si="26"/>
        <v>40</v>
      </c>
      <c r="J140">
        <f t="shared" si="27"/>
        <v>66000</v>
      </c>
      <c r="K140">
        <f t="shared" si="29"/>
        <v>66</v>
      </c>
      <c r="L140">
        <v>3</v>
      </c>
      <c r="M140">
        <v>2</v>
      </c>
      <c r="N140">
        <v>91</v>
      </c>
      <c r="O140">
        <v>26</v>
      </c>
      <c r="P140">
        <v>1</v>
      </c>
      <c r="Q140">
        <v>2</v>
      </c>
      <c r="R140">
        <f>50*35</f>
        <v>1750</v>
      </c>
      <c r="S140">
        <f t="shared" si="30"/>
        <v>1.75</v>
      </c>
      <c r="T140" s="3">
        <v>9.9999999999999991E-22</v>
      </c>
      <c r="U140" s="3">
        <v>9.9999999999999991E-22</v>
      </c>
      <c r="V140" s="3">
        <v>9.9999999999999991E-22</v>
      </c>
      <c r="W140" s="3">
        <v>9.9999999999999991E-22</v>
      </c>
      <c r="X140" s="3">
        <v>9.9999999999999991E-22</v>
      </c>
      <c r="Y140">
        <f>36400+52000</f>
        <v>88400</v>
      </c>
      <c r="Z140">
        <f t="shared" si="31"/>
        <v>88.4</v>
      </c>
      <c r="AA140">
        <f t="shared" si="28"/>
        <v>0.69134078212290506</v>
      </c>
      <c r="AB140">
        <v>4</v>
      </c>
      <c r="AC140">
        <v>3</v>
      </c>
      <c r="AD140">
        <v>3</v>
      </c>
      <c r="AE140">
        <v>3</v>
      </c>
      <c r="AF140">
        <v>1</v>
      </c>
      <c r="AG140">
        <v>120</v>
      </c>
      <c r="AH140">
        <v>198000</v>
      </c>
      <c r="AI140">
        <v>1</v>
      </c>
      <c r="AJ140">
        <f>33660+4500</f>
        <v>38160</v>
      </c>
      <c r="AK140">
        <v>5500</v>
      </c>
      <c r="AL140">
        <v>1000</v>
      </c>
      <c r="AM140">
        <f>13750+4580</f>
        <v>18330</v>
      </c>
      <c r="AN140">
        <v>0</v>
      </c>
      <c r="AO140">
        <v>0</v>
      </c>
      <c r="AP140">
        <f t="shared" si="32"/>
        <v>62.99</v>
      </c>
      <c r="AQ140">
        <f t="shared" si="33"/>
        <v>20.996666666666666</v>
      </c>
      <c r="AR140">
        <f t="shared" si="34"/>
        <v>135.01</v>
      </c>
      <c r="AS140">
        <f t="shared" si="35"/>
        <v>45.00333333333333</v>
      </c>
    </row>
    <row r="141" spans="1:45">
      <c r="A141">
        <v>140</v>
      </c>
      <c r="B141" t="s">
        <v>40</v>
      </c>
      <c r="C141" s="3">
        <v>0</v>
      </c>
      <c r="D141">
        <v>55</v>
      </c>
      <c r="E141">
        <v>1</v>
      </c>
      <c r="F141">
        <v>6</v>
      </c>
      <c r="G141">
        <v>37</v>
      </c>
      <c r="H141">
        <v>3</v>
      </c>
      <c r="I141">
        <f t="shared" si="26"/>
        <v>57.142857142857146</v>
      </c>
      <c r="J141">
        <f t="shared" si="27"/>
        <v>75000</v>
      </c>
      <c r="K141">
        <f t="shared" si="29"/>
        <v>75</v>
      </c>
      <c r="L141">
        <v>0.7</v>
      </c>
      <c r="M141">
        <v>1</v>
      </c>
      <c r="N141">
        <v>90</v>
      </c>
      <c r="O141">
        <v>18</v>
      </c>
      <c r="P141">
        <v>1</v>
      </c>
      <c r="Q141">
        <v>2</v>
      </c>
      <c r="R141">
        <f>17*50</f>
        <v>850</v>
      </c>
      <c r="S141">
        <f t="shared" si="30"/>
        <v>0.85</v>
      </c>
      <c r="T141" s="3">
        <v>9.9999999999999991E-22</v>
      </c>
      <c r="U141" s="3">
        <v>9.9999999999999991E-22</v>
      </c>
      <c r="V141" s="3">
        <v>9.9999999999999991E-22</v>
      </c>
      <c r="W141" s="3">
        <v>9.9999999999999991E-22</v>
      </c>
      <c r="X141" s="3">
        <v>9.9999999999999991E-22</v>
      </c>
      <c r="Y141">
        <v>156000</v>
      </c>
      <c r="Z141">
        <f t="shared" si="31"/>
        <v>156</v>
      </c>
      <c r="AA141">
        <f t="shared" si="28"/>
        <v>0.25179856115107913</v>
      </c>
      <c r="AB141">
        <v>4</v>
      </c>
      <c r="AC141">
        <v>3</v>
      </c>
      <c r="AD141">
        <v>3</v>
      </c>
      <c r="AE141">
        <v>3</v>
      </c>
      <c r="AF141">
        <v>1</v>
      </c>
      <c r="AG141">
        <v>40</v>
      </c>
      <c r="AH141">
        <v>52500</v>
      </c>
      <c r="AI141">
        <v>2</v>
      </c>
      <c r="AJ141">
        <f>1500+11200</f>
        <v>12700</v>
      </c>
      <c r="AK141">
        <v>3850</v>
      </c>
      <c r="AL141">
        <v>900</v>
      </c>
      <c r="AM141">
        <v>8160</v>
      </c>
      <c r="AN141">
        <v>0</v>
      </c>
      <c r="AO141">
        <v>0</v>
      </c>
      <c r="AP141">
        <f t="shared" si="32"/>
        <v>25.61</v>
      </c>
      <c r="AQ141">
        <f t="shared" si="33"/>
        <v>36.585714285714289</v>
      </c>
      <c r="AR141">
        <f t="shared" si="34"/>
        <v>26.89</v>
      </c>
      <c r="AS141">
        <f t="shared" si="35"/>
        <v>38.414285714285718</v>
      </c>
    </row>
    <row r="142" spans="1:45">
      <c r="A142">
        <v>141</v>
      </c>
      <c r="B142" t="s">
        <v>40</v>
      </c>
      <c r="C142" s="3">
        <v>0</v>
      </c>
      <c r="D142">
        <v>52</v>
      </c>
      <c r="E142">
        <v>1</v>
      </c>
      <c r="F142">
        <v>4</v>
      </c>
      <c r="G142">
        <v>35</v>
      </c>
      <c r="H142">
        <v>5</v>
      </c>
      <c r="I142">
        <f t="shared" si="26"/>
        <v>84</v>
      </c>
      <c r="J142">
        <f t="shared" si="27"/>
        <v>144000</v>
      </c>
      <c r="K142">
        <f t="shared" si="29"/>
        <v>144</v>
      </c>
      <c r="L142">
        <v>0.5</v>
      </c>
      <c r="M142">
        <v>2</v>
      </c>
      <c r="N142">
        <v>90</v>
      </c>
      <c r="O142">
        <v>5</v>
      </c>
      <c r="P142" s="3">
        <v>9.9999999999999991E-22</v>
      </c>
      <c r="Q142">
        <v>4</v>
      </c>
      <c r="R142">
        <v>650</v>
      </c>
      <c r="S142">
        <f t="shared" si="30"/>
        <v>0.65</v>
      </c>
      <c r="T142" s="3">
        <v>9.9999999999999991E-22</v>
      </c>
      <c r="U142" s="3">
        <v>9.9999999999999991E-22</v>
      </c>
      <c r="V142" s="3">
        <v>9.9999999999999991E-22</v>
      </c>
      <c r="W142" s="3">
        <v>9.9999999999999991E-22</v>
      </c>
      <c r="X142" s="3">
        <v>9.9999999999999991E-22</v>
      </c>
      <c r="Y142">
        <v>57600</v>
      </c>
      <c r="Z142">
        <f t="shared" si="31"/>
        <v>57.6</v>
      </c>
      <c r="AA142">
        <f t="shared" si="28"/>
        <v>0.55555555555555558</v>
      </c>
      <c r="AB142">
        <v>3</v>
      </c>
      <c r="AC142">
        <v>3</v>
      </c>
      <c r="AD142">
        <v>0</v>
      </c>
      <c r="AE142">
        <v>0</v>
      </c>
      <c r="AF142">
        <v>1</v>
      </c>
      <c r="AG142">
        <v>42</v>
      </c>
      <c r="AH142">
        <v>72000</v>
      </c>
      <c r="AI142">
        <v>2</v>
      </c>
      <c r="AJ142">
        <v>11760</v>
      </c>
      <c r="AK142">
        <v>0</v>
      </c>
      <c r="AL142">
        <v>2400</v>
      </c>
      <c r="AM142">
        <v>6110</v>
      </c>
      <c r="AN142">
        <v>0</v>
      </c>
      <c r="AO142">
        <v>0</v>
      </c>
      <c r="AP142">
        <f t="shared" si="32"/>
        <v>20.27</v>
      </c>
      <c r="AQ142">
        <f t="shared" si="33"/>
        <v>40.54</v>
      </c>
      <c r="AR142">
        <f t="shared" si="34"/>
        <v>51.730000000000004</v>
      </c>
      <c r="AS142">
        <f t="shared" si="35"/>
        <v>103.46000000000001</v>
      </c>
    </row>
    <row r="143" spans="1:45">
      <c r="A143">
        <v>142</v>
      </c>
      <c r="B143" t="s">
        <v>40</v>
      </c>
      <c r="C143">
        <v>1</v>
      </c>
      <c r="D143">
        <v>70</v>
      </c>
      <c r="E143">
        <v>0</v>
      </c>
      <c r="F143">
        <v>0</v>
      </c>
      <c r="G143">
        <v>50</v>
      </c>
      <c r="H143">
        <v>2</v>
      </c>
      <c r="I143">
        <f t="shared" si="26"/>
        <v>80</v>
      </c>
      <c r="J143">
        <f t="shared" si="27"/>
        <v>150000</v>
      </c>
      <c r="K143">
        <f t="shared" si="29"/>
        <v>150</v>
      </c>
      <c r="L143">
        <v>0.25</v>
      </c>
      <c r="M143">
        <v>1</v>
      </c>
      <c r="N143">
        <v>90</v>
      </c>
      <c r="O143">
        <v>10</v>
      </c>
      <c r="P143">
        <v>2</v>
      </c>
      <c r="Q143" s="3">
        <v>9.9999999999999991E-22</v>
      </c>
      <c r="R143">
        <v>500</v>
      </c>
      <c r="S143">
        <f t="shared" si="30"/>
        <v>0.5</v>
      </c>
      <c r="T143" s="3">
        <v>9.9999999999999991E-22</v>
      </c>
      <c r="U143" s="3">
        <v>9.9999999999999991E-22</v>
      </c>
      <c r="V143" s="3">
        <v>9.9999999999999991E-22</v>
      </c>
      <c r="W143">
        <v>1</v>
      </c>
      <c r="X143" s="3">
        <v>9.9999999999999991E-22</v>
      </c>
      <c r="Y143">
        <v>10000</v>
      </c>
      <c r="Z143">
        <f t="shared" si="31"/>
        <v>10</v>
      </c>
      <c r="AA143">
        <f t="shared" si="28"/>
        <v>0.78947368421052633</v>
      </c>
      <c r="AB143">
        <v>3</v>
      </c>
      <c r="AC143">
        <v>3</v>
      </c>
      <c r="AD143">
        <v>0</v>
      </c>
      <c r="AE143">
        <v>0</v>
      </c>
      <c r="AF143">
        <v>1</v>
      </c>
      <c r="AG143">
        <v>20</v>
      </c>
      <c r="AH143">
        <v>37500</v>
      </c>
      <c r="AI143">
        <v>2</v>
      </c>
      <c r="AJ143">
        <f>1250+5600</f>
        <v>6850</v>
      </c>
      <c r="AK143">
        <v>1375</v>
      </c>
      <c r="AL143">
        <v>0</v>
      </c>
      <c r="AM143">
        <v>4800</v>
      </c>
      <c r="AN143">
        <v>0</v>
      </c>
      <c r="AO143">
        <v>0</v>
      </c>
      <c r="AP143">
        <f t="shared" si="32"/>
        <v>13.025</v>
      </c>
      <c r="AQ143">
        <f t="shared" si="33"/>
        <v>52.1</v>
      </c>
      <c r="AR143">
        <f t="shared" si="34"/>
        <v>24.475000000000001</v>
      </c>
      <c r="AS143">
        <f t="shared" si="35"/>
        <v>97.9</v>
      </c>
    </row>
    <row r="144" spans="1:45">
      <c r="A144">
        <v>143</v>
      </c>
      <c r="B144" t="s">
        <v>40</v>
      </c>
      <c r="C144">
        <v>1</v>
      </c>
      <c r="D144">
        <v>78</v>
      </c>
      <c r="E144">
        <v>0</v>
      </c>
      <c r="F144">
        <v>1</v>
      </c>
      <c r="G144">
        <v>50</v>
      </c>
      <c r="H144">
        <v>2</v>
      </c>
      <c r="I144">
        <f t="shared" si="26"/>
        <v>80</v>
      </c>
      <c r="J144">
        <f t="shared" si="27"/>
        <v>132000</v>
      </c>
      <c r="K144">
        <f t="shared" si="29"/>
        <v>132</v>
      </c>
      <c r="L144">
        <v>0.75</v>
      </c>
      <c r="M144">
        <v>1</v>
      </c>
      <c r="N144">
        <v>90</v>
      </c>
      <c r="O144">
        <v>24</v>
      </c>
      <c r="P144">
        <v>2</v>
      </c>
      <c r="Q144">
        <v>3</v>
      </c>
      <c r="R144">
        <v>1250</v>
      </c>
      <c r="S144">
        <f t="shared" si="30"/>
        <v>1.25</v>
      </c>
      <c r="T144" s="3">
        <v>9.9999999999999991E-22</v>
      </c>
      <c r="U144" s="3">
        <v>9.9999999999999991E-22</v>
      </c>
      <c r="V144" s="3">
        <v>9.9999999999999991E-22</v>
      </c>
      <c r="W144" s="3">
        <v>9.9999999999999991E-22</v>
      </c>
      <c r="X144" s="3">
        <v>9.9999999999999991E-22</v>
      </c>
      <c r="Y144">
        <v>156000</v>
      </c>
      <c r="Z144">
        <f t="shared" si="31"/>
        <v>156</v>
      </c>
      <c r="AA144">
        <f t="shared" si="28"/>
        <v>0.38823529411764707</v>
      </c>
      <c r="AB144">
        <v>4</v>
      </c>
      <c r="AC144">
        <v>3</v>
      </c>
      <c r="AD144">
        <v>0</v>
      </c>
      <c r="AE144">
        <v>0</v>
      </c>
      <c r="AF144">
        <v>1</v>
      </c>
      <c r="AG144">
        <v>60</v>
      </c>
      <c r="AH144">
        <v>99000</v>
      </c>
      <c r="AI144">
        <v>2</v>
      </c>
      <c r="AJ144">
        <v>28200</v>
      </c>
      <c r="AK144">
        <v>8250</v>
      </c>
      <c r="AL144">
        <v>1700</v>
      </c>
      <c r="AM144">
        <v>11750</v>
      </c>
      <c r="AN144">
        <v>0</v>
      </c>
      <c r="AO144">
        <v>0</v>
      </c>
      <c r="AP144">
        <f t="shared" si="32"/>
        <v>49.9</v>
      </c>
      <c r="AQ144">
        <f t="shared" si="33"/>
        <v>66.533333333333331</v>
      </c>
      <c r="AR144">
        <f t="shared" si="34"/>
        <v>49.1</v>
      </c>
      <c r="AS144">
        <f t="shared" si="35"/>
        <v>65.466666666666669</v>
      </c>
    </row>
    <row r="145" spans="1:45">
      <c r="A145">
        <v>144</v>
      </c>
      <c r="B145" t="s">
        <v>40</v>
      </c>
      <c r="C145" s="3">
        <v>0</v>
      </c>
      <c r="D145">
        <v>41</v>
      </c>
      <c r="E145">
        <v>1</v>
      </c>
      <c r="F145">
        <v>6</v>
      </c>
      <c r="G145">
        <v>3</v>
      </c>
      <c r="H145">
        <v>9</v>
      </c>
      <c r="I145">
        <f t="shared" si="26"/>
        <v>58.333333333333336</v>
      </c>
      <c r="J145">
        <f t="shared" si="27"/>
        <v>112500</v>
      </c>
      <c r="K145">
        <f t="shared" si="29"/>
        <v>112.5</v>
      </c>
      <c r="L145">
        <v>0.6</v>
      </c>
      <c r="M145">
        <v>2</v>
      </c>
      <c r="N145">
        <v>90</v>
      </c>
      <c r="O145">
        <v>10</v>
      </c>
      <c r="P145" s="3">
        <v>9.9999999999999991E-22</v>
      </c>
      <c r="Q145">
        <v>1</v>
      </c>
      <c r="R145">
        <v>600</v>
      </c>
      <c r="S145">
        <f t="shared" si="30"/>
        <v>0.6</v>
      </c>
      <c r="T145" s="3">
        <v>9.9999999999999991E-22</v>
      </c>
      <c r="U145" s="3">
        <v>9.9999999999999991E-22</v>
      </c>
      <c r="V145" s="3">
        <v>9.9999999999999991E-22</v>
      </c>
      <c r="W145" s="3">
        <v>9.9999999999999991E-22</v>
      </c>
      <c r="X145" s="3">
        <v>9.9999999999999991E-22</v>
      </c>
      <c r="Y145">
        <f>600000+78000</f>
        <v>678000</v>
      </c>
      <c r="Z145">
        <f t="shared" si="31"/>
        <v>678</v>
      </c>
      <c r="AA145">
        <f t="shared" si="28"/>
        <v>9.0543259557344061E-2</v>
      </c>
      <c r="AB145">
        <v>4</v>
      </c>
      <c r="AC145">
        <v>3</v>
      </c>
      <c r="AD145">
        <v>0</v>
      </c>
      <c r="AE145">
        <v>0</v>
      </c>
      <c r="AF145">
        <v>1</v>
      </c>
      <c r="AG145">
        <v>35</v>
      </c>
      <c r="AH145">
        <v>67500</v>
      </c>
      <c r="AI145">
        <v>3</v>
      </c>
      <c r="AJ145">
        <v>2500</v>
      </c>
      <c r="AK145">
        <v>0</v>
      </c>
      <c r="AL145">
        <v>1000</v>
      </c>
      <c r="AM145">
        <v>5640</v>
      </c>
      <c r="AN145">
        <v>0</v>
      </c>
      <c r="AO145">
        <v>0</v>
      </c>
      <c r="AP145">
        <f t="shared" si="32"/>
        <v>9.14</v>
      </c>
      <c r="AQ145">
        <f t="shared" si="33"/>
        <v>15.233333333333334</v>
      </c>
      <c r="AR145">
        <f t="shared" si="34"/>
        <v>58.36</v>
      </c>
      <c r="AS145">
        <f t="shared" si="35"/>
        <v>97.266666666666666</v>
      </c>
    </row>
    <row r="146" spans="1:45">
      <c r="A146">
        <v>145</v>
      </c>
      <c r="B146" t="s">
        <v>40</v>
      </c>
      <c r="C146" s="3">
        <v>0</v>
      </c>
      <c r="D146">
        <v>67</v>
      </c>
      <c r="E146">
        <v>0</v>
      </c>
      <c r="F146">
        <v>2</v>
      </c>
      <c r="G146">
        <v>30</v>
      </c>
      <c r="H146">
        <v>5</v>
      </c>
      <c r="I146">
        <f t="shared" si="26"/>
        <v>64</v>
      </c>
      <c r="J146">
        <f t="shared" si="27"/>
        <v>108000</v>
      </c>
      <c r="K146">
        <f t="shared" si="29"/>
        <v>108</v>
      </c>
      <c r="L146">
        <v>0.25</v>
      </c>
      <c r="M146">
        <v>1</v>
      </c>
      <c r="N146">
        <v>90</v>
      </c>
      <c r="O146">
        <v>13</v>
      </c>
      <c r="P146">
        <v>1</v>
      </c>
      <c r="Q146">
        <v>2</v>
      </c>
      <c r="R146">
        <v>500</v>
      </c>
      <c r="S146">
        <f t="shared" si="30"/>
        <v>0.5</v>
      </c>
      <c r="T146" s="3">
        <v>9.9999999999999991E-22</v>
      </c>
      <c r="U146" s="3">
        <v>9.9999999999999991E-22</v>
      </c>
      <c r="V146" s="3">
        <v>9.9999999999999991E-22</v>
      </c>
      <c r="W146" s="3">
        <v>9.9999999999999991E-22</v>
      </c>
      <c r="X146" s="3">
        <v>9.9999999999999991E-22</v>
      </c>
      <c r="Y146">
        <v>180000</v>
      </c>
      <c r="Z146">
        <f t="shared" si="31"/>
        <v>180</v>
      </c>
      <c r="AA146">
        <f t="shared" si="28"/>
        <v>0.13043478260869565</v>
      </c>
      <c r="AB146">
        <v>4</v>
      </c>
      <c r="AC146">
        <v>3</v>
      </c>
      <c r="AD146">
        <v>0</v>
      </c>
      <c r="AE146">
        <v>0</v>
      </c>
      <c r="AF146">
        <v>1</v>
      </c>
      <c r="AG146">
        <v>16</v>
      </c>
      <c r="AH146">
        <v>27000</v>
      </c>
      <c r="AI146">
        <v>2</v>
      </c>
      <c r="AJ146">
        <f>700+700+7280</f>
        <v>8680</v>
      </c>
      <c r="AK146">
        <v>1375</v>
      </c>
      <c r="AL146">
        <v>1200</v>
      </c>
      <c r="AM146">
        <v>4700</v>
      </c>
      <c r="AN146">
        <v>0</v>
      </c>
      <c r="AO146">
        <v>0</v>
      </c>
      <c r="AP146">
        <f t="shared" si="32"/>
        <v>15.955</v>
      </c>
      <c r="AQ146">
        <f t="shared" si="33"/>
        <v>63.82</v>
      </c>
      <c r="AR146">
        <f t="shared" si="34"/>
        <v>11.045</v>
      </c>
      <c r="AS146">
        <f t="shared" si="35"/>
        <v>44.18</v>
      </c>
    </row>
    <row r="147" spans="1:45">
      <c r="A147">
        <v>146</v>
      </c>
      <c r="B147" t="s">
        <v>40</v>
      </c>
      <c r="C147">
        <v>1</v>
      </c>
      <c r="D147">
        <v>68</v>
      </c>
      <c r="E147">
        <v>0</v>
      </c>
      <c r="F147">
        <v>4</v>
      </c>
      <c r="G147">
        <v>50</v>
      </c>
      <c r="H147">
        <v>7</v>
      </c>
      <c r="I147">
        <f t="shared" si="26"/>
        <v>66.666666666666671</v>
      </c>
      <c r="J147">
        <f t="shared" si="27"/>
        <v>69551.111111111109</v>
      </c>
      <c r="K147">
        <f t="shared" si="29"/>
        <v>69.551111111111112</v>
      </c>
      <c r="L147">
        <v>0.9</v>
      </c>
      <c r="M147">
        <v>3</v>
      </c>
      <c r="N147">
        <v>54</v>
      </c>
      <c r="O147">
        <v>23</v>
      </c>
      <c r="P147">
        <v>6</v>
      </c>
      <c r="Q147">
        <v>3</v>
      </c>
      <c r="R147">
        <f>35*50</f>
        <v>1750</v>
      </c>
      <c r="S147">
        <f t="shared" si="30"/>
        <v>1.75</v>
      </c>
      <c r="T147" s="3">
        <v>9.9999999999999991E-22</v>
      </c>
      <c r="U147" s="3">
        <v>9.9999999999999991E-22</v>
      </c>
      <c r="V147" s="3">
        <v>9.9999999999999991E-22</v>
      </c>
      <c r="W147">
        <v>1</v>
      </c>
      <c r="X147" s="3">
        <v>9.9999999999999991E-22</v>
      </c>
      <c r="Y147">
        <v>84000</v>
      </c>
      <c r="Z147">
        <f t="shared" si="31"/>
        <v>84</v>
      </c>
      <c r="AA147">
        <f t="shared" si="28"/>
        <v>0.42699664383748531</v>
      </c>
      <c r="AB147">
        <v>3</v>
      </c>
      <c r="AC147">
        <v>3</v>
      </c>
      <c r="AD147">
        <v>2</v>
      </c>
      <c r="AE147">
        <v>0</v>
      </c>
      <c r="AF147">
        <v>1</v>
      </c>
      <c r="AG147">
        <v>60</v>
      </c>
      <c r="AH147">
        <v>62596</v>
      </c>
      <c r="AI147">
        <v>4</v>
      </c>
      <c r="AJ147">
        <f>1500+20400+16800</f>
        <v>38700</v>
      </c>
      <c r="AK147">
        <f>2750+9600</f>
        <v>12350</v>
      </c>
      <c r="AL147">
        <v>1800</v>
      </c>
      <c r="AM147">
        <v>16450</v>
      </c>
      <c r="AN147">
        <v>0</v>
      </c>
      <c r="AO147">
        <v>0</v>
      </c>
      <c r="AP147">
        <f t="shared" si="32"/>
        <v>69.3</v>
      </c>
      <c r="AQ147">
        <f t="shared" si="33"/>
        <v>77</v>
      </c>
      <c r="AR147">
        <f t="shared" si="34"/>
        <v>-6.7040000000000006</v>
      </c>
      <c r="AS147">
        <f t="shared" si="35"/>
        <v>-7.4488888888888898</v>
      </c>
    </row>
    <row r="148" spans="1:45">
      <c r="A148">
        <v>147</v>
      </c>
      <c r="B148" t="s">
        <v>40</v>
      </c>
      <c r="C148">
        <v>1</v>
      </c>
      <c r="D148">
        <v>56</v>
      </c>
      <c r="E148">
        <v>0</v>
      </c>
      <c r="F148">
        <v>4</v>
      </c>
      <c r="G148">
        <v>15</v>
      </c>
      <c r="H148">
        <v>3</v>
      </c>
      <c r="I148">
        <f t="shared" si="26"/>
        <v>46</v>
      </c>
      <c r="J148">
        <f t="shared" si="27"/>
        <v>72800</v>
      </c>
      <c r="K148">
        <f t="shared" si="29"/>
        <v>72.8</v>
      </c>
      <c r="L148">
        <v>0.5</v>
      </c>
      <c r="M148">
        <v>1</v>
      </c>
      <c r="N148">
        <v>28</v>
      </c>
      <c r="O148">
        <v>5</v>
      </c>
      <c r="P148">
        <v>2</v>
      </c>
      <c r="Q148">
        <v>3</v>
      </c>
      <c r="R148">
        <v>600</v>
      </c>
      <c r="S148">
        <f t="shared" si="30"/>
        <v>0.6</v>
      </c>
      <c r="T148" s="3">
        <v>9.9999999999999991E-22</v>
      </c>
      <c r="U148" s="3">
        <v>9.9999999999999991E-22</v>
      </c>
      <c r="V148" s="3">
        <v>9.9999999999999991E-22</v>
      </c>
      <c r="W148">
        <v>1</v>
      </c>
      <c r="X148">
        <v>1</v>
      </c>
      <c r="Y148">
        <f>15000+264000</f>
        <v>279000</v>
      </c>
      <c r="Z148">
        <f t="shared" si="31"/>
        <v>279</v>
      </c>
      <c r="AA148">
        <f t="shared" si="28"/>
        <v>0.11540900443880786</v>
      </c>
      <c r="AB148">
        <v>3</v>
      </c>
      <c r="AC148">
        <v>3</v>
      </c>
      <c r="AD148">
        <v>0</v>
      </c>
      <c r="AE148">
        <v>0</v>
      </c>
      <c r="AF148">
        <v>1</v>
      </c>
      <c r="AG148">
        <v>23</v>
      </c>
      <c r="AH148">
        <v>36400</v>
      </c>
      <c r="AI148">
        <v>1</v>
      </c>
      <c r="AJ148">
        <f>3500+6440</f>
        <v>9940</v>
      </c>
      <c r="AK148">
        <v>3680</v>
      </c>
      <c r="AL148">
        <v>1800</v>
      </c>
      <c r="AM148">
        <v>5640</v>
      </c>
      <c r="AN148">
        <v>0</v>
      </c>
      <c r="AO148">
        <v>0</v>
      </c>
      <c r="AP148">
        <f t="shared" si="32"/>
        <v>21.06</v>
      </c>
      <c r="AQ148">
        <f t="shared" si="33"/>
        <v>42.12</v>
      </c>
      <c r="AR148">
        <f t="shared" si="34"/>
        <v>15.34</v>
      </c>
      <c r="AS148">
        <f t="shared" si="35"/>
        <v>30.68</v>
      </c>
    </row>
    <row r="149" spans="1:45">
      <c r="A149">
        <v>148</v>
      </c>
      <c r="B149" t="s">
        <v>40</v>
      </c>
      <c r="C149" s="3">
        <v>0</v>
      </c>
      <c r="D149">
        <v>65</v>
      </c>
      <c r="E149">
        <v>0</v>
      </c>
      <c r="F149">
        <v>3</v>
      </c>
      <c r="G149">
        <v>38</v>
      </c>
      <c r="H149">
        <v>6</v>
      </c>
      <c r="I149">
        <f t="shared" si="26"/>
        <v>50</v>
      </c>
      <c r="J149">
        <f t="shared" si="27"/>
        <v>85555.555555555547</v>
      </c>
      <c r="K149">
        <f t="shared" si="29"/>
        <v>85.555555555555543</v>
      </c>
      <c r="L149">
        <v>1.8</v>
      </c>
      <c r="M149">
        <v>2</v>
      </c>
      <c r="N149">
        <v>193</v>
      </c>
      <c r="O149">
        <v>13</v>
      </c>
      <c r="P149">
        <v>8</v>
      </c>
      <c r="Q149">
        <v>1.5</v>
      </c>
      <c r="R149">
        <v>1500</v>
      </c>
      <c r="S149">
        <f t="shared" si="30"/>
        <v>1.5</v>
      </c>
      <c r="T149" s="3">
        <v>9.9999999999999991E-22</v>
      </c>
      <c r="U149" s="3">
        <v>9.9999999999999991E-22</v>
      </c>
      <c r="V149" s="3">
        <v>9.9999999999999991E-22</v>
      </c>
      <c r="W149">
        <v>1</v>
      </c>
      <c r="X149" s="3">
        <v>9.9999999999999991E-22</v>
      </c>
      <c r="Y149">
        <f>117312*3</f>
        <v>351936</v>
      </c>
      <c r="Z149">
        <f t="shared" si="31"/>
        <v>351.93599999999998</v>
      </c>
      <c r="AA149">
        <f t="shared" si="28"/>
        <v>0.3043863255431517</v>
      </c>
      <c r="AB149">
        <v>0</v>
      </c>
      <c r="AC149">
        <v>3</v>
      </c>
      <c r="AD149">
        <v>0</v>
      </c>
      <c r="AE149">
        <v>0</v>
      </c>
      <c r="AF149">
        <v>1</v>
      </c>
      <c r="AG149">
        <v>90</v>
      </c>
      <c r="AH149">
        <v>154000</v>
      </c>
      <c r="AI149">
        <v>2</v>
      </c>
      <c r="AJ149">
        <f>1000+7500+25200</f>
        <v>33700</v>
      </c>
      <c r="AK149">
        <v>17400</v>
      </c>
      <c r="AL149">
        <v>900</v>
      </c>
      <c r="AM149">
        <f>11750+4375</f>
        <v>16125</v>
      </c>
      <c r="AN149">
        <v>0</v>
      </c>
      <c r="AO149">
        <v>0</v>
      </c>
      <c r="AP149">
        <f t="shared" si="32"/>
        <v>68.125</v>
      </c>
      <c r="AQ149">
        <f t="shared" si="33"/>
        <v>37.847222222222221</v>
      </c>
      <c r="AR149">
        <f t="shared" si="34"/>
        <v>85.875</v>
      </c>
      <c r="AS149">
        <f t="shared" si="35"/>
        <v>47.708333333333336</v>
      </c>
    </row>
    <row r="150" spans="1:45">
      <c r="A150">
        <v>149</v>
      </c>
      <c r="B150" t="s">
        <v>40</v>
      </c>
      <c r="C150">
        <v>1</v>
      </c>
      <c r="D150">
        <v>69</v>
      </c>
      <c r="E150">
        <v>0</v>
      </c>
      <c r="F150">
        <v>1</v>
      </c>
      <c r="G150">
        <v>56</v>
      </c>
      <c r="H150">
        <v>9</v>
      </c>
      <c r="I150">
        <f t="shared" si="26"/>
        <v>72.222222222222214</v>
      </c>
      <c r="J150">
        <f t="shared" si="27"/>
        <v>128333.33333333333</v>
      </c>
      <c r="K150">
        <f t="shared" si="29"/>
        <v>128.33333333333331</v>
      </c>
      <c r="L150">
        <v>0.9</v>
      </c>
      <c r="M150">
        <v>1</v>
      </c>
      <c r="N150">
        <v>279.5</v>
      </c>
      <c r="O150">
        <v>7</v>
      </c>
      <c r="P150">
        <v>4</v>
      </c>
      <c r="Q150" s="3">
        <v>9.9999999999999991E-22</v>
      </c>
      <c r="R150">
        <v>1000</v>
      </c>
      <c r="S150">
        <f t="shared" si="30"/>
        <v>1</v>
      </c>
      <c r="T150" s="3">
        <v>9.9999999999999991E-22</v>
      </c>
      <c r="U150" s="3">
        <v>9.9999999999999991E-22</v>
      </c>
      <c r="V150">
        <v>1</v>
      </c>
      <c r="W150">
        <v>1</v>
      </c>
      <c r="X150" s="3">
        <v>9.9999999999999991E-22</v>
      </c>
      <c r="Y150">
        <f>109200*2</f>
        <v>218400</v>
      </c>
      <c r="Z150">
        <f t="shared" si="31"/>
        <v>218.4</v>
      </c>
      <c r="AA150">
        <f t="shared" si="28"/>
        <v>0.34591194968553457</v>
      </c>
      <c r="AB150">
        <v>3</v>
      </c>
      <c r="AC150">
        <v>3</v>
      </c>
      <c r="AD150">
        <v>0</v>
      </c>
      <c r="AE150">
        <v>0</v>
      </c>
      <c r="AF150">
        <v>1</v>
      </c>
      <c r="AG150">
        <v>65</v>
      </c>
      <c r="AH150">
        <v>115500</v>
      </c>
      <c r="AI150">
        <v>2</v>
      </c>
      <c r="AJ150">
        <f>12000+18200</f>
        <v>30200</v>
      </c>
      <c r="AK150">
        <f>4950+10400</f>
        <v>15350</v>
      </c>
      <c r="AL150">
        <v>0</v>
      </c>
      <c r="AM150">
        <v>9400</v>
      </c>
      <c r="AN150">
        <v>0</v>
      </c>
      <c r="AO150">
        <v>0</v>
      </c>
      <c r="AP150">
        <f t="shared" si="32"/>
        <v>54.95</v>
      </c>
      <c r="AQ150">
        <f t="shared" si="33"/>
        <v>61.055555555555557</v>
      </c>
      <c r="AR150">
        <f t="shared" si="34"/>
        <v>60.55</v>
      </c>
      <c r="AS150">
        <f t="shared" si="35"/>
        <v>67.277777777777771</v>
      </c>
    </row>
    <row r="151" spans="1:45">
      <c r="A151">
        <v>150</v>
      </c>
      <c r="B151" t="s">
        <v>40</v>
      </c>
      <c r="C151" s="3">
        <v>0</v>
      </c>
      <c r="D151">
        <v>64</v>
      </c>
      <c r="E151">
        <v>0</v>
      </c>
      <c r="F151">
        <v>2</v>
      </c>
      <c r="G151">
        <v>45</v>
      </c>
      <c r="H151">
        <v>4</v>
      </c>
      <c r="I151">
        <f t="shared" si="26"/>
        <v>72</v>
      </c>
      <c r="J151">
        <f t="shared" si="27"/>
        <v>112000</v>
      </c>
      <c r="K151">
        <f t="shared" si="29"/>
        <v>112</v>
      </c>
      <c r="L151">
        <v>0.25</v>
      </c>
      <c r="M151">
        <v>1</v>
      </c>
      <c r="N151">
        <v>57</v>
      </c>
      <c r="O151">
        <v>2</v>
      </c>
      <c r="P151">
        <v>2</v>
      </c>
      <c r="Q151" s="3">
        <v>9.9999999999999991E-22</v>
      </c>
      <c r="R151">
        <v>300</v>
      </c>
      <c r="S151">
        <f t="shared" si="30"/>
        <v>0.3</v>
      </c>
      <c r="T151" s="3">
        <v>9.9999999999999991E-22</v>
      </c>
      <c r="U151" s="3">
        <v>9.9999999999999991E-22</v>
      </c>
      <c r="V151" s="3">
        <v>9.9999999999999991E-22</v>
      </c>
      <c r="W151">
        <v>1</v>
      </c>
      <c r="X151">
        <v>1</v>
      </c>
      <c r="Y151">
        <v>132000</v>
      </c>
      <c r="Z151">
        <f t="shared" si="31"/>
        <v>132</v>
      </c>
      <c r="AA151">
        <f t="shared" si="28"/>
        <v>0.17499999999999999</v>
      </c>
      <c r="AB151">
        <v>1</v>
      </c>
      <c r="AC151">
        <v>3</v>
      </c>
      <c r="AD151">
        <v>0</v>
      </c>
      <c r="AE151">
        <v>0</v>
      </c>
      <c r="AF151">
        <v>1</v>
      </c>
      <c r="AG151">
        <v>18</v>
      </c>
      <c r="AH151">
        <v>28000</v>
      </c>
      <c r="AI151">
        <v>1</v>
      </c>
      <c r="AJ151">
        <v>5040</v>
      </c>
      <c r="AK151">
        <v>2880</v>
      </c>
      <c r="AL151">
        <v>0</v>
      </c>
      <c r="AM151">
        <v>2820</v>
      </c>
      <c r="AN151">
        <v>0</v>
      </c>
      <c r="AO151">
        <v>0</v>
      </c>
      <c r="AP151">
        <f t="shared" si="32"/>
        <v>10.74</v>
      </c>
      <c r="AQ151">
        <f t="shared" si="33"/>
        <v>42.96</v>
      </c>
      <c r="AR151">
        <f t="shared" si="34"/>
        <v>17.259999999999998</v>
      </c>
      <c r="AS151">
        <f t="shared" si="35"/>
        <v>69.039999999999992</v>
      </c>
    </row>
    <row r="152" spans="1:45">
      <c r="A152">
        <v>151</v>
      </c>
      <c r="B152" t="s">
        <v>40</v>
      </c>
      <c r="C152" s="3">
        <v>0</v>
      </c>
      <c r="D152">
        <v>80</v>
      </c>
      <c r="E152">
        <v>0</v>
      </c>
      <c r="F152">
        <v>1</v>
      </c>
      <c r="G152">
        <v>62</v>
      </c>
      <c r="H152">
        <v>4</v>
      </c>
      <c r="I152">
        <f t="shared" si="26"/>
        <v>200</v>
      </c>
      <c r="J152">
        <f t="shared" si="27"/>
        <v>330400</v>
      </c>
      <c r="K152">
        <f t="shared" si="29"/>
        <v>330.4</v>
      </c>
      <c r="L152">
        <v>0.25</v>
      </c>
      <c r="M152">
        <v>1</v>
      </c>
      <c r="N152">
        <v>18.375</v>
      </c>
      <c r="O152">
        <v>4</v>
      </c>
      <c r="P152">
        <v>3</v>
      </c>
      <c r="Q152">
        <v>1</v>
      </c>
      <c r="R152">
        <v>750</v>
      </c>
      <c r="S152">
        <f t="shared" si="30"/>
        <v>0.75</v>
      </c>
      <c r="T152" s="3">
        <v>9.9999999999999991E-22</v>
      </c>
      <c r="U152" s="3">
        <v>9.9999999999999991E-22</v>
      </c>
      <c r="V152" s="3">
        <v>9.9999999999999991E-22</v>
      </c>
      <c r="W152" s="3">
        <v>9.9999999999999991E-22</v>
      </c>
      <c r="X152" s="3">
        <v>9.9999999999999991E-22</v>
      </c>
      <c r="Y152">
        <v>0</v>
      </c>
      <c r="Z152">
        <f t="shared" si="31"/>
        <v>0</v>
      </c>
      <c r="AA152">
        <f t="shared" si="28"/>
        <v>1</v>
      </c>
      <c r="AB152">
        <v>3</v>
      </c>
      <c r="AC152">
        <v>3</v>
      </c>
      <c r="AD152">
        <v>0</v>
      </c>
      <c r="AE152">
        <v>0</v>
      </c>
      <c r="AF152">
        <v>1</v>
      </c>
      <c r="AG152">
        <v>50</v>
      </c>
      <c r="AH152">
        <v>82600</v>
      </c>
      <c r="AI152">
        <v>1</v>
      </c>
      <c r="AJ152">
        <f>14000+3600</f>
        <v>17600</v>
      </c>
      <c r="AK152">
        <v>11000</v>
      </c>
      <c r="AL152">
        <v>400</v>
      </c>
      <c r="AM152">
        <v>6900</v>
      </c>
      <c r="AN152">
        <v>0</v>
      </c>
      <c r="AO152">
        <v>0</v>
      </c>
      <c r="AP152">
        <f t="shared" si="32"/>
        <v>35.9</v>
      </c>
      <c r="AQ152">
        <f t="shared" si="33"/>
        <v>143.6</v>
      </c>
      <c r="AR152">
        <f t="shared" si="34"/>
        <v>46.699999999999996</v>
      </c>
      <c r="AS152">
        <f t="shared" si="35"/>
        <v>186.79999999999998</v>
      </c>
    </row>
    <row r="153" spans="1:45">
      <c r="A153">
        <v>152</v>
      </c>
      <c r="B153" t="s">
        <v>40</v>
      </c>
      <c r="C153" s="3">
        <v>0</v>
      </c>
      <c r="D153">
        <v>55</v>
      </c>
      <c r="E153">
        <v>0</v>
      </c>
      <c r="F153">
        <v>3</v>
      </c>
      <c r="G153">
        <v>38</v>
      </c>
      <c r="H153">
        <v>8</v>
      </c>
      <c r="I153">
        <f t="shared" si="26"/>
        <v>28</v>
      </c>
      <c r="J153">
        <f t="shared" si="27"/>
        <v>132000</v>
      </c>
      <c r="K153">
        <f t="shared" si="29"/>
        <v>132</v>
      </c>
      <c r="L153">
        <v>0.25</v>
      </c>
      <c r="M153">
        <v>1</v>
      </c>
      <c r="N153">
        <v>95.5</v>
      </c>
      <c r="O153">
        <v>2</v>
      </c>
      <c r="P153">
        <v>2</v>
      </c>
      <c r="Q153">
        <v>1</v>
      </c>
      <c r="R153">
        <v>250</v>
      </c>
      <c r="S153">
        <f t="shared" si="30"/>
        <v>0.25</v>
      </c>
      <c r="T153" s="3">
        <v>9.9999999999999991E-22</v>
      </c>
      <c r="U153" s="3">
        <v>9.9999999999999991E-22</v>
      </c>
      <c r="V153" s="3">
        <v>9.9999999999999991E-22</v>
      </c>
      <c r="W153" s="3">
        <v>9.9999999999999991E-22</v>
      </c>
      <c r="X153" s="3">
        <v>9.9999999999999991E-22</v>
      </c>
      <c r="Y153">
        <f>109200+81900+81900</f>
        <v>273000</v>
      </c>
      <c r="Z153">
        <f t="shared" si="31"/>
        <v>273</v>
      </c>
      <c r="AA153">
        <f t="shared" si="28"/>
        <v>0.10784313725490197</v>
      </c>
      <c r="AB153">
        <v>1</v>
      </c>
      <c r="AC153">
        <v>3</v>
      </c>
      <c r="AD153">
        <v>0</v>
      </c>
      <c r="AE153">
        <v>0</v>
      </c>
      <c r="AF153">
        <v>1</v>
      </c>
      <c r="AG153">
        <v>7</v>
      </c>
      <c r="AH153">
        <v>33000</v>
      </c>
      <c r="AI153">
        <v>1</v>
      </c>
      <c r="AJ153">
        <v>1960</v>
      </c>
      <c r="AK153">
        <v>1120</v>
      </c>
      <c r="AL153">
        <v>600</v>
      </c>
      <c r="AM153">
        <v>2350</v>
      </c>
      <c r="AN153">
        <v>0</v>
      </c>
      <c r="AO153">
        <v>0</v>
      </c>
      <c r="AP153">
        <f t="shared" si="32"/>
        <v>6.03</v>
      </c>
      <c r="AQ153">
        <f t="shared" si="33"/>
        <v>24.12</v>
      </c>
      <c r="AR153">
        <f t="shared" si="34"/>
        <v>26.97</v>
      </c>
      <c r="AS153">
        <f t="shared" si="35"/>
        <v>107.88</v>
      </c>
    </row>
    <row r="154" spans="1:45">
      <c r="A154">
        <v>153</v>
      </c>
      <c r="B154" t="s">
        <v>40</v>
      </c>
      <c r="C154" s="3">
        <v>0</v>
      </c>
      <c r="D154">
        <v>73</v>
      </c>
      <c r="E154">
        <v>1</v>
      </c>
      <c r="F154">
        <v>3</v>
      </c>
      <c r="G154">
        <v>59</v>
      </c>
      <c r="H154">
        <v>5</v>
      </c>
      <c r="I154">
        <f t="shared" si="26"/>
        <v>48.387096774193552</v>
      </c>
      <c r="J154">
        <f t="shared" si="27"/>
        <v>80161.290322580651</v>
      </c>
      <c r="K154">
        <f t="shared" si="29"/>
        <v>80.161290322580655</v>
      </c>
      <c r="L154">
        <v>1.24</v>
      </c>
      <c r="M154">
        <v>1</v>
      </c>
      <c r="N154">
        <v>97.5</v>
      </c>
      <c r="O154" s="3">
        <v>9.9999999999999991E-22</v>
      </c>
      <c r="P154">
        <v>1</v>
      </c>
      <c r="Q154">
        <v>2</v>
      </c>
      <c r="R154">
        <v>1250</v>
      </c>
      <c r="S154">
        <f t="shared" si="30"/>
        <v>1.25</v>
      </c>
      <c r="T154" s="3">
        <v>9.9999999999999991E-22</v>
      </c>
      <c r="U154" s="3">
        <v>9.9999999999999991E-22</v>
      </c>
      <c r="V154">
        <v>1</v>
      </c>
      <c r="W154">
        <v>1</v>
      </c>
      <c r="X154" s="3">
        <v>9.9999999999999991E-22</v>
      </c>
      <c r="Y154">
        <v>36000</v>
      </c>
      <c r="Z154">
        <f t="shared" si="31"/>
        <v>36</v>
      </c>
      <c r="AA154">
        <f t="shared" si="28"/>
        <v>0.73412112259970463</v>
      </c>
      <c r="AB154">
        <v>3</v>
      </c>
      <c r="AC154">
        <v>3</v>
      </c>
      <c r="AD154">
        <v>0</v>
      </c>
      <c r="AE154">
        <v>0</v>
      </c>
      <c r="AF154">
        <v>1</v>
      </c>
      <c r="AG154">
        <v>60</v>
      </c>
      <c r="AH154">
        <v>99400</v>
      </c>
      <c r="AI154">
        <v>1</v>
      </c>
      <c r="AJ154">
        <v>0</v>
      </c>
      <c r="AK154">
        <v>3000</v>
      </c>
      <c r="AL154">
        <v>1200</v>
      </c>
      <c r="AM154">
        <v>12000</v>
      </c>
      <c r="AN154">
        <v>0</v>
      </c>
      <c r="AO154">
        <v>0</v>
      </c>
      <c r="AP154">
        <f t="shared" si="32"/>
        <v>16.2</v>
      </c>
      <c r="AQ154">
        <f t="shared" si="33"/>
        <v>13.064516129032258</v>
      </c>
      <c r="AR154">
        <f t="shared" si="34"/>
        <v>83.2</v>
      </c>
      <c r="AS154">
        <f t="shared" si="35"/>
        <v>67.096774193548384</v>
      </c>
    </row>
    <row r="155" spans="1:45">
      <c r="A155">
        <v>154</v>
      </c>
      <c r="B155" t="s">
        <v>40</v>
      </c>
      <c r="C155">
        <v>1</v>
      </c>
      <c r="D155">
        <v>59</v>
      </c>
      <c r="E155">
        <v>1</v>
      </c>
      <c r="F155">
        <v>5</v>
      </c>
      <c r="G155">
        <v>30</v>
      </c>
      <c r="H155">
        <v>5</v>
      </c>
      <c r="I155">
        <f t="shared" si="26"/>
        <v>74</v>
      </c>
      <c r="J155">
        <f t="shared" si="27"/>
        <v>136500</v>
      </c>
      <c r="K155">
        <f t="shared" si="29"/>
        <v>136.5</v>
      </c>
      <c r="L155">
        <v>0.5</v>
      </c>
      <c r="M155">
        <v>1</v>
      </c>
      <c r="N155">
        <v>21.2</v>
      </c>
      <c r="O155">
        <v>23</v>
      </c>
      <c r="P155">
        <v>1</v>
      </c>
      <c r="Q155">
        <v>1</v>
      </c>
      <c r="R155">
        <v>500</v>
      </c>
      <c r="S155">
        <f t="shared" si="30"/>
        <v>0.5</v>
      </c>
      <c r="T155" s="3">
        <v>9.9999999999999991E-22</v>
      </c>
      <c r="U155" s="3">
        <v>9.9999999999999991E-22</v>
      </c>
      <c r="V155" s="3">
        <v>9.9999999999999991E-22</v>
      </c>
      <c r="W155" s="3">
        <v>9.9999999999999991E-22</v>
      </c>
      <c r="X155">
        <v>1</v>
      </c>
      <c r="Y155">
        <v>420000</v>
      </c>
      <c r="Z155">
        <f t="shared" si="31"/>
        <v>420</v>
      </c>
      <c r="AA155">
        <f t="shared" si="28"/>
        <v>0.13978494623655913</v>
      </c>
      <c r="AB155">
        <v>3</v>
      </c>
      <c r="AC155">
        <v>3</v>
      </c>
      <c r="AD155">
        <v>0</v>
      </c>
      <c r="AE155">
        <v>0</v>
      </c>
      <c r="AF155">
        <v>1</v>
      </c>
      <c r="AG155">
        <v>37</v>
      </c>
      <c r="AH155">
        <v>68250</v>
      </c>
      <c r="AI155">
        <v>2</v>
      </c>
      <c r="AJ155">
        <f>1600+10500</f>
        <v>12100</v>
      </c>
      <c r="AK155">
        <v>2000</v>
      </c>
      <c r="AL155">
        <v>600</v>
      </c>
      <c r="AM155">
        <v>4800</v>
      </c>
      <c r="AN155">
        <v>0</v>
      </c>
      <c r="AO155">
        <v>0</v>
      </c>
      <c r="AP155">
        <f t="shared" si="32"/>
        <v>19.5</v>
      </c>
      <c r="AQ155">
        <f t="shared" si="33"/>
        <v>39</v>
      </c>
      <c r="AR155">
        <f t="shared" si="34"/>
        <v>48.75</v>
      </c>
      <c r="AS155">
        <f t="shared" si="35"/>
        <v>97.5</v>
      </c>
    </row>
    <row r="156" spans="1:45">
      <c r="A156">
        <v>155</v>
      </c>
      <c r="B156" t="s">
        <v>40</v>
      </c>
      <c r="C156" s="3">
        <v>0</v>
      </c>
      <c r="D156">
        <v>72</v>
      </c>
      <c r="E156">
        <v>1</v>
      </c>
      <c r="F156">
        <v>2</v>
      </c>
      <c r="G156">
        <v>60</v>
      </c>
      <c r="H156">
        <v>7</v>
      </c>
      <c r="I156">
        <f t="shared" si="26"/>
        <v>50</v>
      </c>
      <c r="J156">
        <f t="shared" si="27"/>
        <v>70000</v>
      </c>
      <c r="K156">
        <f t="shared" si="29"/>
        <v>70</v>
      </c>
      <c r="L156">
        <v>2.4</v>
      </c>
      <c r="M156">
        <v>3</v>
      </c>
      <c r="N156">
        <v>18</v>
      </c>
      <c r="O156">
        <v>15</v>
      </c>
      <c r="P156">
        <v>0.5</v>
      </c>
      <c r="Q156">
        <v>5</v>
      </c>
      <c r="R156">
        <v>2500</v>
      </c>
      <c r="S156">
        <f t="shared" si="30"/>
        <v>2.5</v>
      </c>
      <c r="T156" s="3">
        <v>9.9999999999999991E-22</v>
      </c>
      <c r="U156" s="3">
        <v>9.9999999999999991E-22</v>
      </c>
      <c r="V156" s="3">
        <v>9.9999999999999991E-22</v>
      </c>
      <c r="W156" s="3">
        <v>9.9999999999999991E-22</v>
      </c>
      <c r="X156" s="3">
        <v>9.9999999999999991E-22</v>
      </c>
      <c r="Y156">
        <v>206000</v>
      </c>
      <c r="Z156">
        <f t="shared" si="31"/>
        <v>206</v>
      </c>
      <c r="AA156">
        <f t="shared" si="28"/>
        <v>0.44919786096256686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120</v>
      </c>
      <c r="AH156">
        <v>168000</v>
      </c>
      <c r="AI156">
        <v>2</v>
      </c>
      <c r="AJ156">
        <f>36000+1500</f>
        <v>37500</v>
      </c>
      <c r="AK156">
        <v>1320</v>
      </c>
      <c r="AL156">
        <v>3000</v>
      </c>
      <c r="AM156">
        <f>23750+13750</f>
        <v>37500</v>
      </c>
      <c r="AN156">
        <v>0</v>
      </c>
      <c r="AO156">
        <v>0</v>
      </c>
      <c r="AP156">
        <f t="shared" si="32"/>
        <v>79.319999999999993</v>
      </c>
      <c r="AQ156">
        <f t="shared" si="33"/>
        <v>33.049999999999997</v>
      </c>
      <c r="AR156">
        <f t="shared" si="34"/>
        <v>88.68</v>
      </c>
      <c r="AS156">
        <f t="shared" si="35"/>
        <v>36.950000000000003</v>
      </c>
    </row>
    <row r="157" spans="1:45">
      <c r="A157">
        <v>156</v>
      </c>
      <c r="B157" t="s">
        <v>40</v>
      </c>
      <c r="C157">
        <v>1</v>
      </c>
      <c r="D157">
        <v>43</v>
      </c>
      <c r="E157">
        <v>1</v>
      </c>
      <c r="F157">
        <v>4</v>
      </c>
      <c r="G157">
        <v>10</v>
      </c>
      <c r="H157">
        <v>3</v>
      </c>
      <c r="I157">
        <f t="shared" si="26"/>
        <v>52.631578947368425</v>
      </c>
      <c r="J157">
        <f t="shared" si="27"/>
        <v>68421.052631578947</v>
      </c>
      <c r="K157">
        <f t="shared" si="29"/>
        <v>68.421052631578945</v>
      </c>
      <c r="L157">
        <v>1.9</v>
      </c>
      <c r="M157">
        <v>3</v>
      </c>
      <c r="N157">
        <v>9.6</v>
      </c>
      <c r="O157">
        <v>29</v>
      </c>
      <c r="P157">
        <v>0.5</v>
      </c>
      <c r="Q157">
        <v>6</v>
      </c>
      <c r="R157">
        <v>1500</v>
      </c>
      <c r="S157">
        <f t="shared" si="30"/>
        <v>1.5</v>
      </c>
      <c r="T157" s="3">
        <v>9.9999999999999991E-22</v>
      </c>
      <c r="U157" s="3">
        <v>9.9999999999999991E-22</v>
      </c>
      <c r="V157" s="3">
        <v>9.9999999999999991E-22</v>
      </c>
      <c r="W157">
        <v>1</v>
      </c>
      <c r="X157">
        <v>1</v>
      </c>
      <c r="Y157">
        <v>72000</v>
      </c>
      <c r="Z157">
        <f t="shared" si="31"/>
        <v>72</v>
      </c>
      <c r="AA157">
        <f t="shared" si="28"/>
        <v>0.64356435643564358</v>
      </c>
      <c r="AB157">
        <v>3</v>
      </c>
      <c r="AC157">
        <v>3</v>
      </c>
      <c r="AD157">
        <v>0</v>
      </c>
      <c r="AE157">
        <v>0</v>
      </c>
      <c r="AF157">
        <v>1</v>
      </c>
      <c r="AG157">
        <v>100</v>
      </c>
      <c r="AH157">
        <v>130000</v>
      </c>
      <c r="AI157">
        <v>2</v>
      </c>
      <c r="AJ157">
        <f>2750+24000</f>
        <v>26750</v>
      </c>
      <c r="AK157">
        <v>27500</v>
      </c>
      <c r="AL157">
        <v>600</v>
      </c>
      <c r="AM157">
        <v>14100</v>
      </c>
      <c r="AN157">
        <v>0</v>
      </c>
      <c r="AO157">
        <v>0</v>
      </c>
      <c r="AP157">
        <f t="shared" si="32"/>
        <v>68.95</v>
      </c>
      <c r="AQ157">
        <f t="shared" si="33"/>
        <v>36.289473684210527</v>
      </c>
      <c r="AR157">
        <f t="shared" si="34"/>
        <v>61.05</v>
      </c>
      <c r="AS157">
        <f t="shared" si="35"/>
        <v>32.131578947368418</v>
      </c>
    </row>
    <row r="158" spans="1:45">
      <c r="A158">
        <v>157</v>
      </c>
      <c r="B158" t="s">
        <v>40</v>
      </c>
      <c r="C158">
        <v>1</v>
      </c>
      <c r="D158">
        <v>52</v>
      </c>
      <c r="E158">
        <v>0</v>
      </c>
      <c r="F158">
        <v>4</v>
      </c>
      <c r="G158">
        <v>38</v>
      </c>
      <c r="H158">
        <v>3</v>
      </c>
      <c r="I158">
        <f t="shared" si="26"/>
        <v>64</v>
      </c>
      <c r="J158">
        <f t="shared" si="27"/>
        <v>179200</v>
      </c>
      <c r="K158">
        <f t="shared" si="29"/>
        <v>179.2</v>
      </c>
      <c r="L158">
        <v>0.5</v>
      </c>
      <c r="M158">
        <v>1</v>
      </c>
      <c r="N158">
        <v>96</v>
      </c>
      <c r="O158">
        <v>25</v>
      </c>
      <c r="P158">
        <v>0.5</v>
      </c>
      <c r="Q158">
        <v>1</v>
      </c>
      <c r="R158">
        <v>500</v>
      </c>
      <c r="S158">
        <f t="shared" si="30"/>
        <v>0.5</v>
      </c>
      <c r="T158" s="3">
        <v>9.9999999999999991E-22</v>
      </c>
      <c r="U158" s="3">
        <v>9.9999999999999991E-22</v>
      </c>
      <c r="V158" s="3">
        <v>9.9999999999999991E-22</v>
      </c>
      <c r="W158" s="3">
        <v>9.9999999999999991E-22</v>
      </c>
      <c r="X158" s="3">
        <v>9.9999999999999991E-22</v>
      </c>
      <c r="Y158">
        <v>106500</v>
      </c>
      <c r="Z158">
        <f t="shared" si="31"/>
        <v>106.5</v>
      </c>
      <c r="AA158">
        <f t="shared" si="28"/>
        <v>0.45690973992860784</v>
      </c>
      <c r="AB158">
        <v>3</v>
      </c>
      <c r="AC158">
        <v>3</v>
      </c>
      <c r="AD158">
        <v>0</v>
      </c>
      <c r="AE158">
        <v>0</v>
      </c>
      <c r="AF158">
        <v>1</v>
      </c>
      <c r="AG158">
        <v>32</v>
      </c>
      <c r="AH158">
        <v>89600</v>
      </c>
      <c r="AI158">
        <v>2</v>
      </c>
      <c r="AJ158">
        <v>8960</v>
      </c>
      <c r="AK158">
        <v>2750</v>
      </c>
      <c r="AL158">
        <v>600</v>
      </c>
      <c r="AM158">
        <f>10*480</f>
        <v>4800</v>
      </c>
      <c r="AN158">
        <v>0</v>
      </c>
      <c r="AO158">
        <v>0</v>
      </c>
      <c r="AP158">
        <f t="shared" si="32"/>
        <v>17.11</v>
      </c>
      <c r="AQ158">
        <f t="shared" si="33"/>
        <v>34.22</v>
      </c>
      <c r="AR158">
        <f t="shared" si="34"/>
        <v>72.489999999999995</v>
      </c>
      <c r="AS158">
        <f t="shared" si="35"/>
        <v>144.97999999999999</v>
      </c>
    </row>
    <row r="159" spans="1:45">
      <c r="A159">
        <v>158</v>
      </c>
      <c r="B159" t="s">
        <v>40</v>
      </c>
      <c r="C159">
        <v>1</v>
      </c>
      <c r="D159">
        <v>64</v>
      </c>
      <c r="E159">
        <v>0</v>
      </c>
      <c r="F159">
        <v>3</v>
      </c>
      <c r="G159">
        <v>49</v>
      </c>
      <c r="H159">
        <v>3</v>
      </c>
      <c r="I159">
        <f t="shared" si="26"/>
        <v>100</v>
      </c>
      <c r="J159">
        <f t="shared" si="27"/>
        <v>150000</v>
      </c>
      <c r="K159">
        <f t="shared" si="29"/>
        <v>150</v>
      </c>
      <c r="L159">
        <v>0.5</v>
      </c>
      <c r="M159">
        <v>1</v>
      </c>
      <c r="N159">
        <v>22.5</v>
      </c>
      <c r="O159">
        <v>22</v>
      </c>
      <c r="P159">
        <v>0.5</v>
      </c>
      <c r="Q159">
        <v>5</v>
      </c>
      <c r="R159">
        <v>750</v>
      </c>
      <c r="S159">
        <f t="shared" si="30"/>
        <v>0.75</v>
      </c>
      <c r="T159" s="3">
        <v>9.9999999999999991E-22</v>
      </c>
      <c r="U159" s="3">
        <v>9.9999999999999991E-22</v>
      </c>
      <c r="V159">
        <v>1</v>
      </c>
      <c r="W159">
        <v>1</v>
      </c>
      <c r="X159">
        <v>1</v>
      </c>
      <c r="Y159">
        <v>2100000</v>
      </c>
      <c r="Z159">
        <f t="shared" si="31"/>
        <v>2100</v>
      </c>
      <c r="AA159">
        <f t="shared" si="28"/>
        <v>3.4482758620689655E-2</v>
      </c>
      <c r="AB159">
        <v>3</v>
      </c>
      <c r="AC159">
        <v>3</v>
      </c>
      <c r="AD159">
        <v>0</v>
      </c>
      <c r="AE159">
        <v>0</v>
      </c>
      <c r="AF159">
        <v>1</v>
      </c>
      <c r="AG159">
        <v>50</v>
      </c>
      <c r="AH159">
        <v>75000</v>
      </c>
      <c r="AI159">
        <v>2</v>
      </c>
      <c r="AJ159">
        <f>5500+14000</f>
        <v>19500</v>
      </c>
      <c r="AK159">
        <v>2750</v>
      </c>
      <c r="AL159">
        <v>2500</v>
      </c>
      <c r="AM159">
        <f>4800+3760+3450</f>
        <v>12010</v>
      </c>
      <c r="AN159">
        <v>0</v>
      </c>
      <c r="AO159">
        <v>0</v>
      </c>
      <c r="AP159">
        <f t="shared" si="32"/>
        <v>36.76</v>
      </c>
      <c r="AQ159">
        <f t="shared" si="33"/>
        <v>73.52</v>
      </c>
      <c r="AR159">
        <f t="shared" si="34"/>
        <v>38.24</v>
      </c>
      <c r="AS159">
        <f t="shared" si="35"/>
        <v>76.48</v>
      </c>
    </row>
    <row r="160" spans="1:45">
      <c r="A160">
        <v>159</v>
      </c>
      <c r="B160" t="s">
        <v>40</v>
      </c>
      <c r="C160">
        <v>1</v>
      </c>
      <c r="D160">
        <v>68</v>
      </c>
      <c r="E160">
        <v>0</v>
      </c>
      <c r="F160">
        <v>2</v>
      </c>
      <c r="G160">
        <v>40</v>
      </c>
      <c r="H160">
        <v>4</v>
      </c>
      <c r="I160">
        <f t="shared" si="26"/>
        <v>66.666666666666671</v>
      </c>
      <c r="J160">
        <f t="shared" si="27"/>
        <v>100000</v>
      </c>
      <c r="K160">
        <f t="shared" si="29"/>
        <v>100</v>
      </c>
      <c r="L160">
        <v>0.75</v>
      </c>
      <c r="M160">
        <v>1</v>
      </c>
      <c r="N160">
        <v>42</v>
      </c>
      <c r="O160">
        <v>16</v>
      </c>
      <c r="P160">
        <v>6</v>
      </c>
      <c r="Q160">
        <v>1</v>
      </c>
      <c r="R160">
        <v>750</v>
      </c>
      <c r="S160">
        <f t="shared" si="30"/>
        <v>0.75</v>
      </c>
      <c r="T160" s="3">
        <v>9.9999999999999991E-22</v>
      </c>
      <c r="U160" s="3">
        <v>9.9999999999999991E-22</v>
      </c>
      <c r="V160">
        <v>1</v>
      </c>
      <c r="W160" s="3">
        <v>9.9999999999999991E-22</v>
      </c>
      <c r="X160">
        <v>1</v>
      </c>
      <c r="Y160">
        <v>840000</v>
      </c>
      <c r="Z160">
        <f t="shared" si="31"/>
        <v>840</v>
      </c>
      <c r="AA160">
        <f t="shared" si="28"/>
        <v>8.1967213114754092E-2</v>
      </c>
      <c r="AB160">
        <v>1</v>
      </c>
      <c r="AC160">
        <v>3</v>
      </c>
      <c r="AD160">
        <v>0</v>
      </c>
      <c r="AE160">
        <v>0</v>
      </c>
      <c r="AF160">
        <v>1</v>
      </c>
      <c r="AG160">
        <v>50</v>
      </c>
      <c r="AH160">
        <v>75000</v>
      </c>
      <c r="AI160">
        <v>2</v>
      </c>
      <c r="AJ160">
        <v>16400</v>
      </c>
      <c r="AK160">
        <v>4125</v>
      </c>
      <c r="AL160">
        <v>600</v>
      </c>
      <c r="AM160">
        <v>7050</v>
      </c>
      <c r="AN160">
        <v>0</v>
      </c>
      <c r="AO160">
        <v>0</v>
      </c>
      <c r="AP160">
        <f t="shared" si="32"/>
        <v>28.175000000000001</v>
      </c>
      <c r="AQ160">
        <f t="shared" si="33"/>
        <v>37.56666666666667</v>
      </c>
      <c r="AR160">
        <f t="shared" si="34"/>
        <v>46.825000000000003</v>
      </c>
      <c r="AS160">
        <f t="shared" si="35"/>
        <v>62.433333333333337</v>
      </c>
    </row>
    <row r="161" spans="1:45">
      <c r="A161">
        <v>160</v>
      </c>
      <c r="B161" t="s">
        <v>40</v>
      </c>
      <c r="C161">
        <v>1</v>
      </c>
      <c r="D161">
        <v>64</v>
      </c>
      <c r="E161">
        <v>1</v>
      </c>
      <c r="F161">
        <v>2</v>
      </c>
      <c r="G161">
        <v>50</v>
      </c>
      <c r="H161">
        <v>2</v>
      </c>
      <c r="I161">
        <f t="shared" si="26"/>
        <v>110</v>
      </c>
      <c r="J161">
        <f t="shared" si="27"/>
        <v>120000.00000000001</v>
      </c>
      <c r="K161">
        <f t="shared" si="29"/>
        <v>120.00000000000001</v>
      </c>
      <c r="L161">
        <v>0.7</v>
      </c>
      <c r="M161">
        <v>1</v>
      </c>
      <c r="N161">
        <v>37</v>
      </c>
      <c r="O161">
        <v>17</v>
      </c>
      <c r="P161">
        <v>2</v>
      </c>
      <c r="Q161">
        <v>2</v>
      </c>
      <c r="R161">
        <v>1000</v>
      </c>
      <c r="S161">
        <f t="shared" si="30"/>
        <v>1</v>
      </c>
      <c r="T161" s="3">
        <v>9.9999999999999991E-22</v>
      </c>
      <c r="U161" s="3">
        <v>9.9999999999999991E-22</v>
      </c>
      <c r="V161" s="3">
        <v>9.9999999999999991E-22</v>
      </c>
      <c r="W161" s="3">
        <v>9.9999999999999991E-22</v>
      </c>
      <c r="X161" s="3">
        <v>9.9999999999999991E-22</v>
      </c>
      <c r="Y161">
        <v>115200</v>
      </c>
      <c r="Z161">
        <f t="shared" si="31"/>
        <v>115.2</v>
      </c>
      <c r="AA161">
        <f t="shared" si="28"/>
        <v>0.42168674698795183</v>
      </c>
      <c r="AB161">
        <v>3</v>
      </c>
      <c r="AC161">
        <v>1</v>
      </c>
      <c r="AD161">
        <v>0</v>
      </c>
      <c r="AE161">
        <v>0</v>
      </c>
      <c r="AF161">
        <v>1</v>
      </c>
      <c r="AG161">
        <v>77</v>
      </c>
      <c r="AH161">
        <v>84000</v>
      </c>
      <c r="AI161">
        <v>2</v>
      </c>
      <c r="AJ161">
        <f>750+3600</f>
        <v>4350</v>
      </c>
      <c r="AK161">
        <v>4000</v>
      </c>
      <c r="AL161">
        <v>500</v>
      </c>
      <c r="AM161">
        <v>9600</v>
      </c>
      <c r="AN161">
        <v>0</v>
      </c>
      <c r="AO161">
        <v>0</v>
      </c>
      <c r="AP161">
        <f t="shared" si="32"/>
        <v>18.45</v>
      </c>
      <c r="AQ161">
        <f t="shared" si="33"/>
        <v>26.357142857142858</v>
      </c>
      <c r="AR161">
        <f t="shared" si="34"/>
        <v>65.55</v>
      </c>
      <c r="AS161">
        <f t="shared" si="35"/>
        <v>93.642857142857139</v>
      </c>
    </row>
    <row r="162" spans="1:45">
      <c r="A162">
        <v>161</v>
      </c>
      <c r="B162" t="s">
        <v>40</v>
      </c>
      <c r="C162">
        <v>1</v>
      </c>
      <c r="D162">
        <v>72</v>
      </c>
      <c r="E162">
        <v>0</v>
      </c>
      <c r="F162">
        <v>1</v>
      </c>
      <c r="G162">
        <v>30</v>
      </c>
      <c r="H162">
        <v>4</v>
      </c>
      <c r="I162">
        <f t="shared" si="26"/>
        <v>90</v>
      </c>
      <c r="J162">
        <f t="shared" ref="J162:J166" si="36">AH162/L162</f>
        <v>126000</v>
      </c>
      <c r="K162">
        <f t="shared" si="29"/>
        <v>126</v>
      </c>
      <c r="L162">
        <v>0.5</v>
      </c>
      <c r="M162">
        <v>1</v>
      </c>
      <c r="N162">
        <v>150</v>
      </c>
      <c r="O162">
        <v>20</v>
      </c>
      <c r="P162">
        <v>0.5</v>
      </c>
      <c r="Q162">
        <v>1</v>
      </c>
      <c r="R162">
        <v>500</v>
      </c>
      <c r="S162">
        <f t="shared" si="30"/>
        <v>0.5</v>
      </c>
      <c r="T162" s="3">
        <v>9.9999999999999991E-22</v>
      </c>
      <c r="U162" s="3">
        <v>9.9999999999999991E-22</v>
      </c>
      <c r="V162" s="3">
        <v>9.9999999999999991E-22</v>
      </c>
      <c r="W162" s="3">
        <v>9.9999999999999991E-22</v>
      </c>
      <c r="X162" s="3">
        <v>9.9999999999999991E-22</v>
      </c>
      <c r="Y162">
        <v>0</v>
      </c>
      <c r="Z162">
        <f t="shared" si="31"/>
        <v>0</v>
      </c>
      <c r="AA162">
        <f t="shared" ref="AA162:AA166" si="37">AH162/(AH162+Y162)</f>
        <v>1</v>
      </c>
      <c r="AB162">
        <v>1</v>
      </c>
      <c r="AC162">
        <v>3</v>
      </c>
      <c r="AD162">
        <v>0</v>
      </c>
      <c r="AE162">
        <v>0</v>
      </c>
      <c r="AF162">
        <v>1</v>
      </c>
      <c r="AG162">
        <v>45</v>
      </c>
      <c r="AH162">
        <v>63000</v>
      </c>
      <c r="AI162">
        <v>2</v>
      </c>
      <c r="AJ162">
        <v>5800</v>
      </c>
      <c r="AK162">
        <v>2750</v>
      </c>
      <c r="AL162">
        <v>600</v>
      </c>
      <c r="AM162">
        <v>4700</v>
      </c>
      <c r="AN162">
        <v>0</v>
      </c>
      <c r="AO162">
        <v>0</v>
      </c>
      <c r="AP162">
        <f t="shared" si="32"/>
        <v>13.85</v>
      </c>
      <c r="AQ162">
        <f t="shared" si="33"/>
        <v>27.7</v>
      </c>
      <c r="AR162">
        <f t="shared" si="34"/>
        <v>49.15</v>
      </c>
      <c r="AS162">
        <f t="shared" si="35"/>
        <v>98.3</v>
      </c>
    </row>
    <row r="163" spans="1:45">
      <c r="A163">
        <v>162</v>
      </c>
      <c r="B163" t="s">
        <v>40</v>
      </c>
      <c r="C163">
        <v>1</v>
      </c>
      <c r="D163">
        <v>79</v>
      </c>
      <c r="E163">
        <v>0</v>
      </c>
      <c r="F163">
        <v>1</v>
      </c>
      <c r="G163">
        <v>50</v>
      </c>
      <c r="H163">
        <v>2</v>
      </c>
      <c r="I163">
        <f t="shared" si="26"/>
        <v>40</v>
      </c>
      <c r="J163">
        <f t="shared" si="36"/>
        <v>56000</v>
      </c>
      <c r="K163">
        <f t="shared" si="29"/>
        <v>56</v>
      </c>
      <c r="L163">
        <v>2</v>
      </c>
      <c r="M163">
        <v>2</v>
      </c>
      <c r="N163">
        <v>22.5</v>
      </c>
      <c r="O163">
        <v>25</v>
      </c>
      <c r="P163">
        <v>1</v>
      </c>
      <c r="Q163">
        <v>5</v>
      </c>
      <c r="R163">
        <v>2000</v>
      </c>
      <c r="S163">
        <f t="shared" si="30"/>
        <v>2</v>
      </c>
      <c r="T163" s="3">
        <v>9.9999999999999991E-22</v>
      </c>
      <c r="U163" s="3">
        <v>9.9999999999999991E-22</v>
      </c>
      <c r="V163" s="3">
        <v>9.9999999999999991E-22</v>
      </c>
      <c r="W163" s="3">
        <v>9.9999999999999991E-22</v>
      </c>
      <c r="X163" s="3">
        <v>9.9999999999999991E-22</v>
      </c>
      <c r="Y163">
        <v>115200</v>
      </c>
      <c r="Z163">
        <f t="shared" si="31"/>
        <v>115.2</v>
      </c>
      <c r="AA163">
        <f t="shared" si="37"/>
        <v>0.49295774647887325</v>
      </c>
      <c r="AB163">
        <v>1</v>
      </c>
      <c r="AC163">
        <v>3</v>
      </c>
      <c r="AD163">
        <v>0</v>
      </c>
      <c r="AE163">
        <v>0</v>
      </c>
      <c r="AF163">
        <v>1</v>
      </c>
      <c r="AG163">
        <v>80</v>
      </c>
      <c r="AH163">
        <v>112000</v>
      </c>
      <c r="AI163">
        <v>2</v>
      </c>
      <c r="AJ163">
        <v>25400</v>
      </c>
      <c r="AK163">
        <v>11000</v>
      </c>
      <c r="AL163">
        <v>3000</v>
      </c>
      <c r="AM163">
        <v>18800</v>
      </c>
      <c r="AN163">
        <v>0</v>
      </c>
      <c r="AO163">
        <v>0</v>
      </c>
      <c r="AP163">
        <f t="shared" si="32"/>
        <v>58.2</v>
      </c>
      <c r="AQ163">
        <f t="shared" si="33"/>
        <v>29.1</v>
      </c>
      <c r="AR163">
        <f t="shared" si="34"/>
        <v>53.8</v>
      </c>
      <c r="AS163">
        <f t="shared" si="35"/>
        <v>26.9</v>
      </c>
    </row>
    <row r="164" spans="1:45">
      <c r="A164">
        <v>163</v>
      </c>
      <c r="B164" t="s">
        <v>40</v>
      </c>
      <c r="C164">
        <v>1</v>
      </c>
      <c r="D164">
        <v>65</v>
      </c>
      <c r="E164">
        <v>1</v>
      </c>
      <c r="F164">
        <v>2</v>
      </c>
      <c r="G164">
        <v>30</v>
      </c>
      <c r="H164">
        <v>4</v>
      </c>
      <c r="I164">
        <f t="shared" si="26"/>
        <v>41.53846153846154</v>
      </c>
      <c r="J164">
        <f t="shared" si="36"/>
        <v>66769.230769230766</v>
      </c>
      <c r="K164">
        <f t="shared" si="29"/>
        <v>66.769230769230759</v>
      </c>
      <c r="L164">
        <v>0.65</v>
      </c>
      <c r="M164">
        <v>1</v>
      </c>
      <c r="N164">
        <v>72</v>
      </c>
      <c r="O164">
        <v>15</v>
      </c>
      <c r="P164">
        <v>2</v>
      </c>
      <c r="Q164">
        <v>3</v>
      </c>
      <c r="R164">
        <v>200</v>
      </c>
      <c r="S164">
        <f t="shared" si="30"/>
        <v>0.2</v>
      </c>
      <c r="T164" s="3">
        <v>9.9999999999999991E-22</v>
      </c>
      <c r="U164" s="3">
        <v>9.9999999999999991E-22</v>
      </c>
      <c r="V164" s="3">
        <v>9.9999999999999991E-22</v>
      </c>
      <c r="W164" s="3">
        <v>9.9999999999999991E-22</v>
      </c>
      <c r="X164" s="3">
        <v>9.9999999999999991E-22</v>
      </c>
      <c r="Y164">
        <f>24800</f>
        <v>24800</v>
      </c>
      <c r="Z164">
        <f t="shared" si="31"/>
        <v>24.8</v>
      </c>
      <c r="AA164">
        <f t="shared" si="37"/>
        <v>0.63636363636363635</v>
      </c>
      <c r="AB164">
        <v>1</v>
      </c>
      <c r="AC164">
        <v>3</v>
      </c>
      <c r="AD164">
        <v>0</v>
      </c>
      <c r="AE164">
        <v>0</v>
      </c>
      <c r="AF164">
        <v>1</v>
      </c>
      <c r="AG164">
        <v>27</v>
      </c>
      <c r="AH164">
        <v>43400</v>
      </c>
      <c r="AI164">
        <v>2</v>
      </c>
      <c r="AJ164">
        <f>1800+7290</f>
        <v>9090</v>
      </c>
      <c r="AK164">
        <v>1632</v>
      </c>
      <c r="AL164">
        <v>600</v>
      </c>
      <c r="AM164">
        <f>940+1950</f>
        <v>2890</v>
      </c>
      <c r="AN164">
        <v>0</v>
      </c>
      <c r="AO164">
        <v>0</v>
      </c>
      <c r="AP164">
        <f t="shared" si="32"/>
        <v>14.212</v>
      </c>
      <c r="AQ164">
        <f t="shared" si="33"/>
        <v>21.864615384615384</v>
      </c>
      <c r="AR164">
        <f t="shared" si="34"/>
        <v>29.187999999999999</v>
      </c>
      <c r="AS164">
        <f t="shared" si="35"/>
        <v>44.904615384615383</v>
      </c>
    </row>
    <row r="165" spans="1:45">
      <c r="A165">
        <v>164</v>
      </c>
      <c r="B165" t="s">
        <v>40</v>
      </c>
      <c r="C165">
        <v>1</v>
      </c>
      <c r="D165">
        <v>60</v>
      </c>
      <c r="E165">
        <v>0</v>
      </c>
      <c r="F165">
        <v>2</v>
      </c>
      <c r="G165">
        <v>47</v>
      </c>
      <c r="H165">
        <v>6</v>
      </c>
      <c r="I165">
        <f t="shared" si="26"/>
        <v>5.5555555555555554</v>
      </c>
      <c r="J165">
        <f t="shared" si="36"/>
        <v>50000</v>
      </c>
      <c r="K165">
        <f t="shared" si="29"/>
        <v>50</v>
      </c>
      <c r="L165">
        <v>0.18</v>
      </c>
      <c r="M165">
        <v>1</v>
      </c>
      <c r="N165">
        <v>6</v>
      </c>
      <c r="O165">
        <v>8</v>
      </c>
      <c r="P165">
        <v>1</v>
      </c>
      <c r="Q165">
        <v>0.5</v>
      </c>
      <c r="R165">
        <f>350</f>
        <v>350</v>
      </c>
      <c r="S165">
        <f t="shared" si="30"/>
        <v>0.35</v>
      </c>
      <c r="T165" s="3">
        <v>9.9999999999999991E-22</v>
      </c>
      <c r="U165" s="3">
        <v>9.9999999999999991E-22</v>
      </c>
      <c r="V165" s="3">
        <v>9.9999999999999991E-22</v>
      </c>
      <c r="W165" s="3">
        <v>9.9999999999999991E-22</v>
      </c>
      <c r="X165" s="3">
        <v>9.9999999999999991E-22</v>
      </c>
      <c r="Y165">
        <v>0</v>
      </c>
      <c r="Z165">
        <f t="shared" si="31"/>
        <v>0</v>
      </c>
      <c r="AA165">
        <f t="shared" si="37"/>
        <v>1</v>
      </c>
      <c r="AB165">
        <v>1</v>
      </c>
      <c r="AC165">
        <v>3</v>
      </c>
      <c r="AD165">
        <v>0</v>
      </c>
      <c r="AE165">
        <v>0</v>
      </c>
      <c r="AF165">
        <v>1</v>
      </c>
      <c r="AG165">
        <v>1</v>
      </c>
      <c r="AH165">
        <v>9000</v>
      </c>
      <c r="AI165">
        <v>2</v>
      </c>
      <c r="AJ165">
        <v>2800</v>
      </c>
      <c r="AK165">
        <v>1000</v>
      </c>
      <c r="AL165">
        <v>300</v>
      </c>
      <c r="AM165">
        <v>3360</v>
      </c>
      <c r="AN165">
        <v>0</v>
      </c>
      <c r="AO165">
        <v>0</v>
      </c>
      <c r="AP165">
        <f t="shared" si="32"/>
        <v>7.46</v>
      </c>
      <c r="AQ165">
        <f t="shared" si="33"/>
        <v>41.444444444444443</v>
      </c>
      <c r="AR165">
        <f t="shared" si="34"/>
        <v>1.54</v>
      </c>
      <c r="AS165">
        <f t="shared" si="35"/>
        <v>8.5555555555555554</v>
      </c>
    </row>
    <row r="166" spans="1:45">
      <c r="A166">
        <v>165</v>
      </c>
      <c r="B166" t="s">
        <v>40</v>
      </c>
      <c r="C166">
        <v>1</v>
      </c>
      <c r="D166">
        <v>45</v>
      </c>
      <c r="E166">
        <v>1</v>
      </c>
      <c r="F166">
        <v>5</v>
      </c>
      <c r="G166">
        <v>35</v>
      </c>
      <c r="H166">
        <v>5</v>
      </c>
      <c r="I166">
        <f t="shared" si="26"/>
        <v>50</v>
      </c>
      <c r="J166">
        <f t="shared" si="36"/>
        <v>70000</v>
      </c>
      <c r="K166">
        <f t="shared" si="29"/>
        <v>70</v>
      </c>
      <c r="L166">
        <v>1</v>
      </c>
      <c r="M166">
        <v>1</v>
      </c>
      <c r="N166">
        <v>170</v>
      </c>
      <c r="O166">
        <v>12</v>
      </c>
      <c r="P166">
        <v>2</v>
      </c>
      <c r="Q166" s="3">
        <v>9.9999999999999991E-22</v>
      </c>
      <c r="R166">
        <v>1000</v>
      </c>
      <c r="S166">
        <f t="shared" si="30"/>
        <v>1</v>
      </c>
      <c r="T166" s="3">
        <v>9.9999999999999991E-22</v>
      </c>
      <c r="U166" s="3">
        <v>9.9999999999999991E-22</v>
      </c>
      <c r="V166" s="3">
        <v>9.9999999999999991E-22</v>
      </c>
      <c r="W166" s="3">
        <v>9.9999999999999991E-22</v>
      </c>
      <c r="X166" s="3">
        <v>9.9999999999999991E-22</v>
      </c>
      <c r="Y166">
        <v>0</v>
      </c>
      <c r="Z166">
        <f t="shared" si="31"/>
        <v>0</v>
      </c>
      <c r="AA166">
        <f t="shared" si="37"/>
        <v>1</v>
      </c>
      <c r="AB166">
        <v>3</v>
      </c>
      <c r="AC166">
        <v>3</v>
      </c>
      <c r="AD166">
        <v>0</v>
      </c>
      <c r="AE166">
        <v>0</v>
      </c>
      <c r="AF166">
        <v>1</v>
      </c>
      <c r="AG166">
        <v>50</v>
      </c>
      <c r="AH166">
        <v>70000</v>
      </c>
      <c r="AI166">
        <v>2</v>
      </c>
      <c r="AJ166">
        <f>14000</f>
        <v>14000</v>
      </c>
      <c r="AK166">
        <v>2000</v>
      </c>
      <c r="AL166">
        <v>0</v>
      </c>
      <c r="AM166">
        <v>9600</v>
      </c>
      <c r="AN166">
        <v>0</v>
      </c>
      <c r="AO166">
        <v>0</v>
      </c>
      <c r="AP166">
        <f t="shared" si="32"/>
        <v>25.6</v>
      </c>
      <c r="AQ166">
        <f t="shared" si="33"/>
        <v>25.6</v>
      </c>
      <c r="AR166">
        <f t="shared" si="34"/>
        <v>44.4</v>
      </c>
      <c r="AS166">
        <f t="shared" si="35"/>
        <v>44.4</v>
      </c>
    </row>
    <row r="167" spans="1:45">
      <c r="Q167" s="3"/>
    </row>
  </sheetData>
  <autoFilter ref="A1:AW166" xr:uid="{E6DFF0F6-026F-46A5-99AE-0C6B4D699205}">
    <filterColumn colId="11">
      <filters>
        <filter val="0.18"/>
        <filter val="0.25"/>
        <filter val="0.3"/>
        <filter val="0.35"/>
        <filter val="0.4"/>
        <filter val="0.5"/>
        <filter val="0.55"/>
        <filter val="0.56"/>
        <filter val="0.6"/>
        <filter val="0.64"/>
        <filter val="0.65"/>
        <filter val="0.6958"/>
        <filter val="0.7"/>
        <filter val="0.75"/>
        <filter val="0.8"/>
        <filter val="0.84"/>
        <filter val="0.85"/>
        <filter val="0.9"/>
        <filter val="1"/>
        <filter val="1.1"/>
        <filter val="1.17"/>
        <filter val="1.19"/>
        <filter val="1.2"/>
        <filter val="1.24"/>
        <filter val="1.25"/>
        <filter val="1.3"/>
        <filter val="1.5"/>
        <filter val="1.7"/>
        <filter val="1.8"/>
        <filter val="1.9"/>
        <filter val="2"/>
        <filter val="2.4"/>
        <filter val="2.5"/>
        <filter val="2.6"/>
        <filter val="2.75"/>
        <filter val="3"/>
        <filter val="4"/>
        <filter val="4.5"/>
      </filters>
    </filterColumn>
  </autoFilter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0976-18E2-46D1-9232-3D59E470F099}">
  <dimension ref="A1:AW1048576"/>
  <sheetViews>
    <sheetView topLeftCell="AH107" workbookViewId="0">
      <selection activeCell="AT167" sqref="AT167"/>
    </sheetView>
  </sheetViews>
  <sheetFormatPr defaultRowHeight="14.5"/>
  <sheetData>
    <row r="1" spans="1:49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J1" t="s">
        <v>44</v>
      </c>
      <c r="K1" s="2" t="s">
        <v>49</v>
      </c>
      <c r="L1" t="s">
        <v>12</v>
      </c>
      <c r="M1" t="s">
        <v>13</v>
      </c>
      <c r="N1" t="s">
        <v>17</v>
      </c>
      <c r="O1" t="s">
        <v>18</v>
      </c>
      <c r="P1" t="s">
        <v>20</v>
      </c>
      <c r="Q1" t="s">
        <v>22</v>
      </c>
      <c r="R1" t="s">
        <v>24</v>
      </c>
      <c r="S1" t="s">
        <v>51</v>
      </c>
      <c r="T1" t="s">
        <v>50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  <c r="Z1" t="s">
        <v>52</v>
      </c>
      <c r="AA1" t="s">
        <v>41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14</v>
      </c>
      <c r="AH1" t="s">
        <v>15</v>
      </c>
      <c r="AI1" t="s">
        <v>16</v>
      </c>
      <c r="AJ1" t="s">
        <v>19</v>
      </c>
      <c r="AK1" t="s">
        <v>21</v>
      </c>
      <c r="AL1" t="s">
        <v>23</v>
      </c>
      <c r="AM1" t="s">
        <v>25</v>
      </c>
      <c r="AN1" t="s">
        <v>27</v>
      </c>
      <c r="AO1" t="s">
        <v>46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</row>
    <row r="2" spans="1:49">
      <c r="A2">
        <v>1</v>
      </c>
      <c r="B2" t="s">
        <v>34</v>
      </c>
      <c r="C2">
        <v>1</v>
      </c>
      <c r="D2">
        <v>73</v>
      </c>
      <c r="E2">
        <v>1</v>
      </c>
      <c r="F2">
        <v>2</v>
      </c>
      <c r="G2">
        <v>63</v>
      </c>
      <c r="H2">
        <v>4</v>
      </c>
      <c r="I2">
        <v>100</v>
      </c>
      <c r="J2">
        <v>125000</v>
      </c>
      <c r="K2">
        <v>125</v>
      </c>
      <c r="L2">
        <v>0.8</v>
      </c>
      <c r="M2">
        <v>1</v>
      </c>
      <c r="N2">
        <v>27</v>
      </c>
      <c r="O2">
        <v>82</v>
      </c>
      <c r="P2" s="3">
        <v>9.9999999999999991E-22</v>
      </c>
      <c r="Q2">
        <v>4</v>
      </c>
      <c r="R2">
        <v>500</v>
      </c>
      <c r="S2">
        <v>0.5</v>
      </c>
      <c r="T2" s="3">
        <v>9.9999999999999991E-22</v>
      </c>
      <c r="U2" s="3">
        <v>9.9999999999999991E-22</v>
      </c>
      <c r="V2" s="3">
        <v>9.9999999999999991E-22</v>
      </c>
      <c r="W2">
        <v>1</v>
      </c>
      <c r="X2" s="3">
        <v>9.9999999999999991E-22</v>
      </c>
      <c r="Y2">
        <v>134000</v>
      </c>
      <c r="Z2">
        <v>134</v>
      </c>
      <c r="AA2">
        <v>0.42735042735042733</v>
      </c>
      <c r="AB2">
        <v>4</v>
      </c>
      <c r="AC2">
        <v>4</v>
      </c>
      <c r="AD2">
        <v>0</v>
      </c>
      <c r="AE2">
        <v>0</v>
      </c>
      <c r="AF2">
        <v>1</v>
      </c>
      <c r="AG2">
        <v>80</v>
      </c>
      <c r="AH2">
        <v>100000</v>
      </c>
      <c r="AI2">
        <v>2</v>
      </c>
      <c r="AJ2">
        <v>35500</v>
      </c>
      <c r="AK2">
        <v>0</v>
      </c>
      <c r="AL2">
        <v>14800</v>
      </c>
      <c r="AM2">
        <v>10000</v>
      </c>
      <c r="AN2">
        <v>0</v>
      </c>
      <c r="AO2">
        <v>0</v>
      </c>
      <c r="AP2">
        <v>60.3</v>
      </c>
      <c r="AQ2">
        <v>75.374999999999986</v>
      </c>
      <c r="AR2">
        <v>39.700000000000003</v>
      </c>
      <c r="AS2">
        <v>49.625</v>
      </c>
      <c r="AT2">
        <f>AJ2/O2</f>
        <v>432.92682926829269</v>
      </c>
      <c r="AU2" s="3">
        <f>AK2/P2</f>
        <v>0</v>
      </c>
      <c r="AV2">
        <f>AL2/Q2</f>
        <v>3700</v>
      </c>
      <c r="AW2">
        <f>AM2/S2</f>
        <v>20000</v>
      </c>
    </row>
    <row r="3" spans="1:49">
      <c r="A3">
        <v>2</v>
      </c>
      <c r="B3" t="s">
        <v>34</v>
      </c>
      <c r="C3">
        <v>1</v>
      </c>
      <c r="D3">
        <v>70</v>
      </c>
      <c r="E3">
        <v>1</v>
      </c>
      <c r="F3">
        <v>4</v>
      </c>
      <c r="G3">
        <v>60</v>
      </c>
      <c r="H3">
        <v>3</v>
      </c>
      <c r="I3">
        <v>56.666666666666671</v>
      </c>
      <c r="J3">
        <v>116666.66666666667</v>
      </c>
      <c r="K3">
        <v>116.66666666666667</v>
      </c>
      <c r="L3">
        <v>0.6</v>
      </c>
      <c r="M3">
        <v>1</v>
      </c>
      <c r="N3">
        <v>47.125</v>
      </c>
      <c r="O3">
        <v>39</v>
      </c>
      <c r="P3" s="3">
        <v>9.9999999999999991E-22</v>
      </c>
      <c r="Q3">
        <v>5</v>
      </c>
      <c r="R3">
        <v>600</v>
      </c>
      <c r="S3">
        <v>0.6</v>
      </c>
      <c r="T3" s="3">
        <v>9.9999999999999991E-22</v>
      </c>
      <c r="U3" s="3">
        <v>9.9999999999999991E-22</v>
      </c>
      <c r="V3" s="3">
        <v>9.9999999999999991E-22</v>
      </c>
      <c r="W3">
        <v>1</v>
      </c>
      <c r="X3" s="3">
        <v>9.9999999999999991E-22</v>
      </c>
      <c r="Y3">
        <v>10400</v>
      </c>
      <c r="Z3">
        <v>10.4</v>
      </c>
      <c r="AA3">
        <v>0.87064676616915426</v>
      </c>
      <c r="AB3">
        <v>3</v>
      </c>
      <c r="AC3">
        <v>3</v>
      </c>
      <c r="AD3">
        <v>0</v>
      </c>
      <c r="AE3">
        <v>0</v>
      </c>
      <c r="AF3">
        <v>1</v>
      </c>
      <c r="AG3">
        <v>34</v>
      </c>
      <c r="AH3">
        <v>70000</v>
      </c>
      <c r="AI3">
        <v>2</v>
      </c>
      <c r="AJ3">
        <v>16900</v>
      </c>
      <c r="AK3">
        <v>0</v>
      </c>
      <c r="AL3">
        <v>6000</v>
      </c>
      <c r="AM3">
        <v>7200</v>
      </c>
      <c r="AN3">
        <v>0</v>
      </c>
      <c r="AO3">
        <v>0</v>
      </c>
      <c r="AP3">
        <v>30.1</v>
      </c>
      <c r="AQ3">
        <v>50.166666666666671</v>
      </c>
      <c r="AR3">
        <v>39.9</v>
      </c>
      <c r="AS3">
        <v>66.5</v>
      </c>
      <c r="AT3">
        <f t="shared" ref="AT3:AT66" si="0">AJ3/O3</f>
        <v>433.33333333333331</v>
      </c>
      <c r="AU3" s="3">
        <f t="shared" ref="AU3:AU66" si="1">AK3/P3</f>
        <v>0</v>
      </c>
      <c r="AV3">
        <f t="shared" ref="AV3:AV66" si="2">AL3/Q3</f>
        <v>1200</v>
      </c>
      <c r="AW3">
        <f t="shared" ref="AW3:AW66" si="3">AM3/S3</f>
        <v>12000</v>
      </c>
    </row>
    <row r="4" spans="1:49">
      <c r="A4">
        <v>3</v>
      </c>
      <c r="B4" t="s">
        <v>34</v>
      </c>
      <c r="C4">
        <v>1</v>
      </c>
      <c r="D4">
        <v>68</v>
      </c>
      <c r="E4">
        <v>0</v>
      </c>
      <c r="F4">
        <v>2</v>
      </c>
      <c r="G4">
        <v>58</v>
      </c>
      <c r="H4">
        <v>2</v>
      </c>
      <c r="I4">
        <v>30</v>
      </c>
      <c r="J4">
        <v>75000</v>
      </c>
      <c r="K4">
        <v>75</v>
      </c>
      <c r="L4">
        <v>0.4</v>
      </c>
      <c r="M4">
        <v>1</v>
      </c>
      <c r="N4">
        <v>22.8</v>
      </c>
      <c r="O4">
        <v>22</v>
      </c>
      <c r="P4" s="3">
        <v>9.9999999999999991E-22</v>
      </c>
      <c r="Q4">
        <v>2</v>
      </c>
      <c r="R4">
        <v>400</v>
      </c>
      <c r="S4">
        <v>0.4</v>
      </c>
      <c r="T4" s="3">
        <v>9.9999999999999991E-22</v>
      </c>
      <c r="U4" s="3">
        <v>9.9999999999999991E-22</v>
      </c>
      <c r="V4" s="3">
        <v>9.9999999999999991E-22</v>
      </c>
      <c r="W4">
        <v>1</v>
      </c>
      <c r="X4" s="3">
        <v>9.9999999999999991E-22</v>
      </c>
      <c r="Y4">
        <v>0</v>
      </c>
      <c r="Z4">
        <v>0</v>
      </c>
      <c r="AA4">
        <v>1</v>
      </c>
      <c r="AB4">
        <v>4</v>
      </c>
      <c r="AC4">
        <v>3</v>
      </c>
      <c r="AD4">
        <v>0</v>
      </c>
      <c r="AE4">
        <v>0</v>
      </c>
      <c r="AF4">
        <v>1</v>
      </c>
      <c r="AG4">
        <v>12</v>
      </c>
      <c r="AH4">
        <v>30000</v>
      </c>
      <c r="AI4">
        <v>2</v>
      </c>
      <c r="AJ4">
        <v>7520</v>
      </c>
      <c r="AK4">
        <v>0</v>
      </c>
      <c r="AL4">
        <v>1000</v>
      </c>
      <c r="AM4">
        <v>4100</v>
      </c>
      <c r="AN4">
        <v>0</v>
      </c>
      <c r="AO4">
        <v>0</v>
      </c>
      <c r="AP4">
        <v>12.62</v>
      </c>
      <c r="AQ4">
        <v>31.549999999999997</v>
      </c>
      <c r="AR4">
        <v>17.380000000000003</v>
      </c>
      <c r="AS4">
        <v>43.45</v>
      </c>
      <c r="AT4">
        <f t="shared" si="0"/>
        <v>341.81818181818181</v>
      </c>
      <c r="AU4" s="3">
        <f t="shared" si="1"/>
        <v>0</v>
      </c>
      <c r="AV4">
        <f t="shared" si="2"/>
        <v>500</v>
      </c>
      <c r="AW4">
        <f t="shared" si="3"/>
        <v>10250</v>
      </c>
    </row>
    <row r="5" spans="1:49">
      <c r="A5">
        <v>4</v>
      </c>
      <c r="B5" t="s">
        <v>34</v>
      </c>
      <c r="C5">
        <v>1</v>
      </c>
      <c r="D5">
        <v>47</v>
      </c>
      <c r="E5">
        <v>1</v>
      </c>
      <c r="F5">
        <v>3</v>
      </c>
      <c r="G5">
        <v>32</v>
      </c>
      <c r="H5">
        <v>3</v>
      </c>
      <c r="I5">
        <v>77.777777777777771</v>
      </c>
      <c r="J5">
        <v>142222.22222222222</v>
      </c>
      <c r="K5">
        <v>142.22222222222223</v>
      </c>
      <c r="L5">
        <v>0.9</v>
      </c>
      <c r="M5">
        <v>1</v>
      </c>
      <c r="N5">
        <v>182.5</v>
      </c>
      <c r="O5">
        <v>101</v>
      </c>
      <c r="P5" s="3">
        <v>9.9999999999999991E-22</v>
      </c>
      <c r="Q5">
        <v>22.5</v>
      </c>
      <c r="R5">
        <v>900</v>
      </c>
      <c r="S5">
        <v>0.9</v>
      </c>
      <c r="T5">
        <v>2</v>
      </c>
      <c r="U5" s="3">
        <v>9.9999999999999991E-22</v>
      </c>
      <c r="V5" s="3">
        <v>9.9999999999999991E-22</v>
      </c>
      <c r="W5">
        <v>1</v>
      </c>
      <c r="X5" s="3">
        <v>9.9999999999999991E-22</v>
      </c>
      <c r="Y5">
        <v>125100</v>
      </c>
      <c r="Z5">
        <v>125.1</v>
      </c>
      <c r="AA5">
        <v>0.50572896088502572</v>
      </c>
      <c r="AB5">
        <v>4</v>
      </c>
      <c r="AC5">
        <v>3</v>
      </c>
      <c r="AD5">
        <v>0</v>
      </c>
      <c r="AE5">
        <v>3</v>
      </c>
      <c r="AF5">
        <v>1</v>
      </c>
      <c r="AG5">
        <v>70</v>
      </c>
      <c r="AH5">
        <v>128000</v>
      </c>
      <c r="AI5">
        <v>2</v>
      </c>
      <c r="AJ5">
        <v>24600</v>
      </c>
      <c r="AK5">
        <v>0</v>
      </c>
      <c r="AL5">
        <v>0</v>
      </c>
      <c r="AM5">
        <v>9360</v>
      </c>
      <c r="AN5">
        <v>2000</v>
      </c>
      <c r="AO5">
        <v>0</v>
      </c>
      <c r="AP5">
        <v>35.96</v>
      </c>
      <c r="AQ5">
        <v>39.955555555555556</v>
      </c>
      <c r="AR5">
        <v>92.039999999999992</v>
      </c>
      <c r="AS5">
        <v>102.26666666666665</v>
      </c>
      <c r="AT5">
        <f t="shared" si="0"/>
        <v>243.56435643564356</v>
      </c>
      <c r="AU5" s="3">
        <f t="shared" si="1"/>
        <v>0</v>
      </c>
      <c r="AV5">
        <f t="shared" si="2"/>
        <v>0</v>
      </c>
      <c r="AW5">
        <f t="shared" si="3"/>
        <v>10400</v>
      </c>
    </row>
    <row r="6" spans="1:49">
      <c r="A6">
        <v>5</v>
      </c>
      <c r="B6" t="s">
        <v>34</v>
      </c>
      <c r="C6">
        <v>1</v>
      </c>
      <c r="D6">
        <v>61</v>
      </c>
      <c r="E6">
        <v>1</v>
      </c>
      <c r="F6">
        <v>5</v>
      </c>
      <c r="G6">
        <v>51</v>
      </c>
      <c r="H6">
        <v>5</v>
      </c>
      <c r="I6">
        <v>22.222222222222221</v>
      </c>
      <c r="J6">
        <v>37777.777777777781</v>
      </c>
      <c r="K6">
        <v>37.777777777777779</v>
      </c>
      <c r="L6">
        <v>4.5</v>
      </c>
      <c r="M6">
        <v>1</v>
      </c>
      <c r="N6">
        <v>842.25</v>
      </c>
      <c r="O6">
        <v>180</v>
      </c>
      <c r="P6">
        <v>1</v>
      </c>
      <c r="Q6">
        <v>1</v>
      </c>
      <c r="R6">
        <v>8000</v>
      </c>
      <c r="S6">
        <v>8</v>
      </c>
      <c r="T6" s="3">
        <v>9.9999999999999991E-22</v>
      </c>
      <c r="U6" s="3">
        <v>9.9999999999999991E-22</v>
      </c>
      <c r="V6" s="3">
        <v>9.9999999999999991E-22</v>
      </c>
      <c r="W6">
        <v>1</v>
      </c>
      <c r="X6" s="3">
        <v>9.9999999999999991E-22</v>
      </c>
      <c r="Y6">
        <v>92160</v>
      </c>
      <c r="Z6">
        <v>92.16</v>
      </c>
      <c r="AA6">
        <v>0.64845895636252671</v>
      </c>
      <c r="AB6">
        <v>4</v>
      </c>
      <c r="AC6">
        <v>3</v>
      </c>
      <c r="AD6">
        <v>0</v>
      </c>
      <c r="AE6">
        <v>0</v>
      </c>
      <c r="AF6">
        <v>1</v>
      </c>
      <c r="AG6">
        <v>100</v>
      </c>
      <c r="AH6">
        <v>170000</v>
      </c>
      <c r="AI6">
        <v>2</v>
      </c>
      <c r="AJ6">
        <v>45000</v>
      </c>
      <c r="AK6">
        <v>5000</v>
      </c>
      <c r="AL6">
        <v>500</v>
      </c>
      <c r="AM6">
        <v>80000</v>
      </c>
      <c r="AN6">
        <v>0</v>
      </c>
      <c r="AO6">
        <v>0</v>
      </c>
      <c r="AP6">
        <v>130.5</v>
      </c>
      <c r="AQ6">
        <v>29</v>
      </c>
      <c r="AR6">
        <v>39.5</v>
      </c>
      <c r="AS6">
        <v>8.7777777777777786</v>
      </c>
      <c r="AT6">
        <f t="shared" si="0"/>
        <v>250</v>
      </c>
      <c r="AU6" s="3">
        <f t="shared" si="1"/>
        <v>5000</v>
      </c>
      <c r="AV6">
        <f t="shared" si="2"/>
        <v>500</v>
      </c>
      <c r="AW6">
        <f t="shared" si="3"/>
        <v>10000</v>
      </c>
    </row>
    <row r="7" spans="1:49">
      <c r="A7">
        <v>6</v>
      </c>
      <c r="B7" t="s">
        <v>34</v>
      </c>
      <c r="C7" s="3">
        <v>0</v>
      </c>
      <c r="D7">
        <v>63</v>
      </c>
      <c r="E7">
        <v>1</v>
      </c>
      <c r="F7">
        <v>2</v>
      </c>
      <c r="G7">
        <v>40</v>
      </c>
      <c r="H7">
        <v>6</v>
      </c>
      <c r="I7">
        <v>40</v>
      </c>
      <c r="J7">
        <v>35000</v>
      </c>
      <c r="K7">
        <v>35</v>
      </c>
      <c r="L7">
        <v>1</v>
      </c>
      <c r="M7">
        <v>1</v>
      </c>
      <c r="N7">
        <v>24.5</v>
      </c>
      <c r="O7">
        <v>100</v>
      </c>
      <c r="P7" s="3">
        <v>9.9999999999999991E-22</v>
      </c>
      <c r="Q7">
        <v>7</v>
      </c>
      <c r="R7">
        <v>1000</v>
      </c>
      <c r="S7">
        <v>1</v>
      </c>
      <c r="T7" s="3">
        <v>9.9999999999999991E-22</v>
      </c>
      <c r="U7" s="3">
        <v>9.9999999999999991E-22</v>
      </c>
      <c r="V7" s="3">
        <v>9.9999999999999991E-22</v>
      </c>
      <c r="W7" s="3">
        <v>9.9999999999999991E-22</v>
      </c>
      <c r="X7" s="3">
        <v>9.9999999999999991E-22</v>
      </c>
      <c r="Y7">
        <v>0</v>
      </c>
      <c r="Z7">
        <v>0</v>
      </c>
      <c r="AA7">
        <v>1</v>
      </c>
      <c r="AB7">
        <v>4</v>
      </c>
      <c r="AC7">
        <v>3</v>
      </c>
      <c r="AD7">
        <v>0</v>
      </c>
      <c r="AE7">
        <v>0</v>
      </c>
      <c r="AF7">
        <v>1</v>
      </c>
      <c r="AG7">
        <v>40</v>
      </c>
      <c r="AH7">
        <v>35000</v>
      </c>
      <c r="AI7">
        <v>2</v>
      </c>
      <c r="AJ7">
        <v>24000</v>
      </c>
      <c r="AK7">
        <v>0</v>
      </c>
      <c r="AL7">
        <v>3500</v>
      </c>
      <c r="AM7">
        <v>12000</v>
      </c>
      <c r="AN7">
        <v>0</v>
      </c>
      <c r="AO7">
        <v>0</v>
      </c>
      <c r="AP7">
        <v>39.5</v>
      </c>
      <c r="AQ7">
        <v>39.5</v>
      </c>
      <c r="AR7">
        <v>-4.5</v>
      </c>
      <c r="AS7">
        <v>-4.5</v>
      </c>
      <c r="AT7">
        <f t="shared" si="0"/>
        <v>240</v>
      </c>
      <c r="AU7" s="3">
        <f t="shared" si="1"/>
        <v>0</v>
      </c>
      <c r="AV7">
        <f t="shared" si="2"/>
        <v>500</v>
      </c>
      <c r="AW7">
        <f t="shared" si="3"/>
        <v>12000</v>
      </c>
    </row>
    <row r="8" spans="1:49">
      <c r="A8">
        <v>7</v>
      </c>
      <c r="B8" t="s">
        <v>34</v>
      </c>
      <c r="C8">
        <v>1</v>
      </c>
      <c r="D8">
        <v>53</v>
      </c>
      <c r="E8">
        <v>1</v>
      </c>
      <c r="F8">
        <v>1</v>
      </c>
      <c r="G8">
        <v>41</v>
      </c>
      <c r="H8">
        <v>6</v>
      </c>
      <c r="I8">
        <v>63.333333333333336</v>
      </c>
      <c r="J8">
        <v>100000</v>
      </c>
      <c r="K8">
        <v>100</v>
      </c>
      <c r="L8">
        <v>0.3</v>
      </c>
      <c r="M8">
        <v>1</v>
      </c>
      <c r="N8">
        <v>93.625</v>
      </c>
      <c r="O8">
        <v>24</v>
      </c>
      <c r="P8" s="3">
        <v>9.9999999999999991E-22</v>
      </c>
      <c r="Q8" s="3">
        <v>9.9999999999999991E-22</v>
      </c>
      <c r="R8">
        <v>200</v>
      </c>
      <c r="S8">
        <v>0.2</v>
      </c>
      <c r="T8" s="3">
        <v>9.9999999999999991E-22</v>
      </c>
      <c r="U8" s="3">
        <v>9.9999999999999991E-22</v>
      </c>
      <c r="V8" s="3">
        <v>9.9999999999999991E-22</v>
      </c>
      <c r="W8">
        <v>1</v>
      </c>
      <c r="X8" s="3">
        <v>9.9999999999999991E-22</v>
      </c>
      <c r="Y8">
        <v>130800</v>
      </c>
      <c r="Z8">
        <v>130.80000000000001</v>
      </c>
      <c r="AA8">
        <v>0.18656716417910449</v>
      </c>
      <c r="AB8">
        <v>4</v>
      </c>
      <c r="AC8">
        <v>3</v>
      </c>
      <c r="AD8">
        <v>0</v>
      </c>
      <c r="AE8">
        <v>0</v>
      </c>
      <c r="AF8">
        <v>1</v>
      </c>
      <c r="AG8">
        <v>19</v>
      </c>
      <c r="AH8">
        <v>30000</v>
      </c>
      <c r="AI8">
        <v>1</v>
      </c>
      <c r="AJ8">
        <v>7080</v>
      </c>
      <c r="AK8">
        <v>0</v>
      </c>
      <c r="AL8">
        <v>0</v>
      </c>
      <c r="AM8">
        <v>2000</v>
      </c>
      <c r="AN8">
        <v>0</v>
      </c>
      <c r="AO8">
        <v>0</v>
      </c>
      <c r="AP8">
        <v>9.08</v>
      </c>
      <c r="AQ8">
        <v>30.266666666666669</v>
      </c>
      <c r="AR8">
        <v>20.92</v>
      </c>
      <c r="AS8">
        <v>69.733333333333348</v>
      </c>
      <c r="AT8">
        <f t="shared" si="0"/>
        <v>295</v>
      </c>
      <c r="AU8" s="3">
        <f t="shared" si="1"/>
        <v>0</v>
      </c>
      <c r="AV8">
        <f t="shared" si="2"/>
        <v>0</v>
      </c>
      <c r="AW8">
        <f t="shared" si="3"/>
        <v>10000</v>
      </c>
    </row>
    <row r="9" spans="1:49">
      <c r="A9">
        <v>8</v>
      </c>
      <c r="B9" t="s">
        <v>34</v>
      </c>
      <c r="C9">
        <v>1</v>
      </c>
      <c r="D9">
        <v>54</v>
      </c>
      <c r="E9">
        <v>1</v>
      </c>
      <c r="F9">
        <v>4</v>
      </c>
      <c r="G9">
        <v>44</v>
      </c>
      <c r="H9">
        <v>5</v>
      </c>
      <c r="I9">
        <v>18.399999999999999</v>
      </c>
      <c r="J9">
        <v>32000</v>
      </c>
      <c r="K9">
        <v>32</v>
      </c>
      <c r="L9">
        <v>2.5</v>
      </c>
      <c r="M9">
        <v>1</v>
      </c>
      <c r="N9">
        <v>16</v>
      </c>
      <c r="O9">
        <v>120</v>
      </c>
      <c r="P9">
        <v>1</v>
      </c>
      <c r="Q9" s="3">
        <v>9.9999999999999991E-22</v>
      </c>
      <c r="R9">
        <v>4200</v>
      </c>
      <c r="S9">
        <v>4.2</v>
      </c>
      <c r="T9" s="3">
        <v>9.9999999999999991E-22</v>
      </c>
      <c r="U9" s="3">
        <v>9.9999999999999991E-22</v>
      </c>
      <c r="V9" s="3">
        <v>9.9999999999999991E-22</v>
      </c>
      <c r="W9">
        <v>1</v>
      </c>
      <c r="X9">
        <v>1</v>
      </c>
      <c r="Y9">
        <v>564000</v>
      </c>
      <c r="Z9">
        <v>564</v>
      </c>
      <c r="AA9">
        <v>0.12422360248447205</v>
      </c>
      <c r="AB9">
        <v>4</v>
      </c>
      <c r="AC9">
        <v>3</v>
      </c>
      <c r="AD9">
        <v>0</v>
      </c>
      <c r="AE9">
        <v>0</v>
      </c>
      <c r="AF9">
        <v>1</v>
      </c>
      <c r="AG9">
        <v>46</v>
      </c>
      <c r="AH9">
        <v>80000</v>
      </c>
      <c r="AI9">
        <v>2</v>
      </c>
      <c r="AJ9">
        <v>24800</v>
      </c>
      <c r="AK9">
        <v>15000</v>
      </c>
      <c r="AL9">
        <v>0</v>
      </c>
      <c r="AM9">
        <v>37800</v>
      </c>
      <c r="AN9">
        <v>0</v>
      </c>
      <c r="AO9">
        <v>0</v>
      </c>
      <c r="AP9">
        <v>77.599999999999994</v>
      </c>
      <c r="AQ9">
        <v>31.04</v>
      </c>
      <c r="AR9">
        <v>2.4000000000000057</v>
      </c>
      <c r="AS9">
        <v>0.9600000000000023</v>
      </c>
      <c r="AT9">
        <f t="shared" si="0"/>
        <v>206.66666666666666</v>
      </c>
      <c r="AU9" s="3">
        <f t="shared" si="1"/>
        <v>15000</v>
      </c>
      <c r="AV9">
        <f t="shared" si="2"/>
        <v>0</v>
      </c>
      <c r="AW9">
        <f t="shared" si="3"/>
        <v>9000</v>
      </c>
    </row>
    <row r="10" spans="1:49">
      <c r="A10">
        <v>9</v>
      </c>
      <c r="B10" t="s">
        <v>34</v>
      </c>
      <c r="C10">
        <v>1</v>
      </c>
      <c r="D10">
        <v>64</v>
      </c>
      <c r="E10">
        <v>0</v>
      </c>
      <c r="F10">
        <v>5</v>
      </c>
      <c r="G10">
        <v>25</v>
      </c>
      <c r="H10">
        <v>3</v>
      </c>
      <c r="I10">
        <v>70</v>
      </c>
      <c r="J10">
        <v>81000</v>
      </c>
      <c r="K10">
        <v>81</v>
      </c>
      <c r="L10">
        <v>1</v>
      </c>
      <c r="M10">
        <v>1</v>
      </c>
      <c r="N10">
        <v>22.75</v>
      </c>
      <c r="O10">
        <v>31</v>
      </c>
      <c r="P10" s="3">
        <v>9.9999999999999991E-22</v>
      </c>
      <c r="Q10">
        <v>2</v>
      </c>
      <c r="R10">
        <v>600</v>
      </c>
      <c r="S10">
        <v>0.6</v>
      </c>
      <c r="T10" s="3">
        <v>9.9999999999999991E-22</v>
      </c>
      <c r="U10">
        <v>100</v>
      </c>
      <c r="V10" s="3">
        <v>9.9999999999999991E-22</v>
      </c>
      <c r="W10">
        <v>1</v>
      </c>
      <c r="X10">
        <v>1</v>
      </c>
      <c r="Y10">
        <v>2218400</v>
      </c>
      <c r="Z10">
        <v>2218.4</v>
      </c>
      <c r="AA10">
        <v>3.5226580847177523E-2</v>
      </c>
      <c r="AB10">
        <v>3</v>
      </c>
      <c r="AC10">
        <v>3</v>
      </c>
      <c r="AD10">
        <v>3</v>
      </c>
      <c r="AE10">
        <v>0</v>
      </c>
      <c r="AF10">
        <v>1</v>
      </c>
      <c r="AG10">
        <v>70</v>
      </c>
      <c r="AH10">
        <v>81000</v>
      </c>
      <c r="AI10">
        <v>2</v>
      </c>
      <c r="AJ10">
        <v>31490</v>
      </c>
      <c r="AK10">
        <v>0</v>
      </c>
      <c r="AL10">
        <v>600</v>
      </c>
      <c r="AM10">
        <v>12000</v>
      </c>
      <c r="AN10">
        <v>0</v>
      </c>
      <c r="AO10">
        <v>1800</v>
      </c>
      <c r="AP10">
        <v>45.89</v>
      </c>
      <c r="AQ10">
        <v>45.89</v>
      </c>
      <c r="AR10">
        <v>35.11</v>
      </c>
      <c r="AS10">
        <v>35.11</v>
      </c>
      <c r="AT10">
        <f t="shared" si="0"/>
        <v>1015.8064516129032</v>
      </c>
      <c r="AU10" s="3">
        <f t="shared" si="1"/>
        <v>0</v>
      </c>
      <c r="AV10">
        <f t="shared" si="2"/>
        <v>300</v>
      </c>
      <c r="AW10">
        <f t="shared" si="3"/>
        <v>20000</v>
      </c>
    </row>
    <row r="11" spans="1:49">
      <c r="A11">
        <v>10</v>
      </c>
      <c r="B11" t="s">
        <v>34</v>
      </c>
      <c r="C11">
        <v>1</v>
      </c>
      <c r="D11">
        <v>58</v>
      </c>
      <c r="E11">
        <v>1</v>
      </c>
      <c r="F11">
        <v>2</v>
      </c>
      <c r="G11">
        <v>44</v>
      </c>
      <c r="H11">
        <v>6</v>
      </c>
      <c r="I11">
        <v>40</v>
      </c>
      <c r="J11">
        <v>40000</v>
      </c>
      <c r="K11">
        <v>40</v>
      </c>
      <c r="L11">
        <v>2</v>
      </c>
      <c r="M11">
        <v>1</v>
      </c>
      <c r="N11">
        <v>115.5</v>
      </c>
      <c r="O11">
        <v>26</v>
      </c>
      <c r="P11">
        <v>1</v>
      </c>
      <c r="Q11">
        <v>11</v>
      </c>
      <c r="R11">
        <v>1500</v>
      </c>
      <c r="S11">
        <v>1.5</v>
      </c>
      <c r="T11" s="3">
        <v>9.9999999999999991E-22</v>
      </c>
      <c r="U11" s="3">
        <v>9.9999999999999991E-22</v>
      </c>
      <c r="V11" s="3">
        <v>9.9999999999999991E-22</v>
      </c>
      <c r="W11">
        <v>1</v>
      </c>
      <c r="X11" s="3">
        <v>9.9999999999999991E-22</v>
      </c>
      <c r="Y11">
        <v>2500</v>
      </c>
      <c r="Z11">
        <v>2.5</v>
      </c>
      <c r="AA11">
        <v>0.96969696969696972</v>
      </c>
      <c r="AB11">
        <v>3</v>
      </c>
      <c r="AC11">
        <v>3</v>
      </c>
      <c r="AD11">
        <v>0</v>
      </c>
      <c r="AE11">
        <v>3</v>
      </c>
      <c r="AF11">
        <v>1</v>
      </c>
      <c r="AG11">
        <v>80</v>
      </c>
      <c r="AH11">
        <v>80000</v>
      </c>
      <c r="AI11">
        <v>1</v>
      </c>
      <c r="AJ11">
        <v>42150</v>
      </c>
      <c r="AK11">
        <v>12000</v>
      </c>
      <c r="AL11">
        <v>5500</v>
      </c>
      <c r="AM11">
        <v>14400</v>
      </c>
      <c r="AN11">
        <v>0</v>
      </c>
      <c r="AO11">
        <v>0</v>
      </c>
      <c r="AP11">
        <v>74.05</v>
      </c>
      <c r="AQ11">
        <v>37.024999999999999</v>
      </c>
      <c r="AR11">
        <v>5.9500000000000028</v>
      </c>
      <c r="AS11">
        <v>2.9750000000000014</v>
      </c>
      <c r="AT11">
        <f t="shared" si="0"/>
        <v>1621.1538461538462</v>
      </c>
      <c r="AU11" s="3">
        <f t="shared" si="1"/>
        <v>12000</v>
      </c>
      <c r="AV11">
        <f t="shared" si="2"/>
        <v>500</v>
      </c>
      <c r="AW11">
        <f t="shared" si="3"/>
        <v>9600</v>
      </c>
    </row>
    <row r="12" spans="1:49">
      <c r="A12">
        <v>11</v>
      </c>
      <c r="B12" t="s">
        <v>34</v>
      </c>
      <c r="C12" s="3">
        <v>0</v>
      </c>
      <c r="D12">
        <v>80</v>
      </c>
      <c r="E12">
        <v>0</v>
      </c>
      <c r="F12">
        <v>1</v>
      </c>
      <c r="G12">
        <v>20</v>
      </c>
      <c r="H12">
        <v>1</v>
      </c>
      <c r="I12">
        <v>10</v>
      </c>
      <c r="J12">
        <v>26666.666666666668</v>
      </c>
      <c r="K12">
        <v>26.666666666666668</v>
      </c>
      <c r="L12">
        <v>0.6</v>
      </c>
      <c r="M12">
        <v>1</v>
      </c>
      <c r="N12">
        <v>12</v>
      </c>
      <c r="O12">
        <v>21</v>
      </c>
      <c r="P12" s="3">
        <v>9.9999999999999991E-22</v>
      </c>
      <c r="Q12">
        <v>3</v>
      </c>
      <c r="R12">
        <v>200</v>
      </c>
      <c r="S12">
        <v>0.2</v>
      </c>
      <c r="T12" s="3">
        <v>9.9999999999999991E-22</v>
      </c>
      <c r="U12" s="3">
        <v>9.9999999999999991E-22</v>
      </c>
      <c r="V12" s="3">
        <v>9.9999999999999991E-22</v>
      </c>
      <c r="W12">
        <v>1</v>
      </c>
      <c r="X12" s="3">
        <v>9.9999999999999991E-22</v>
      </c>
      <c r="Y12">
        <v>24000</v>
      </c>
      <c r="Z12">
        <v>24</v>
      </c>
      <c r="AA12">
        <v>0.4</v>
      </c>
      <c r="AB12">
        <v>1</v>
      </c>
      <c r="AC12">
        <v>1</v>
      </c>
      <c r="AD12">
        <v>0</v>
      </c>
      <c r="AE12">
        <v>0</v>
      </c>
      <c r="AF12">
        <v>1</v>
      </c>
      <c r="AG12">
        <v>6</v>
      </c>
      <c r="AH12">
        <v>16000</v>
      </c>
      <c r="AI12">
        <v>1</v>
      </c>
      <c r="AJ12">
        <v>7700</v>
      </c>
      <c r="AK12">
        <v>0</v>
      </c>
      <c r="AL12">
        <v>1800</v>
      </c>
      <c r="AM12">
        <v>2200</v>
      </c>
      <c r="AN12">
        <v>0</v>
      </c>
      <c r="AO12">
        <v>0</v>
      </c>
      <c r="AP12">
        <v>11.7</v>
      </c>
      <c r="AQ12">
        <v>19.5</v>
      </c>
      <c r="AR12">
        <v>4.3000000000000007</v>
      </c>
      <c r="AS12">
        <v>7.1666666666666679</v>
      </c>
      <c r="AT12">
        <f t="shared" si="0"/>
        <v>366.66666666666669</v>
      </c>
      <c r="AU12" s="3">
        <f t="shared" si="1"/>
        <v>0</v>
      </c>
      <c r="AV12">
        <f t="shared" si="2"/>
        <v>600</v>
      </c>
      <c r="AW12">
        <f t="shared" si="3"/>
        <v>11000</v>
      </c>
    </row>
    <row r="13" spans="1:49">
      <c r="A13">
        <v>12</v>
      </c>
      <c r="B13" t="s">
        <v>34</v>
      </c>
      <c r="C13">
        <v>1</v>
      </c>
      <c r="D13">
        <v>69</v>
      </c>
      <c r="E13">
        <v>0</v>
      </c>
      <c r="F13">
        <v>4</v>
      </c>
      <c r="G13">
        <v>30</v>
      </c>
      <c r="H13">
        <v>8</v>
      </c>
      <c r="I13">
        <v>50</v>
      </c>
      <c r="J13">
        <v>87500</v>
      </c>
      <c r="K13">
        <v>87.5</v>
      </c>
      <c r="L13">
        <v>1.2</v>
      </c>
      <c r="M13">
        <v>1</v>
      </c>
      <c r="N13">
        <v>225</v>
      </c>
      <c r="O13">
        <v>25</v>
      </c>
      <c r="P13">
        <v>2</v>
      </c>
      <c r="Q13">
        <v>3</v>
      </c>
      <c r="R13">
        <v>500</v>
      </c>
      <c r="S13">
        <v>0.5</v>
      </c>
      <c r="T13" s="3">
        <v>9.9999999999999991E-22</v>
      </c>
      <c r="U13" s="3">
        <v>9.9999999999999991E-22</v>
      </c>
      <c r="V13" s="3">
        <v>9.9999999999999991E-22</v>
      </c>
      <c r="W13">
        <v>1</v>
      </c>
      <c r="X13" s="3">
        <v>9.9999999999999991E-22</v>
      </c>
      <c r="Y13">
        <v>24000</v>
      </c>
      <c r="Z13">
        <v>24</v>
      </c>
      <c r="AA13">
        <v>0.81395348837209303</v>
      </c>
      <c r="AB13">
        <v>4</v>
      </c>
      <c r="AC13">
        <v>3</v>
      </c>
      <c r="AD13">
        <v>0</v>
      </c>
      <c r="AE13">
        <v>0</v>
      </c>
      <c r="AF13">
        <v>1</v>
      </c>
      <c r="AG13">
        <v>60</v>
      </c>
      <c r="AH13">
        <v>105000</v>
      </c>
      <c r="AI13">
        <v>2</v>
      </c>
      <c r="AJ13">
        <v>25500</v>
      </c>
      <c r="AK13">
        <v>25000</v>
      </c>
      <c r="AL13">
        <v>5000</v>
      </c>
      <c r="AM13">
        <v>12000</v>
      </c>
      <c r="AN13">
        <v>0</v>
      </c>
      <c r="AO13">
        <v>0</v>
      </c>
      <c r="AP13">
        <v>67.5</v>
      </c>
      <c r="AQ13">
        <v>56.25</v>
      </c>
      <c r="AR13">
        <v>37.5</v>
      </c>
      <c r="AS13">
        <v>31.25</v>
      </c>
      <c r="AT13">
        <f t="shared" si="0"/>
        <v>1020</v>
      </c>
      <c r="AU13" s="3">
        <f t="shared" si="1"/>
        <v>12500</v>
      </c>
      <c r="AV13">
        <f t="shared" si="2"/>
        <v>1666.6666666666667</v>
      </c>
      <c r="AW13">
        <f t="shared" si="3"/>
        <v>24000</v>
      </c>
    </row>
    <row r="14" spans="1:49">
      <c r="A14">
        <v>13</v>
      </c>
      <c r="B14" t="s">
        <v>36</v>
      </c>
      <c r="C14">
        <v>1</v>
      </c>
      <c r="D14">
        <v>84</v>
      </c>
      <c r="E14">
        <v>1</v>
      </c>
      <c r="F14">
        <v>5</v>
      </c>
      <c r="G14">
        <v>75</v>
      </c>
      <c r="H14">
        <v>5</v>
      </c>
      <c r="I14">
        <v>48</v>
      </c>
      <c r="J14">
        <v>78780</v>
      </c>
      <c r="K14">
        <v>78.78</v>
      </c>
      <c r="L14">
        <v>1</v>
      </c>
      <c r="M14">
        <v>1</v>
      </c>
      <c r="N14">
        <v>48</v>
      </c>
      <c r="O14">
        <v>6</v>
      </c>
      <c r="P14" s="3">
        <v>9.9999999999999991E-22</v>
      </c>
      <c r="Q14">
        <v>2</v>
      </c>
      <c r="R14">
        <v>1000</v>
      </c>
      <c r="S14">
        <v>1</v>
      </c>
      <c r="T14" s="3">
        <v>9.9999999999999991E-22</v>
      </c>
      <c r="U14" s="3">
        <v>9.9999999999999991E-22</v>
      </c>
      <c r="V14" s="3">
        <v>9.9999999999999991E-22</v>
      </c>
      <c r="W14">
        <v>1</v>
      </c>
      <c r="X14" s="3">
        <v>9.9999999999999991E-22</v>
      </c>
      <c r="Y14">
        <v>60000</v>
      </c>
      <c r="Z14">
        <v>60</v>
      </c>
      <c r="AA14">
        <v>0.56766104626026803</v>
      </c>
      <c r="AB14">
        <v>4</v>
      </c>
      <c r="AC14">
        <v>3</v>
      </c>
      <c r="AD14">
        <v>0</v>
      </c>
      <c r="AE14">
        <v>0</v>
      </c>
      <c r="AF14">
        <v>1</v>
      </c>
      <c r="AG14">
        <v>48</v>
      </c>
      <c r="AH14">
        <v>78780</v>
      </c>
      <c r="AI14">
        <v>2</v>
      </c>
      <c r="AJ14">
        <v>20150</v>
      </c>
      <c r="AK14">
        <v>0</v>
      </c>
      <c r="AL14">
        <v>1500</v>
      </c>
      <c r="AM14">
        <v>9200</v>
      </c>
      <c r="AN14">
        <v>0</v>
      </c>
      <c r="AO14">
        <v>0</v>
      </c>
      <c r="AP14">
        <v>30.85</v>
      </c>
      <c r="AQ14">
        <v>30.85</v>
      </c>
      <c r="AR14">
        <v>47.93</v>
      </c>
      <c r="AS14">
        <v>47.93</v>
      </c>
      <c r="AT14">
        <f t="shared" si="0"/>
        <v>3358.3333333333335</v>
      </c>
      <c r="AU14" s="3">
        <f t="shared" si="1"/>
        <v>0</v>
      </c>
      <c r="AV14">
        <f t="shared" si="2"/>
        <v>750</v>
      </c>
      <c r="AW14">
        <f t="shared" si="3"/>
        <v>9200</v>
      </c>
    </row>
    <row r="15" spans="1:49">
      <c r="A15">
        <v>14</v>
      </c>
      <c r="B15" t="s">
        <v>34</v>
      </c>
      <c r="C15">
        <v>1</v>
      </c>
      <c r="D15">
        <v>49</v>
      </c>
      <c r="E15">
        <v>0</v>
      </c>
      <c r="F15">
        <v>4</v>
      </c>
      <c r="G15">
        <v>45</v>
      </c>
      <c r="H15">
        <v>5</v>
      </c>
      <c r="I15">
        <v>54.324999999999996</v>
      </c>
      <c r="J15">
        <v>76055</v>
      </c>
      <c r="K15">
        <v>76.055000000000007</v>
      </c>
      <c r="L15">
        <v>0.4</v>
      </c>
      <c r="M15">
        <v>1</v>
      </c>
      <c r="N15">
        <v>120</v>
      </c>
      <c r="O15">
        <v>16</v>
      </c>
      <c r="P15">
        <v>1</v>
      </c>
      <c r="Q15">
        <v>3</v>
      </c>
      <c r="R15">
        <v>400</v>
      </c>
      <c r="S15">
        <v>0.4</v>
      </c>
      <c r="T15" s="3">
        <v>9.9999999999999991E-22</v>
      </c>
      <c r="U15" s="3">
        <v>9.9999999999999991E-22</v>
      </c>
      <c r="V15" s="3">
        <v>9.9999999999999991E-22</v>
      </c>
      <c r="W15" s="3">
        <v>9.9999999999999991E-22</v>
      </c>
      <c r="X15" s="3">
        <v>9.9999999999999991E-22</v>
      </c>
      <c r="Y15">
        <v>19200</v>
      </c>
      <c r="Z15">
        <v>19.2</v>
      </c>
      <c r="AA15">
        <v>0.61307484583450889</v>
      </c>
      <c r="AB15">
        <v>4</v>
      </c>
      <c r="AC15">
        <v>3</v>
      </c>
      <c r="AD15">
        <v>0</v>
      </c>
      <c r="AE15">
        <v>0</v>
      </c>
      <c r="AF15">
        <v>1</v>
      </c>
      <c r="AG15">
        <v>21.73</v>
      </c>
      <c r="AH15">
        <v>30422</v>
      </c>
      <c r="AI15">
        <v>2</v>
      </c>
      <c r="AJ15">
        <v>14600</v>
      </c>
      <c r="AK15">
        <v>6400</v>
      </c>
      <c r="AL15">
        <v>1900</v>
      </c>
      <c r="AM15">
        <v>3600</v>
      </c>
      <c r="AN15">
        <v>0</v>
      </c>
      <c r="AO15">
        <v>0</v>
      </c>
      <c r="AP15">
        <v>26.5</v>
      </c>
      <c r="AQ15">
        <v>66.25</v>
      </c>
      <c r="AR15">
        <v>3.9220000000000006</v>
      </c>
      <c r="AS15">
        <v>9.8050000000000015</v>
      </c>
      <c r="AT15">
        <f t="shared" si="0"/>
        <v>912.5</v>
      </c>
      <c r="AU15" s="3">
        <f t="shared" si="1"/>
        <v>6400</v>
      </c>
      <c r="AV15">
        <f t="shared" si="2"/>
        <v>633.33333333333337</v>
      </c>
      <c r="AW15">
        <f t="shared" si="3"/>
        <v>9000</v>
      </c>
    </row>
    <row r="16" spans="1:49">
      <c r="A16">
        <v>15</v>
      </c>
      <c r="B16" t="s">
        <v>36</v>
      </c>
      <c r="C16">
        <v>1</v>
      </c>
      <c r="D16">
        <v>56</v>
      </c>
      <c r="E16">
        <v>1</v>
      </c>
      <c r="F16">
        <v>5</v>
      </c>
      <c r="G16">
        <v>30</v>
      </c>
      <c r="H16">
        <v>3</v>
      </c>
      <c r="I16">
        <v>29</v>
      </c>
      <c r="J16">
        <v>33750</v>
      </c>
      <c r="K16">
        <v>33.75</v>
      </c>
      <c r="L16">
        <v>2</v>
      </c>
      <c r="M16">
        <v>2</v>
      </c>
      <c r="N16">
        <v>96</v>
      </c>
      <c r="O16">
        <v>15</v>
      </c>
      <c r="P16">
        <v>1</v>
      </c>
      <c r="Q16" s="3">
        <v>9.9999999999999991E-22</v>
      </c>
      <c r="R16">
        <v>1250</v>
      </c>
      <c r="S16">
        <v>1.25</v>
      </c>
      <c r="T16" s="3">
        <v>9.9999999999999991E-22</v>
      </c>
      <c r="U16" s="3">
        <v>9.9999999999999991E-22</v>
      </c>
      <c r="V16" s="3">
        <v>9.9999999999999991E-22</v>
      </c>
      <c r="W16">
        <v>1</v>
      </c>
      <c r="X16" s="3">
        <v>9.9999999999999991E-22</v>
      </c>
      <c r="Y16">
        <v>300000</v>
      </c>
      <c r="Z16">
        <v>300</v>
      </c>
      <c r="AA16">
        <v>0.18367346938775511</v>
      </c>
      <c r="AB16">
        <v>4</v>
      </c>
      <c r="AC16">
        <v>1</v>
      </c>
      <c r="AD16">
        <v>0</v>
      </c>
      <c r="AE16">
        <v>0</v>
      </c>
      <c r="AF16">
        <v>1</v>
      </c>
      <c r="AG16">
        <v>58</v>
      </c>
      <c r="AH16">
        <v>67500</v>
      </c>
      <c r="AI16">
        <v>2</v>
      </c>
      <c r="AJ16">
        <v>21850</v>
      </c>
      <c r="AK16">
        <v>15000</v>
      </c>
      <c r="AL16">
        <v>0</v>
      </c>
      <c r="AM16">
        <v>25000</v>
      </c>
      <c r="AN16">
        <v>0</v>
      </c>
      <c r="AO16">
        <v>0</v>
      </c>
      <c r="AP16">
        <v>61.85</v>
      </c>
      <c r="AQ16">
        <v>30.925000000000001</v>
      </c>
      <c r="AR16">
        <v>5.6499999999999986</v>
      </c>
      <c r="AS16">
        <v>2.8249999999999993</v>
      </c>
      <c r="AT16">
        <f t="shared" si="0"/>
        <v>1456.6666666666667</v>
      </c>
      <c r="AU16" s="3">
        <f t="shared" si="1"/>
        <v>15000</v>
      </c>
      <c r="AV16">
        <f t="shared" si="2"/>
        <v>0</v>
      </c>
      <c r="AW16">
        <f t="shared" si="3"/>
        <v>20000</v>
      </c>
    </row>
    <row r="17" spans="1:49">
      <c r="A17">
        <v>16</v>
      </c>
      <c r="B17" t="s">
        <v>36</v>
      </c>
      <c r="C17">
        <v>1</v>
      </c>
      <c r="D17">
        <v>63</v>
      </c>
      <c r="E17">
        <v>0</v>
      </c>
      <c r="F17">
        <v>3</v>
      </c>
      <c r="G17">
        <v>40</v>
      </c>
      <c r="H17">
        <v>7</v>
      </c>
      <c r="I17">
        <v>50</v>
      </c>
      <c r="J17">
        <v>65142.857142857145</v>
      </c>
      <c r="K17">
        <v>65.142857142857139</v>
      </c>
      <c r="L17">
        <v>0.7</v>
      </c>
      <c r="M17">
        <v>1</v>
      </c>
      <c r="N17">
        <v>26</v>
      </c>
      <c r="O17">
        <v>14</v>
      </c>
      <c r="P17" s="3">
        <v>9.9999999999999991E-22</v>
      </c>
      <c r="Q17">
        <v>4</v>
      </c>
      <c r="R17">
        <v>500</v>
      </c>
      <c r="S17">
        <v>0.5</v>
      </c>
      <c r="T17" s="3">
        <v>9.9999999999999991E-22</v>
      </c>
      <c r="U17" s="3">
        <v>9.9999999999999991E-22</v>
      </c>
      <c r="V17" s="3">
        <v>9.9999999999999991E-22</v>
      </c>
      <c r="W17" s="3">
        <v>9.9999999999999991E-22</v>
      </c>
      <c r="X17" s="3">
        <v>9.9999999999999991E-22</v>
      </c>
      <c r="Y17">
        <v>15000</v>
      </c>
      <c r="Z17">
        <v>15</v>
      </c>
      <c r="AA17">
        <v>0.75247524752475248</v>
      </c>
      <c r="AB17">
        <v>4</v>
      </c>
      <c r="AC17">
        <v>3</v>
      </c>
      <c r="AD17">
        <v>0</v>
      </c>
      <c r="AE17">
        <v>0</v>
      </c>
      <c r="AF17">
        <v>1</v>
      </c>
      <c r="AG17">
        <v>35</v>
      </c>
      <c r="AH17">
        <v>45600</v>
      </c>
      <c r="AI17">
        <v>2</v>
      </c>
      <c r="AJ17">
        <v>14350</v>
      </c>
      <c r="AK17">
        <v>0</v>
      </c>
      <c r="AL17">
        <v>3500</v>
      </c>
      <c r="AM17">
        <v>4500</v>
      </c>
      <c r="AN17">
        <v>0</v>
      </c>
      <c r="AO17">
        <v>0</v>
      </c>
      <c r="AP17">
        <v>22.35</v>
      </c>
      <c r="AQ17">
        <v>31.928571428571434</v>
      </c>
      <c r="AR17">
        <v>23.25</v>
      </c>
      <c r="AS17">
        <v>33.214285714285715</v>
      </c>
      <c r="AT17">
        <f t="shared" si="0"/>
        <v>1025</v>
      </c>
      <c r="AU17" s="3">
        <f t="shared" si="1"/>
        <v>0</v>
      </c>
      <c r="AV17">
        <f t="shared" si="2"/>
        <v>875</v>
      </c>
      <c r="AW17">
        <f t="shared" si="3"/>
        <v>9000</v>
      </c>
    </row>
    <row r="18" spans="1:49">
      <c r="A18">
        <v>17</v>
      </c>
      <c r="B18" t="s">
        <v>36</v>
      </c>
      <c r="C18">
        <v>1</v>
      </c>
      <c r="D18">
        <v>45</v>
      </c>
      <c r="E18">
        <v>1</v>
      </c>
      <c r="F18">
        <v>6</v>
      </c>
      <c r="G18">
        <v>30</v>
      </c>
      <c r="H18">
        <v>4</v>
      </c>
      <c r="I18">
        <v>50</v>
      </c>
      <c r="J18">
        <v>93333.333333333343</v>
      </c>
      <c r="K18">
        <v>93.333333333333343</v>
      </c>
      <c r="L18">
        <v>1.2</v>
      </c>
      <c r="M18">
        <v>1</v>
      </c>
      <c r="N18">
        <v>72</v>
      </c>
      <c r="O18">
        <v>38</v>
      </c>
      <c r="P18">
        <v>2</v>
      </c>
      <c r="Q18">
        <v>3</v>
      </c>
      <c r="R18">
        <v>200</v>
      </c>
      <c r="S18">
        <v>0.2</v>
      </c>
      <c r="T18" s="3">
        <v>9.9999999999999991E-22</v>
      </c>
      <c r="U18" s="3">
        <v>9.9999999999999991E-22</v>
      </c>
      <c r="V18" s="3">
        <v>9.9999999999999991E-22</v>
      </c>
      <c r="W18">
        <v>1</v>
      </c>
      <c r="X18">
        <v>1</v>
      </c>
      <c r="Y18">
        <v>11600</v>
      </c>
      <c r="Z18">
        <v>11.6</v>
      </c>
      <c r="AA18">
        <v>0.90614886731391586</v>
      </c>
      <c r="AB18">
        <v>3</v>
      </c>
      <c r="AC18">
        <v>3</v>
      </c>
      <c r="AD18">
        <v>0</v>
      </c>
      <c r="AE18">
        <v>0</v>
      </c>
      <c r="AF18">
        <v>1</v>
      </c>
      <c r="AG18">
        <v>60</v>
      </c>
      <c r="AH18">
        <v>112000</v>
      </c>
      <c r="AI18">
        <v>2</v>
      </c>
      <c r="AJ18">
        <v>33800</v>
      </c>
      <c r="AK18">
        <v>16000</v>
      </c>
      <c r="AL18">
        <v>1800</v>
      </c>
      <c r="AM18">
        <v>2000</v>
      </c>
      <c r="AN18">
        <v>0</v>
      </c>
      <c r="AO18">
        <v>0</v>
      </c>
      <c r="AP18">
        <v>53.6</v>
      </c>
      <c r="AQ18">
        <v>44.666666666666671</v>
      </c>
      <c r="AR18">
        <v>58.4</v>
      </c>
      <c r="AS18">
        <v>48.666666666666664</v>
      </c>
      <c r="AT18">
        <f t="shared" si="0"/>
        <v>889.47368421052636</v>
      </c>
      <c r="AU18" s="3">
        <f t="shared" si="1"/>
        <v>8000</v>
      </c>
      <c r="AV18">
        <f t="shared" si="2"/>
        <v>600</v>
      </c>
      <c r="AW18">
        <f t="shared" si="3"/>
        <v>10000</v>
      </c>
    </row>
    <row r="19" spans="1:49">
      <c r="A19">
        <v>18</v>
      </c>
      <c r="B19" t="s">
        <v>36</v>
      </c>
      <c r="C19" s="3">
        <v>0</v>
      </c>
      <c r="D19">
        <v>84</v>
      </c>
      <c r="E19">
        <v>0</v>
      </c>
      <c r="F19">
        <v>3</v>
      </c>
      <c r="G19">
        <v>82</v>
      </c>
      <c r="H19">
        <v>3</v>
      </c>
      <c r="I19">
        <v>45</v>
      </c>
      <c r="J19">
        <v>68400</v>
      </c>
      <c r="K19">
        <v>68.400000000000006</v>
      </c>
      <c r="L19">
        <v>1</v>
      </c>
      <c r="M19">
        <v>1</v>
      </c>
      <c r="N19">
        <v>4</v>
      </c>
      <c r="O19">
        <v>18</v>
      </c>
      <c r="P19">
        <v>5</v>
      </c>
      <c r="Q19">
        <v>3</v>
      </c>
      <c r="R19">
        <v>1000</v>
      </c>
      <c r="S19">
        <v>1</v>
      </c>
      <c r="T19" s="3">
        <v>9.9999999999999991E-22</v>
      </c>
      <c r="U19" s="3">
        <v>9.9999999999999991E-22</v>
      </c>
      <c r="V19" s="3">
        <v>9.9999999999999991E-22</v>
      </c>
      <c r="W19">
        <v>1</v>
      </c>
      <c r="X19" s="3">
        <v>9.9999999999999991E-22</v>
      </c>
      <c r="Y19">
        <v>35000</v>
      </c>
      <c r="Z19">
        <v>35</v>
      </c>
      <c r="AA19">
        <v>0.66150870406189555</v>
      </c>
      <c r="AB19">
        <v>4</v>
      </c>
      <c r="AC19">
        <v>3</v>
      </c>
      <c r="AD19">
        <v>0</v>
      </c>
      <c r="AE19">
        <v>0</v>
      </c>
      <c r="AF19">
        <v>1</v>
      </c>
      <c r="AG19">
        <v>45</v>
      </c>
      <c r="AH19">
        <v>68400</v>
      </c>
      <c r="AI19">
        <v>2</v>
      </c>
      <c r="AJ19">
        <v>17800</v>
      </c>
      <c r="AK19">
        <v>20000</v>
      </c>
      <c r="AL19">
        <v>2100</v>
      </c>
      <c r="AM19">
        <v>10000</v>
      </c>
      <c r="AN19">
        <v>0</v>
      </c>
      <c r="AO19">
        <v>0</v>
      </c>
      <c r="AP19">
        <v>49.9</v>
      </c>
      <c r="AQ19">
        <v>49.9</v>
      </c>
      <c r="AR19">
        <v>18.500000000000007</v>
      </c>
      <c r="AS19">
        <v>18.500000000000007</v>
      </c>
      <c r="AT19">
        <f t="shared" si="0"/>
        <v>988.88888888888891</v>
      </c>
      <c r="AU19" s="3">
        <f t="shared" si="1"/>
        <v>4000</v>
      </c>
      <c r="AV19">
        <f t="shared" si="2"/>
        <v>700</v>
      </c>
      <c r="AW19">
        <f t="shared" si="3"/>
        <v>10000</v>
      </c>
    </row>
    <row r="20" spans="1:49">
      <c r="A20">
        <v>19</v>
      </c>
      <c r="B20" t="s">
        <v>34</v>
      </c>
      <c r="C20" s="3">
        <v>0</v>
      </c>
      <c r="D20">
        <v>81</v>
      </c>
      <c r="E20">
        <v>1</v>
      </c>
      <c r="F20">
        <v>2</v>
      </c>
      <c r="G20">
        <v>3</v>
      </c>
      <c r="H20">
        <v>3</v>
      </c>
      <c r="I20">
        <v>38.888888888888886</v>
      </c>
      <c r="J20">
        <v>56388.888888888891</v>
      </c>
      <c r="K20">
        <v>56.388888888888893</v>
      </c>
      <c r="L20">
        <v>1.8</v>
      </c>
      <c r="M20">
        <v>1</v>
      </c>
      <c r="N20">
        <v>60</v>
      </c>
      <c r="O20">
        <v>10</v>
      </c>
      <c r="P20" s="3">
        <v>9.9999999999999991E-22</v>
      </c>
      <c r="Q20">
        <v>4</v>
      </c>
      <c r="R20">
        <v>1700</v>
      </c>
      <c r="S20">
        <v>1.7</v>
      </c>
      <c r="T20" s="3">
        <v>9.9999999999999991E-22</v>
      </c>
      <c r="U20" s="3">
        <v>9.9999999999999991E-22</v>
      </c>
      <c r="V20" s="3">
        <v>9.9999999999999991E-22</v>
      </c>
      <c r="W20">
        <v>1</v>
      </c>
      <c r="X20" s="3">
        <v>9.9999999999999991E-22</v>
      </c>
      <c r="Y20">
        <v>11960</v>
      </c>
      <c r="Z20">
        <v>11.96</v>
      </c>
      <c r="AA20">
        <v>0.89458840119866034</v>
      </c>
      <c r="AB20">
        <v>5</v>
      </c>
      <c r="AC20">
        <v>1</v>
      </c>
      <c r="AD20">
        <v>0</v>
      </c>
      <c r="AE20">
        <v>0</v>
      </c>
      <c r="AF20">
        <v>1</v>
      </c>
      <c r="AG20">
        <v>70</v>
      </c>
      <c r="AH20">
        <v>101500</v>
      </c>
      <c r="AI20">
        <v>2</v>
      </c>
      <c r="AJ20">
        <v>34500</v>
      </c>
      <c r="AK20">
        <v>0</v>
      </c>
      <c r="AL20">
        <v>500</v>
      </c>
      <c r="AM20">
        <v>18700</v>
      </c>
      <c r="AN20">
        <v>0</v>
      </c>
      <c r="AO20">
        <v>0</v>
      </c>
      <c r="AP20">
        <v>53.7</v>
      </c>
      <c r="AQ20">
        <v>29.833333333333336</v>
      </c>
      <c r="AR20">
        <v>47.8</v>
      </c>
      <c r="AS20">
        <v>26.555555555555554</v>
      </c>
      <c r="AT20">
        <f t="shared" si="0"/>
        <v>3450</v>
      </c>
      <c r="AU20" s="3">
        <f t="shared" si="1"/>
        <v>0</v>
      </c>
      <c r="AV20">
        <f t="shared" si="2"/>
        <v>125</v>
      </c>
      <c r="AW20">
        <f t="shared" si="3"/>
        <v>11000</v>
      </c>
    </row>
    <row r="21" spans="1:49">
      <c r="A21">
        <v>20</v>
      </c>
      <c r="B21" t="s">
        <v>34</v>
      </c>
      <c r="C21" s="3">
        <v>0</v>
      </c>
      <c r="D21">
        <v>72</v>
      </c>
      <c r="E21">
        <v>1</v>
      </c>
      <c r="F21">
        <v>1</v>
      </c>
      <c r="G21">
        <v>60</v>
      </c>
      <c r="H21">
        <v>3</v>
      </c>
      <c r="I21">
        <v>35</v>
      </c>
      <c r="J21">
        <v>43200</v>
      </c>
      <c r="K21">
        <v>43.2</v>
      </c>
      <c r="L21">
        <v>1</v>
      </c>
      <c r="M21">
        <v>1</v>
      </c>
      <c r="N21">
        <v>42</v>
      </c>
      <c r="O21">
        <v>11</v>
      </c>
      <c r="P21" s="3">
        <v>9.9999999999999991E-22</v>
      </c>
      <c r="Q21" s="3">
        <v>9.9999999999999991E-22</v>
      </c>
      <c r="R21">
        <v>1000</v>
      </c>
      <c r="S21">
        <v>1</v>
      </c>
      <c r="T21" s="3">
        <v>9.9999999999999991E-22</v>
      </c>
      <c r="U21" s="3">
        <v>9.9999999999999991E-22</v>
      </c>
      <c r="V21" s="3">
        <v>9.9999999999999991E-22</v>
      </c>
      <c r="W21" s="3">
        <v>9.9999999999999991E-22</v>
      </c>
      <c r="X21" s="3">
        <v>9.9999999999999991E-22</v>
      </c>
      <c r="Y21">
        <v>24000</v>
      </c>
      <c r="Z21">
        <v>24</v>
      </c>
      <c r="AA21">
        <v>0.6428571428571429</v>
      </c>
      <c r="AB21">
        <v>4</v>
      </c>
      <c r="AC21">
        <v>3</v>
      </c>
      <c r="AD21">
        <v>0</v>
      </c>
      <c r="AE21">
        <v>0</v>
      </c>
      <c r="AF21">
        <v>1</v>
      </c>
      <c r="AG21">
        <v>35</v>
      </c>
      <c r="AH21">
        <v>43200</v>
      </c>
      <c r="AI21">
        <v>2</v>
      </c>
      <c r="AJ21">
        <v>10500</v>
      </c>
      <c r="AK21">
        <v>0</v>
      </c>
      <c r="AL21">
        <v>0</v>
      </c>
      <c r="AM21">
        <v>11000</v>
      </c>
      <c r="AN21">
        <v>0</v>
      </c>
      <c r="AO21">
        <v>0</v>
      </c>
      <c r="AP21">
        <v>21.5</v>
      </c>
      <c r="AQ21">
        <v>21.5</v>
      </c>
      <c r="AR21">
        <v>21.700000000000003</v>
      </c>
      <c r="AS21">
        <v>21.700000000000003</v>
      </c>
      <c r="AT21">
        <f t="shared" si="0"/>
        <v>954.5454545454545</v>
      </c>
      <c r="AU21" s="3">
        <f t="shared" si="1"/>
        <v>0</v>
      </c>
      <c r="AV21">
        <f t="shared" si="2"/>
        <v>0</v>
      </c>
      <c r="AW21">
        <f t="shared" si="3"/>
        <v>11000</v>
      </c>
    </row>
    <row r="22" spans="1:49">
      <c r="A22">
        <v>21</v>
      </c>
      <c r="B22" t="s">
        <v>34</v>
      </c>
      <c r="C22" s="3">
        <v>0</v>
      </c>
      <c r="D22">
        <v>59</v>
      </c>
      <c r="E22">
        <v>0</v>
      </c>
      <c r="F22">
        <v>4</v>
      </c>
      <c r="G22">
        <v>40</v>
      </c>
      <c r="H22">
        <v>5</v>
      </c>
      <c r="I22">
        <v>52.5</v>
      </c>
      <c r="J22">
        <v>90000</v>
      </c>
      <c r="K22">
        <v>90</v>
      </c>
      <c r="L22">
        <v>0.8</v>
      </c>
      <c r="M22">
        <v>1</v>
      </c>
      <c r="N22">
        <v>92</v>
      </c>
      <c r="O22">
        <v>15</v>
      </c>
      <c r="P22">
        <v>1</v>
      </c>
      <c r="Q22">
        <v>2</v>
      </c>
      <c r="R22">
        <v>600</v>
      </c>
      <c r="S22">
        <v>0.6</v>
      </c>
      <c r="T22" s="3">
        <v>9.9999999999999991E-22</v>
      </c>
      <c r="U22" s="3">
        <v>9.9999999999999991E-22</v>
      </c>
      <c r="V22" s="3">
        <v>9.9999999999999991E-22</v>
      </c>
      <c r="W22">
        <v>1</v>
      </c>
      <c r="X22" s="3">
        <v>9.9999999999999991E-22</v>
      </c>
      <c r="Y22">
        <v>54400</v>
      </c>
      <c r="Z22">
        <v>54.4</v>
      </c>
      <c r="AA22">
        <v>0.569620253164557</v>
      </c>
      <c r="AB22">
        <v>4</v>
      </c>
      <c r="AC22">
        <v>1</v>
      </c>
      <c r="AD22">
        <v>0</v>
      </c>
      <c r="AE22">
        <v>0</v>
      </c>
      <c r="AF22">
        <v>1</v>
      </c>
      <c r="AG22">
        <v>42</v>
      </c>
      <c r="AH22">
        <v>72000</v>
      </c>
      <c r="AI22">
        <v>2</v>
      </c>
      <c r="AJ22">
        <v>16200</v>
      </c>
      <c r="AK22">
        <v>3500</v>
      </c>
      <c r="AL22">
        <v>2400</v>
      </c>
      <c r="AM22">
        <v>13800</v>
      </c>
      <c r="AN22">
        <v>0</v>
      </c>
      <c r="AO22">
        <v>0</v>
      </c>
      <c r="AP22">
        <v>35.9</v>
      </c>
      <c r="AQ22">
        <v>44.874999999999993</v>
      </c>
      <c r="AR22">
        <v>36.1</v>
      </c>
      <c r="AS22">
        <v>45.125</v>
      </c>
      <c r="AT22">
        <f t="shared" si="0"/>
        <v>1080</v>
      </c>
      <c r="AU22" s="3">
        <f t="shared" si="1"/>
        <v>3500</v>
      </c>
      <c r="AV22">
        <f t="shared" si="2"/>
        <v>1200</v>
      </c>
      <c r="AW22">
        <f t="shared" si="3"/>
        <v>23000</v>
      </c>
    </row>
    <row r="23" spans="1:49">
      <c r="A23">
        <v>22</v>
      </c>
      <c r="B23" t="s">
        <v>34</v>
      </c>
      <c r="C23" s="3">
        <v>0</v>
      </c>
      <c r="D23">
        <v>43</v>
      </c>
      <c r="E23">
        <v>1</v>
      </c>
      <c r="F23">
        <v>5</v>
      </c>
      <c r="G23">
        <v>20</v>
      </c>
      <c r="H23">
        <v>4</v>
      </c>
      <c r="I23">
        <v>40</v>
      </c>
      <c r="J23">
        <v>58500</v>
      </c>
      <c r="K23">
        <v>58.5</v>
      </c>
      <c r="L23">
        <v>1</v>
      </c>
      <c r="M23">
        <v>2</v>
      </c>
      <c r="N23">
        <v>76</v>
      </c>
      <c r="O23">
        <v>18</v>
      </c>
      <c r="P23">
        <v>1</v>
      </c>
      <c r="Q23">
        <v>5</v>
      </c>
      <c r="R23">
        <v>1250</v>
      </c>
      <c r="S23">
        <v>1.25</v>
      </c>
      <c r="T23" s="3">
        <v>9.9999999999999991E-22</v>
      </c>
      <c r="U23" s="3">
        <v>9.9999999999999991E-22</v>
      </c>
      <c r="V23" s="3">
        <v>9.9999999999999991E-22</v>
      </c>
      <c r="W23" s="3">
        <v>9.9999999999999991E-22</v>
      </c>
      <c r="X23" s="3">
        <v>9.9999999999999991E-22</v>
      </c>
      <c r="Y23">
        <v>106800</v>
      </c>
      <c r="Z23">
        <v>106.8</v>
      </c>
      <c r="AA23">
        <v>0.35390199637023595</v>
      </c>
      <c r="AB23">
        <v>4</v>
      </c>
      <c r="AC23">
        <v>1</v>
      </c>
      <c r="AD23">
        <v>0</v>
      </c>
      <c r="AE23">
        <v>0</v>
      </c>
      <c r="AF23">
        <v>1</v>
      </c>
      <c r="AG23">
        <v>40</v>
      </c>
      <c r="AH23">
        <v>58500</v>
      </c>
      <c r="AI23">
        <v>3</v>
      </c>
      <c r="AJ23">
        <v>16500</v>
      </c>
      <c r="AK23">
        <v>10000</v>
      </c>
      <c r="AL23">
        <v>4000</v>
      </c>
      <c r="AM23">
        <v>13750</v>
      </c>
      <c r="AN23">
        <v>0</v>
      </c>
      <c r="AO23">
        <v>0</v>
      </c>
      <c r="AP23">
        <v>44.25</v>
      </c>
      <c r="AQ23">
        <v>44.25</v>
      </c>
      <c r="AR23">
        <v>14.25</v>
      </c>
      <c r="AS23">
        <v>14.25</v>
      </c>
      <c r="AT23">
        <f t="shared" si="0"/>
        <v>916.66666666666663</v>
      </c>
      <c r="AU23" s="3">
        <f t="shared" si="1"/>
        <v>10000</v>
      </c>
      <c r="AV23">
        <f t="shared" si="2"/>
        <v>800</v>
      </c>
      <c r="AW23">
        <f t="shared" si="3"/>
        <v>11000</v>
      </c>
    </row>
    <row r="24" spans="1:49">
      <c r="A24">
        <v>24</v>
      </c>
      <c r="B24" t="s">
        <v>34</v>
      </c>
      <c r="C24">
        <v>1</v>
      </c>
      <c r="D24">
        <v>53</v>
      </c>
      <c r="E24">
        <v>0</v>
      </c>
      <c r="F24">
        <v>4</v>
      </c>
      <c r="G24">
        <v>25</v>
      </c>
      <c r="H24">
        <v>2</v>
      </c>
      <c r="I24">
        <v>57.3</v>
      </c>
      <c r="J24">
        <v>138056</v>
      </c>
      <c r="K24">
        <v>138.05600000000001</v>
      </c>
      <c r="L24">
        <v>1</v>
      </c>
      <c r="M24">
        <v>1</v>
      </c>
      <c r="N24">
        <v>27</v>
      </c>
      <c r="O24">
        <v>14</v>
      </c>
      <c r="P24" s="3">
        <v>9.9999999999999991E-22</v>
      </c>
      <c r="Q24">
        <v>3</v>
      </c>
      <c r="R24">
        <v>500</v>
      </c>
      <c r="S24">
        <v>0.5</v>
      </c>
      <c r="T24" s="3">
        <v>9.9999999999999991E-22</v>
      </c>
      <c r="U24" s="3">
        <v>9.9999999999999991E-22</v>
      </c>
      <c r="V24" s="3">
        <v>9.9999999999999991E-22</v>
      </c>
      <c r="W24">
        <v>1</v>
      </c>
      <c r="X24" s="3">
        <v>9.9999999999999991E-22</v>
      </c>
      <c r="Y24">
        <v>36000</v>
      </c>
      <c r="Z24">
        <v>36</v>
      </c>
      <c r="AA24">
        <v>0.79317001424828792</v>
      </c>
      <c r="AB24">
        <v>4</v>
      </c>
      <c r="AC24">
        <v>3</v>
      </c>
      <c r="AD24">
        <v>0</v>
      </c>
      <c r="AE24">
        <v>0</v>
      </c>
      <c r="AF24">
        <v>1</v>
      </c>
      <c r="AG24">
        <v>57.3</v>
      </c>
      <c r="AH24">
        <v>138056</v>
      </c>
      <c r="AI24">
        <v>2</v>
      </c>
      <c r="AJ24">
        <v>38110</v>
      </c>
      <c r="AK24">
        <v>0</v>
      </c>
      <c r="AL24">
        <v>1500</v>
      </c>
      <c r="AM24">
        <v>10000</v>
      </c>
      <c r="AN24">
        <v>0</v>
      </c>
      <c r="AO24">
        <v>0</v>
      </c>
      <c r="AP24">
        <v>49.61</v>
      </c>
      <c r="AQ24">
        <v>49.61</v>
      </c>
      <c r="AR24">
        <v>88.446000000000012</v>
      </c>
      <c r="AS24">
        <v>88.446000000000012</v>
      </c>
      <c r="AT24">
        <f t="shared" si="0"/>
        <v>2722.1428571428573</v>
      </c>
      <c r="AU24" s="3">
        <f t="shared" si="1"/>
        <v>0</v>
      </c>
      <c r="AV24">
        <f t="shared" si="2"/>
        <v>500</v>
      </c>
      <c r="AW24">
        <f t="shared" si="3"/>
        <v>20000</v>
      </c>
    </row>
    <row r="25" spans="1:49">
      <c r="A25">
        <v>25</v>
      </c>
      <c r="B25" t="s">
        <v>34</v>
      </c>
      <c r="C25">
        <v>1</v>
      </c>
      <c r="D25">
        <v>51</v>
      </c>
      <c r="E25">
        <v>1</v>
      </c>
      <c r="F25">
        <v>4</v>
      </c>
      <c r="G25">
        <v>26</v>
      </c>
      <c r="H25">
        <v>3</v>
      </c>
      <c r="I25">
        <v>52.5</v>
      </c>
      <c r="J25">
        <v>122185</v>
      </c>
      <c r="K25">
        <v>122.185</v>
      </c>
      <c r="L25">
        <v>0.4</v>
      </c>
      <c r="M25">
        <v>1</v>
      </c>
      <c r="N25">
        <v>45</v>
      </c>
      <c r="O25">
        <v>47</v>
      </c>
      <c r="P25">
        <v>1</v>
      </c>
      <c r="Q25">
        <v>2</v>
      </c>
      <c r="R25">
        <v>400</v>
      </c>
      <c r="S25">
        <v>0.4</v>
      </c>
      <c r="T25" s="3">
        <v>9.9999999999999991E-22</v>
      </c>
      <c r="U25" s="3">
        <v>9.9999999999999991E-22</v>
      </c>
      <c r="V25" s="3">
        <v>9.9999999999999991E-22</v>
      </c>
      <c r="W25" s="3">
        <v>9.9999999999999991E-22</v>
      </c>
      <c r="X25" s="3">
        <v>9.9999999999999991E-22</v>
      </c>
      <c r="Y25">
        <v>192000</v>
      </c>
      <c r="Z25">
        <v>192</v>
      </c>
      <c r="AA25">
        <v>0.20290276244011393</v>
      </c>
      <c r="AB25">
        <v>3</v>
      </c>
      <c r="AC25">
        <v>3</v>
      </c>
      <c r="AD25">
        <v>0</v>
      </c>
      <c r="AE25">
        <v>0</v>
      </c>
      <c r="AF25">
        <v>1</v>
      </c>
      <c r="AG25">
        <v>21</v>
      </c>
      <c r="AH25">
        <v>48874</v>
      </c>
      <c r="AI25">
        <v>2</v>
      </c>
      <c r="AJ25">
        <v>22348</v>
      </c>
      <c r="AK25">
        <v>6400</v>
      </c>
      <c r="AL25">
        <v>1200</v>
      </c>
      <c r="AM25">
        <v>4000</v>
      </c>
      <c r="AN25">
        <v>0</v>
      </c>
      <c r="AO25">
        <v>0</v>
      </c>
      <c r="AP25">
        <v>33.948</v>
      </c>
      <c r="AQ25">
        <v>84.86999999999999</v>
      </c>
      <c r="AR25">
        <v>14.926000000000002</v>
      </c>
      <c r="AS25">
        <v>37.315000000000005</v>
      </c>
      <c r="AT25">
        <f t="shared" si="0"/>
        <v>475.48936170212767</v>
      </c>
      <c r="AU25" s="3">
        <f t="shared" si="1"/>
        <v>6400</v>
      </c>
      <c r="AV25">
        <f t="shared" si="2"/>
        <v>600</v>
      </c>
      <c r="AW25">
        <f t="shared" si="3"/>
        <v>10000</v>
      </c>
    </row>
    <row r="26" spans="1:49">
      <c r="A26">
        <v>26</v>
      </c>
      <c r="B26" t="s">
        <v>34</v>
      </c>
      <c r="C26">
        <v>1</v>
      </c>
      <c r="D26">
        <v>51</v>
      </c>
      <c r="E26">
        <v>1</v>
      </c>
      <c r="F26">
        <v>4</v>
      </c>
      <c r="G26">
        <v>26</v>
      </c>
      <c r="H26">
        <v>3</v>
      </c>
      <c r="I26">
        <v>60</v>
      </c>
      <c r="J26">
        <v>127070</v>
      </c>
      <c r="K26">
        <v>127.07</v>
      </c>
      <c r="L26">
        <v>0.5</v>
      </c>
      <c r="M26">
        <v>1</v>
      </c>
      <c r="N26">
        <v>67</v>
      </c>
      <c r="O26">
        <v>10</v>
      </c>
      <c r="P26" s="3">
        <v>9.9999999999999991E-22</v>
      </c>
      <c r="Q26">
        <v>2</v>
      </c>
      <c r="R26">
        <v>500</v>
      </c>
      <c r="S26">
        <v>0.5</v>
      </c>
      <c r="T26" s="3">
        <v>9.9999999999999991E-22</v>
      </c>
      <c r="U26" s="3">
        <v>9.9999999999999991E-22</v>
      </c>
      <c r="V26" s="3">
        <v>9.9999999999999991E-22</v>
      </c>
      <c r="W26">
        <v>1</v>
      </c>
      <c r="X26" s="3">
        <v>9.9999999999999991E-22</v>
      </c>
      <c r="Y26">
        <v>0</v>
      </c>
      <c r="Z26">
        <v>0</v>
      </c>
      <c r="AA26">
        <v>1</v>
      </c>
      <c r="AB26">
        <v>4</v>
      </c>
      <c r="AC26">
        <v>3</v>
      </c>
      <c r="AD26">
        <v>0</v>
      </c>
      <c r="AE26">
        <v>0</v>
      </c>
      <c r="AF26">
        <v>1</v>
      </c>
      <c r="AG26">
        <v>30</v>
      </c>
      <c r="AH26">
        <v>63535</v>
      </c>
      <c r="AI26">
        <v>2</v>
      </c>
      <c r="AJ26">
        <v>13500</v>
      </c>
      <c r="AK26">
        <v>0</v>
      </c>
      <c r="AL26">
        <v>1200</v>
      </c>
      <c r="AM26">
        <v>5000</v>
      </c>
      <c r="AN26">
        <v>0</v>
      </c>
      <c r="AO26">
        <v>0</v>
      </c>
      <c r="AP26">
        <v>19.7</v>
      </c>
      <c r="AQ26">
        <v>39.4</v>
      </c>
      <c r="AR26">
        <v>43.834999999999994</v>
      </c>
      <c r="AS26">
        <v>87.669999999999987</v>
      </c>
      <c r="AT26">
        <f t="shared" si="0"/>
        <v>1350</v>
      </c>
      <c r="AU26" s="3">
        <f t="shared" si="1"/>
        <v>0</v>
      </c>
      <c r="AV26">
        <f t="shared" si="2"/>
        <v>600</v>
      </c>
      <c r="AW26">
        <f t="shared" si="3"/>
        <v>10000</v>
      </c>
    </row>
    <row r="27" spans="1:49">
      <c r="A27">
        <v>27</v>
      </c>
      <c r="B27" t="s">
        <v>34</v>
      </c>
      <c r="C27">
        <v>1</v>
      </c>
      <c r="D27">
        <v>63</v>
      </c>
      <c r="E27">
        <v>0</v>
      </c>
      <c r="F27">
        <v>3</v>
      </c>
      <c r="G27">
        <v>44</v>
      </c>
      <c r="H27">
        <v>2</v>
      </c>
      <c r="I27">
        <v>54.466666666666669</v>
      </c>
      <c r="J27">
        <v>118834.66666666667</v>
      </c>
      <c r="K27">
        <v>118.83466666666668</v>
      </c>
      <c r="L27">
        <v>1.5</v>
      </c>
      <c r="M27">
        <v>2</v>
      </c>
      <c r="N27">
        <v>32</v>
      </c>
      <c r="O27">
        <v>17</v>
      </c>
      <c r="P27" s="3">
        <v>9.9999999999999991E-22</v>
      </c>
      <c r="Q27">
        <v>1.5</v>
      </c>
      <c r="R27">
        <v>1500</v>
      </c>
      <c r="S27">
        <v>1.5</v>
      </c>
      <c r="T27">
        <v>15</v>
      </c>
      <c r="U27" s="3">
        <v>9.9999999999999991E-22</v>
      </c>
      <c r="V27" s="3">
        <v>9.9999999999999991E-22</v>
      </c>
      <c r="W27">
        <v>1</v>
      </c>
      <c r="X27">
        <v>1</v>
      </c>
      <c r="Y27">
        <v>146400</v>
      </c>
      <c r="Z27">
        <v>146.4</v>
      </c>
      <c r="AA27">
        <v>0.54905560415460242</v>
      </c>
      <c r="AB27">
        <v>4</v>
      </c>
      <c r="AC27">
        <v>3</v>
      </c>
      <c r="AD27">
        <v>0</v>
      </c>
      <c r="AE27">
        <v>0</v>
      </c>
      <c r="AF27">
        <v>1</v>
      </c>
      <c r="AG27">
        <v>81.7</v>
      </c>
      <c r="AH27">
        <v>178252</v>
      </c>
      <c r="AI27">
        <v>2</v>
      </c>
      <c r="AJ27">
        <v>45380</v>
      </c>
      <c r="AK27">
        <v>0</v>
      </c>
      <c r="AL27">
        <v>3000</v>
      </c>
      <c r="AM27">
        <v>15000</v>
      </c>
      <c r="AN27">
        <v>1650</v>
      </c>
      <c r="AO27">
        <v>0</v>
      </c>
      <c r="AP27">
        <v>65.03</v>
      </c>
      <c r="AQ27">
        <v>43.353333333333332</v>
      </c>
      <c r="AR27">
        <v>113.22200000000001</v>
      </c>
      <c r="AS27">
        <v>75.481333333333339</v>
      </c>
      <c r="AT27">
        <f t="shared" si="0"/>
        <v>2669.4117647058824</v>
      </c>
      <c r="AU27" s="3">
        <f t="shared" si="1"/>
        <v>0</v>
      </c>
      <c r="AV27">
        <f t="shared" si="2"/>
        <v>2000</v>
      </c>
      <c r="AW27">
        <f t="shared" si="3"/>
        <v>10000</v>
      </c>
    </row>
    <row r="28" spans="1:49">
      <c r="A28">
        <v>28</v>
      </c>
      <c r="B28" t="s">
        <v>34</v>
      </c>
      <c r="C28">
        <v>1</v>
      </c>
      <c r="D28">
        <v>67</v>
      </c>
      <c r="E28">
        <v>0</v>
      </c>
      <c r="F28">
        <v>3</v>
      </c>
      <c r="G28">
        <v>46</v>
      </c>
      <c r="H28">
        <v>4</v>
      </c>
      <c r="I28">
        <v>37.5</v>
      </c>
      <c r="J28">
        <v>80220</v>
      </c>
      <c r="K28">
        <v>80.22</v>
      </c>
      <c r="L28">
        <v>0.6</v>
      </c>
      <c r="M28">
        <v>1</v>
      </c>
      <c r="N28">
        <v>79</v>
      </c>
      <c r="O28">
        <v>14</v>
      </c>
      <c r="P28" s="3">
        <v>9.9999999999999991E-22</v>
      </c>
      <c r="Q28">
        <v>4</v>
      </c>
      <c r="R28">
        <v>500</v>
      </c>
      <c r="S28">
        <v>0.5</v>
      </c>
      <c r="T28" s="3">
        <v>9.9999999999999991E-22</v>
      </c>
      <c r="U28" s="3">
        <v>9.9999999999999991E-22</v>
      </c>
      <c r="V28" s="3">
        <v>9.9999999999999991E-22</v>
      </c>
      <c r="W28">
        <v>1</v>
      </c>
      <c r="X28" s="3">
        <v>9.9999999999999991E-22</v>
      </c>
      <c r="Y28">
        <v>191320</v>
      </c>
      <c r="Z28">
        <v>191.32</v>
      </c>
      <c r="AA28">
        <v>0.20100897048260194</v>
      </c>
      <c r="AB28">
        <v>4</v>
      </c>
      <c r="AC28">
        <v>3</v>
      </c>
      <c r="AD28">
        <v>0</v>
      </c>
      <c r="AE28">
        <v>0</v>
      </c>
      <c r="AF28">
        <v>1</v>
      </c>
      <c r="AG28">
        <v>22.5</v>
      </c>
      <c r="AH28">
        <v>48132</v>
      </c>
      <c r="AI28">
        <v>1</v>
      </c>
      <c r="AJ28">
        <v>10850</v>
      </c>
      <c r="AK28">
        <v>0</v>
      </c>
      <c r="AL28">
        <v>3000</v>
      </c>
      <c r="AM28">
        <v>5000</v>
      </c>
      <c r="AN28">
        <v>0</v>
      </c>
      <c r="AO28">
        <v>0</v>
      </c>
      <c r="AP28">
        <v>18.850000000000001</v>
      </c>
      <c r="AQ28">
        <v>31.416666666666671</v>
      </c>
      <c r="AR28">
        <v>29.281999999999996</v>
      </c>
      <c r="AS28">
        <v>48.803333333333327</v>
      </c>
      <c r="AT28">
        <f t="shared" si="0"/>
        <v>775</v>
      </c>
      <c r="AU28" s="3">
        <f t="shared" si="1"/>
        <v>0</v>
      </c>
      <c r="AV28">
        <f t="shared" si="2"/>
        <v>750</v>
      </c>
      <c r="AW28">
        <f t="shared" si="3"/>
        <v>10000</v>
      </c>
    </row>
    <row r="29" spans="1:49">
      <c r="A29">
        <v>29</v>
      </c>
      <c r="B29" t="s">
        <v>34</v>
      </c>
      <c r="C29">
        <v>1</v>
      </c>
      <c r="D29">
        <v>71</v>
      </c>
      <c r="E29">
        <v>1</v>
      </c>
      <c r="F29">
        <v>1</v>
      </c>
      <c r="G29">
        <v>56</v>
      </c>
      <c r="H29">
        <v>5</v>
      </c>
      <c r="I29">
        <v>53.70000000000001</v>
      </c>
      <c r="J29">
        <v>107621.42857142858</v>
      </c>
      <c r="K29">
        <v>107.62142857142858</v>
      </c>
      <c r="L29">
        <v>0.7</v>
      </c>
      <c r="M29">
        <v>1</v>
      </c>
      <c r="N29">
        <v>90</v>
      </c>
      <c r="O29">
        <v>32</v>
      </c>
      <c r="P29" s="3">
        <v>9.9999999999999991E-22</v>
      </c>
      <c r="Q29">
        <v>4</v>
      </c>
      <c r="R29">
        <v>1500</v>
      </c>
      <c r="S29">
        <v>1.5</v>
      </c>
      <c r="T29" s="3">
        <v>9.9999999999999991E-22</v>
      </c>
      <c r="U29" s="3">
        <v>9.9999999999999991E-22</v>
      </c>
      <c r="V29" s="3">
        <v>9.9999999999999991E-22</v>
      </c>
      <c r="W29">
        <v>1</v>
      </c>
      <c r="X29" s="3">
        <v>9.9999999999999991E-22</v>
      </c>
      <c r="Y29">
        <v>195200</v>
      </c>
      <c r="Z29">
        <v>195.2</v>
      </c>
      <c r="AA29">
        <v>0.27846674182638104</v>
      </c>
      <c r="AB29">
        <v>4</v>
      </c>
      <c r="AC29">
        <v>3</v>
      </c>
      <c r="AD29">
        <v>0</v>
      </c>
      <c r="AE29">
        <v>0</v>
      </c>
      <c r="AF29">
        <v>1</v>
      </c>
      <c r="AG29">
        <v>37.590000000000003</v>
      </c>
      <c r="AH29">
        <v>75335</v>
      </c>
      <c r="AI29">
        <v>2</v>
      </c>
      <c r="AJ29">
        <v>33850</v>
      </c>
      <c r="AK29">
        <v>0</v>
      </c>
      <c r="AL29">
        <v>1200</v>
      </c>
      <c r="AM29">
        <v>16500</v>
      </c>
      <c r="AN29">
        <v>0</v>
      </c>
      <c r="AO29">
        <v>0</v>
      </c>
      <c r="AP29">
        <v>51.55</v>
      </c>
      <c r="AQ29">
        <v>73.642857142857139</v>
      </c>
      <c r="AR29">
        <v>23.784999999999997</v>
      </c>
      <c r="AS29">
        <v>33.978571428571428</v>
      </c>
      <c r="AT29">
        <f t="shared" si="0"/>
        <v>1057.8125</v>
      </c>
      <c r="AU29" s="3">
        <f t="shared" si="1"/>
        <v>0</v>
      </c>
      <c r="AV29">
        <f t="shared" si="2"/>
        <v>300</v>
      </c>
      <c r="AW29">
        <f t="shared" si="3"/>
        <v>11000</v>
      </c>
    </row>
    <row r="30" spans="1:49">
      <c r="A30">
        <v>30</v>
      </c>
      <c r="B30" t="s">
        <v>34</v>
      </c>
      <c r="C30" s="3">
        <v>0</v>
      </c>
      <c r="D30">
        <v>70</v>
      </c>
      <c r="E30">
        <v>1</v>
      </c>
      <c r="F30">
        <v>3</v>
      </c>
      <c r="G30">
        <v>55</v>
      </c>
      <c r="H30">
        <v>5</v>
      </c>
      <c r="I30">
        <v>90.909090909090907</v>
      </c>
      <c r="J30">
        <v>90909.090909090897</v>
      </c>
      <c r="K30">
        <v>90.909090909090892</v>
      </c>
      <c r="L30">
        <v>0.55000000000000004</v>
      </c>
      <c r="M30">
        <v>1</v>
      </c>
      <c r="N30">
        <v>263</v>
      </c>
      <c r="O30">
        <v>10</v>
      </c>
      <c r="P30" s="3">
        <v>9.9999999999999991E-22</v>
      </c>
      <c r="Q30" s="3">
        <v>9.9999999999999991E-22</v>
      </c>
      <c r="R30">
        <v>500</v>
      </c>
      <c r="S30">
        <v>0.5</v>
      </c>
      <c r="T30" s="3">
        <v>9.9999999999999991E-22</v>
      </c>
      <c r="U30" s="3">
        <v>9.9999999999999991E-22</v>
      </c>
      <c r="V30" s="3">
        <v>9.9999999999999991E-22</v>
      </c>
      <c r="W30" s="3">
        <v>9.9999999999999991E-22</v>
      </c>
      <c r="X30" s="3">
        <v>9.9999999999999991E-22</v>
      </c>
      <c r="Y30">
        <v>5000</v>
      </c>
      <c r="Z30">
        <v>5</v>
      </c>
      <c r="AA30">
        <v>0.90909090909090906</v>
      </c>
      <c r="AB30">
        <v>4</v>
      </c>
      <c r="AC30">
        <v>1</v>
      </c>
      <c r="AD30">
        <v>0</v>
      </c>
      <c r="AE30">
        <v>0</v>
      </c>
      <c r="AF30">
        <v>1</v>
      </c>
      <c r="AG30">
        <v>50</v>
      </c>
      <c r="AH30">
        <v>50000</v>
      </c>
      <c r="AI30">
        <v>2</v>
      </c>
      <c r="AJ30">
        <v>19500</v>
      </c>
      <c r="AK30">
        <v>0</v>
      </c>
      <c r="AL30">
        <v>0</v>
      </c>
      <c r="AM30">
        <v>10000</v>
      </c>
      <c r="AN30">
        <v>0</v>
      </c>
      <c r="AO30">
        <v>0</v>
      </c>
      <c r="AP30">
        <v>29.5</v>
      </c>
      <c r="AQ30">
        <v>53.636363636363633</v>
      </c>
      <c r="AR30">
        <v>20.5</v>
      </c>
      <c r="AS30">
        <v>37.272727272727266</v>
      </c>
      <c r="AT30">
        <f t="shared" si="0"/>
        <v>1950</v>
      </c>
      <c r="AU30" s="3">
        <f t="shared" si="1"/>
        <v>0</v>
      </c>
      <c r="AV30">
        <f t="shared" si="2"/>
        <v>0</v>
      </c>
      <c r="AW30">
        <f t="shared" si="3"/>
        <v>20000</v>
      </c>
    </row>
    <row r="31" spans="1:49">
      <c r="A31">
        <v>31</v>
      </c>
      <c r="B31" t="s">
        <v>34</v>
      </c>
      <c r="C31" s="3">
        <v>0</v>
      </c>
      <c r="D31">
        <v>70</v>
      </c>
      <c r="E31">
        <v>0</v>
      </c>
      <c r="F31">
        <v>2</v>
      </c>
      <c r="G31">
        <v>43</v>
      </c>
      <c r="H31">
        <v>3</v>
      </c>
      <c r="I31">
        <v>36</v>
      </c>
      <c r="J31">
        <v>84000</v>
      </c>
      <c r="K31">
        <v>84</v>
      </c>
      <c r="L31">
        <v>0.5</v>
      </c>
      <c r="M31">
        <v>1</v>
      </c>
      <c r="N31">
        <v>39</v>
      </c>
      <c r="O31">
        <v>5</v>
      </c>
      <c r="P31" s="3">
        <v>9.9999999999999991E-22</v>
      </c>
      <c r="Q31">
        <v>1</v>
      </c>
      <c r="R31">
        <v>400</v>
      </c>
      <c r="S31">
        <v>0.4</v>
      </c>
      <c r="T31" s="3">
        <v>9.9999999999999991E-22</v>
      </c>
      <c r="U31" s="3">
        <v>9.9999999999999991E-22</v>
      </c>
      <c r="V31" s="3">
        <v>9.9999999999999991E-22</v>
      </c>
      <c r="W31">
        <v>1</v>
      </c>
      <c r="X31" s="3">
        <v>9.9999999999999991E-22</v>
      </c>
      <c r="Y31">
        <v>51000</v>
      </c>
      <c r="Z31">
        <v>51</v>
      </c>
      <c r="AA31">
        <v>0.45161290322580644</v>
      </c>
      <c r="AB31">
        <v>4</v>
      </c>
      <c r="AC31">
        <v>3</v>
      </c>
      <c r="AD31">
        <v>0</v>
      </c>
      <c r="AE31">
        <v>0</v>
      </c>
      <c r="AF31">
        <v>1</v>
      </c>
      <c r="AG31">
        <v>18</v>
      </c>
      <c r="AH31">
        <v>42000</v>
      </c>
      <c r="AI31">
        <v>2</v>
      </c>
      <c r="AJ31">
        <v>6900</v>
      </c>
      <c r="AK31">
        <v>0</v>
      </c>
      <c r="AL31">
        <v>900</v>
      </c>
      <c r="AM31">
        <v>4000</v>
      </c>
      <c r="AN31">
        <v>0</v>
      </c>
      <c r="AO31">
        <v>0</v>
      </c>
      <c r="AP31">
        <v>11.8</v>
      </c>
      <c r="AQ31">
        <v>23.6</v>
      </c>
      <c r="AR31">
        <v>30.2</v>
      </c>
      <c r="AS31">
        <v>60.4</v>
      </c>
      <c r="AT31">
        <f t="shared" si="0"/>
        <v>1380</v>
      </c>
      <c r="AU31" s="3">
        <f t="shared" si="1"/>
        <v>0</v>
      </c>
      <c r="AV31">
        <f t="shared" si="2"/>
        <v>900</v>
      </c>
      <c r="AW31">
        <f t="shared" si="3"/>
        <v>10000</v>
      </c>
    </row>
    <row r="32" spans="1:49">
      <c r="A32">
        <v>32</v>
      </c>
      <c r="B32" t="s">
        <v>34</v>
      </c>
      <c r="C32" s="3">
        <v>0</v>
      </c>
      <c r="D32">
        <v>76</v>
      </c>
      <c r="E32">
        <v>0</v>
      </c>
      <c r="F32">
        <v>1</v>
      </c>
      <c r="G32">
        <v>51</v>
      </c>
      <c r="H32">
        <v>5</v>
      </c>
      <c r="I32">
        <v>40</v>
      </c>
      <c r="J32">
        <v>60000</v>
      </c>
      <c r="K32">
        <v>60</v>
      </c>
      <c r="L32">
        <v>0.5</v>
      </c>
      <c r="M32">
        <v>1</v>
      </c>
      <c r="N32">
        <v>179</v>
      </c>
      <c r="O32">
        <v>9</v>
      </c>
      <c r="P32" s="3">
        <v>9.9999999999999991E-22</v>
      </c>
      <c r="Q32">
        <v>2</v>
      </c>
      <c r="R32">
        <v>100</v>
      </c>
      <c r="S32">
        <v>0.1</v>
      </c>
      <c r="T32" s="3">
        <v>9.9999999999999991E-22</v>
      </c>
      <c r="U32" s="3">
        <v>9.9999999999999991E-22</v>
      </c>
      <c r="V32" s="3">
        <v>9.9999999999999991E-22</v>
      </c>
      <c r="W32" s="3">
        <v>9.9999999999999991E-22</v>
      </c>
      <c r="X32" s="3">
        <v>9.9999999999999991E-22</v>
      </c>
      <c r="Y32">
        <v>201600</v>
      </c>
      <c r="Z32">
        <v>201.6</v>
      </c>
      <c r="AA32">
        <v>0.12953367875647667</v>
      </c>
      <c r="AB32">
        <v>4</v>
      </c>
      <c r="AC32">
        <v>5</v>
      </c>
      <c r="AD32">
        <v>0</v>
      </c>
      <c r="AE32">
        <v>0</v>
      </c>
      <c r="AF32">
        <v>1</v>
      </c>
      <c r="AG32">
        <v>20</v>
      </c>
      <c r="AH32">
        <v>30000</v>
      </c>
      <c r="AI32">
        <v>2</v>
      </c>
      <c r="AJ32">
        <v>10850</v>
      </c>
      <c r="AK32">
        <v>0</v>
      </c>
      <c r="AL32">
        <v>1000</v>
      </c>
      <c r="AM32">
        <v>2000</v>
      </c>
      <c r="AN32">
        <v>0</v>
      </c>
      <c r="AO32">
        <v>0</v>
      </c>
      <c r="AP32">
        <v>13.85</v>
      </c>
      <c r="AQ32">
        <v>27.7</v>
      </c>
      <c r="AR32">
        <v>16.149999999999999</v>
      </c>
      <c r="AS32">
        <v>32.299999999999997</v>
      </c>
      <c r="AT32">
        <f t="shared" si="0"/>
        <v>1205.5555555555557</v>
      </c>
      <c r="AU32" s="3">
        <f t="shared" si="1"/>
        <v>0</v>
      </c>
      <c r="AV32">
        <f t="shared" si="2"/>
        <v>500</v>
      </c>
      <c r="AW32">
        <f t="shared" si="3"/>
        <v>20000</v>
      </c>
    </row>
    <row r="33" spans="1:49">
      <c r="A33">
        <v>33</v>
      </c>
      <c r="B33" t="s">
        <v>34</v>
      </c>
      <c r="C33" s="3">
        <v>0</v>
      </c>
      <c r="D33">
        <v>74</v>
      </c>
      <c r="E33">
        <v>0</v>
      </c>
      <c r="F33">
        <v>2</v>
      </c>
      <c r="G33">
        <v>50</v>
      </c>
      <c r="H33">
        <v>7</v>
      </c>
      <c r="I33">
        <v>70</v>
      </c>
      <c r="J33">
        <v>150000</v>
      </c>
      <c r="K33">
        <v>150</v>
      </c>
      <c r="L33">
        <v>0.5</v>
      </c>
      <c r="M33">
        <v>1</v>
      </c>
      <c r="N33">
        <v>42</v>
      </c>
      <c r="O33">
        <v>5</v>
      </c>
      <c r="P33" s="3">
        <v>9.9999999999999991E-22</v>
      </c>
      <c r="Q33">
        <v>7</v>
      </c>
      <c r="R33">
        <v>500</v>
      </c>
      <c r="S33">
        <v>0.5</v>
      </c>
      <c r="T33" s="3">
        <v>9.9999999999999991E-22</v>
      </c>
      <c r="U33" s="3">
        <v>9.9999999999999991E-22</v>
      </c>
      <c r="V33" s="3">
        <v>9.9999999999999991E-22</v>
      </c>
      <c r="W33" s="3">
        <v>9.9999999999999991E-22</v>
      </c>
      <c r="X33" s="3">
        <v>9.9999999999999991E-22</v>
      </c>
      <c r="Y33">
        <v>3350</v>
      </c>
      <c r="Z33">
        <v>3.35</v>
      </c>
      <c r="AA33">
        <v>0.95724313975749842</v>
      </c>
      <c r="AB33">
        <v>4</v>
      </c>
      <c r="AC33">
        <v>3</v>
      </c>
      <c r="AD33">
        <v>0</v>
      </c>
      <c r="AE33">
        <v>0</v>
      </c>
      <c r="AF33">
        <v>1</v>
      </c>
      <c r="AG33">
        <v>35</v>
      </c>
      <c r="AH33">
        <v>75000</v>
      </c>
      <c r="AI33">
        <v>2</v>
      </c>
      <c r="AJ33">
        <v>15500</v>
      </c>
      <c r="AK33">
        <v>0</v>
      </c>
      <c r="AL33">
        <v>4200</v>
      </c>
      <c r="AM33">
        <v>5000</v>
      </c>
      <c r="AN33">
        <v>0</v>
      </c>
      <c r="AO33">
        <v>0</v>
      </c>
      <c r="AP33">
        <v>24.7</v>
      </c>
      <c r="AQ33">
        <v>49.4</v>
      </c>
      <c r="AR33">
        <v>50.3</v>
      </c>
      <c r="AS33">
        <v>100.6</v>
      </c>
      <c r="AT33">
        <f t="shared" si="0"/>
        <v>3100</v>
      </c>
      <c r="AU33" s="3">
        <f t="shared" si="1"/>
        <v>0</v>
      </c>
      <c r="AV33">
        <f t="shared" si="2"/>
        <v>600</v>
      </c>
      <c r="AW33">
        <f t="shared" si="3"/>
        <v>10000</v>
      </c>
    </row>
    <row r="34" spans="1:49">
      <c r="A34">
        <v>34</v>
      </c>
      <c r="B34" t="s">
        <v>34</v>
      </c>
      <c r="C34" s="3">
        <v>0</v>
      </c>
      <c r="D34">
        <v>61</v>
      </c>
      <c r="E34">
        <v>1</v>
      </c>
      <c r="F34">
        <v>4</v>
      </c>
      <c r="G34">
        <v>46</v>
      </c>
      <c r="H34">
        <v>2</v>
      </c>
      <c r="I34">
        <v>75</v>
      </c>
      <c r="J34">
        <v>100000</v>
      </c>
      <c r="K34">
        <v>100</v>
      </c>
      <c r="L34">
        <v>0.8</v>
      </c>
      <c r="M34">
        <v>1</v>
      </c>
      <c r="N34">
        <v>80</v>
      </c>
      <c r="O34">
        <v>10</v>
      </c>
      <c r="P34">
        <v>1</v>
      </c>
      <c r="Q34">
        <v>6</v>
      </c>
      <c r="R34">
        <v>7500</v>
      </c>
      <c r="S34">
        <v>7.5</v>
      </c>
      <c r="T34" s="3">
        <v>9.9999999999999991E-22</v>
      </c>
      <c r="U34">
        <v>3</v>
      </c>
      <c r="V34" s="3">
        <v>9.9999999999999991E-22</v>
      </c>
      <c r="W34">
        <v>1</v>
      </c>
      <c r="X34" s="3">
        <v>9.9999999999999991E-22</v>
      </c>
      <c r="Y34">
        <v>13176</v>
      </c>
      <c r="Z34">
        <v>13.176</v>
      </c>
      <c r="AA34">
        <v>0.85859019489997424</v>
      </c>
      <c r="AB34">
        <v>2</v>
      </c>
      <c r="AC34">
        <v>1</v>
      </c>
      <c r="AD34">
        <v>1</v>
      </c>
      <c r="AE34">
        <v>0</v>
      </c>
      <c r="AF34">
        <v>1</v>
      </c>
      <c r="AG34">
        <v>60</v>
      </c>
      <c r="AH34">
        <v>80000</v>
      </c>
      <c r="AI34">
        <v>2</v>
      </c>
      <c r="AJ34">
        <v>25200</v>
      </c>
      <c r="AK34">
        <v>10000</v>
      </c>
      <c r="AL34">
        <v>3000</v>
      </c>
      <c r="AM34">
        <v>8250</v>
      </c>
      <c r="AN34">
        <v>0</v>
      </c>
      <c r="AO34">
        <v>1950</v>
      </c>
      <c r="AP34">
        <v>48.4</v>
      </c>
      <c r="AQ34">
        <v>60.499999999999993</v>
      </c>
      <c r="AR34">
        <v>31.6</v>
      </c>
      <c r="AS34">
        <v>39.5</v>
      </c>
      <c r="AT34">
        <f t="shared" si="0"/>
        <v>2520</v>
      </c>
      <c r="AU34" s="3">
        <f t="shared" si="1"/>
        <v>10000</v>
      </c>
      <c r="AV34">
        <f t="shared" si="2"/>
        <v>500</v>
      </c>
      <c r="AW34">
        <f t="shared" si="3"/>
        <v>1100</v>
      </c>
    </row>
    <row r="35" spans="1:49">
      <c r="A35">
        <v>35</v>
      </c>
      <c r="B35" t="s">
        <v>34</v>
      </c>
      <c r="C35" s="3">
        <v>0</v>
      </c>
      <c r="D35">
        <v>67</v>
      </c>
      <c r="E35">
        <v>0</v>
      </c>
      <c r="F35">
        <v>3</v>
      </c>
      <c r="G35">
        <v>57</v>
      </c>
      <c r="H35">
        <v>4</v>
      </c>
      <c r="I35">
        <v>60</v>
      </c>
      <c r="J35">
        <v>100000</v>
      </c>
      <c r="K35">
        <v>100</v>
      </c>
      <c r="L35">
        <v>2</v>
      </c>
      <c r="M35">
        <v>3</v>
      </c>
      <c r="N35">
        <v>90</v>
      </c>
      <c r="O35">
        <v>64</v>
      </c>
      <c r="P35">
        <v>2</v>
      </c>
      <c r="Q35">
        <v>7</v>
      </c>
      <c r="R35">
        <v>3000</v>
      </c>
      <c r="S35">
        <v>3</v>
      </c>
      <c r="T35" s="3">
        <v>9.9999999999999991E-22</v>
      </c>
      <c r="U35" s="3">
        <v>9.9999999999999991E-22</v>
      </c>
      <c r="V35" s="3">
        <v>9.9999999999999991E-22</v>
      </c>
      <c r="W35" s="3">
        <v>9.9999999999999991E-22</v>
      </c>
      <c r="X35" s="3">
        <v>9.9999999999999991E-22</v>
      </c>
      <c r="Y35">
        <v>204500</v>
      </c>
      <c r="Z35">
        <v>204.5</v>
      </c>
      <c r="AA35">
        <v>0.49443757725587145</v>
      </c>
      <c r="AB35">
        <v>3</v>
      </c>
      <c r="AC35">
        <v>3</v>
      </c>
      <c r="AD35">
        <v>0</v>
      </c>
      <c r="AE35">
        <v>0</v>
      </c>
      <c r="AF35">
        <v>1</v>
      </c>
      <c r="AG35">
        <v>120</v>
      </c>
      <c r="AH35">
        <v>200000</v>
      </c>
      <c r="AI35">
        <v>2</v>
      </c>
      <c r="AJ35">
        <v>68100</v>
      </c>
      <c r="AK35">
        <v>13000</v>
      </c>
      <c r="AL35">
        <v>4200</v>
      </c>
      <c r="AM35">
        <v>30000</v>
      </c>
      <c r="AN35">
        <v>0</v>
      </c>
      <c r="AO35">
        <v>0</v>
      </c>
      <c r="AP35">
        <v>115.3</v>
      </c>
      <c r="AQ35">
        <v>57.65</v>
      </c>
      <c r="AR35">
        <v>84.7</v>
      </c>
      <c r="AS35">
        <v>42.35</v>
      </c>
      <c r="AT35">
        <f t="shared" si="0"/>
        <v>1064.0625</v>
      </c>
      <c r="AU35" s="3">
        <f t="shared" si="1"/>
        <v>6500</v>
      </c>
      <c r="AV35">
        <f t="shared" si="2"/>
        <v>600</v>
      </c>
      <c r="AW35">
        <f t="shared" si="3"/>
        <v>10000</v>
      </c>
    </row>
    <row r="36" spans="1:49">
      <c r="A36">
        <v>36</v>
      </c>
      <c r="B36" t="s">
        <v>34</v>
      </c>
      <c r="C36">
        <v>1</v>
      </c>
      <c r="D36">
        <v>66</v>
      </c>
      <c r="E36">
        <v>0</v>
      </c>
      <c r="F36">
        <v>5</v>
      </c>
      <c r="G36">
        <v>39</v>
      </c>
      <c r="H36">
        <v>2</v>
      </c>
      <c r="I36">
        <v>60</v>
      </c>
      <c r="J36">
        <v>112000</v>
      </c>
      <c r="K36">
        <v>112</v>
      </c>
      <c r="L36">
        <v>4.5</v>
      </c>
      <c r="M36">
        <v>3</v>
      </c>
      <c r="N36">
        <v>70</v>
      </c>
      <c r="O36">
        <v>214</v>
      </c>
      <c r="P36" s="3">
        <v>9.9999999999999991E-22</v>
      </c>
      <c r="Q36">
        <v>8</v>
      </c>
      <c r="R36">
        <v>2500</v>
      </c>
      <c r="S36">
        <v>2.5</v>
      </c>
      <c r="T36" s="3">
        <v>9.9999999999999991E-22</v>
      </c>
      <c r="U36" s="3">
        <v>9.9999999999999991E-22</v>
      </c>
      <c r="V36" s="3">
        <v>9.9999999999999991E-22</v>
      </c>
      <c r="W36">
        <v>1</v>
      </c>
      <c r="X36" s="3">
        <v>9.9999999999999991E-22</v>
      </c>
      <c r="Y36">
        <v>114000</v>
      </c>
      <c r="Z36">
        <v>114</v>
      </c>
      <c r="AA36">
        <v>0.81553398058252424</v>
      </c>
      <c r="AB36">
        <v>3</v>
      </c>
      <c r="AC36">
        <v>3</v>
      </c>
      <c r="AD36">
        <v>0</v>
      </c>
      <c r="AE36">
        <v>0</v>
      </c>
      <c r="AF36">
        <v>1</v>
      </c>
      <c r="AG36">
        <v>270</v>
      </c>
      <c r="AH36">
        <v>504000</v>
      </c>
      <c r="AI36">
        <v>2</v>
      </c>
      <c r="AJ36">
        <v>112100</v>
      </c>
      <c r="AK36">
        <v>0</v>
      </c>
      <c r="AL36">
        <v>2000</v>
      </c>
      <c r="AM36">
        <v>250000</v>
      </c>
      <c r="AN36">
        <v>0</v>
      </c>
      <c r="AO36">
        <v>0</v>
      </c>
      <c r="AP36">
        <v>364.1</v>
      </c>
      <c r="AQ36">
        <v>80.911111111111111</v>
      </c>
      <c r="AR36">
        <v>139.89999999999998</v>
      </c>
      <c r="AS36">
        <v>31.088888888888885</v>
      </c>
      <c r="AT36">
        <f t="shared" si="0"/>
        <v>523.8317757009346</v>
      </c>
      <c r="AU36" s="3">
        <f t="shared" si="1"/>
        <v>0</v>
      </c>
      <c r="AV36">
        <f t="shared" si="2"/>
        <v>250</v>
      </c>
      <c r="AW36">
        <f t="shared" si="3"/>
        <v>100000</v>
      </c>
    </row>
    <row r="37" spans="1:49">
      <c r="A37">
        <v>37</v>
      </c>
      <c r="B37" t="s">
        <v>34</v>
      </c>
      <c r="C37">
        <v>1</v>
      </c>
      <c r="D37">
        <v>54</v>
      </c>
      <c r="E37">
        <v>0</v>
      </c>
      <c r="F37">
        <v>6</v>
      </c>
      <c r="G37">
        <v>5</v>
      </c>
      <c r="H37">
        <v>5</v>
      </c>
      <c r="I37">
        <v>44</v>
      </c>
      <c r="J37">
        <v>61600</v>
      </c>
      <c r="K37">
        <v>61.6</v>
      </c>
      <c r="L37">
        <v>0.5</v>
      </c>
      <c r="M37">
        <v>1</v>
      </c>
      <c r="N37">
        <v>28</v>
      </c>
      <c r="O37">
        <v>32</v>
      </c>
      <c r="P37" s="3">
        <v>9.9999999999999991E-22</v>
      </c>
      <c r="Q37">
        <v>2</v>
      </c>
      <c r="R37">
        <v>400</v>
      </c>
      <c r="S37">
        <v>0.4</v>
      </c>
      <c r="T37" s="3">
        <v>9.9999999999999991E-22</v>
      </c>
      <c r="U37" s="3">
        <v>9.9999999999999991E-22</v>
      </c>
      <c r="V37" s="3">
        <v>9.9999999999999991E-22</v>
      </c>
      <c r="W37">
        <v>1</v>
      </c>
      <c r="X37" s="3">
        <v>9.9999999999999991E-22</v>
      </c>
      <c r="Y37">
        <v>44400</v>
      </c>
      <c r="Z37">
        <v>44.4</v>
      </c>
      <c r="AA37">
        <v>0.40957446808510639</v>
      </c>
      <c r="AB37">
        <v>3</v>
      </c>
      <c r="AC37">
        <v>3</v>
      </c>
      <c r="AD37">
        <v>0</v>
      </c>
      <c r="AE37">
        <v>0</v>
      </c>
      <c r="AF37">
        <v>1</v>
      </c>
      <c r="AG37">
        <v>22</v>
      </c>
      <c r="AH37">
        <v>30800</v>
      </c>
      <c r="AI37">
        <v>2</v>
      </c>
      <c r="AJ37">
        <v>10100</v>
      </c>
      <c r="AK37">
        <v>0</v>
      </c>
      <c r="AL37">
        <v>1600</v>
      </c>
      <c r="AM37">
        <v>4240</v>
      </c>
      <c r="AN37">
        <v>0</v>
      </c>
      <c r="AO37">
        <v>0</v>
      </c>
      <c r="AP37">
        <v>15.94</v>
      </c>
      <c r="AQ37">
        <v>31.88</v>
      </c>
      <c r="AR37">
        <v>14.860000000000001</v>
      </c>
      <c r="AS37">
        <v>29.720000000000002</v>
      </c>
      <c r="AT37">
        <f t="shared" si="0"/>
        <v>315.625</v>
      </c>
      <c r="AU37" s="3">
        <f t="shared" si="1"/>
        <v>0</v>
      </c>
      <c r="AV37">
        <f t="shared" si="2"/>
        <v>800</v>
      </c>
      <c r="AW37">
        <f t="shared" si="3"/>
        <v>10600</v>
      </c>
    </row>
    <row r="38" spans="1:49">
      <c r="A38">
        <v>38</v>
      </c>
      <c r="B38" t="s">
        <v>34</v>
      </c>
      <c r="C38">
        <v>1</v>
      </c>
      <c r="D38">
        <v>48</v>
      </c>
      <c r="E38">
        <v>1</v>
      </c>
      <c r="F38">
        <v>4</v>
      </c>
      <c r="G38">
        <v>31</v>
      </c>
      <c r="H38">
        <v>3</v>
      </c>
      <c r="I38">
        <v>37.5</v>
      </c>
      <c r="J38">
        <v>61250</v>
      </c>
      <c r="K38">
        <v>61.25</v>
      </c>
      <c r="L38">
        <v>0.8</v>
      </c>
      <c r="M38">
        <v>1</v>
      </c>
      <c r="N38">
        <v>15</v>
      </c>
      <c r="O38">
        <v>20</v>
      </c>
      <c r="P38" s="3">
        <v>9.9999999999999991E-22</v>
      </c>
      <c r="Q38">
        <v>2</v>
      </c>
      <c r="R38">
        <v>500</v>
      </c>
      <c r="S38">
        <v>0.5</v>
      </c>
      <c r="T38">
        <v>1</v>
      </c>
      <c r="U38" s="3">
        <v>9.9999999999999991E-22</v>
      </c>
      <c r="V38" s="3">
        <v>9.9999999999999991E-22</v>
      </c>
      <c r="W38" s="3">
        <v>9.9999999999999991E-22</v>
      </c>
      <c r="X38" s="3">
        <v>9.9999999999999991E-22</v>
      </c>
      <c r="Y38">
        <v>0</v>
      </c>
      <c r="Z38">
        <v>0</v>
      </c>
      <c r="AA38">
        <v>1</v>
      </c>
      <c r="AB38">
        <v>3</v>
      </c>
      <c r="AC38">
        <v>3</v>
      </c>
      <c r="AD38">
        <v>0</v>
      </c>
      <c r="AE38">
        <v>3</v>
      </c>
      <c r="AF38">
        <v>1</v>
      </c>
      <c r="AG38">
        <v>30</v>
      </c>
      <c r="AH38">
        <v>49000</v>
      </c>
      <c r="AI38">
        <v>2</v>
      </c>
      <c r="AJ38">
        <v>14500</v>
      </c>
      <c r="AK38">
        <v>0</v>
      </c>
      <c r="AL38">
        <v>1000</v>
      </c>
      <c r="AM38">
        <v>5000</v>
      </c>
      <c r="AN38">
        <v>700</v>
      </c>
      <c r="AO38">
        <v>0</v>
      </c>
      <c r="AP38">
        <v>21.2</v>
      </c>
      <c r="AQ38">
        <v>26.499999999999996</v>
      </c>
      <c r="AR38">
        <v>27.8</v>
      </c>
      <c r="AS38">
        <v>34.75</v>
      </c>
      <c r="AT38">
        <f t="shared" si="0"/>
        <v>725</v>
      </c>
      <c r="AU38" s="3">
        <f t="shared" si="1"/>
        <v>0</v>
      </c>
      <c r="AV38">
        <f t="shared" si="2"/>
        <v>500</v>
      </c>
      <c r="AW38">
        <f t="shared" si="3"/>
        <v>10000</v>
      </c>
    </row>
    <row r="39" spans="1:49">
      <c r="A39">
        <v>39</v>
      </c>
      <c r="B39" t="s">
        <v>34</v>
      </c>
      <c r="C39">
        <v>1</v>
      </c>
      <c r="D39">
        <v>52</v>
      </c>
      <c r="E39">
        <v>1</v>
      </c>
      <c r="F39">
        <v>6</v>
      </c>
      <c r="G39">
        <v>30</v>
      </c>
      <c r="H39">
        <v>3</v>
      </c>
      <c r="I39">
        <v>60.909090909090907</v>
      </c>
      <c r="J39">
        <v>111999.99999999999</v>
      </c>
      <c r="K39">
        <v>111.99999999999999</v>
      </c>
      <c r="L39">
        <v>1.1000000000000001</v>
      </c>
      <c r="M39">
        <v>1</v>
      </c>
      <c r="N39">
        <v>5</v>
      </c>
      <c r="O39">
        <v>20</v>
      </c>
      <c r="P39" s="3">
        <v>9.9999999999999991E-22</v>
      </c>
      <c r="Q39">
        <v>2</v>
      </c>
      <c r="R39">
        <v>1100</v>
      </c>
      <c r="S39">
        <v>1.1000000000000001</v>
      </c>
      <c r="T39">
        <v>2</v>
      </c>
      <c r="U39" s="3">
        <v>9.9999999999999991E-22</v>
      </c>
      <c r="V39" s="3">
        <v>9.9999999999999991E-22</v>
      </c>
      <c r="W39">
        <v>1</v>
      </c>
      <c r="X39" s="3">
        <v>9.9999999999999991E-22</v>
      </c>
      <c r="Y39">
        <v>132000</v>
      </c>
      <c r="Z39">
        <v>132</v>
      </c>
      <c r="AA39">
        <v>0.48275862068965519</v>
      </c>
      <c r="AB39">
        <v>3</v>
      </c>
      <c r="AC39">
        <v>3</v>
      </c>
      <c r="AD39">
        <v>0</v>
      </c>
      <c r="AE39">
        <v>3</v>
      </c>
      <c r="AF39">
        <v>1</v>
      </c>
      <c r="AG39">
        <v>67</v>
      </c>
      <c r="AH39">
        <v>123200</v>
      </c>
      <c r="AI39">
        <v>2</v>
      </c>
      <c r="AJ39">
        <v>30170</v>
      </c>
      <c r="AK39">
        <v>0</v>
      </c>
      <c r="AL39">
        <v>1000</v>
      </c>
      <c r="AM39">
        <v>11000</v>
      </c>
      <c r="AN39">
        <v>1500</v>
      </c>
      <c r="AO39">
        <v>0</v>
      </c>
      <c r="AP39">
        <v>43.67</v>
      </c>
      <c r="AQ39">
        <v>39.699999999999996</v>
      </c>
      <c r="AR39">
        <v>79.53</v>
      </c>
      <c r="AS39">
        <v>72.3</v>
      </c>
      <c r="AT39">
        <f t="shared" si="0"/>
        <v>1508.5</v>
      </c>
      <c r="AU39" s="3">
        <f t="shared" si="1"/>
        <v>0</v>
      </c>
      <c r="AV39">
        <f t="shared" si="2"/>
        <v>500</v>
      </c>
      <c r="AW39">
        <f t="shared" si="3"/>
        <v>10000</v>
      </c>
    </row>
    <row r="40" spans="1:49">
      <c r="A40">
        <v>40</v>
      </c>
      <c r="B40" t="s">
        <v>34</v>
      </c>
      <c r="C40">
        <v>1</v>
      </c>
      <c r="D40">
        <v>72</v>
      </c>
      <c r="E40">
        <v>1</v>
      </c>
      <c r="F40">
        <v>2</v>
      </c>
      <c r="G40">
        <v>45</v>
      </c>
      <c r="H40">
        <v>5</v>
      </c>
      <c r="I40">
        <v>44.444444444444443</v>
      </c>
      <c r="J40">
        <v>64555.555555555555</v>
      </c>
      <c r="K40">
        <v>64.555555555555557</v>
      </c>
      <c r="L40">
        <v>1.8</v>
      </c>
      <c r="M40">
        <v>1</v>
      </c>
      <c r="N40">
        <v>12</v>
      </c>
      <c r="O40">
        <v>16</v>
      </c>
      <c r="P40" s="3">
        <v>9.9999999999999991E-22</v>
      </c>
      <c r="Q40">
        <v>2</v>
      </c>
      <c r="R40">
        <v>750</v>
      </c>
      <c r="S40">
        <v>0.75</v>
      </c>
      <c r="T40">
        <v>5</v>
      </c>
      <c r="U40" s="3">
        <v>9.9999999999999991E-22</v>
      </c>
      <c r="V40" s="3">
        <v>9.9999999999999991E-22</v>
      </c>
      <c r="W40" s="3">
        <v>9.9999999999999991E-22</v>
      </c>
      <c r="X40" s="3">
        <v>9.9999999999999991E-22</v>
      </c>
      <c r="Y40">
        <v>0</v>
      </c>
      <c r="Z40">
        <v>0</v>
      </c>
      <c r="AA40">
        <v>1</v>
      </c>
      <c r="AB40">
        <v>3</v>
      </c>
      <c r="AC40">
        <v>3</v>
      </c>
      <c r="AD40">
        <v>0</v>
      </c>
      <c r="AE40">
        <v>3</v>
      </c>
      <c r="AF40">
        <v>1</v>
      </c>
      <c r="AG40">
        <v>80</v>
      </c>
      <c r="AH40">
        <v>116200</v>
      </c>
      <c r="AI40">
        <v>2</v>
      </c>
      <c r="AJ40">
        <v>46800</v>
      </c>
      <c r="AK40">
        <v>0</v>
      </c>
      <c r="AL40">
        <v>1000</v>
      </c>
      <c r="AM40">
        <v>7950</v>
      </c>
      <c r="AN40">
        <v>750</v>
      </c>
      <c r="AO40">
        <v>0</v>
      </c>
      <c r="AP40">
        <v>56.5</v>
      </c>
      <c r="AQ40">
        <v>31.388888888888889</v>
      </c>
      <c r="AR40">
        <v>59.7</v>
      </c>
      <c r="AS40">
        <v>33.166666666666664</v>
      </c>
      <c r="AT40">
        <f t="shared" si="0"/>
        <v>2925</v>
      </c>
      <c r="AU40" s="3">
        <f t="shared" si="1"/>
        <v>0</v>
      </c>
      <c r="AV40">
        <f t="shared" si="2"/>
        <v>500</v>
      </c>
      <c r="AW40">
        <f t="shared" si="3"/>
        <v>10600</v>
      </c>
    </row>
    <row r="41" spans="1:49">
      <c r="A41">
        <v>41</v>
      </c>
      <c r="B41" t="s">
        <v>34</v>
      </c>
      <c r="C41">
        <v>1</v>
      </c>
      <c r="D41">
        <v>56</v>
      </c>
      <c r="E41">
        <v>1</v>
      </c>
      <c r="F41">
        <v>4</v>
      </c>
      <c r="G41">
        <v>25</v>
      </c>
      <c r="H41">
        <v>4</v>
      </c>
      <c r="I41">
        <v>46.875</v>
      </c>
      <c r="J41">
        <v>70312.5</v>
      </c>
      <c r="K41">
        <v>70.3125</v>
      </c>
      <c r="L41">
        <v>0.64</v>
      </c>
      <c r="M41">
        <v>1</v>
      </c>
      <c r="N41">
        <v>12</v>
      </c>
      <c r="O41">
        <v>8</v>
      </c>
      <c r="P41" s="3">
        <v>9.9999999999999991E-22</v>
      </c>
      <c r="Q41">
        <v>2</v>
      </c>
      <c r="R41">
        <v>600</v>
      </c>
      <c r="S41">
        <v>0.6</v>
      </c>
      <c r="T41">
        <v>5</v>
      </c>
      <c r="U41" s="3">
        <v>9.9999999999999991E-22</v>
      </c>
      <c r="V41" s="3">
        <v>9.9999999999999991E-22</v>
      </c>
      <c r="W41" s="3">
        <v>9.9999999999999991E-22</v>
      </c>
      <c r="X41" s="3">
        <v>9.9999999999999991E-22</v>
      </c>
      <c r="Y41">
        <v>277620</v>
      </c>
      <c r="Z41">
        <v>277.62</v>
      </c>
      <c r="AA41">
        <v>0.13948298307606471</v>
      </c>
      <c r="AB41">
        <v>3</v>
      </c>
      <c r="AC41">
        <v>3</v>
      </c>
      <c r="AD41">
        <v>0</v>
      </c>
      <c r="AE41">
        <v>3</v>
      </c>
      <c r="AF41">
        <v>1</v>
      </c>
      <c r="AG41">
        <v>30</v>
      </c>
      <c r="AH41">
        <v>45000</v>
      </c>
      <c r="AI41">
        <v>2</v>
      </c>
      <c r="AJ41">
        <v>10000</v>
      </c>
      <c r="AK41">
        <v>0</v>
      </c>
      <c r="AL41">
        <v>800</v>
      </c>
      <c r="AM41">
        <v>6240</v>
      </c>
      <c r="AN41">
        <v>750</v>
      </c>
      <c r="AO41">
        <v>0</v>
      </c>
      <c r="AP41">
        <v>17.79</v>
      </c>
      <c r="AQ41">
        <v>27.796874999999996</v>
      </c>
      <c r="AR41">
        <v>27.21</v>
      </c>
      <c r="AS41">
        <v>42.515625</v>
      </c>
      <c r="AT41">
        <f t="shared" si="0"/>
        <v>1250</v>
      </c>
      <c r="AU41" s="3">
        <f t="shared" si="1"/>
        <v>0</v>
      </c>
      <c r="AV41">
        <f t="shared" si="2"/>
        <v>400</v>
      </c>
      <c r="AW41">
        <f t="shared" si="3"/>
        <v>10400</v>
      </c>
    </row>
    <row r="42" spans="1:49">
      <c r="A42">
        <v>42</v>
      </c>
      <c r="B42" t="s">
        <v>34</v>
      </c>
      <c r="C42">
        <v>1</v>
      </c>
      <c r="D42">
        <v>41</v>
      </c>
      <c r="E42">
        <v>0</v>
      </c>
      <c r="F42">
        <v>6</v>
      </c>
      <c r="G42">
        <v>9</v>
      </c>
      <c r="H42">
        <v>5</v>
      </c>
      <c r="I42">
        <v>35</v>
      </c>
      <c r="J42">
        <v>61500</v>
      </c>
      <c r="K42">
        <v>61.5</v>
      </c>
      <c r="L42">
        <v>0.8</v>
      </c>
      <c r="M42">
        <v>1</v>
      </c>
      <c r="N42">
        <v>18</v>
      </c>
      <c r="O42">
        <v>36</v>
      </c>
      <c r="P42" s="3">
        <v>9.9999999999999991E-22</v>
      </c>
      <c r="Q42" s="3">
        <v>9.9999999999999991E-22</v>
      </c>
      <c r="R42">
        <v>400</v>
      </c>
      <c r="S42">
        <v>0.4</v>
      </c>
      <c r="T42" s="3">
        <v>9.9999999999999991E-22</v>
      </c>
      <c r="U42" s="3">
        <v>9.9999999999999991E-22</v>
      </c>
      <c r="V42" s="3">
        <v>9.9999999999999991E-22</v>
      </c>
      <c r="W42" s="3">
        <v>9.9999999999999991E-22</v>
      </c>
      <c r="X42">
        <v>1</v>
      </c>
      <c r="Y42">
        <v>240000</v>
      </c>
      <c r="Z42">
        <v>240</v>
      </c>
      <c r="AA42">
        <v>0.17012448132780084</v>
      </c>
      <c r="AB42">
        <v>3</v>
      </c>
      <c r="AC42">
        <v>3</v>
      </c>
      <c r="AD42">
        <v>0</v>
      </c>
      <c r="AE42">
        <v>0</v>
      </c>
      <c r="AF42">
        <v>1</v>
      </c>
      <c r="AG42">
        <v>28</v>
      </c>
      <c r="AH42">
        <v>49200</v>
      </c>
      <c r="AI42">
        <v>3</v>
      </c>
      <c r="AJ42">
        <v>15160</v>
      </c>
      <c r="AK42">
        <v>0</v>
      </c>
      <c r="AL42">
        <v>0</v>
      </c>
      <c r="AM42">
        <v>8800</v>
      </c>
      <c r="AN42">
        <v>0</v>
      </c>
      <c r="AO42">
        <v>0</v>
      </c>
      <c r="AP42">
        <v>23.96</v>
      </c>
      <c r="AQ42">
        <v>29.95</v>
      </c>
      <c r="AR42">
        <v>25.240000000000002</v>
      </c>
      <c r="AS42">
        <v>31.55</v>
      </c>
      <c r="AT42">
        <f t="shared" si="0"/>
        <v>421.11111111111109</v>
      </c>
      <c r="AU42" s="3">
        <f t="shared" si="1"/>
        <v>0</v>
      </c>
      <c r="AV42">
        <f t="shared" si="2"/>
        <v>0</v>
      </c>
      <c r="AW42">
        <f t="shared" si="3"/>
        <v>22000</v>
      </c>
    </row>
    <row r="43" spans="1:49">
      <c r="A43">
        <v>43</v>
      </c>
      <c r="B43" t="s">
        <v>34</v>
      </c>
      <c r="C43">
        <v>1</v>
      </c>
      <c r="D43">
        <v>69</v>
      </c>
      <c r="E43">
        <v>0</v>
      </c>
      <c r="F43">
        <v>4</v>
      </c>
      <c r="G43">
        <v>51</v>
      </c>
      <c r="H43">
        <v>2</v>
      </c>
      <c r="I43">
        <v>60</v>
      </c>
      <c r="J43">
        <v>93333.333333333328</v>
      </c>
      <c r="K43">
        <v>93.333333333333329</v>
      </c>
      <c r="L43">
        <v>3</v>
      </c>
      <c r="M43">
        <v>3</v>
      </c>
      <c r="N43">
        <v>12</v>
      </c>
      <c r="O43">
        <v>44</v>
      </c>
      <c r="P43" s="3">
        <v>9.9999999999999991E-22</v>
      </c>
      <c r="Q43">
        <v>2</v>
      </c>
      <c r="R43">
        <v>1200</v>
      </c>
      <c r="S43">
        <v>1.2</v>
      </c>
      <c r="T43">
        <v>18</v>
      </c>
      <c r="U43" s="3">
        <v>9.9999999999999991E-22</v>
      </c>
      <c r="V43" s="3">
        <v>9.9999999999999991E-22</v>
      </c>
      <c r="W43">
        <v>1</v>
      </c>
      <c r="X43" s="3">
        <v>9.9999999999999991E-22</v>
      </c>
      <c r="Y43">
        <v>72000</v>
      </c>
      <c r="Z43">
        <v>72</v>
      </c>
      <c r="AA43">
        <v>0.79545454545454541</v>
      </c>
      <c r="AB43">
        <v>3</v>
      </c>
      <c r="AC43">
        <v>3</v>
      </c>
      <c r="AD43">
        <v>3</v>
      </c>
      <c r="AE43">
        <v>3</v>
      </c>
      <c r="AF43">
        <v>1</v>
      </c>
      <c r="AG43">
        <v>180</v>
      </c>
      <c r="AH43">
        <v>280000</v>
      </c>
      <c r="AI43">
        <v>2</v>
      </c>
      <c r="AJ43">
        <v>72440</v>
      </c>
      <c r="AK43">
        <v>0</v>
      </c>
      <c r="AL43">
        <v>1000</v>
      </c>
      <c r="AM43">
        <v>24000</v>
      </c>
      <c r="AN43">
        <v>7500</v>
      </c>
      <c r="AO43">
        <v>0</v>
      </c>
      <c r="AP43">
        <v>104.94</v>
      </c>
      <c r="AQ43">
        <v>34.979999999999997</v>
      </c>
      <c r="AR43">
        <v>175.06</v>
      </c>
      <c r="AS43">
        <v>58.353333333333332</v>
      </c>
      <c r="AT43">
        <f t="shared" si="0"/>
        <v>1646.3636363636363</v>
      </c>
      <c r="AU43" s="3">
        <f t="shared" si="1"/>
        <v>0</v>
      </c>
      <c r="AV43">
        <f t="shared" si="2"/>
        <v>500</v>
      </c>
      <c r="AW43">
        <f t="shared" si="3"/>
        <v>20000</v>
      </c>
    </row>
    <row r="44" spans="1:49">
      <c r="A44">
        <v>44</v>
      </c>
      <c r="B44" t="s">
        <v>34</v>
      </c>
      <c r="C44">
        <v>1</v>
      </c>
      <c r="D44">
        <v>45</v>
      </c>
      <c r="E44">
        <v>1</v>
      </c>
      <c r="F44">
        <v>1</v>
      </c>
      <c r="G44">
        <v>5</v>
      </c>
      <c r="H44">
        <v>1</v>
      </c>
      <c r="I44">
        <v>37.5</v>
      </c>
      <c r="J44">
        <v>61250</v>
      </c>
      <c r="K44">
        <v>61.25</v>
      </c>
      <c r="L44">
        <v>0.8</v>
      </c>
      <c r="M44">
        <v>1</v>
      </c>
      <c r="N44">
        <v>25</v>
      </c>
      <c r="O44">
        <v>28</v>
      </c>
      <c r="P44" s="3">
        <v>9.9999999999999991E-22</v>
      </c>
      <c r="Q44">
        <v>2</v>
      </c>
      <c r="R44">
        <v>500</v>
      </c>
      <c r="S44">
        <v>0.5</v>
      </c>
      <c r="T44" s="3">
        <v>9.9999999999999991E-22</v>
      </c>
      <c r="U44" s="3">
        <v>9.9999999999999991E-22</v>
      </c>
      <c r="V44" s="3">
        <v>9.9999999999999991E-22</v>
      </c>
      <c r="W44" s="3">
        <v>9.9999999999999991E-22</v>
      </c>
      <c r="X44" s="3">
        <v>9.9999999999999991E-22</v>
      </c>
      <c r="Y44">
        <v>0</v>
      </c>
      <c r="Z44">
        <v>0</v>
      </c>
      <c r="AA44">
        <v>1</v>
      </c>
      <c r="AB44">
        <v>3</v>
      </c>
      <c r="AC44">
        <v>3</v>
      </c>
      <c r="AD44">
        <v>0</v>
      </c>
      <c r="AE44">
        <v>0</v>
      </c>
      <c r="AF44">
        <v>1</v>
      </c>
      <c r="AG44">
        <v>30</v>
      </c>
      <c r="AH44">
        <v>49000</v>
      </c>
      <c r="AI44">
        <v>2</v>
      </c>
      <c r="AJ44">
        <v>12250</v>
      </c>
      <c r="AK44">
        <v>0</v>
      </c>
      <c r="AL44">
        <v>1000</v>
      </c>
      <c r="AM44">
        <v>5300</v>
      </c>
      <c r="AN44">
        <v>0</v>
      </c>
      <c r="AO44">
        <v>0</v>
      </c>
      <c r="AP44">
        <v>18.55</v>
      </c>
      <c r="AQ44">
        <v>23.1875</v>
      </c>
      <c r="AR44">
        <v>30.45</v>
      </c>
      <c r="AS44">
        <v>38.0625</v>
      </c>
      <c r="AT44">
        <f t="shared" si="0"/>
        <v>437.5</v>
      </c>
      <c r="AU44" s="3">
        <f t="shared" si="1"/>
        <v>0</v>
      </c>
      <c r="AV44">
        <f t="shared" si="2"/>
        <v>500</v>
      </c>
      <c r="AW44">
        <f t="shared" si="3"/>
        <v>10600</v>
      </c>
    </row>
    <row r="45" spans="1:49">
      <c r="A45">
        <v>45</v>
      </c>
      <c r="B45" t="s">
        <v>34</v>
      </c>
      <c r="C45" s="3">
        <v>0</v>
      </c>
      <c r="D45">
        <v>76</v>
      </c>
      <c r="E45">
        <v>1</v>
      </c>
      <c r="F45">
        <v>2</v>
      </c>
      <c r="G45">
        <v>66</v>
      </c>
      <c r="H45">
        <v>6</v>
      </c>
      <c r="I45">
        <v>16.666666666666668</v>
      </c>
      <c r="J45">
        <v>23333.333333333332</v>
      </c>
      <c r="K45">
        <v>23.333333333333332</v>
      </c>
      <c r="L45">
        <v>3</v>
      </c>
      <c r="M45">
        <v>1</v>
      </c>
      <c r="N45">
        <v>21</v>
      </c>
      <c r="O45">
        <v>100</v>
      </c>
      <c r="P45">
        <v>1</v>
      </c>
      <c r="Q45">
        <v>5</v>
      </c>
      <c r="R45">
        <v>2000</v>
      </c>
      <c r="S45">
        <v>2</v>
      </c>
      <c r="T45">
        <v>54</v>
      </c>
      <c r="U45" s="3">
        <v>9.9999999999999991E-22</v>
      </c>
      <c r="V45" s="3">
        <v>9.9999999999999991E-22</v>
      </c>
      <c r="W45" s="3">
        <v>9.9999999999999991E-22</v>
      </c>
      <c r="X45" s="3">
        <v>9.9999999999999991E-22</v>
      </c>
      <c r="Y45">
        <v>266000</v>
      </c>
      <c r="Z45">
        <v>266</v>
      </c>
      <c r="AA45">
        <v>0.20833333333333334</v>
      </c>
      <c r="AB45">
        <v>4</v>
      </c>
      <c r="AC45">
        <v>1</v>
      </c>
      <c r="AD45">
        <v>0</v>
      </c>
      <c r="AE45">
        <v>1</v>
      </c>
      <c r="AF45">
        <v>1</v>
      </c>
      <c r="AG45">
        <v>50</v>
      </c>
      <c r="AH45">
        <v>70000</v>
      </c>
      <c r="AI45">
        <v>2</v>
      </c>
      <c r="AJ45">
        <v>45000</v>
      </c>
      <c r="AK45">
        <v>15000</v>
      </c>
      <c r="AL45">
        <v>2500</v>
      </c>
      <c r="AM45">
        <v>22000</v>
      </c>
      <c r="AN45">
        <v>6480</v>
      </c>
      <c r="AO45">
        <v>0</v>
      </c>
      <c r="AP45">
        <v>90.98</v>
      </c>
      <c r="AQ45">
        <v>30.326666666666668</v>
      </c>
      <c r="AR45">
        <v>-20.980000000000004</v>
      </c>
      <c r="AS45">
        <v>-6.993333333333335</v>
      </c>
      <c r="AT45">
        <f t="shared" si="0"/>
        <v>450</v>
      </c>
      <c r="AU45" s="3">
        <f t="shared" si="1"/>
        <v>15000</v>
      </c>
      <c r="AV45">
        <f t="shared" si="2"/>
        <v>500</v>
      </c>
      <c r="AW45">
        <f t="shared" si="3"/>
        <v>11000</v>
      </c>
    </row>
    <row r="46" spans="1:49">
      <c r="A46">
        <v>46</v>
      </c>
      <c r="B46" t="s">
        <v>34</v>
      </c>
      <c r="C46" s="3">
        <v>0</v>
      </c>
      <c r="D46">
        <v>76</v>
      </c>
      <c r="E46">
        <v>1</v>
      </c>
      <c r="F46">
        <v>2</v>
      </c>
      <c r="G46">
        <v>65</v>
      </c>
      <c r="H46">
        <v>7</v>
      </c>
      <c r="I46">
        <v>60</v>
      </c>
      <c r="J46">
        <v>84000</v>
      </c>
      <c r="K46">
        <v>84</v>
      </c>
      <c r="L46">
        <v>4</v>
      </c>
      <c r="M46">
        <v>2</v>
      </c>
      <c r="N46">
        <v>5</v>
      </c>
      <c r="O46">
        <v>56</v>
      </c>
      <c r="P46" s="3">
        <v>9.9999999999999991E-22</v>
      </c>
      <c r="Q46">
        <v>12</v>
      </c>
      <c r="R46">
        <v>4000</v>
      </c>
      <c r="S46">
        <v>4</v>
      </c>
      <c r="T46">
        <v>40</v>
      </c>
      <c r="U46" s="3">
        <v>9.9999999999999991E-22</v>
      </c>
      <c r="V46" s="3">
        <v>9.9999999999999991E-22</v>
      </c>
      <c r="W46" s="3">
        <v>9.9999999999999991E-22</v>
      </c>
      <c r="X46" s="3">
        <v>9.9999999999999991E-22</v>
      </c>
      <c r="Y46">
        <v>360000</v>
      </c>
      <c r="Z46">
        <v>360</v>
      </c>
      <c r="AA46">
        <v>0.48275862068965519</v>
      </c>
      <c r="AB46">
        <v>4</v>
      </c>
      <c r="AC46">
        <v>1</v>
      </c>
      <c r="AD46">
        <v>0</v>
      </c>
      <c r="AE46">
        <v>1</v>
      </c>
      <c r="AF46">
        <v>1</v>
      </c>
      <c r="AG46">
        <v>240</v>
      </c>
      <c r="AH46">
        <v>336000</v>
      </c>
      <c r="AI46">
        <v>2</v>
      </c>
      <c r="AJ46">
        <v>84800</v>
      </c>
      <c r="AK46">
        <v>0</v>
      </c>
      <c r="AL46">
        <v>6000</v>
      </c>
      <c r="AM46">
        <v>40000</v>
      </c>
      <c r="AN46">
        <v>12800</v>
      </c>
      <c r="AO46">
        <v>0</v>
      </c>
      <c r="AP46">
        <v>143.6</v>
      </c>
      <c r="AQ46">
        <v>35.9</v>
      </c>
      <c r="AR46">
        <v>192.4</v>
      </c>
      <c r="AS46">
        <v>48.1</v>
      </c>
      <c r="AT46">
        <f t="shared" si="0"/>
        <v>1514.2857142857142</v>
      </c>
      <c r="AU46" s="3">
        <f t="shared" si="1"/>
        <v>0</v>
      </c>
      <c r="AV46">
        <f t="shared" si="2"/>
        <v>500</v>
      </c>
      <c r="AW46">
        <f t="shared" si="3"/>
        <v>10000</v>
      </c>
    </row>
    <row r="47" spans="1:49">
      <c r="A47">
        <v>47</v>
      </c>
      <c r="B47" t="s">
        <v>34</v>
      </c>
      <c r="C47" s="3">
        <v>0</v>
      </c>
      <c r="D47">
        <v>65</v>
      </c>
      <c r="E47">
        <v>1</v>
      </c>
      <c r="F47">
        <v>4</v>
      </c>
      <c r="G47">
        <v>45</v>
      </c>
      <c r="H47">
        <v>2</v>
      </c>
      <c r="I47">
        <v>30</v>
      </c>
      <c r="J47">
        <v>36000</v>
      </c>
      <c r="K47">
        <v>36</v>
      </c>
      <c r="L47">
        <v>1</v>
      </c>
      <c r="M47">
        <v>1</v>
      </c>
      <c r="N47">
        <v>5</v>
      </c>
      <c r="O47">
        <v>32</v>
      </c>
      <c r="P47" s="3">
        <v>9.9999999999999991E-22</v>
      </c>
      <c r="Q47">
        <v>6</v>
      </c>
      <c r="R47">
        <v>1250</v>
      </c>
      <c r="S47">
        <v>1.25</v>
      </c>
      <c r="T47" s="3">
        <v>9.9999999999999991E-22</v>
      </c>
      <c r="U47" s="3">
        <v>9.9999999999999991E-22</v>
      </c>
      <c r="V47" s="3">
        <v>9.9999999999999991E-22</v>
      </c>
      <c r="W47" s="3">
        <v>9.9999999999999991E-22</v>
      </c>
      <c r="X47" s="3">
        <v>9.9999999999999991E-22</v>
      </c>
      <c r="Y47">
        <v>90000</v>
      </c>
      <c r="Z47">
        <v>90</v>
      </c>
      <c r="AA47">
        <v>0.2857142857142857</v>
      </c>
      <c r="AB47">
        <v>5</v>
      </c>
      <c r="AC47">
        <v>1</v>
      </c>
      <c r="AD47">
        <v>0</v>
      </c>
      <c r="AE47">
        <v>0</v>
      </c>
      <c r="AF47">
        <v>1</v>
      </c>
      <c r="AG47">
        <v>30</v>
      </c>
      <c r="AH47">
        <v>36000</v>
      </c>
      <c r="AI47">
        <v>2</v>
      </c>
      <c r="AJ47">
        <v>19350</v>
      </c>
      <c r="AK47">
        <v>0</v>
      </c>
      <c r="AL47">
        <v>3000</v>
      </c>
      <c r="AM47">
        <v>12500</v>
      </c>
      <c r="AN47">
        <v>0</v>
      </c>
      <c r="AO47">
        <v>0</v>
      </c>
      <c r="AP47">
        <v>34.85</v>
      </c>
      <c r="AQ47">
        <v>34.85</v>
      </c>
      <c r="AR47">
        <v>1.1499999999999986</v>
      </c>
      <c r="AS47">
        <v>1.1499999999999986</v>
      </c>
      <c r="AT47">
        <f t="shared" si="0"/>
        <v>604.6875</v>
      </c>
      <c r="AU47" s="3">
        <f t="shared" si="1"/>
        <v>0</v>
      </c>
      <c r="AV47">
        <f t="shared" si="2"/>
        <v>500</v>
      </c>
      <c r="AW47">
        <f t="shared" si="3"/>
        <v>10000</v>
      </c>
    </row>
    <row r="48" spans="1:49">
      <c r="A48">
        <v>48</v>
      </c>
      <c r="B48" t="s">
        <v>34</v>
      </c>
      <c r="C48" s="3">
        <v>0</v>
      </c>
      <c r="D48">
        <v>53</v>
      </c>
      <c r="E48">
        <v>1</v>
      </c>
      <c r="F48">
        <v>2</v>
      </c>
      <c r="G48">
        <v>15</v>
      </c>
      <c r="H48">
        <v>8</v>
      </c>
      <c r="I48">
        <v>60</v>
      </c>
      <c r="J48">
        <v>104000</v>
      </c>
      <c r="K48">
        <v>104</v>
      </c>
      <c r="L48">
        <v>1</v>
      </c>
      <c r="M48">
        <v>2</v>
      </c>
      <c r="N48">
        <v>21</v>
      </c>
      <c r="O48">
        <v>32</v>
      </c>
      <c r="P48" s="3">
        <v>9.9999999999999991E-22</v>
      </c>
      <c r="Q48">
        <v>3</v>
      </c>
      <c r="R48">
        <v>1000</v>
      </c>
      <c r="S48">
        <v>1</v>
      </c>
      <c r="T48" s="3">
        <v>9.9999999999999991E-22</v>
      </c>
      <c r="U48" s="3">
        <v>9.9999999999999991E-22</v>
      </c>
      <c r="V48" s="3">
        <v>9.9999999999999991E-22</v>
      </c>
      <c r="W48" s="3">
        <v>9.9999999999999991E-22</v>
      </c>
      <c r="X48" s="3">
        <v>9.9999999999999991E-22</v>
      </c>
      <c r="Y48">
        <v>36000</v>
      </c>
      <c r="Z48">
        <v>36</v>
      </c>
      <c r="AA48">
        <v>0.74285714285714288</v>
      </c>
      <c r="AB48">
        <v>4</v>
      </c>
      <c r="AC48">
        <v>1</v>
      </c>
      <c r="AD48">
        <v>0</v>
      </c>
      <c r="AE48">
        <v>0</v>
      </c>
      <c r="AF48">
        <v>1</v>
      </c>
      <c r="AG48">
        <v>60</v>
      </c>
      <c r="AH48">
        <v>104000</v>
      </c>
      <c r="AI48">
        <v>2</v>
      </c>
      <c r="AJ48">
        <v>27000</v>
      </c>
      <c r="AK48">
        <v>0</v>
      </c>
      <c r="AL48">
        <v>1500</v>
      </c>
      <c r="AM48">
        <v>10400</v>
      </c>
      <c r="AN48">
        <v>0</v>
      </c>
      <c r="AO48">
        <v>0</v>
      </c>
      <c r="AP48">
        <v>38.9</v>
      </c>
      <c r="AQ48">
        <v>38.9</v>
      </c>
      <c r="AR48">
        <v>65.099999999999994</v>
      </c>
      <c r="AS48">
        <v>65.099999999999994</v>
      </c>
      <c r="AT48">
        <f t="shared" si="0"/>
        <v>843.75</v>
      </c>
      <c r="AU48" s="3">
        <f t="shared" si="1"/>
        <v>0</v>
      </c>
      <c r="AV48">
        <f t="shared" si="2"/>
        <v>500</v>
      </c>
      <c r="AW48">
        <f t="shared" si="3"/>
        <v>10400</v>
      </c>
    </row>
    <row r="49" spans="1:49">
      <c r="A49">
        <v>49</v>
      </c>
      <c r="B49" t="s">
        <v>38</v>
      </c>
      <c r="C49">
        <v>1</v>
      </c>
      <c r="D49">
        <v>70</v>
      </c>
      <c r="E49">
        <v>0</v>
      </c>
      <c r="F49">
        <v>2</v>
      </c>
      <c r="G49">
        <v>49</v>
      </c>
      <c r="H49">
        <v>8</v>
      </c>
      <c r="I49">
        <v>50</v>
      </c>
      <c r="J49">
        <v>67200</v>
      </c>
      <c r="K49">
        <v>67.2</v>
      </c>
      <c r="L49">
        <v>1</v>
      </c>
      <c r="M49">
        <v>1</v>
      </c>
      <c r="N49">
        <v>22.5</v>
      </c>
      <c r="O49">
        <v>60</v>
      </c>
      <c r="P49" s="3">
        <v>9.9999999999999991E-22</v>
      </c>
      <c r="Q49">
        <v>1</v>
      </c>
      <c r="R49">
        <v>2250</v>
      </c>
      <c r="S49">
        <v>2.25</v>
      </c>
      <c r="T49" s="3">
        <v>9.9999999999999991E-22</v>
      </c>
      <c r="U49" s="3">
        <v>9.9999999999999991E-22</v>
      </c>
      <c r="V49" s="3">
        <v>9.9999999999999991E-22</v>
      </c>
      <c r="W49">
        <v>1</v>
      </c>
      <c r="X49" s="3">
        <v>9.9999999999999991E-22</v>
      </c>
      <c r="Y49">
        <v>81000</v>
      </c>
      <c r="Z49">
        <v>81</v>
      </c>
      <c r="AA49">
        <v>0.45344129554655871</v>
      </c>
      <c r="AB49">
        <v>3</v>
      </c>
      <c r="AC49">
        <v>3</v>
      </c>
      <c r="AD49">
        <v>0</v>
      </c>
      <c r="AE49">
        <v>0</v>
      </c>
      <c r="AF49">
        <v>1</v>
      </c>
      <c r="AG49">
        <v>50</v>
      </c>
      <c r="AH49">
        <v>67200</v>
      </c>
      <c r="AI49">
        <v>2</v>
      </c>
      <c r="AJ49">
        <v>21600</v>
      </c>
      <c r="AK49">
        <v>0</v>
      </c>
      <c r="AL49">
        <v>1200</v>
      </c>
      <c r="AM49">
        <v>24000</v>
      </c>
      <c r="AN49">
        <v>0</v>
      </c>
      <c r="AO49">
        <v>0</v>
      </c>
      <c r="AP49">
        <v>46.8</v>
      </c>
      <c r="AQ49">
        <v>46.8</v>
      </c>
      <c r="AR49">
        <v>20.400000000000006</v>
      </c>
      <c r="AS49">
        <v>20.400000000000006</v>
      </c>
      <c r="AT49">
        <f t="shared" si="0"/>
        <v>360</v>
      </c>
      <c r="AU49" s="3">
        <f t="shared" si="1"/>
        <v>0</v>
      </c>
      <c r="AV49">
        <f t="shared" si="2"/>
        <v>1200</v>
      </c>
      <c r="AW49">
        <f t="shared" si="3"/>
        <v>10666.666666666666</v>
      </c>
    </row>
    <row r="50" spans="1:49">
      <c r="A50">
        <v>50</v>
      </c>
      <c r="B50" t="s">
        <v>38</v>
      </c>
      <c r="C50" s="3">
        <v>0</v>
      </c>
      <c r="D50">
        <v>52</v>
      </c>
      <c r="E50">
        <v>1</v>
      </c>
      <c r="F50">
        <v>4</v>
      </c>
      <c r="G50">
        <v>25</v>
      </c>
      <c r="H50">
        <v>7</v>
      </c>
      <c r="I50">
        <v>67.666666666666671</v>
      </c>
      <c r="J50">
        <v>88666.666666666672</v>
      </c>
      <c r="K50">
        <v>88.666666666666671</v>
      </c>
      <c r="L50">
        <v>3</v>
      </c>
      <c r="M50">
        <v>2</v>
      </c>
      <c r="N50">
        <v>42</v>
      </c>
      <c r="O50">
        <v>263</v>
      </c>
      <c r="P50" s="3">
        <v>9.9999999999999991E-22</v>
      </c>
      <c r="Q50">
        <v>7.5</v>
      </c>
      <c r="R50">
        <v>3250</v>
      </c>
      <c r="S50">
        <v>3.25</v>
      </c>
      <c r="T50" s="3">
        <v>9.9999999999999991E-22</v>
      </c>
      <c r="U50" s="3">
        <v>9.9999999999999991E-22</v>
      </c>
      <c r="V50" s="3">
        <v>9.9999999999999991E-22</v>
      </c>
      <c r="W50">
        <v>1</v>
      </c>
      <c r="X50">
        <v>1</v>
      </c>
      <c r="Y50">
        <v>778320</v>
      </c>
      <c r="Z50">
        <v>778.32</v>
      </c>
      <c r="AA50">
        <v>0.2547111996322966</v>
      </c>
      <c r="AB50">
        <v>4</v>
      </c>
      <c r="AC50">
        <v>3</v>
      </c>
      <c r="AD50">
        <v>0</v>
      </c>
      <c r="AE50">
        <v>0</v>
      </c>
      <c r="AF50">
        <v>1</v>
      </c>
      <c r="AG50">
        <v>203</v>
      </c>
      <c r="AH50">
        <v>266000</v>
      </c>
      <c r="AI50">
        <v>2</v>
      </c>
      <c r="AJ50">
        <v>76560</v>
      </c>
      <c r="AK50">
        <v>0</v>
      </c>
      <c r="AL50">
        <v>2500</v>
      </c>
      <c r="AM50">
        <v>27300</v>
      </c>
      <c r="AN50">
        <v>0</v>
      </c>
      <c r="AO50">
        <v>0</v>
      </c>
      <c r="AP50">
        <v>106.36</v>
      </c>
      <c r="AQ50">
        <v>35.453333333333333</v>
      </c>
      <c r="AR50">
        <v>159.63999999999999</v>
      </c>
      <c r="AS50">
        <v>53.213333333333331</v>
      </c>
      <c r="AT50">
        <f t="shared" si="0"/>
        <v>291.10266159695817</v>
      </c>
      <c r="AU50" s="3">
        <f t="shared" si="1"/>
        <v>0</v>
      </c>
      <c r="AV50">
        <f t="shared" si="2"/>
        <v>333.33333333333331</v>
      </c>
      <c r="AW50">
        <f t="shared" si="3"/>
        <v>8400</v>
      </c>
    </row>
    <row r="51" spans="1:49">
      <c r="A51">
        <v>51</v>
      </c>
      <c r="B51" t="s">
        <v>38</v>
      </c>
      <c r="C51" s="3">
        <v>0</v>
      </c>
      <c r="D51">
        <v>59</v>
      </c>
      <c r="E51">
        <v>1</v>
      </c>
      <c r="F51">
        <v>2</v>
      </c>
      <c r="G51">
        <v>42</v>
      </c>
      <c r="H51">
        <v>7</v>
      </c>
      <c r="I51">
        <v>100</v>
      </c>
      <c r="J51">
        <v>140000</v>
      </c>
      <c r="K51">
        <v>140</v>
      </c>
      <c r="L51">
        <v>0.5</v>
      </c>
      <c r="M51">
        <v>1</v>
      </c>
      <c r="N51">
        <v>2</v>
      </c>
      <c r="O51">
        <v>64</v>
      </c>
      <c r="P51">
        <v>1</v>
      </c>
      <c r="Q51">
        <v>2</v>
      </c>
      <c r="R51">
        <v>1000</v>
      </c>
      <c r="S51">
        <v>1</v>
      </c>
      <c r="T51" s="3">
        <v>9.9999999999999991E-22</v>
      </c>
      <c r="U51" s="3">
        <v>9.9999999999999991E-22</v>
      </c>
      <c r="V51" s="3">
        <v>9.9999999999999991E-22</v>
      </c>
      <c r="W51">
        <v>1</v>
      </c>
      <c r="X51" s="3">
        <v>9.9999999999999991E-22</v>
      </c>
      <c r="Y51">
        <v>244800</v>
      </c>
      <c r="Z51">
        <v>244.8</v>
      </c>
      <c r="AA51">
        <v>0.22236340533672172</v>
      </c>
      <c r="AB51">
        <v>3</v>
      </c>
      <c r="AC51">
        <v>3</v>
      </c>
      <c r="AD51">
        <v>0</v>
      </c>
      <c r="AE51">
        <v>0</v>
      </c>
      <c r="AF51">
        <v>1</v>
      </c>
      <c r="AG51">
        <v>50</v>
      </c>
      <c r="AH51">
        <v>70000</v>
      </c>
      <c r="AI51">
        <v>2</v>
      </c>
      <c r="AJ51">
        <v>22150</v>
      </c>
      <c r="AK51">
        <v>7800</v>
      </c>
      <c r="AL51">
        <v>600</v>
      </c>
      <c r="AM51">
        <v>10000</v>
      </c>
      <c r="AN51">
        <v>0</v>
      </c>
      <c r="AO51">
        <v>0</v>
      </c>
      <c r="AP51">
        <v>40.549999999999997</v>
      </c>
      <c r="AQ51">
        <v>81.099999999999994</v>
      </c>
      <c r="AR51">
        <v>29.450000000000003</v>
      </c>
      <c r="AS51">
        <v>58.900000000000006</v>
      </c>
      <c r="AT51">
        <f t="shared" si="0"/>
        <v>346.09375</v>
      </c>
      <c r="AU51" s="3">
        <f t="shared" si="1"/>
        <v>7800</v>
      </c>
      <c r="AV51">
        <f t="shared" si="2"/>
        <v>300</v>
      </c>
      <c r="AW51">
        <f t="shared" si="3"/>
        <v>10000</v>
      </c>
    </row>
    <row r="52" spans="1:49">
      <c r="A52">
        <v>52</v>
      </c>
      <c r="B52" t="s">
        <v>38</v>
      </c>
      <c r="C52">
        <v>1</v>
      </c>
      <c r="D52">
        <v>40</v>
      </c>
      <c r="E52">
        <v>0</v>
      </c>
      <c r="F52">
        <v>2</v>
      </c>
      <c r="G52">
        <v>21</v>
      </c>
      <c r="H52">
        <v>8</v>
      </c>
      <c r="I52">
        <v>78</v>
      </c>
      <c r="J52">
        <v>127600</v>
      </c>
      <c r="K52">
        <v>127.6</v>
      </c>
      <c r="L52">
        <v>0.5</v>
      </c>
      <c r="M52">
        <v>1</v>
      </c>
      <c r="N52">
        <v>58</v>
      </c>
      <c r="O52">
        <v>30</v>
      </c>
      <c r="P52">
        <v>1</v>
      </c>
      <c r="Q52">
        <v>0.5</v>
      </c>
      <c r="R52">
        <v>600</v>
      </c>
      <c r="S52">
        <v>0.6</v>
      </c>
      <c r="T52" s="3">
        <v>9.9999999999999991E-22</v>
      </c>
      <c r="U52" s="3">
        <v>9.9999999999999991E-22</v>
      </c>
      <c r="V52" s="3">
        <v>9.9999999999999991E-22</v>
      </c>
      <c r="W52">
        <v>1</v>
      </c>
      <c r="X52" s="3">
        <v>9.9999999999999991E-22</v>
      </c>
      <c r="Y52">
        <v>673920</v>
      </c>
      <c r="Z52">
        <v>673.92</v>
      </c>
      <c r="AA52">
        <v>8.6482676354172311E-2</v>
      </c>
      <c r="AB52">
        <v>3</v>
      </c>
      <c r="AC52">
        <v>3</v>
      </c>
      <c r="AD52">
        <v>0</v>
      </c>
      <c r="AE52">
        <v>0</v>
      </c>
      <c r="AF52">
        <v>1</v>
      </c>
      <c r="AG52">
        <v>39</v>
      </c>
      <c r="AH52">
        <v>63800</v>
      </c>
      <c r="AI52">
        <v>2</v>
      </c>
      <c r="AJ52">
        <v>13500</v>
      </c>
      <c r="AK52">
        <v>2600</v>
      </c>
      <c r="AL52">
        <v>450</v>
      </c>
      <c r="AM52">
        <v>5940</v>
      </c>
      <c r="AN52">
        <v>0</v>
      </c>
      <c r="AO52">
        <v>0</v>
      </c>
      <c r="AP52">
        <v>22.49</v>
      </c>
      <c r="AQ52">
        <v>44.98</v>
      </c>
      <c r="AR52">
        <v>41.31</v>
      </c>
      <c r="AS52">
        <v>82.62</v>
      </c>
      <c r="AT52">
        <f t="shared" si="0"/>
        <v>450</v>
      </c>
      <c r="AU52" s="3">
        <f t="shared" si="1"/>
        <v>2600</v>
      </c>
      <c r="AV52">
        <f t="shared" si="2"/>
        <v>900</v>
      </c>
      <c r="AW52">
        <f t="shared" si="3"/>
        <v>9900</v>
      </c>
    </row>
    <row r="53" spans="1:49">
      <c r="A53">
        <v>53</v>
      </c>
      <c r="B53" t="s">
        <v>38</v>
      </c>
      <c r="C53" s="3">
        <v>0</v>
      </c>
      <c r="D53">
        <v>51</v>
      </c>
      <c r="E53">
        <v>1</v>
      </c>
      <c r="F53">
        <v>4</v>
      </c>
      <c r="G53">
        <v>33</v>
      </c>
      <c r="H53">
        <v>4</v>
      </c>
      <c r="I53">
        <v>62</v>
      </c>
      <c r="J53">
        <v>85800</v>
      </c>
      <c r="K53">
        <v>85.8</v>
      </c>
      <c r="L53">
        <v>0.5</v>
      </c>
      <c r="M53">
        <v>1</v>
      </c>
      <c r="N53">
        <v>9.75</v>
      </c>
      <c r="O53">
        <v>57</v>
      </c>
      <c r="P53" s="3">
        <v>9.9999999999999991E-22</v>
      </c>
      <c r="Q53">
        <v>2</v>
      </c>
      <c r="R53">
        <v>600</v>
      </c>
      <c r="S53">
        <v>0.6</v>
      </c>
      <c r="T53" s="3">
        <v>9.9999999999999991E-22</v>
      </c>
      <c r="U53" s="3">
        <v>9.9999999999999991E-22</v>
      </c>
      <c r="V53" s="3">
        <v>9.9999999999999991E-22</v>
      </c>
      <c r="W53">
        <v>1</v>
      </c>
      <c r="X53" s="3">
        <v>9.9999999999999991E-22</v>
      </c>
      <c r="Y53">
        <v>529000</v>
      </c>
      <c r="Z53">
        <v>529</v>
      </c>
      <c r="AA53">
        <v>7.5013114180800838E-2</v>
      </c>
      <c r="AB53">
        <v>3</v>
      </c>
      <c r="AC53">
        <v>3</v>
      </c>
      <c r="AD53">
        <v>0</v>
      </c>
      <c r="AE53">
        <v>0</v>
      </c>
      <c r="AF53">
        <v>1</v>
      </c>
      <c r="AG53">
        <v>31</v>
      </c>
      <c r="AH53">
        <v>42900</v>
      </c>
      <c r="AI53">
        <v>2</v>
      </c>
      <c r="AJ53">
        <v>11290</v>
      </c>
      <c r="AK53">
        <v>0</v>
      </c>
      <c r="AL53">
        <v>0</v>
      </c>
      <c r="AM53">
        <v>5760</v>
      </c>
      <c r="AN53">
        <v>0</v>
      </c>
      <c r="AO53">
        <v>0</v>
      </c>
      <c r="AP53">
        <v>17.05</v>
      </c>
      <c r="AQ53">
        <v>34.1</v>
      </c>
      <c r="AR53">
        <v>25.849999999999998</v>
      </c>
      <c r="AS53">
        <v>51.699999999999996</v>
      </c>
      <c r="AT53">
        <f t="shared" si="0"/>
        <v>198.07017543859649</v>
      </c>
      <c r="AU53" s="3">
        <f t="shared" si="1"/>
        <v>0</v>
      </c>
      <c r="AV53">
        <f t="shared" si="2"/>
        <v>0</v>
      </c>
      <c r="AW53">
        <f t="shared" si="3"/>
        <v>9600</v>
      </c>
    </row>
    <row r="54" spans="1:49">
      <c r="A54">
        <v>54</v>
      </c>
      <c r="B54" t="s">
        <v>38</v>
      </c>
      <c r="C54">
        <v>1</v>
      </c>
      <c r="D54">
        <v>61</v>
      </c>
      <c r="E54">
        <v>1</v>
      </c>
      <c r="F54">
        <v>2</v>
      </c>
      <c r="G54">
        <v>44</v>
      </c>
      <c r="H54">
        <v>4</v>
      </c>
      <c r="I54">
        <v>50</v>
      </c>
      <c r="J54">
        <v>84000</v>
      </c>
      <c r="K54">
        <v>84</v>
      </c>
      <c r="L54">
        <v>1</v>
      </c>
      <c r="M54">
        <v>2</v>
      </c>
      <c r="N54">
        <v>62.5</v>
      </c>
      <c r="O54">
        <v>52</v>
      </c>
      <c r="P54" s="3">
        <v>9.9999999999999991E-22</v>
      </c>
      <c r="Q54">
        <v>4</v>
      </c>
      <c r="R54">
        <v>1000</v>
      </c>
      <c r="S54">
        <v>1</v>
      </c>
      <c r="T54" s="3">
        <v>9.9999999999999991E-22</v>
      </c>
      <c r="U54" s="3">
        <v>9.9999999999999991E-22</v>
      </c>
      <c r="V54" s="3">
        <v>9.9999999999999991E-22</v>
      </c>
      <c r="W54">
        <v>1</v>
      </c>
      <c r="X54" s="3">
        <v>9.9999999999999991E-22</v>
      </c>
      <c r="Y54">
        <v>0</v>
      </c>
      <c r="Z54">
        <v>0</v>
      </c>
      <c r="AA54">
        <v>1</v>
      </c>
      <c r="AB54">
        <v>5</v>
      </c>
      <c r="AC54">
        <v>4</v>
      </c>
      <c r="AD54">
        <v>0</v>
      </c>
      <c r="AE54">
        <v>0</v>
      </c>
      <c r="AF54">
        <v>1</v>
      </c>
      <c r="AG54">
        <v>50</v>
      </c>
      <c r="AH54">
        <v>84000</v>
      </c>
      <c r="AI54">
        <v>3</v>
      </c>
      <c r="AJ54">
        <v>17600</v>
      </c>
      <c r="AK54">
        <v>0</v>
      </c>
      <c r="AL54">
        <v>2400</v>
      </c>
      <c r="AM54">
        <v>10160</v>
      </c>
      <c r="AN54">
        <v>0</v>
      </c>
      <c r="AO54">
        <v>0</v>
      </c>
      <c r="AP54">
        <v>30.16</v>
      </c>
      <c r="AQ54">
        <v>30.16</v>
      </c>
      <c r="AR54">
        <v>53.84</v>
      </c>
      <c r="AS54">
        <v>53.84</v>
      </c>
      <c r="AT54">
        <f t="shared" si="0"/>
        <v>338.46153846153845</v>
      </c>
      <c r="AU54" s="3">
        <f t="shared" si="1"/>
        <v>0</v>
      </c>
      <c r="AV54">
        <f t="shared" si="2"/>
        <v>600</v>
      </c>
      <c r="AW54">
        <f t="shared" si="3"/>
        <v>10160</v>
      </c>
    </row>
    <row r="55" spans="1:49">
      <c r="A55">
        <v>55</v>
      </c>
      <c r="B55" t="s">
        <v>38</v>
      </c>
      <c r="C55">
        <v>1</v>
      </c>
      <c r="D55">
        <v>47</v>
      </c>
      <c r="E55">
        <v>0</v>
      </c>
      <c r="F55">
        <v>4</v>
      </c>
      <c r="G55">
        <v>8</v>
      </c>
      <c r="H55">
        <v>5</v>
      </c>
      <c r="I55">
        <v>52.857142857142861</v>
      </c>
      <c r="J55">
        <v>80714.285714285725</v>
      </c>
      <c r="K55">
        <v>80.714285714285722</v>
      </c>
      <c r="L55">
        <v>0.7</v>
      </c>
      <c r="M55">
        <v>1</v>
      </c>
      <c r="N55">
        <v>144</v>
      </c>
      <c r="O55">
        <v>55</v>
      </c>
      <c r="P55" s="3">
        <v>9.9999999999999991E-22</v>
      </c>
      <c r="Q55">
        <v>2</v>
      </c>
      <c r="R55">
        <v>750</v>
      </c>
      <c r="S55">
        <v>0.75</v>
      </c>
      <c r="T55" s="3">
        <v>9.9999999999999991E-22</v>
      </c>
      <c r="U55" s="3">
        <v>9.9999999999999991E-22</v>
      </c>
      <c r="V55" s="3">
        <v>9.9999999999999991E-22</v>
      </c>
      <c r="W55">
        <v>1</v>
      </c>
      <c r="X55" s="3">
        <v>9.9999999999999991E-22</v>
      </c>
      <c r="Y55">
        <v>64000</v>
      </c>
      <c r="Z55">
        <v>64</v>
      </c>
      <c r="AA55">
        <v>0.46887966804979253</v>
      </c>
      <c r="AB55">
        <v>4</v>
      </c>
      <c r="AC55">
        <v>3</v>
      </c>
      <c r="AD55">
        <v>0</v>
      </c>
      <c r="AE55">
        <v>0</v>
      </c>
      <c r="AF55">
        <v>1</v>
      </c>
      <c r="AG55">
        <v>37</v>
      </c>
      <c r="AH55">
        <v>56500</v>
      </c>
      <c r="AI55">
        <v>2</v>
      </c>
      <c r="AJ55">
        <v>20560</v>
      </c>
      <c r="AK55">
        <v>0</v>
      </c>
      <c r="AL55">
        <v>1200</v>
      </c>
      <c r="AM55">
        <v>11876</v>
      </c>
      <c r="AN55">
        <v>0</v>
      </c>
      <c r="AO55">
        <v>0</v>
      </c>
      <c r="AP55">
        <v>33.636000000000003</v>
      </c>
      <c r="AQ55">
        <v>48.05142857142858</v>
      </c>
      <c r="AR55">
        <v>22.863999999999997</v>
      </c>
      <c r="AS55">
        <v>32.662857142857142</v>
      </c>
      <c r="AT55">
        <f t="shared" si="0"/>
        <v>373.81818181818181</v>
      </c>
      <c r="AU55" s="3">
        <f t="shared" si="1"/>
        <v>0</v>
      </c>
      <c r="AV55">
        <f t="shared" si="2"/>
        <v>600</v>
      </c>
      <c r="AW55">
        <f t="shared" si="3"/>
        <v>15834.666666666666</v>
      </c>
    </row>
    <row r="56" spans="1:49">
      <c r="A56">
        <v>56</v>
      </c>
      <c r="B56" t="s">
        <v>38</v>
      </c>
      <c r="C56">
        <v>1</v>
      </c>
      <c r="D56">
        <v>43</v>
      </c>
      <c r="E56">
        <v>1</v>
      </c>
      <c r="F56">
        <v>5</v>
      </c>
      <c r="G56">
        <v>20</v>
      </c>
      <c r="H56">
        <v>7</v>
      </c>
      <c r="I56">
        <v>66.666666666666671</v>
      </c>
      <c r="J56">
        <v>98000</v>
      </c>
      <c r="K56">
        <v>98</v>
      </c>
      <c r="L56">
        <v>1.5</v>
      </c>
      <c r="M56">
        <v>1</v>
      </c>
      <c r="N56">
        <v>69.5</v>
      </c>
      <c r="O56">
        <v>96</v>
      </c>
      <c r="P56">
        <v>5</v>
      </c>
      <c r="Q56">
        <v>20</v>
      </c>
      <c r="R56">
        <v>2250</v>
      </c>
      <c r="S56">
        <v>2.25</v>
      </c>
      <c r="T56" s="3">
        <v>9.9999999999999991E-22</v>
      </c>
      <c r="U56" s="3">
        <v>9.9999999999999991E-22</v>
      </c>
      <c r="V56" s="3">
        <v>9.9999999999999991E-22</v>
      </c>
      <c r="W56">
        <v>1</v>
      </c>
      <c r="X56">
        <v>1</v>
      </c>
      <c r="Y56">
        <v>120000</v>
      </c>
      <c r="Z56">
        <v>120</v>
      </c>
      <c r="AA56">
        <v>0.550561797752809</v>
      </c>
      <c r="AB56">
        <v>3</v>
      </c>
      <c r="AC56">
        <v>3</v>
      </c>
      <c r="AD56">
        <v>0</v>
      </c>
      <c r="AE56">
        <v>0</v>
      </c>
      <c r="AF56">
        <v>1</v>
      </c>
      <c r="AG56">
        <v>100</v>
      </c>
      <c r="AH56">
        <v>147000</v>
      </c>
      <c r="AI56">
        <v>2</v>
      </c>
      <c r="AJ56">
        <v>34200</v>
      </c>
      <c r="AK56">
        <v>4000</v>
      </c>
      <c r="AL56">
        <v>0</v>
      </c>
      <c r="AM56">
        <v>24100</v>
      </c>
      <c r="AN56">
        <v>0</v>
      </c>
      <c r="AO56">
        <v>0</v>
      </c>
      <c r="AP56">
        <v>62.3</v>
      </c>
      <c r="AQ56">
        <v>41.533333333333331</v>
      </c>
      <c r="AR56">
        <v>84.7</v>
      </c>
      <c r="AS56">
        <v>56.466666666666669</v>
      </c>
      <c r="AT56">
        <f t="shared" si="0"/>
        <v>356.25</v>
      </c>
      <c r="AU56" s="3">
        <f t="shared" si="1"/>
        <v>800</v>
      </c>
      <c r="AV56">
        <f t="shared" si="2"/>
        <v>0</v>
      </c>
      <c r="AW56">
        <f t="shared" si="3"/>
        <v>10711.111111111111</v>
      </c>
    </row>
    <row r="57" spans="1:49">
      <c r="A57">
        <v>57</v>
      </c>
      <c r="B57" t="s">
        <v>38</v>
      </c>
      <c r="C57">
        <v>1</v>
      </c>
      <c r="D57">
        <v>74</v>
      </c>
      <c r="E57">
        <v>0</v>
      </c>
      <c r="F57">
        <v>1</v>
      </c>
      <c r="G57">
        <v>60</v>
      </c>
      <c r="H57">
        <v>5</v>
      </c>
      <c r="I57">
        <v>65.333333333333329</v>
      </c>
      <c r="J57">
        <v>46805.333333333336</v>
      </c>
      <c r="K57">
        <v>46.805333333333337</v>
      </c>
      <c r="L57">
        <v>1.5</v>
      </c>
      <c r="M57">
        <v>1</v>
      </c>
      <c r="N57">
        <v>559.5</v>
      </c>
      <c r="O57">
        <v>41</v>
      </c>
      <c r="P57">
        <v>1</v>
      </c>
      <c r="Q57">
        <v>19</v>
      </c>
      <c r="R57">
        <v>1500</v>
      </c>
      <c r="S57">
        <v>1.5</v>
      </c>
      <c r="T57" s="3">
        <v>9.9999999999999991E-22</v>
      </c>
      <c r="U57" s="3">
        <v>9.9999999999999991E-22</v>
      </c>
      <c r="V57" s="3">
        <v>9.9999999999999991E-22</v>
      </c>
      <c r="W57" s="3">
        <v>9.9999999999999991E-22</v>
      </c>
      <c r="X57" s="3">
        <v>9.9999999999999991E-22</v>
      </c>
      <c r="Y57">
        <v>12000</v>
      </c>
      <c r="Z57">
        <v>12</v>
      </c>
      <c r="AA57">
        <v>0.85402880498248346</v>
      </c>
      <c r="AB57">
        <v>4</v>
      </c>
      <c r="AC57">
        <v>3</v>
      </c>
      <c r="AD57">
        <v>0</v>
      </c>
      <c r="AE57">
        <v>0</v>
      </c>
      <c r="AF57">
        <v>1</v>
      </c>
      <c r="AG57">
        <v>98</v>
      </c>
      <c r="AH57">
        <v>70208</v>
      </c>
      <c r="AI57">
        <v>3</v>
      </c>
      <c r="AJ57">
        <v>32340</v>
      </c>
      <c r="AK57">
        <v>5000</v>
      </c>
      <c r="AL57">
        <v>0</v>
      </c>
      <c r="AM57">
        <v>15000</v>
      </c>
      <c r="AN57">
        <v>0</v>
      </c>
      <c r="AO57">
        <v>0</v>
      </c>
      <c r="AP57">
        <v>52.34</v>
      </c>
      <c r="AQ57">
        <v>34.893333333333338</v>
      </c>
      <c r="AR57">
        <v>17.867999999999995</v>
      </c>
      <c r="AS57">
        <v>11.911999999999997</v>
      </c>
      <c r="AT57">
        <f t="shared" si="0"/>
        <v>788.78048780487802</v>
      </c>
      <c r="AU57" s="3">
        <f t="shared" si="1"/>
        <v>5000</v>
      </c>
      <c r="AV57">
        <f t="shared" si="2"/>
        <v>0</v>
      </c>
      <c r="AW57">
        <f t="shared" si="3"/>
        <v>10000</v>
      </c>
    </row>
    <row r="58" spans="1:49">
      <c r="A58">
        <v>58</v>
      </c>
      <c r="B58" t="s">
        <v>38</v>
      </c>
      <c r="C58" s="3">
        <v>0</v>
      </c>
      <c r="D58">
        <v>69</v>
      </c>
      <c r="E58">
        <v>1</v>
      </c>
      <c r="F58">
        <v>4</v>
      </c>
      <c r="G58">
        <v>55</v>
      </c>
      <c r="H58">
        <v>4</v>
      </c>
      <c r="I58">
        <v>85</v>
      </c>
      <c r="J58">
        <v>84000</v>
      </c>
      <c r="K58">
        <v>84</v>
      </c>
      <c r="L58">
        <v>1</v>
      </c>
      <c r="M58">
        <v>1</v>
      </c>
      <c r="N58">
        <v>66.5</v>
      </c>
      <c r="O58">
        <v>72</v>
      </c>
      <c r="P58">
        <v>1</v>
      </c>
      <c r="Q58">
        <v>74</v>
      </c>
      <c r="R58">
        <v>1500</v>
      </c>
      <c r="S58">
        <v>1.5</v>
      </c>
      <c r="T58" s="3">
        <v>9.9999999999999991E-22</v>
      </c>
      <c r="U58" s="3">
        <v>9.9999999999999991E-22</v>
      </c>
      <c r="V58" s="3">
        <v>9.9999999999999991E-22</v>
      </c>
      <c r="W58">
        <v>1</v>
      </c>
      <c r="X58" s="3">
        <v>9.9999999999999991E-22</v>
      </c>
      <c r="Y58">
        <v>43200</v>
      </c>
      <c r="Z58">
        <v>43.2</v>
      </c>
      <c r="AA58">
        <v>0.660377358490566</v>
      </c>
      <c r="AB58">
        <v>4</v>
      </c>
      <c r="AC58">
        <v>3</v>
      </c>
      <c r="AD58">
        <v>0</v>
      </c>
      <c r="AE58">
        <v>0</v>
      </c>
      <c r="AF58">
        <v>1</v>
      </c>
      <c r="AG58">
        <v>85</v>
      </c>
      <c r="AH58">
        <v>84000</v>
      </c>
      <c r="AI58">
        <v>3</v>
      </c>
      <c r="AJ58">
        <v>26800</v>
      </c>
      <c r="AK58">
        <v>1078</v>
      </c>
      <c r="AL58">
        <v>0</v>
      </c>
      <c r="AM58">
        <v>15600</v>
      </c>
      <c r="AN58">
        <v>0</v>
      </c>
      <c r="AO58">
        <v>0</v>
      </c>
      <c r="AP58">
        <v>43.478000000000002</v>
      </c>
      <c r="AQ58">
        <v>43.478000000000002</v>
      </c>
      <c r="AR58">
        <v>40.521999999999998</v>
      </c>
      <c r="AS58">
        <v>40.521999999999998</v>
      </c>
      <c r="AT58">
        <f t="shared" si="0"/>
        <v>372.22222222222223</v>
      </c>
      <c r="AU58" s="3">
        <f t="shared" si="1"/>
        <v>1078</v>
      </c>
      <c r="AV58">
        <f t="shared" si="2"/>
        <v>0</v>
      </c>
      <c r="AW58">
        <f t="shared" si="3"/>
        <v>10400</v>
      </c>
    </row>
    <row r="59" spans="1:49">
      <c r="A59">
        <v>59</v>
      </c>
      <c r="B59" t="s">
        <v>38</v>
      </c>
      <c r="C59" s="3">
        <v>0</v>
      </c>
      <c r="D59">
        <v>56</v>
      </c>
      <c r="E59">
        <v>0</v>
      </c>
      <c r="F59">
        <v>5</v>
      </c>
      <c r="G59">
        <v>34</v>
      </c>
      <c r="H59">
        <v>5</v>
      </c>
      <c r="I59">
        <v>74.666666666666671</v>
      </c>
      <c r="J59">
        <v>123000</v>
      </c>
      <c r="K59">
        <v>123</v>
      </c>
      <c r="L59">
        <v>1.5</v>
      </c>
      <c r="M59">
        <v>2</v>
      </c>
      <c r="N59">
        <v>10</v>
      </c>
      <c r="O59">
        <v>46</v>
      </c>
      <c r="P59" s="3">
        <v>9.9999999999999991E-22</v>
      </c>
      <c r="Q59">
        <v>3</v>
      </c>
      <c r="R59">
        <v>1500</v>
      </c>
      <c r="S59">
        <v>1.5</v>
      </c>
      <c r="T59" s="3">
        <v>9.9999999999999991E-22</v>
      </c>
      <c r="U59" s="3">
        <v>9.9999999999999991E-22</v>
      </c>
      <c r="V59" s="3">
        <v>9.9999999999999991E-22</v>
      </c>
      <c r="W59" s="3">
        <v>9.9999999999999991E-22</v>
      </c>
      <c r="X59" s="3">
        <v>9.9999999999999991E-22</v>
      </c>
      <c r="Y59">
        <v>216000</v>
      </c>
      <c r="Z59">
        <v>216</v>
      </c>
      <c r="AA59">
        <v>0.4606741573033708</v>
      </c>
      <c r="AB59">
        <v>4</v>
      </c>
      <c r="AC59">
        <v>3</v>
      </c>
      <c r="AD59">
        <v>0</v>
      </c>
      <c r="AE59">
        <v>0</v>
      </c>
      <c r="AF59">
        <v>1</v>
      </c>
      <c r="AG59">
        <v>112</v>
      </c>
      <c r="AH59">
        <v>184500</v>
      </c>
      <c r="AI59">
        <v>2</v>
      </c>
      <c r="AJ59">
        <v>40190</v>
      </c>
      <c r="AK59">
        <v>0</v>
      </c>
      <c r="AL59">
        <v>1800</v>
      </c>
      <c r="AM59">
        <v>14100</v>
      </c>
      <c r="AN59">
        <v>0</v>
      </c>
      <c r="AO59">
        <v>0</v>
      </c>
      <c r="AP59">
        <v>56.09</v>
      </c>
      <c r="AQ59">
        <v>37.393333333333338</v>
      </c>
      <c r="AR59">
        <v>128.41</v>
      </c>
      <c r="AS59">
        <v>85.606666666666669</v>
      </c>
      <c r="AT59">
        <f t="shared" si="0"/>
        <v>873.695652173913</v>
      </c>
      <c r="AU59" s="3">
        <f t="shared" si="1"/>
        <v>0</v>
      </c>
      <c r="AV59">
        <f t="shared" si="2"/>
        <v>600</v>
      </c>
      <c r="AW59">
        <f t="shared" si="3"/>
        <v>9400</v>
      </c>
    </row>
    <row r="60" spans="1:49">
      <c r="A60">
        <v>60</v>
      </c>
      <c r="B60" t="s">
        <v>38</v>
      </c>
      <c r="C60" s="3">
        <v>0</v>
      </c>
      <c r="D60">
        <v>65</v>
      </c>
      <c r="E60">
        <v>0</v>
      </c>
      <c r="F60">
        <v>2</v>
      </c>
      <c r="G60">
        <v>49</v>
      </c>
      <c r="H60">
        <v>9</v>
      </c>
      <c r="I60">
        <v>53.333333333333336</v>
      </c>
      <c r="J60">
        <v>55466.666666666664</v>
      </c>
      <c r="K60">
        <v>55.466666666666661</v>
      </c>
      <c r="L60">
        <v>0.75</v>
      </c>
      <c r="M60">
        <v>1</v>
      </c>
      <c r="N60">
        <v>24</v>
      </c>
      <c r="O60">
        <v>27</v>
      </c>
      <c r="P60" s="3">
        <v>9.9999999999999991E-22</v>
      </c>
      <c r="Q60">
        <v>3</v>
      </c>
      <c r="R60">
        <v>600</v>
      </c>
      <c r="S60">
        <v>0.6</v>
      </c>
      <c r="T60" s="3">
        <v>9.9999999999999991E-22</v>
      </c>
      <c r="U60" s="3">
        <v>9.9999999999999991E-22</v>
      </c>
      <c r="V60" s="3">
        <v>9.9999999999999991E-22</v>
      </c>
      <c r="W60" s="3">
        <v>9.9999999999999991E-22</v>
      </c>
      <c r="X60">
        <v>1</v>
      </c>
      <c r="Y60">
        <v>186000</v>
      </c>
      <c r="Z60">
        <v>186</v>
      </c>
      <c r="AA60">
        <v>0.18277680140597541</v>
      </c>
      <c r="AB60">
        <v>4</v>
      </c>
      <c r="AC60">
        <v>2</v>
      </c>
      <c r="AD60">
        <v>0</v>
      </c>
      <c r="AE60">
        <v>0</v>
      </c>
      <c r="AF60">
        <v>1</v>
      </c>
      <c r="AG60">
        <v>40</v>
      </c>
      <c r="AH60">
        <v>41600</v>
      </c>
      <c r="AI60">
        <v>2</v>
      </c>
      <c r="AJ60">
        <v>18520</v>
      </c>
      <c r="AK60">
        <v>0</v>
      </c>
      <c r="AL60">
        <v>1800</v>
      </c>
      <c r="AM60">
        <v>6360</v>
      </c>
      <c r="AN60">
        <v>0</v>
      </c>
      <c r="AO60">
        <v>0</v>
      </c>
      <c r="AP60">
        <v>26.68</v>
      </c>
      <c r="AQ60">
        <v>35.573333333333331</v>
      </c>
      <c r="AR60">
        <v>14.920000000000002</v>
      </c>
      <c r="AS60">
        <v>19.893333333333334</v>
      </c>
      <c r="AT60">
        <f t="shared" si="0"/>
        <v>685.92592592592598</v>
      </c>
      <c r="AU60" s="3">
        <f t="shared" si="1"/>
        <v>0</v>
      </c>
      <c r="AV60">
        <f t="shared" si="2"/>
        <v>600</v>
      </c>
      <c r="AW60">
        <f t="shared" si="3"/>
        <v>10600</v>
      </c>
    </row>
    <row r="61" spans="1:49">
      <c r="A61">
        <v>61</v>
      </c>
      <c r="B61" t="s">
        <v>38</v>
      </c>
      <c r="C61">
        <v>1</v>
      </c>
      <c r="D61">
        <v>44</v>
      </c>
      <c r="E61">
        <v>0</v>
      </c>
      <c r="F61">
        <v>5</v>
      </c>
      <c r="G61">
        <v>20</v>
      </c>
      <c r="H61">
        <v>5</v>
      </c>
      <c r="I61">
        <v>64.5</v>
      </c>
      <c r="J61">
        <v>108500</v>
      </c>
      <c r="K61">
        <v>108.5</v>
      </c>
      <c r="L61">
        <v>2</v>
      </c>
      <c r="M61">
        <v>2</v>
      </c>
      <c r="N61" s="3">
        <v>9.9999999999999991E-22</v>
      </c>
      <c r="O61">
        <v>34</v>
      </c>
      <c r="P61">
        <v>2</v>
      </c>
      <c r="Q61">
        <v>4</v>
      </c>
      <c r="R61">
        <v>1250</v>
      </c>
      <c r="S61">
        <v>1.25</v>
      </c>
      <c r="T61" s="3">
        <v>9.9999999999999991E-22</v>
      </c>
      <c r="U61" s="3">
        <v>9.9999999999999991E-22</v>
      </c>
      <c r="V61" s="3">
        <v>9.9999999999999991E-22</v>
      </c>
      <c r="W61" s="3">
        <v>9.9999999999999991E-22</v>
      </c>
      <c r="X61" s="3">
        <v>9.9999999999999991E-22</v>
      </c>
      <c r="Y61">
        <v>360000</v>
      </c>
      <c r="Z61">
        <v>360</v>
      </c>
      <c r="AA61">
        <v>0.37608318890814557</v>
      </c>
      <c r="AB61">
        <v>4</v>
      </c>
      <c r="AC61">
        <v>3</v>
      </c>
      <c r="AD61">
        <v>0</v>
      </c>
      <c r="AE61">
        <v>0</v>
      </c>
      <c r="AF61">
        <v>1</v>
      </c>
      <c r="AG61">
        <v>129</v>
      </c>
      <c r="AH61">
        <v>217000</v>
      </c>
      <c r="AI61">
        <v>2</v>
      </c>
      <c r="AJ61">
        <v>42580</v>
      </c>
      <c r="AK61">
        <v>10200</v>
      </c>
      <c r="AL61">
        <v>2000</v>
      </c>
      <c r="AM61">
        <v>13250</v>
      </c>
      <c r="AN61">
        <v>0</v>
      </c>
      <c r="AO61">
        <v>0</v>
      </c>
      <c r="AP61">
        <v>68.03</v>
      </c>
      <c r="AQ61">
        <v>34.015000000000001</v>
      </c>
      <c r="AR61">
        <v>148.97</v>
      </c>
      <c r="AS61">
        <v>74.484999999999999</v>
      </c>
      <c r="AT61">
        <f t="shared" si="0"/>
        <v>1252.3529411764705</v>
      </c>
      <c r="AU61" s="3">
        <f t="shared" si="1"/>
        <v>5100</v>
      </c>
      <c r="AV61">
        <f t="shared" si="2"/>
        <v>500</v>
      </c>
      <c r="AW61">
        <f t="shared" si="3"/>
        <v>10600</v>
      </c>
    </row>
    <row r="62" spans="1:49">
      <c r="A62">
        <v>62</v>
      </c>
      <c r="B62" t="s">
        <v>38</v>
      </c>
      <c r="C62">
        <v>1</v>
      </c>
      <c r="D62">
        <v>38</v>
      </c>
      <c r="E62">
        <v>0</v>
      </c>
      <c r="F62">
        <v>3</v>
      </c>
      <c r="G62">
        <v>15</v>
      </c>
      <c r="H62">
        <v>5</v>
      </c>
      <c r="I62">
        <v>42.307692307692307</v>
      </c>
      <c r="J62">
        <v>63346.153846153844</v>
      </c>
      <c r="K62">
        <v>63.346153846153847</v>
      </c>
      <c r="L62">
        <v>1.3</v>
      </c>
      <c r="M62">
        <v>1</v>
      </c>
      <c r="N62">
        <v>58</v>
      </c>
      <c r="O62">
        <v>55</v>
      </c>
      <c r="P62">
        <v>1</v>
      </c>
      <c r="Q62">
        <v>3</v>
      </c>
      <c r="R62">
        <v>750</v>
      </c>
      <c r="S62">
        <v>0.75</v>
      </c>
      <c r="T62" s="3">
        <v>9.9999999999999991E-22</v>
      </c>
      <c r="U62" s="3">
        <v>9.9999999999999991E-22</v>
      </c>
      <c r="V62" s="3">
        <v>9.9999999999999991E-22</v>
      </c>
      <c r="W62">
        <v>1</v>
      </c>
      <c r="X62" s="3">
        <v>9.9999999999999991E-22</v>
      </c>
      <c r="Y62">
        <v>48000</v>
      </c>
      <c r="Z62">
        <v>48</v>
      </c>
      <c r="AA62">
        <v>0.63176064441887225</v>
      </c>
      <c r="AB62">
        <v>3</v>
      </c>
      <c r="AC62">
        <v>3</v>
      </c>
      <c r="AD62">
        <v>0</v>
      </c>
      <c r="AE62">
        <v>0</v>
      </c>
      <c r="AF62">
        <v>1</v>
      </c>
      <c r="AG62">
        <v>55</v>
      </c>
      <c r="AH62">
        <v>82350</v>
      </c>
      <c r="AI62">
        <v>2</v>
      </c>
      <c r="AJ62">
        <v>27950</v>
      </c>
      <c r="AK62">
        <v>2626</v>
      </c>
      <c r="AL62">
        <v>1500</v>
      </c>
      <c r="AM62">
        <v>7950</v>
      </c>
      <c r="AN62">
        <v>0</v>
      </c>
      <c r="AO62">
        <v>0</v>
      </c>
      <c r="AP62">
        <v>40.026000000000003</v>
      </c>
      <c r="AQ62">
        <v>30.78923076923077</v>
      </c>
      <c r="AR62">
        <v>42.323999999999991</v>
      </c>
      <c r="AS62">
        <v>32.55692307692307</v>
      </c>
      <c r="AT62">
        <f t="shared" si="0"/>
        <v>508.18181818181819</v>
      </c>
      <c r="AU62" s="3">
        <f t="shared" si="1"/>
        <v>2626</v>
      </c>
      <c r="AV62">
        <f t="shared" si="2"/>
        <v>500</v>
      </c>
      <c r="AW62">
        <f t="shared" si="3"/>
        <v>10600</v>
      </c>
    </row>
    <row r="63" spans="1:49">
      <c r="A63">
        <v>63</v>
      </c>
      <c r="B63" t="s">
        <v>38</v>
      </c>
      <c r="C63">
        <v>1</v>
      </c>
      <c r="D63">
        <v>60</v>
      </c>
      <c r="E63">
        <v>0</v>
      </c>
      <c r="F63">
        <v>2</v>
      </c>
      <c r="G63">
        <v>40</v>
      </c>
      <c r="H63">
        <v>6</v>
      </c>
      <c r="I63">
        <v>47.058823529411768</v>
      </c>
      <c r="J63">
        <v>82352.941176470587</v>
      </c>
      <c r="K63">
        <v>82.352941176470594</v>
      </c>
      <c r="L63">
        <v>1.7</v>
      </c>
      <c r="M63">
        <v>2</v>
      </c>
      <c r="N63">
        <v>9</v>
      </c>
      <c r="O63">
        <v>32</v>
      </c>
      <c r="P63">
        <v>1</v>
      </c>
      <c r="Q63">
        <v>3</v>
      </c>
      <c r="R63">
        <v>2000</v>
      </c>
      <c r="S63">
        <v>2</v>
      </c>
      <c r="T63" s="3">
        <v>9.9999999999999991E-22</v>
      </c>
      <c r="U63" s="3">
        <v>9.9999999999999991E-22</v>
      </c>
      <c r="V63" s="3">
        <v>9.9999999999999991E-22</v>
      </c>
      <c r="W63" s="3">
        <v>9.9999999999999991E-22</v>
      </c>
      <c r="X63">
        <v>1</v>
      </c>
      <c r="Y63">
        <v>180000</v>
      </c>
      <c r="Z63">
        <v>180</v>
      </c>
      <c r="AA63">
        <v>0.4375</v>
      </c>
      <c r="AB63">
        <v>4</v>
      </c>
      <c r="AC63">
        <v>1</v>
      </c>
      <c r="AD63">
        <v>0</v>
      </c>
      <c r="AE63">
        <v>0</v>
      </c>
      <c r="AF63">
        <v>1</v>
      </c>
      <c r="AG63">
        <v>80</v>
      </c>
      <c r="AH63">
        <v>140000</v>
      </c>
      <c r="AI63">
        <v>2</v>
      </c>
      <c r="AJ63">
        <v>41600</v>
      </c>
      <c r="AK63">
        <v>8670</v>
      </c>
      <c r="AL63">
        <v>1800</v>
      </c>
      <c r="AM63">
        <v>21200</v>
      </c>
      <c r="AN63">
        <v>0</v>
      </c>
      <c r="AO63">
        <v>0</v>
      </c>
      <c r="AP63">
        <v>73.27</v>
      </c>
      <c r="AQ63">
        <v>43.1</v>
      </c>
      <c r="AR63">
        <v>66.73</v>
      </c>
      <c r="AS63">
        <v>39.252941176470593</v>
      </c>
      <c r="AT63">
        <f t="shared" si="0"/>
        <v>1300</v>
      </c>
      <c r="AU63" s="3">
        <f t="shared" si="1"/>
        <v>8670</v>
      </c>
      <c r="AV63">
        <f t="shared" si="2"/>
        <v>600</v>
      </c>
      <c r="AW63">
        <f t="shared" si="3"/>
        <v>10600</v>
      </c>
    </row>
    <row r="64" spans="1:49">
      <c r="A64">
        <v>64</v>
      </c>
      <c r="B64" t="s">
        <v>38</v>
      </c>
      <c r="C64" s="3">
        <v>0</v>
      </c>
      <c r="D64">
        <v>66</v>
      </c>
      <c r="E64">
        <v>1</v>
      </c>
      <c r="F64">
        <v>3</v>
      </c>
      <c r="G64">
        <v>40</v>
      </c>
      <c r="H64">
        <v>5</v>
      </c>
      <c r="I64">
        <v>48</v>
      </c>
      <c r="J64">
        <v>60000</v>
      </c>
      <c r="K64">
        <v>60</v>
      </c>
      <c r="L64">
        <v>2.5</v>
      </c>
      <c r="M64">
        <v>1</v>
      </c>
      <c r="N64">
        <v>18</v>
      </c>
      <c r="O64">
        <v>107</v>
      </c>
      <c r="P64">
        <v>2</v>
      </c>
      <c r="Q64">
        <v>6</v>
      </c>
      <c r="R64">
        <v>2750</v>
      </c>
      <c r="S64">
        <v>2.75</v>
      </c>
      <c r="T64">
        <v>4</v>
      </c>
      <c r="U64">
        <v>8</v>
      </c>
      <c r="V64" s="3">
        <v>9.9999999999999991E-22</v>
      </c>
      <c r="W64">
        <v>1</v>
      </c>
      <c r="X64" s="3">
        <v>9.9999999999999991E-22</v>
      </c>
      <c r="Y64">
        <v>339000</v>
      </c>
      <c r="Z64">
        <v>339</v>
      </c>
      <c r="AA64">
        <v>0.30674846625766872</v>
      </c>
      <c r="AB64">
        <v>4</v>
      </c>
      <c r="AC64">
        <v>3</v>
      </c>
      <c r="AD64">
        <v>3</v>
      </c>
      <c r="AE64">
        <v>3</v>
      </c>
      <c r="AF64">
        <v>1</v>
      </c>
      <c r="AG64">
        <v>120</v>
      </c>
      <c r="AH64">
        <v>150000</v>
      </c>
      <c r="AI64">
        <v>2</v>
      </c>
      <c r="AJ64">
        <v>62550</v>
      </c>
      <c r="AK64">
        <v>5100</v>
      </c>
      <c r="AL64">
        <v>3600</v>
      </c>
      <c r="AM64">
        <v>26400</v>
      </c>
      <c r="AN64">
        <v>1000</v>
      </c>
      <c r="AO64">
        <v>2900</v>
      </c>
      <c r="AP64">
        <v>101.55</v>
      </c>
      <c r="AQ64">
        <v>40.619999999999997</v>
      </c>
      <c r="AR64">
        <v>48.45</v>
      </c>
      <c r="AS64">
        <v>19.380000000000003</v>
      </c>
      <c r="AT64">
        <f t="shared" si="0"/>
        <v>584.57943925233644</v>
      </c>
      <c r="AU64" s="3">
        <f t="shared" si="1"/>
        <v>2550</v>
      </c>
      <c r="AV64">
        <f t="shared" si="2"/>
        <v>600</v>
      </c>
      <c r="AW64">
        <f t="shared" si="3"/>
        <v>9600</v>
      </c>
    </row>
    <row r="65" spans="1:49">
      <c r="A65">
        <v>65</v>
      </c>
      <c r="B65" t="s">
        <v>38</v>
      </c>
      <c r="C65" s="3">
        <v>0</v>
      </c>
      <c r="D65">
        <v>60</v>
      </c>
      <c r="E65">
        <v>0</v>
      </c>
      <c r="F65">
        <v>4</v>
      </c>
      <c r="G65">
        <v>15</v>
      </c>
      <c r="H65">
        <v>5</v>
      </c>
      <c r="I65">
        <v>32</v>
      </c>
      <c r="J65">
        <v>44800</v>
      </c>
      <c r="K65">
        <v>44.8</v>
      </c>
      <c r="L65">
        <v>0.5</v>
      </c>
      <c r="M65">
        <v>1</v>
      </c>
      <c r="N65">
        <v>18</v>
      </c>
      <c r="O65">
        <v>13</v>
      </c>
      <c r="P65" s="3">
        <v>9.9999999999999991E-22</v>
      </c>
      <c r="Q65">
        <v>3</v>
      </c>
      <c r="R65">
        <v>350</v>
      </c>
      <c r="S65">
        <v>0.35</v>
      </c>
      <c r="T65" s="3">
        <v>9.9999999999999991E-22</v>
      </c>
      <c r="U65" s="3">
        <v>9.9999999999999991E-22</v>
      </c>
      <c r="V65" s="3">
        <v>9.9999999999999991E-22</v>
      </c>
      <c r="W65" s="3">
        <v>9.9999999999999991E-22</v>
      </c>
      <c r="X65" s="3">
        <v>9.9999999999999991E-22</v>
      </c>
      <c r="Y65">
        <v>223150</v>
      </c>
      <c r="Z65">
        <v>223.15</v>
      </c>
      <c r="AA65">
        <v>9.1223783343514553E-2</v>
      </c>
      <c r="AB65">
        <v>3</v>
      </c>
      <c r="AC65">
        <v>3</v>
      </c>
      <c r="AD65">
        <v>0</v>
      </c>
      <c r="AE65">
        <v>0</v>
      </c>
      <c r="AF65">
        <v>1</v>
      </c>
      <c r="AG65">
        <v>16</v>
      </c>
      <c r="AH65">
        <v>22400</v>
      </c>
      <c r="AI65">
        <v>1</v>
      </c>
      <c r="AJ65">
        <v>8520</v>
      </c>
      <c r="AK65">
        <v>0</v>
      </c>
      <c r="AL65">
        <v>1800</v>
      </c>
      <c r="AM65">
        <v>3430</v>
      </c>
      <c r="AN65">
        <v>0</v>
      </c>
      <c r="AO65">
        <v>0</v>
      </c>
      <c r="AP65">
        <v>13.75</v>
      </c>
      <c r="AQ65">
        <v>27.5</v>
      </c>
      <c r="AR65">
        <v>8.6499999999999986</v>
      </c>
      <c r="AS65">
        <v>17.299999999999997</v>
      </c>
      <c r="AT65">
        <f t="shared" si="0"/>
        <v>655.38461538461536</v>
      </c>
      <c r="AU65" s="3">
        <f t="shared" si="1"/>
        <v>0</v>
      </c>
      <c r="AV65">
        <f t="shared" si="2"/>
        <v>600</v>
      </c>
      <c r="AW65">
        <f t="shared" si="3"/>
        <v>9800</v>
      </c>
    </row>
    <row r="66" spans="1:49">
      <c r="A66">
        <v>66</v>
      </c>
      <c r="B66" t="s">
        <v>38</v>
      </c>
      <c r="C66" s="3">
        <v>0</v>
      </c>
      <c r="D66">
        <v>75</v>
      </c>
      <c r="E66">
        <v>1</v>
      </c>
      <c r="F66">
        <v>1</v>
      </c>
      <c r="G66">
        <v>57</v>
      </c>
      <c r="H66">
        <v>3</v>
      </c>
      <c r="I66">
        <v>53.333333333333336</v>
      </c>
      <c r="J66">
        <v>108000</v>
      </c>
      <c r="K66">
        <v>108</v>
      </c>
      <c r="L66">
        <v>1.5</v>
      </c>
      <c r="M66">
        <v>3</v>
      </c>
      <c r="N66">
        <v>53</v>
      </c>
      <c r="O66">
        <v>10</v>
      </c>
      <c r="P66">
        <v>1</v>
      </c>
      <c r="Q66">
        <v>3</v>
      </c>
      <c r="R66">
        <v>2000</v>
      </c>
      <c r="S66">
        <v>2</v>
      </c>
      <c r="T66">
        <v>1</v>
      </c>
      <c r="U66" s="3">
        <v>9.9999999999999991E-22</v>
      </c>
      <c r="V66" s="3">
        <v>9.9999999999999991E-22</v>
      </c>
      <c r="W66" s="3">
        <v>9.9999999999999991E-22</v>
      </c>
      <c r="X66" s="3">
        <v>9.9999999999999991E-22</v>
      </c>
      <c r="Y66">
        <v>6000</v>
      </c>
      <c r="Z66">
        <v>6</v>
      </c>
      <c r="AA66">
        <v>0.9642857142857143</v>
      </c>
      <c r="AB66">
        <v>4</v>
      </c>
      <c r="AC66">
        <v>1</v>
      </c>
      <c r="AD66">
        <v>0</v>
      </c>
      <c r="AE66">
        <v>0</v>
      </c>
      <c r="AF66">
        <v>1</v>
      </c>
      <c r="AG66">
        <v>80</v>
      </c>
      <c r="AH66">
        <v>162000</v>
      </c>
      <c r="AI66">
        <v>4</v>
      </c>
      <c r="AJ66">
        <v>24100</v>
      </c>
      <c r="AK66">
        <v>7650</v>
      </c>
      <c r="AL66">
        <v>1500</v>
      </c>
      <c r="AM66">
        <v>18800</v>
      </c>
      <c r="AN66">
        <v>300</v>
      </c>
      <c r="AO66">
        <v>0</v>
      </c>
      <c r="AP66">
        <v>52.35</v>
      </c>
      <c r="AQ66">
        <v>34.9</v>
      </c>
      <c r="AR66">
        <v>109.65</v>
      </c>
      <c r="AS66">
        <v>73.100000000000009</v>
      </c>
      <c r="AT66">
        <f t="shared" si="0"/>
        <v>2410</v>
      </c>
      <c r="AU66" s="3">
        <f t="shared" si="1"/>
        <v>7650</v>
      </c>
      <c r="AV66">
        <f t="shared" si="2"/>
        <v>500</v>
      </c>
      <c r="AW66">
        <f t="shared" si="3"/>
        <v>9400</v>
      </c>
    </row>
    <row r="67" spans="1:49">
      <c r="A67">
        <v>67</v>
      </c>
      <c r="B67" t="s">
        <v>38</v>
      </c>
      <c r="C67">
        <v>1</v>
      </c>
      <c r="D67">
        <v>67</v>
      </c>
      <c r="E67">
        <v>1</v>
      </c>
      <c r="F67">
        <v>2</v>
      </c>
      <c r="G67">
        <v>57</v>
      </c>
      <c r="H67">
        <v>6</v>
      </c>
      <c r="I67">
        <v>55</v>
      </c>
      <c r="J67">
        <v>77000</v>
      </c>
      <c r="K67">
        <v>77</v>
      </c>
      <c r="L67">
        <v>1</v>
      </c>
      <c r="M67">
        <v>1</v>
      </c>
      <c r="N67">
        <v>21</v>
      </c>
      <c r="O67">
        <v>34</v>
      </c>
      <c r="P67" s="3">
        <v>9.9999999999999991E-22</v>
      </c>
      <c r="Q67">
        <v>2</v>
      </c>
      <c r="R67">
        <v>1000</v>
      </c>
      <c r="S67">
        <v>1</v>
      </c>
      <c r="T67" s="3">
        <v>9.9999999999999991E-22</v>
      </c>
      <c r="U67" s="3">
        <v>9.9999999999999991E-22</v>
      </c>
      <c r="V67" s="3">
        <v>9.9999999999999991E-22</v>
      </c>
      <c r="W67" s="3">
        <v>9.9999999999999991E-22</v>
      </c>
      <c r="X67" s="3">
        <v>9.9999999999999991E-22</v>
      </c>
      <c r="Y67">
        <v>94800</v>
      </c>
      <c r="Z67">
        <v>94.8</v>
      </c>
      <c r="AA67">
        <v>0.44819557625145517</v>
      </c>
      <c r="AB67">
        <v>4</v>
      </c>
      <c r="AC67">
        <v>3</v>
      </c>
      <c r="AD67">
        <v>0</v>
      </c>
      <c r="AE67">
        <v>0</v>
      </c>
      <c r="AF67">
        <v>1</v>
      </c>
      <c r="AG67">
        <v>55</v>
      </c>
      <c r="AH67">
        <v>77000</v>
      </c>
      <c r="AI67">
        <v>3</v>
      </c>
      <c r="AJ67">
        <v>23300</v>
      </c>
      <c r="AK67">
        <v>0</v>
      </c>
      <c r="AL67">
        <v>1200</v>
      </c>
      <c r="AM67">
        <v>9400</v>
      </c>
      <c r="AN67">
        <v>0</v>
      </c>
      <c r="AO67">
        <v>0</v>
      </c>
      <c r="AP67">
        <v>33.9</v>
      </c>
      <c r="AQ67">
        <v>33.9</v>
      </c>
      <c r="AR67">
        <v>43.1</v>
      </c>
      <c r="AS67">
        <v>43.1</v>
      </c>
      <c r="AT67">
        <f t="shared" ref="AT67:AT130" si="4">AJ67/O67</f>
        <v>685.29411764705878</v>
      </c>
      <c r="AU67" s="3">
        <f t="shared" ref="AU67:AU130" si="5">AK67/P67</f>
        <v>0</v>
      </c>
      <c r="AV67">
        <f t="shared" ref="AV67:AV130" si="6">AL67/Q67</f>
        <v>600</v>
      </c>
      <c r="AW67">
        <f t="shared" ref="AW67:AW130" si="7">AM67/S67</f>
        <v>9400</v>
      </c>
    </row>
    <row r="68" spans="1:49">
      <c r="A68">
        <v>68</v>
      </c>
      <c r="B68" t="s">
        <v>38</v>
      </c>
      <c r="C68" s="3">
        <v>0</v>
      </c>
      <c r="D68">
        <v>48</v>
      </c>
      <c r="E68">
        <v>1</v>
      </c>
      <c r="F68">
        <v>2</v>
      </c>
      <c r="G68">
        <v>30</v>
      </c>
      <c r="H68">
        <v>8</v>
      </c>
      <c r="I68">
        <v>65</v>
      </c>
      <c r="J68">
        <v>112000</v>
      </c>
      <c r="K68">
        <v>112</v>
      </c>
      <c r="L68">
        <v>2</v>
      </c>
      <c r="M68">
        <v>1</v>
      </c>
      <c r="N68">
        <v>36</v>
      </c>
      <c r="O68">
        <v>34</v>
      </c>
      <c r="P68">
        <v>1</v>
      </c>
      <c r="Q68">
        <v>2</v>
      </c>
      <c r="R68">
        <v>1800</v>
      </c>
      <c r="S68">
        <v>1.8</v>
      </c>
      <c r="T68" s="3">
        <v>9.9999999999999991E-22</v>
      </c>
      <c r="U68" s="3">
        <v>9.9999999999999991E-22</v>
      </c>
      <c r="V68" s="3">
        <v>9.9999999999999991E-22</v>
      </c>
      <c r="W68" s="3">
        <v>9.9999999999999991E-22</v>
      </c>
      <c r="X68" s="3">
        <v>9.9999999999999991E-22</v>
      </c>
      <c r="Y68">
        <v>72000</v>
      </c>
      <c r="Z68">
        <v>72</v>
      </c>
      <c r="AA68">
        <v>0.7567567567567568</v>
      </c>
      <c r="AB68">
        <v>4</v>
      </c>
      <c r="AC68">
        <v>3</v>
      </c>
      <c r="AD68">
        <v>0</v>
      </c>
      <c r="AE68">
        <v>0</v>
      </c>
      <c r="AF68">
        <v>1</v>
      </c>
      <c r="AG68">
        <v>130</v>
      </c>
      <c r="AH68">
        <v>224000</v>
      </c>
      <c r="AI68">
        <v>2</v>
      </c>
      <c r="AJ68">
        <v>52900</v>
      </c>
      <c r="AK68">
        <v>10200</v>
      </c>
      <c r="AL68">
        <v>1200</v>
      </c>
      <c r="AM68">
        <v>19080</v>
      </c>
      <c r="AN68">
        <v>0</v>
      </c>
      <c r="AO68">
        <v>0</v>
      </c>
      <c r="AP68">
        <v>83.38</v>
      </c>
      <c r="AQ68">
        <v>41.69</v>
      </c>
      <c r="AR68">
        <v>140.62</v>
      </c>
      <c r="AS68">
        <v>70.31</v>
      </c>
      <c r="AT68">
        <f t="shared" si="4"/>
        <v>1555.8823529411766</v>
      </c>
      <c r="AU68" s="3">
        <f t="shared" si="5"/>
        <v>10200</v>
      </c>
      <c r="AV68">
        <f t="shared" si="6"/>
        <v>600</v>
      </c>
      <c r="AW68">
        <f t="shared" si="7"/>
        <v>10600</v>
      </c>
    </row>
    <row r="69" spans="1:49">
      <c r="A69">
        <v>69</v>
      </c>
      <c r="B69" t="s">
        <v>38</v>
      </c>
      <c r="C69" s="3">
        <v>0</v>
      </c>
      <c r="D69">
        <v>55</v>
      </c>
      <c r="E69">
        <v>1</v>
      </c>
      <c r="F69">
        <v>1</v>
      </c>
      <c r="G69">
        <v>40</v>
      </c>
      <c r="H69">
        <v>6</v>
      </c>
      <c r="I69">
        <v>60</v>
      </c>
      <c r="J69">
        <v>84000</v>
      </c>
      <c r="K69">
        <v>84</v>
      </c>
      <c r="L69">
        <v>0.25</v>
      </c>
      <c r="M69">
        <v>1</v>
      </c>
      <c r="N69">
        <v>18</v>
      </c>
      <c r="O69">
        <v>1</v>
      </c>
      <c r="P69" s="3">
        <v>9.9999999999999991E-22</v>
      </c>
      <c r="Q69">
        <v>3</v>
      </c>
      <c r="R69">
        <v>250</v>
      </c>
      <c r="S69">
        <v>0.25</v>
      </c>
      <c r="T69" s="3">
        <v>9.9999999999999991E-22</v>
      </c>
      <c r="U69" s="3">
        <v>9.9999999999999991E-22</v>
      </c>
      <c r="V69" s="3">
        <v>9.9999999999999991E-22</v>
      </c>
      <c r="W69" s="3">
        <v>9.9999999999999991E-22</v>
      </c>
      <c r="X69" s="3">
        <v>9.9999999999999991E-22</v>
      </c>
      <c r="Y69">
        <v>38400</v>
      </c>
      <c r="Z69">
        <v>38.4</v>
      </c>
      <c r="AA69">
        <v>0.35353535353535354</v>
      </c>
      <c r="AB69">
        <v>4</v>
      </c>
      <c r="AC69">
        <v>3</v>
      </c>
      <c r="AD69">
        <v>0</v>
      </c>
      <c r="AE69">
        <v>0</v>
      </c>
      <c r="AF69">
        <v>1</v>
      </c>
      <c r="AG69">
        <v>15</v>
      </c>
      <c r="AH69">
        <v>21000</v>
      </c>
      <c r="AI69">
        <v>2</v>
      </c>
      <c r="AJ69">
        <v>500</v>
      </c>
      <c r="AK69">
        <v>0</v>
      </c>
      <c r="AL69">
        <v>1800</v>
      </c>
      <c r="AM69">
        <v>2650</v>
      </c>
      <c r="AN69">
        <v>0</v>
      </c>
      <c r="AO69">
        <v>0</v>
      </c>
      <c r="AP69">
        <v>4.95</v>
      </c>
      <c r="AQ69">
        <v>19.8</v>
      </c>
      <c r="AR69">
        <v>16.05</v>
      </c>
      <c r="AS69">
        <v>64.2</v>
      </c>
      <c r="AT69">
        <f t="shared" si="4"/>
        <v>500</v>
      </c>
      <c r="AU69" s="3">
        <f t="shared" si="5"/>
        <v>0</v>
      </c>
      <c r="AV69">
        <f t="shared" si="6"/>
        <v>600</v>
      </c>
      <c r="AW69">
        <f t="shared" si="7"/>
        <v>10600</v>
      </c>
    </row>
    <row r="70" spans="1:49">
      <c r="A70">
        <v>70</v>
      </c>
      <c r="B70" t="s">
        <v>38</v>
      </c>
      <c r="C70" s="3">
        <v>0</v>
      </c>
      <c r="D70">
        <v>48</v>
      </c>
      <c r="E70">
        <v>1</v>
      </c>
      <c r="F70">
        <v>3</v>
      </c>
      <c r="G70">
        <v>31</v>
      </c>
      <c r="H70">
        <v>4</v>
      </c>
      <c r="I70">
        <v>65</v>
      </c>
      <c r="J70">
        <v>125000</v>
      </c>
      <c r="K70">
        <v>125</v>
      </c>
      <c r="L70">
        <v>0.4</v>
      </c>
      <c r="M70">
        <v>1</v>
      </c>
      <c r="N70">
        <v>20</v>
      </c>
      <c r="O70">
        <v>8</v>
      </c>
      <c r="P70" s="3">
        <v>9.9999999999999991E-22</v>
      </c>
      <c r="Q70">
        <v>2</v>
      </c>
      <c r="R70">
        <v>600</v>
      </c>
      <c r="S70">
        <v>0.6</v>
      </c>
      <c r="T70" s="3">
        <v>9.9999999999999991E-22</v>
      </c>
      <c r="U70" s="3">
        <v>9.9999999999999991E-22</v>
      </c>
      <c r="V70" s="3">
        <v>9.9999999999999991E-22</v>
      </c>
      <c r="W70">
        <v>1</v>
      </c>
      <c r="X70" s="3">
        <v>9.9999999999999991E-22</v>
      </c>
      <c r="Y70">
        <v>24000</v>
      </c>
      <c r="Z70">
        <v>24</v>
      </c>
      <c r="AA70">
        <v>0.67567567567567566</v>
      </c>
      <c r="AB70">
        <v>4</v>
      </c>
      <c r="AC70">
        <v>3</v>
      </c>
      <c r="AD70">
        <v>0</v>
      </c>
      <c r="AE70">
        <v>0</v>
      </c>
      <c r="AF70">
        <v>1</v>
      </c>
      <c r="AG70">
        <v>26</v>
      </c>
      <c r="AH70">
        <v>50000</v>
      </c>
      <c r="AI70">
        <v>2</v>
      </c>
      <c r="AJ70">
        <v>9540</v>
      </c>
      <c r="AK70">
        <v>0</v>
      </c>
      <c r="AL70">
        <v>1200</v>
      </c>
      <c r="AM70">
        <v>6000</v>
      </c>
      <c r="AN70">
        <v>0</v>
      </c>
      <c r="AO70">
        <v>0</v>
      </c>
      <c r="AP70">
        <v>16.739999999999998</v>
      </c>
      <c r="AQ70">
        <v>41.849999999999994</v>
      </c>
      <c r="AR70">
        <v>33.260000000000005</v>
      </c>
      <c r="AS70">
        <v>83.15</v>
      </c>
      <c r="AT70">
        <f t="shared" si="4"/>
        <v>1192.5</v>
      </c>
      <c r="AU70" s="3">
        <f t="shared" si="5"/>
        <v>0</v>
      </c>
      <c r="AV70">
        <f t="shared" si="6"/>
        <v>600</v>
      </c>
      <c r="AW70">
        <f t="shared" si="7"/>
        <v>10000</v>
      </c>
    </row>
    <row r="71" spans="1:49">
      <c r="A71">
        <v>71</v>
      </c>
      <c r="B71" t="s">
        <v>38</v>
      </c>
      <c r="C71" s="3">
        <v>0</v>
      </c>
      <c r="D71">
        <v>70</v>
      </c>
      <c r="E71">
        <v>1</v>
      </c>
      <c r="F71">
        <v>6</v>
      </c>
      <c r="G71">
        <v>20</v>
      </c>
      <c r="H71">
        <v>4</v>
      </c>
      <c r="I71">
        <v>70.5</v>
      </c>
      <c r="J71">
        <v>125000</v>
      </c>
      <c r="K71">
        <v>125</v>
      </c>
      <c r="L71">
        <v>2</v>
      </c>
      <c r="M71">
        <v>1</v>
      </c>
      <c r="N71" s="3">
        <v>9.9999999999999991E-22</v>
      </c>
      <c r="O71">
        <v>56</v>
      </c>
      <c r="P71">
        <v>1</v>
      </c>
      <c r="Q71">
        <v>4</v>
      </c>
      <c r="R71">
        <v>2500</v>
      </c>
      <c r="S71">
        <v>2.5</v>
      </c>
      <c r="T71" s="3">
        <v>9.9999999999999991E-22</v>
      </c>
      <c r="U71" s="3">
        <v>9.9999999999999991E-22</v>
      </c>
      <c r="V71" s="3">
        <v>9.9999999999999991E-22</v>
      </c>
      <c r="W71">
        <v>1</v>
      </c>
      <c r="X71" s="3">
        <v>9.9999999999999991E-22</v>
      </c>
      <c r="Y71">
        <v>6000</v>
      </c>
      <c r="Z71">
        <v>6</v>
      </c>
      <c r="AA71">
        <v>0.9765625</v>
      </c>
      <c r="AB71">
        <v>4</v>
      </c>
      <c r="AC71">
        <v>1</v>
      </c>
      <c r="AD71">
        <v>0</v>
      </c>
      <c r="AE71">
        <v>0</v>
      </c>
      <c r="AF71">
        <v>1</v>
      </c>
      <c r="AG71">
        <v>141</v>
      </c>
      <c r="AH71">
        <v>250000</v>
      </c>
      <c r="AI71">
        <v>4</v>
      </c>
      <c r="AJ71">
        <v>57300</v>
      </c>
      <c r="AK71">
        <v>3905</v>
      </c>
      <c r="AL71">
        <v>2400</v>
      </c>
      <c r="AM71">
        <v>22500</v>
      </c>
      <c r="AN71">
        <v>0</v>
      </c>
      <c r="AO71">
        <v>0</v>
      </c>
      <c r="AP71">
        <v>86.105000000000004</v>
      </c>
      <c r="AQ71">
        <v>43.052500000000002</v>
      </c>
      <c r="AR71">
        <v>163.89499999999998</v>
      </c>
      <c r="AS71">
        <v>81.947499999999991</v>
      </c>
      <c r="AT71">
        <f t="shared" si="4"/>
        <v>1023.2142857142857</v>
      </c>
      <c r="AU71" s="3">
        <f t="shared" si="5"/>
        <v>3905</v>
      </c>
      <c r="AV71">
        <f t="shared" si="6"/>
        <v>600</v>
      </c>
      <c r="AW71">
        <f t="shared" si="7"/>
        <v>9000</v>
      </c>
    </row>
    <row r="72" spans="1:49">
      <c r="A72">
        <v>72</v>
      </c>
      <c r="B72" t="s">
        <v>38</v>
      </c>
      <c r="C72" s="3">
        <v>0</v>
      </c>
      <c r="D72">
        <v>75</v>
      </c>
      <c r="E72">
        <v>0</v>
      </c>
      <c r="F72">
        <v>1</v>
      </c>
      <c r="G72">
        <v>50</v>
      </c>
      <c r="H72">
        <v>2</v>
      </c>
      <c r="I72">
        <v>90.909090909090907</v>
      </c>
      <c r="J72">
        <v>127272.72727272726</v>
      </c>
      <c r="K72">
        <v>127.27272727272727</v>
      </c>
      <c r="L72">
        <v>0.55000000000000004</v>
      </c>
      <c r="M72">
        <v>1</v>
      </c>
      <c r="N72" s="3">
        <v>9.9999999999999991E-22</v>
      </c>
      <c r="O72">
        <v>46</v>
      </c>
      <c r="P72" s="3">
        <v>9.9999999999999991E-22</v>
      </c>
      <c r="Q72">
        <v>5</v>
      </c>
      <c r="R72">
        <v>1500</v>
      </c>
      <c r="S72">
        <v>1.5</v>
      </c>
      <c r="T72" s="3">
        <v>9.9999999999999991E-22</v>
      </c>
      <c r="U72" s="3">
        <v>9.9999999999999991E-22</v>
      </c>
      <c r="V72" s="3">
        <v>9.9999999999999991E-22</v>
      </c>
      <c r="W72" s="3">
        <v>9.9999999999999991E-22</v>
      </c>
      <c r="X72" s="3">
        <v>9.9999999999999991E-22</v>
      </c>
      <c r="Y72">
        <v>96000</v>
      </c>
      <c r="Z72">
        <v>96</v>
      </c>
      <c r="AA72">
        <v>0.42168674698795183</v>
      </c>
      <c r="AB72">
        <v>4</v>
      </c>
      <c r="AC72">
        <v>3</v>
      </c>
      <c r="AD72">
        <v>0</v>
      </c>
      <c r="AE72">
        <v>0</v>
      </c>
      <c r="AF72">
        <v>1</v>
      </c>
      <c r="AG72">
        <v>50</v>
      </c>
      <c r="AH72">
        <v>70000</v>
      </c>
      <c r="AI72">
        <v>2</v>
      </c>
      <c r="AJ72">
        <v>23300</v>
      </c>
      <c r="AK72">
        <v>0</v>
      </c>
      <c r="AL72">
        <v>2500</v>
      </c>
      <c r="AM72">
        <v>13500</v>
      </c>
      <c r="AN72">
        <v>0</v>
      </c>
      <c r="AO72">
        <v>0</v>
      </c>
      <c r="AP72">
        <v>39.299999999999997</v>
      </c>
      <c r="AQ72">
        <v>71.454545454545439</v>
      </c>
      <c r="AR72">
        <v>30.700000000000003</v>
      </c>
      <c r="AS72">
        <v>55.81818181818182</v>
      </c>
      <c r="AT72">
        <f t="shared" si="4"/>
        <v>506.52173913043481</v>
      </c>
      <c r="AU72" s="3">
        <f t="shared" si="5"/>
        <v>0</v>
      </c>
      <c r="AV72">
        <f t="shared" si="6"/>
        <v>500</v>
      </c>
      <c r="AW72">
        <f t="shared" si="7"/>
        <v>9000</v>
      </c>
    </row>
    <row r="73" spans="1:49">
      <c r="A73">
        <v>73</v>
      </c>
      <c r="B73" t="s">
        <v>38</v>
      </c>
      <c r="C73" s="3">
        <v>0</v>
      </c>
      <c r="D73">
        <v>79</v>
      </c>
      <c r="E73">
        <v>1</v>
      </c>
      <c r="F73">
        <v>2</v>
      </c>
      <c r="G73">
        <v>54</v>
      </c>
      <c r="H73">
        <v>5</v>
      </c>
      <c r="I73">
        <v>50</v>
      </c>
      <c r="J73">
        <v>70000</v>
      </c>
      <c r="K73">
        <v>70</v>
      </c>
      <c r="L73">
        <v>3</v>
      </c>
      <c r="M73">
        <v>3</v>
      </c>
      <c r="N73" s="3">
        <v>9.9999999999999991E-22</v>
      </c>
      <c r="O73">
        <v>32</v>
      </c>
      <c r="P73">
        <v>1</v>
      </c>
      <c r="Q73">
        <v>28</v>
      </c>
      <c r="R73">
        <v>4500</v>
      </c>
      <c r="S73">
        <v>4.5</v>
      </c>
      <c r="T73" s="3">
        <v>9.9999999999999991E-22</v>
      </c>
      <c r="U73" s="3">
        <v>9.9999999999999991E-22</v>
      </c>
      <c r="V73" s="3">
        <v>9.9999999999999991E-22</v>
      </c>
      <c r="W73">
        <v>1</v>
      </c>
      <c r="X73" s="3">
        <v>9.9999999999999991E-22</v>
      </c>
      <c r="Y73">
        <v>129500</v>
      </c>
      <c r="Z73">
        <v>129.5</v>
      </c>
      <c r="AA73">
        <v>0.61855670103092786</v>
      </c>
      <c r="AB73">
        <v>4</v>
      </c>
      <c r="AC73">
        <v>3</v>
      </c>
      <c r="AD73">
        <v>0</v>
      </c>
      <c r="AE73">
        <v>0</v>
      </c>
      <c r="AF73">
        <v>1</v>
      </c>
      <c r="AG73">
        <v>150</v>
      </c>
      <c r="AH73">
        <v>210000</v>
      </c>
      <c r="AI73">
        <v>3</v>
      </c>
      <c r="AJ73">
        <v>71780</v>
      </c>
      <c r="AK73">
        <v>7900</v>
      </c>
      <c r="AL73">
        <v>16800</v>
      </c>
      <c r="AM73">
        <v>44100</v>
      </c>
      <c r="AN73">
        <v>0</v>
      </c>
      <c r="AO73">
        <v>0</v>
      </c>
      <c r="AP73">
        <v>140.58000000000001</v>
      </c>
      <c r="AQ73">
        <v>46.860000000000007</v>
      </c>
      <c r="AR73">
        <v>69.419999999999987</v>
      </c>
      <c r="AS73">
        <v>23.139999999999997</v>
      </c>
      <c r="AT73">
        <f t="shared" si="4"/>
        <v>2243.125</v>
      </c>
      <c r="AU73" s="3">
        <f t="shared" si="5"/>
        <v>7900</v>
      </c>
      <c r="AV73">
        <f t="shared" si="6"/>
        <v>600</v>
      </c>
      <c r="AW73">
        <f t="shared" si="7"/>
        <v>9800</v>
      </c>
    </row>
    <row r="74" spans="1:49">
      <c r="A74">
        <v>74</v>
      </c>
      <c r="B74" t="s">
        <v>38</v>
      </c>
      <c r="C74" s="3">
        <v>0</v>
      </c>
      <c r="D74">
        <v>66</v>
      </c>
      <c r="E74">
        <v>1</v>
      </c>
      <c r="F74">
        <v>1</v>
      </c>
      <c r="G74">
        <v>40</v>
      </c>
      <c r="H74">
        <v>6</v>
      </c>
      <c r="I74">
        <v>80</v>
      </c>
      <c r="J74">
        <v>120000</v>
      </c>
      <c r="K74">
        <v>120</v>
      </c>
      <c r="L74">
        <v>0.5</v>
      </c>
      <c r="M74">
        <v>1</v>
      </c>
      <c r="N74">
        <v>67</v>
      </c>
      <c r="O74">
        <v>14</v>
      </c>
      <c r="P74">
        <v>1</v>
      </c>
      <c r="Q74">
        <v>2</v>
      </c>
      <c r="R74">
        <v>400</v>
      </c>
      <c r="S74">
        <v>0.4</v>
      </c>
      <c r="T74" s="3">
        <v>9.9999999999999991E-22</v>
      </c>
      <c r="U74" s="3">
        <v>9.9999999999999991E-22</v>
      </c>
      <c r="V74" s="3">
        <v>9.9999999999999991E-22</v>
      </c>
      <c r="W74">
        <v>1</v>
      </c>
      <c r="X74" s="3">
        <v>9.9999999999999991E-22</v>
      </c>
      <c r="Y74">
        <v>300000</v>
      </c>
      <c r="Z74">
        <v>300</v>
      </c>
      <c r="AA74">
        <v>0.16666666666666666</v>
      </c>
      <c r="AB74">
        <v>4</v>
      </c>
      <c r="AC74">
        <v>1</v>
      </c>
      <c r="AD74">
        <v>0</v>
      </c>
      <c r="AE74">
        <v>0</v>
      </c>
      <c r="AF74">
        <v>1</v>
      </c>
      <c r="AG74">
        <v>40</v>
      </c>
      <c r="AH74">
        <v>60000</v>
      </c>
      <c r="AI74">
        <v>2</v>
      </c>
      <c r="AJ74">
        <v>12700</v>
      </c>
      <c r="AK74">
        <v>800</v>
      </c>
      <c r="AL74">
        <v>1000</v>
      </c>
      <c r="AM74">
        <v>4200</v>
      </c>
      <c r="AN74">
        <v>0</v>
      </c>
      <c r="AO74">
        <v>0</v>
      </c>
      <c r="AP74">
        <v>18.7</v>
      </c>
      <c r="AQ74">
        <v>37.4</v>
      </c>
      <c r="AR74">
        <v>41.3</v>
      </c>
      <c r="AS74">
        <v>82.6</v>
      </c>
      <c r="AT74">
        <f t="shared" si="4"/>
        <v>907.14285714285711</v>
      </c>
      <c r="AU74" s="3">
        <f t="shared" si="5"/>
        <v>800</v>
      </c>
      <c r="AV74">
        <f t="shared" si="6"/>
        <v>500</v>
      </c>
      <c r="AW74">
        <f t="shared" si="7"/>
        <v>10500</v>
      </c>
    </row>
    <row r="75" spans="1:49">
      <c r="A75">
        <v>75</v>
      </c>
      <c r="B75" t="s">
        <v>38</v>
      </c>
      <c r="C75" s="3">
        <v>0</v>
      </c>
      <c r="D75">
        <v>66</v>
      </c>
      <c r="E75">
        <v>1</v>
      </c>
      <c r="F75">
        <v>3</v>
      </c>
      <c r="G75">
        <v>46</v>
      </c>
      <c r="H75">
        <v>5</v>
      </c>
      <c r="I75">
        <v>50</v>
      </c>
      <c r="J75">
        <v>116666.66666666667</v>
      </c>
      <c r="K75">
        <v>116.66666666666667</v>
      </c>
      <c r="L75">
        <v>0.3</v>
      </c>
      <c r="M75">
        <v>1</v>
      </c>
      <c r="N75">
        <v>32</v>
      </c>
      <c r="O75">
        <v>5.5</v>
      </c>
      <c r="P75" s="3">
        <v>9.9999999999999991E-22</v>
      </c>
      <c r="Q75">
        <v>2</v>
      </c>
      <c r="R75">
        <v>550</v>
      </c>
      <c r="S75">
        <v>0.55000000000000004</v>
      </c>
      <c r="T75" s="3">
        <v>9.9999999999999991E-22</v>
      </c>
      <c r="U75" s="3">
        <v>9.9999999999999991E-22</v>
      </c>
      <c r="V75" s="3">
        <v>9.9999999999999991E-22</v>
      </c>
      <c r="W75">
        <v>1</v>
      </c>
      <c r="X75" s="3">
        <v>9.9999999999999991E-22</v>
      </c>
      <c r="Y75">
        <v>456000</v>
      </c>
      <c r="Z75">
        <v>456</v>
      </c>
      <c r="AA75">
        <v>7.128309572301425E-2</v>
      </c>
      <c r="AB75">
        <v>4</v>
      </c>
      <c r="AC75">
        <v>3</v>
      </c>
      <c r="AD75">
        <v>0</v>
      </c>
      <c r="AE75">
        <v>0</v>
      </c>
      <c r="AF75">
        <v>1</v>
      </c>
      <c r="AG75">
        <v>15</v>
      </c>
      <c r="AH75">
        <v>35000</v>
      </c>
      <c r="AI75">
        <v>2</v>
      </c>
      <c r="AJ75">
        <v>6000</v>
      </c>
      <c r="AK75">
        <v>0</v>
      </c>
      <c r="AL75">
        <v>1400</v>
      </c>
      <c r="AM75">
        <v>5665</v>
      </c>
      <c r="AN75">
        <v>0</v>
      </c>
      <c r="AO75">
        <v>0</v>
      </c>
      <c r="AP75">
        <v>13.065</v>
      </c>
      <c r="AQ75">
        <v>43.55</v>
      </c>
      <c r="AR75">
        <v>21.935000000000002</v>
      </c>
      <c r="AS75">
        <v>73.116666666666674</v>
      </c>
      <c r="AT75">
        <f t="shared" si="4"/>
        <v>1090.909090909091</v>
      </c>
      <c r="AU75" s="3">
        <f t="shared" si="5"/>
        <v>0</v>
      </c>
      <c r="AV75">
        <f t="shared" si="6"/>
        <v>700</v>
      </c>
      <c r="AW75">
        <f t="shared" si="7"/>
        <v>10300</v>
      </c>
    </row>
    <row r="76" spans="1:49">
      <c r="A76">
        <v>76</v>
      </c>
      <c r="B76" t="s">
        <v>38</v>
      </c>
      <c r="C76">
        <v>1</v>
      </c>
      <c r="D76">
        <v>72</v>
      </c>
      <c r="E76">
        <v>1</v>
      </c>
      <c r="F76">
        <v>1</v>
      </c>
      <c r="G76">
        <v>48</v>
      </c>
      <c r="H76">
        <v>8</v>
      </c>
      <c r="I76">
        <v>54.033613445378151</v>
      </c>
      <c r="J76">
        <v>122914.61344537817</v>
      </c>
      <c r="K76">
        <v>122.91461344537817</v>
      </c>
      <c r="L76">
        <v>1.19</v>
      </c>
      <c r="M76">
        <v>1</v>
      </c>
      <c r="N76">
        <v>38</v>
      </c>
      <c r="O76">
        <v>13</v>
      </c>
      <c r="P76">
        <v>1</v>
      </c>
      <c r="Q76">
        <v>7</v>
      </c>
      <c r="R76">
        <v>12800</v>
      </c>
      <c r="S76">
        <v>12.8</v>
      </c>
      <c r="T76" s="3">
        <v>9.9999999999999991E-22</v>
      </c>
      <c r="U76" s="3">
        <v>9.9999999999999991E-22</v>
      </c>
      <c r="V76" s="3">
        <v>9.9999999999999991E-22</v>
      </c>
      <c r="W76">
        <v>1</v>
      </c>
      <c r="X76" s="3">
        <v>9.9999999999999991E-22</v>
      </c>
      <c r="Y76">
        <v>240000</v>
      </c>
      <c r="Z76">
        <v>240</v>
      </c>
      <c r="AA76">
        <v>0.37867035922872178</v>
      </c>
      <c r="AB76">
        <v>4</v>
      </c>
      <c r="AC76">
        <v>3</v>
      </c>
      <c r="AD76">
        <v>0</v>
      </c>
      <c r="AE76">
        <v>0</v>
      </c>
      <c r="AF76">
        <v>1</v>
      </c>
      <c r="AG76">
        <v>64.3</v>
      </c>
      <c r="AH76">
        <v>146268.39000000001</v>
      </c>
      <c r="AI76">
        <v>3</v>
      </c>
      <c r="AJ76">
        <v>19261</v>
      </c>
      <c r="AK76">
        <v>3230</v>
      </c>
      <c r="AL76">
        <v>4200</v>
      </c>
      <c r="AM76">
        <v>16250</v>
      </c>
      <c r="AN76">
        <v>0</v>
      </c>
      <c r="AO76">
        <v>0</v>
      </c>
      <c r="AP76">
        <v>42.941000000000003</v>
      </c>
      <c r="AQ76">
        <v>36.084873949579837</v>
      </c>
      <c r="AR76">
        <v>103.32739000000001</v>
      </c>
      <c r="AS76">
        <v>86.829739495798336</v>
      </c>
      <c r="AT76">
        <f t="shared" si="4"/>
        <v>1481.6153846153845</v>
      </c>
      <c r="AU76" s="3">
        <f t="shared" si="5"/>
        <v>3230</v>
      </c>
      <c r="AV76">
        <f t="shared" si="6"/>
        <v>600</v>
      </c>
      <c r="AW76">
        <f t="shared" si="7"/>
        <v>1269.53125</v>
      </c>
    </row>
    <row r="77" spans="1:49">
      <c r="A77">
        <v>77</v>
      </c>
      <c r="B77" t="s">
        <v>38</v>
      </c>
      <c r="C77">
        <v>1</v>
      </c>
      <c r="D77">
        <v>57</v>
      </c>
      <c r="E77">
        <v>0</v>
      </c>
      <c r="F77">
        <v>3</v>
      </c>
      <c r="G77">
        <v>2</v>
      </c>
      <c r="H77">
        <v>8</v>
      </c>
      <c r="I77">
        <v>166.66666666666669</v>
      </c>
      <c r="J77">
        <v>241666.66666666669</v>
      </c>
      <c r="K77">
        <v>241.66666666666669</v>
      </c>
      <c r="L77">
        <v>0.3</v>
      </c>
      <c r="M77">
        <v>1</v>
      </c>
      <c r="N77">
        <v>72</v>
      </c>
      <c r="O77">
        <v>16</v>
      </c>
      <c r="P77">
        <v>1</v>
      </c>
      <c r="Q77">
        <v>2</v>
      </c>
      <c r="R77">
        <v>1100</v>
      </c>
      <c r="S77">
        <v>1.1000000000000001</v>
      </c>
      <c r="T77" s="3">
        <v>9.9999999999999991E-22</v>
      </c>
      <c r="U77" s="3">
        <v>9.9999999999999991E-22</v>
      </c>
      <c r="V77" s="3">
        <v>9.9999999999999991E-22</v>
      </c>
      <c r="W77">
        <v>1</v>
      </c>
      <c r="X77" s="3">
        <v>9.9999999999999991E-22</v>
      </c>
      <c r="Y77">
        <v>547200</v>
      </c>
      <c r="Z77">
        <v>547.20000000000005</v>
      </c>
      <c r="AA77">
        <v>0.11699209294820075</v>
      </c>
      <c r="AB77">
        <v>4</v>
      </c>
      <c r="AC77">
        <v>3</v>
      </c>
      <c r="AD77">
        <v>0</v>
      </c>
      <c r="AE77">
        <v>0</v>
      </c>
      <c r="AF77">
        <v>1</v>
      </c>
      <c r="AG77">
        <v>50</v>
      </c>
      <c r="AH77">
        <v>72500</v>
      </c>
      <c r="AI77">
        <v>3</v>
      </c>
      <c r="AJ77">
        <v>15680</v>
      </c>
      <c r="AK77">
        <v>1700</v>
      </c>
      <c r="AL77">
        <v>1200</v>
      </c>
      <c r="AM77">
        <v>11600</v>
      </c>
      <c r="AN77">
        <v>0</v>
      </c>
      <c r="AO77">
        <v>0</v>
      </c>
      <c r="AP77">
        <v>30.18</v>
      </c>
      <c r="AQ77">
        <v>100.60000000000001</v>
      </c>
      <c r="AR77">
        <v>42.32</v>
      </c>
      <c r="AS77">
        <v>141.06666666666666</v>
      </c>
      <c r="AT77">
        <f t="shared" si="4"/>
        <v>980</v>
      </c>
      <c r="AU77" s="3">
        <f t="shared" si="5"/>
        <v>1700</v>
      </c>
      <c r="AV77">
        <f t="shared" si="6"/>
        <v>600</v>
      </c>
      <c r="AW77">
        <f t="shared" si="7"/>
        <v>10545.454545454544</v>
      </c>
    </row>
    <row r="78" spans="1:49">
      <c r="A78">
        <v>78</v>
      </c>
      <c r="B78" t="s">
        <v>38</v>
      </c>
      <c r="C78">
        <v>1</v>
      </c>
      <c r="D78">
        <v>49</v>
      </c>
      <c r="E78">
        <v>0</v>
      </c>
      <c r="F78">
        <v>2</v>
      </c>
      <c r="G78">
        <v>34</v>
      </c>
      <c r="H78">
        <v>8</v>
      </c>
      <c r="I78">
        <v>77.085714285714289</v>
      </c>
      <c r="J78">
        <v>145037.14285714287</v>
      </c>
      <c r="K78">
        <v>145.03714285714287</v>
      </c>
      <c r="L78">
        <v>0.35</v>
      </c>
      <c r="M78">
        <v>1</v>
      </c>
      <c r="N78">
        <v>59</v>
      </c>
      <c r="O78">
        <v>14</v>
      </c>
      <c r="P78">
        <v>1</v>
      </c>
      <c r="Q78">
        <v>1</v>
      </c>
      <c r="R78">
        <v>350</v>
      </c>
      <c r="S78">
        <v>0.35</v>
      </c>
      <c r="T78" s="3">
        <v>9.9999999999999991E-22</v>
      </c>
      <c r="U78" s="3">
        <v>9.9999999999999991E-22</v>
      </c>
      <c r="V78" s="3">
        <v>9.9999999999999991E-22</v>
      </c>
      <c r="W78">
        <v>1</v>
      </c>
      <c r="X78" s="3">
        <v>9.9999999999999991E-22</v>
      </c>
      <c r="Y78">
        <v>15000</v>
      </c>
      <c r="Z78">
        <v>15</v>
      </c>
      <c r="AA78">
        <v>0.77190821586606451</v>
      </c>
      <c r="AB78">
        <v>3</v>
      </c>
      <c r="AC78">
        <v>3</v>
      </c>
      <c r="AD78">
        <v>0</v>
      </c>
      <c r="AE78">
        <v>0</v>
      </c>
      <c r="AF78">
        <v>1</v>
      </c>
      <c r="AG78">
        <v>26.98</v>
      </c>
      <c r="AH78">
        <v>50763</v>
      </c>
      <c r="AI78">
        <v>2</v>
      </c>
      <c r="AJ78">
        <v>10169</v>
      </c>
      <c r="AK78">
        <v>2170</v>
      </c>
      <c r="AL78">
        <v>500</v>
      </c>
      <c r="AM78">
        <v>4287.5</v>
      </c>
      <c r="AN78">
        <v>0</v>
      </c>
      <c r="AO78">
        <v>0</v>
      </c>
      <c r="AP78">
        <v>17.1265</v>
      </c>
      <c r="AQ78">
        <v>48.932857142857145</v>
      </c>
      <c r="AR78">
        <v>33.636499999999998</v>
      </c>
      <c r="AS78">
        <v>96.104285714285709</v>
      </c>
      <c r="AT78">
        <f t="shared" si="4"/>
        <v>726.35714285714289</v>
      </c>
      <c r="AU78" s="3">
        <f t="shared" si="5"/>
        <v>2170</v>
      </c>
      <c r="AV78">
        <f t="shared" si="6"/>
        <v>500</v>
      </c>
      <c r="AW78">
        <f t="shared" si="7"/>
        <v>12250</v>
      </c>
    </row>
    <row r="79" spans="1:49">
      <c r="A79">
        <v>79</v>
      </c>
      <c r="B79" t="s">
        <v>38</v>
      </c>
      <c r="C79">
        <v>1</v>
      </c>
      <c r="D79">
        <v>72</v>
      </c>
      <c r="E79">
        <v>1</v>
      </c>
      <c r="F79">
        <v>3</v>
      </c>
      <c r="G79">
        <v>60</v>
      </c>
      <c r="H79">
        <v>3</v>
      </c>
      <c r="I79">
        <v>60.873333333333335</v>
      </c>
      <c r="J79">
        <v>114538</v>
      </c>
      <c r="K79">
        <v>114.538</v>
      </c>
      <c r="L79">
        <v>1.5</v>
      </c>
      <c r="M79">
        <v>2</v>
      </c>
      <c r="N79">
        <v>32</v>
      </c>
      <c r="O79">
        <v>34</v>
      </c>
      <c r="P79">
        <v>1</v>
      </c>
      <c r="Q79">
        <v>2</v>
      </c>
      <c r="R79">
        <v>2000</v>
      </c>
      <c r="S79">
        <v>2</v>
      </c>
      <c r="T79" s="3">
        <v>9.9999999999999991E-22</v>
      </c>
      <c r="U79" s="3">
        <v>9.9999999999999991E-22</v>
      </c>
      <c r="V79" s="3">
        <v>9.9999999999999991E-22</v>
      </c>
      <c r="W79">
        <v>1</v>
      </c>
      <c r="X79" s="3">
        <v>9.9999999999999991E-22</v>
      </c>
      <c r="Y79">
        <v>223200</v>
      </c>
      <c r="Z79">
        <v>223.2</v>
      </c>
      <c r="AA79">
        <v>0.4349467224631462</v>
      </c>
      <c r="AB79">
        <v>4</v>
      </c>
      <c r="AC79">
        <v>3</v>
      </c>
      <c r="AD79">
        <v>0</v>
      </c>
      <c r="AE79">
        <v>0</v>
      </c>
      <c r="AF79">
        <v>1</v>
      </c>
      <c r="AG79">
        <v>91.31</v>
      </c>
      <c r="AH79">
        <v>171807</v>
      </c>
      <c r="AI79">
        <v>3</v>
      </c>
      <c r="AJ79">
        <v>38747</v>
      </c>
      <c r="AK79">
        <v>1590</v>
      </c>
      <c r="AL79">
        <v>1000</v>
      </c>
      <c r="AM79">
        <v>20000</v>
      </c>
      <c r="AN79">
        <v>0</v>
      </c>
      <c r="AO79">
        <v>0</v>
      </c>
      <c r="AP79">
        <v>61.337000000000003</v>
      </c>
      <c r="AQ79">
        <v>40.891333333333336</v>
      </c>
      <c r="AR79">
        <v>110.46999999999998</v>
      </c>
      <c r="AS79">
        <v>73.646666666666661</v>
      </c>
      <c r="AT79">
        <f t="shared" si="4"/>
        <v>1139.6176470588234</v>
      </c>
      <c r="AU79" s="3">
        <f t="shared" si="5"/>
        <v>1590</v>
      </c>
      <c r="AV79">
        <f t="shared" si="6"/>
        <v>500</v>
      </c>
      <c r="AW79">
        <f t="shared" si="7"/>
        <v>10000</v>
      </c>
    </row>
    <row r="80" spans="1:49">
      <c r="A80">
        <v>80</v>
      </c>
      <c r="B80" t="s">
        <v>38</v>
      </c>
      <c r="C80" s="3">
        <v>0</v>
      </c>
      <c r="D80">
        <v>38</v>
      </c>
      <c r="E80">
        <v>1</v>
      </c>
      <c r="F80">
        <v>4</v>
      </c>
      <c r="G80">
        <v>10</v>
      </c>
      <c r="H80">
        <v>4</v>
      </c>
      <c r="I80">
        <v>50</v>
      </c>
      <c r="J80">
        <v>84000</v>
      </c>
      <c r="K80">
        <v>84</v>
      </c>
      <c r="L80">
        <v>2</v>
      </c>
      <c r="M80">
        <v>2</v>
      </c>
      <c r="N80">
        <v>15</v>
      </c>
      <c r="O80">
        <v>38</v>
      </c>
      <c r="P80">
        <v>1</v>
      </c>
      <c r="Q80">
        <v>3</v>
      </c>
      <c r="R80">
        <v>1750</v>
      </c>
      <c r="S80">
        <v>1.75</v>
      </c>
      <c r="T80" s="3">
        <v>9.9999999999999991E-22</v>
      </c>
      <c r="U80" s="3">
        <v>9.9999999999999991E-22</v>
      </c>
      <c r="V80" s="3">
        <v>9.9999999999999991E-22</v>
      </c>
      <c r="W80" s="3">
        <v>9.9999999999999991E-22</v>
      </c>
      <c r="X80" s="3">
        <v>9.9999999999999991E-22</v>
      </c>
      <c r="Y80">
        <v>45600</v>
      </c>
      <c r="Z80">
        <v>45.6</v>
      </c>
      <c r="AA80">
        <v>0.7865168539325843</v>
      </c>
      <c r="AB80">
        <v>1</v>
      </c>
      <c r="AC80">
        <v>1</v>
      </c>
      <c r="AD80">
        <v>0</v>
      </c>
      <c r="AE80">
        <v>0</v>
      </c>
      <c r="AF80">
        <v>1</v>
      </c>
      <c r="AG80">
        <v>100</v>
      </c>
      <c r="AH80">
        <v>168000</v>
      </c>
      <c r="AI80">
        <v>2</v>
      </c>
      <c r="AJ80">
        <v>36900</v>
      </c>
      <c r="AK80">
        <v>10000</v>
      </c>
      <c r="AL80">
        <v>1800</v>
      </c>
      <c r="AM80">
        <v>19250</v>
      </c>
      <c r="AN80">
        <v>0</v>
      </c>
      <c r="AO80">
        <v>0</v>
      </c>
      <c r="AP80">
        <v>67.95</v>
      </c>
      <c r="AQ80">
        <v>33.975000000000001</v>
      </c>
      <c r="AR80">
        <v>100.05</v>
      </c>
      <c r="AS80">
        <v>50.024999999999999</v>
      </c>
      <c r="AT80">
        <f t="shared" si="4"/>
        <v>971.0526315789474</v>
      </c>
      <c r="AU80" s="3">
        <f t="shared" si="5"/>
        <v>10000</v>
      </c>
      <c r="AV80">
        <f t="shared" si="6"/>
        <v>600</v>
      </c>
      <c r="AW80">
        <f t="shared" si="7"/>
        <v>11000</v>
      </c>
    </row>
    <row r="81" spans="1:49">
      <c r="A81">
        <v>81</v>
      </c>
      <c r="B81" t="s">
        <v>38</v>
      </c>
      <c r="C81" s="3">
        <v>0</v>
      </c>
      <c r="D81">
        <v>72</v>
      </c>
      <c r="E81">
        <v>1</v>
      </c>
      <c r="F81">
        <v>1</v>
      </c>
      <c r="G81">
        <v>60</v>
      </c>
      <c r="H81">
        <v>7</v>
      </c>
      <c r="I81">
        <v>60</v>
      </c>
      <c r="J81">
        <v>80000</v>
      </c>
      <c r="K81">
        <v>80</v>
      </c>
      <c r="L81">
        <v>1</v>
      </c>
      <c r="M81">
        <v>1</v>
      </c>
      <c r="N81">
        <v>15</v>
      </c>
      <c r="O81">
        <v>15</v>
      </c>
      <c r="P81" s="3">
        <v>9.9999999999999991E-22</v>
      </c>
      <c r="Q81" s="3">
        <v>9.9999999999999991E-22</v>
      </c>
      <c r="R81">
        <v>600</v>
      </c>
      <c r="S81">
        <v>0.6</v>
      </c>
      <c r="T81" s="3">
        <v>9.9999999999999991E-22</v>
      </c>
      <c r="U81" s="3">
        <v>9.9999999999999991E-22</v>
      </c>
      <c r="V81" s="3">
        <v>9.9999999999999991E-22</v>
      </c>
      <c r="W81" s="3">
        <v>9.9999999999999991E-22</v>
      </c>
      <c r="X81" s="3">
        <v>9.9999999999999991E-22</v>
      </c>
      <c r="Y81">
        <v>120000</v>
      </c>
      <c r="Z81">
        <v>120</v>
      </c>
      <c r="AA81">
        <v>0.4</v>
      </c>
      <c r="AB81">
        <v>4</v>
      </c>
      <c r="AC81">
        <v>1</v>
      </c>
      <c r="AD81">
        <v>0</v>
      </c>
      <c r="AE81">
        <v>0</v>
      </c>
      <c r="AF81">
        <v>1</v>
      </c>
      <c r="AG81">
        <v>60</v>
      </c>
      <c r="AH81">
        <v>80000</v>
      </c>
      <c r="AI81">
        <v>2</v>
      </c>
      <c r="AJ81">
        <v>22450</v>
      </c>
      <c r="AK81">
        <v>0</v>
      </c>
      <c r="AL81">
        <v>0</v>
      </c>
      <c r="AM81">
        <v>6000</v>
      </c>
      <c r="AN81">
        <v>0</v>
      </c>
      <c r="AO81">
        <v>0</v>
      </c>
      <c r="AP81">
        <v>28.45</v>
      </c>
      <c r="AQ81">
        <v>28.45</v>
      </c>
      <c r="AR81">
        <v>51.55</v>
      </c>
      <c r="AS81">
        <v>51.55</v>
      </c>
      <c r="AT81">
        <f t="shared" si="4"/>
        <v>1496.6666666666667</v>
      </c>
      <c r="AU81" s="3">
        <f t="shared" si="5"/>
        <v>0</v>
      </c>
      <c r="AV81">
        <f t="shared" si="6"/>
        <v>0</v>
      </c>
      <c r="AW81">
        <f t="shared" si="7"/>
        <v>10000</v>
      </c>
    </row>
    <row r="82" spans="1:49">
      <c r="A82">
        <v>82</v>
      </c>
      <c r="B82" t="s">
        <v>38</v>
      </c>
      <c r="C82" s="3">
        <v>0</v>
      </c>
      <c r="D82">
        <v>52</v>
      </c>
      <c r="E82">
        <v>0</v>
      </c>
      <c r="F82">
        <v>2</v>
      </c>
      <c r="G82">
        <v>31</v>
      </c>
      <c r="H82">
        <v>6</v>
      </c>
      <c r="I82">
        <v>65</v>
      </c>
      <c r="J82">
        <v>91000</v>
      </c>
      <c r="K82">
        <v>91</v>
      </c>
      <c r="L82">
        <v>2</v>
      </c>
      <c r="M82">
        <v>1</v>
      </c>
      <c r="N82">
        <v>36</v>
      </c>
      <c r="O82">
        <v>20</v>
      </c>
      <c r="P82" s="3">
        <v>9.9999999999999991E-22</v>
      </c>
      <c r="Q82">
        <v>4</v>
      </c>
      <c r="R82">
        <v>4000</v>
      </c>
      <c r="S82">
        <v>4</v>
      </c>
      <c r="T82" s="3">
        <v>9.9999999999999991E-22</v>
      </c>
      <c r="U82" s="3">
        <v>9.9999999999999991E-22</v>
      </c>
      <c r="V82" s="3">
        <v>9.9999999999999991E-22</v>
      </c>
      <c r="W82">
        <v>1</v>
      </c>
      <c r="X82" s="3">
        <v>9.9999999999999991E-22</v>
      </c>
      <c r="Y82">
        <v>196000</v>
      </c>
      <c r="Z82">
        <v>196</v>
      </c>
      <c r="AA82">
        <v>0.48148148148148145</v>
      </c>
      <c r="AB82">
        <v>1</v>
      </c>
      <c r="AC82">
        <v>3</v>
      </c>
      <c r="AD82">
        <v>0</v>
      </c>
      <c r="AE82">
        <v>0</v>
      </c>
      <c r="AF82">
        <v>1</v>
      </c>
      <c r="AG82">
        <v>130</v>
      </c>
      <c r="AH82">
        <v>182000</v>
      </c>
      <c r="AI82">
        <v>2</v>
      </c>
      <c r="AJ82">
        <v>42000</v>
      </c>
      <c r="AK82">
        <v>0</v>
      </c>
      <c r="AL82">
        <v>600</v>
      </c>
      <c r="AM82">
        <v>44000</v>
      </c>
      <c r="AN82">
        <v>0</v>
      </c>
      <c r="AO82">
        <v>0</v>
      </c>
      <c r="AP82">
        <v>86.6</v>
      </c>
      <c r="AQ82">
        <v>43.3</v>
      </c>
      <c r="AR82">
        <v>95.4</v>
      </c>
      <c r="AS82">
        <v>47.7</v>
      </c>
      <c r="AT82">
        <f t="shared" si="4"/>
        <v>2100</v>
      </c>
      <c r="AU82" s="3">
        <f t="shared" si="5"/>
        <v>0</v>
      </c>
      <c r="AV82">
        <f t="shared" si="6"/>
        <v>150</v>
      </c>
      <c r="AW82">
        <f t="shared" si="7"/>
        <v>11000</v>
      </c>
    </row>
    <row r="83" spans="1:49">
      <c r="A83">
        <v>83</v>
      </c>
      <c r="B83" t="s">
        <v>38</v>
      </c>
      <c r="C83">
        <v>1</v>
      </c>
      <c r="D83">
        <v>64</v>
      </c>
      <c r="E83">
        <v>0</v>
      </c>
      <c r="F83">
        <v>2</v>
      </c>
      <c r="G83">
        <v>44</v>
      </c>
      <c r="H83">
        <v>4</v>
      </c>
      <c r="I83">
        <v>61.764705882352942</v>
      </c>
      <c r="J83">
        <v>86470.588235294126</v>
      </c>
      <c r="K83">
        <v>86.47058823529413</v>
      </c>
      <c r="L83">
        <v>1.7</v>
      </c>
      <c r="M83">
        <v>2</v>
      </c>
      <c r="N83">
        <v>22.5</v>
      </c>
      <c r="O83">
        <v>23</v>
      </c>
      <c r="P83" s="3">
        <v>9.9999999999999991E-22</v>
      </c>
      <c r="Q83">
        <v>8</v>
      </c>
      <c r="R83">
        <v>1600</v>
      </c>
      <c r="S83">
        <v>1.6</v>
      </c>
      <c r="T83" s="3">
        <v>9.9999999999999991E-22</v>
      </c>
      <c r="U83" s="3">
        <v>9.9999999999999991E-22</v>
      </c>
      <c r="V83" s="3">
        <v>9.9999999999999991E-22</v>
      </c>
      <c r="W83" s="3">
        <v>9.9999999999999991E-22</v>
      </c>
      <c r="X83">
        <v>1</v>
      </c>
      <c r="Y83">
        <v>36000</v>
      </c>
      <c r="Z83">
        <v>36</v>
      </c>
      <c r="AA83">
        <v>0.80327868852459017</v>
      </c>
      <c r="AB83">
        <v>3</v>
      </c>
      <c r="AC83">
        <v>3</v>
      </c>
      <c r="AD83">
        <v>0</v>
      </c>
      <c r="AE83">
        <v>0</v>
      </c>
      <c r="AF83">
        <v>1</v>
      </c>
      <c r="AG83">
        <v>105</v>
      </c>
      <c r="AH83">
        <v>147000</v>
      </c>
      <c r="AI83">
        <v>2</v>
      </c>
      <c r="AJ83">
        <v>38450</v>
      </c>
      <c r="AK83">
        <v>0</v>
      </c>
      <c r="AL83">
        <v>1200</v>
      </c>
      <c r="AM83">
        <v>16000</v>
      </c>
      <c r="AN83">
        <v>0</v>
      </c>
      <c r="AO83">
        <v>0</v>
      </c>
      <c r="AP83">
        <v>55.65</v>
      </c>
      <c r="AQ83">
        <v>32.735294117647058</v>
      </c>
      <c r="AR83">
        <v>91.35</v>
      </c>
      <c r="AS83">
        <v>53.735294117647058</v>
      </c>
      <c r="AT83">
        <f t="shared" si="4"/>
        <v>1671.7391304347825</v>
      </c>
      <c r="AU83" s="3">
        <f t="shared" si="5"/>
        <v>0</v>
      </c>
      <c r="AV83">
        <f t="shared" si="6"/>
        <v>150</v>
      </c>
      <c r="AW83">
        <f t="shared" si="7"/>
        <v>10000</v>
      </c>
    </row>
    <row r="84" spans="1:49">
      <c r="A84">
        <v>84</v>
      </c>
      <c r="B84" t="s">
        <v>38</v>
      </c>
      <c r="C84">
        <v>1</v>
      </c>
      <c r="D84">
        <v>42</v>
      </c>
      <c r="E84">
        <v>0</v>
      </c>
      <c r="F84">
        <v>5</v>
      </c>
      <c r="G84">
        <v>5</v>
      </c>
      <c r="H84">
        <v>2</v>
      </c>
      <c r="I84">
        <v>54.278947368421051</v>
      </c>
      <c r="J84">
        <v>102127.36842105264</v>
      </c>
      <c r="K84">
        <v>102.12736842105264</v>
      </c>
      <c r="L84">
        <v>1.9</v>
      </c>
      <c r="M84">
        <v>1</v>
      </c>
      <c r="N84">
        <v>81</v>
      </c>
      <c r="O84">
        <v>22</v>
      </c>
      <c r="P84">
        <v>1</v>
      </c>
      <c r="Q84">
        <v>3</v>
      </c>
      <c r="R84">
        <v>1500</v>
      </c>
      <c r="S84">
        <v>1.5</v>
      </c>
      <c r="T84" s="3">
        <v>9.9999999999999991E-22</v>
      </c>
      <c r="U84" s="3">
        <v>9.9999999999999991E-22</v>
      </c>
      <c r="V84" s="3">
        <v>9.9999999999999991E-22</v>
      </c>
      <c r="W84" s="3">
        <v>9.9999999999999991E-22</v>
      </c>
      <c r="X84" s="3">
        <v>9.9999999999999991E-22</v>
      </c>
      <c r="Y84">
        <v>47400</v>
      </c>
      <c r="Z84">
        <v>47.4</v>
      </c>
      <c r="AA84">
        <v>0.80367955865176732</v>
      </c>
      <c r="AB84">
        <v>4</v>
      </c>
      <c r="AC84">
        <v>3</v>
      </c>
      <c r="AD84">
        <v>0</v>
      </c>
      <c r="AE84">
        <v>0</v>
      </c>
      <c r="AF84">
        <v>1</v>
      </c>
      <c r="AG84">
        <v>103.13</v>
      </c>
      <c r="AH84">
        <v>194042</v>
      </c>
      <c r="AI84">
        <v>1</v>
      </c>
      <c r="AJ84">
        <v>25750</v>
      </c>
      <c r="AK84">
        <v>10000</v>
      </c>
      <c r="AL84">
        <v>1800</v>
      </c>
      <c r="AM84">
        <v>15000</v>
      </c>
      <c r="AN84">
        <v>0</v>
      </c>
      <c r="AO84">
        <v>0</v>
      </c>
      <c r="AP84">
        <v>52.55</v>
      </c>
      <c r="AQ84">
        <v>27.657894736842106</v>
      </c>
      <c r="AR84">
        <v>141.49200000000002</v>
      </c>
      <c r="AS84">
        <v>74.469473684210541</v>
      </c>
      <c r="AT84">
        <f t="shared" si="4"/>
        <v>1170.4545454545455</v>
      </c>
      <c r="AU84" s="3">
        <f t="shared" si="5"/>
        <v>10000</v>
      </c>
      <c r="AV84">
        <f t="shared" si="6"/>
        <v>600</v>
      </c>
      <c r="AW84">
        <f t="shared" si="7"/>
        <v>10000</v>
      </c>
    </row>
    <row r="85" spans="1:49">
      <c r="A85">
        <v>85</v>
      </c>
      <c r="B85" t="s">
        <v>38</v>
      </c>
      <c r="C85">
        <v>1</v>
      </c>
      <c r="D85">
        <v>83</v>
      </c>
      <c r="E85">
        <v>1</v>
      </c>
      <c r="F85">
        <v>1</v>
      </c>
      <c r="G85">
        <v>74</v>
      </c>
      <c r="H85">
        <v>3</v>
      </c>
      <c r="I85">
        <v>12.660727272727273</v>
      </c>
      <c r="J85">
        <v>29364</v>
      </c>
      <c r="K85">
        <v>29.364000000000001</v>
      </c>
      <c r="L85">
        <v>2.75</v>
      </c>
      <c r="M85">
        <v>1</v>
      </c>
      <c r="N85">
        <v>68</v>
      </c>
      <c r="O85">
        <v>30</v>
      </c>
      <c r="P85">
        <v>1</v>
      </c>
      <c r="Q85">
        <v>4</v>
      </c>
      <c r="R85">
        <v>2750</v>
      </c>
      <c r="S85">
        <v>2.75</v>
      </c>
      <c r="T85">
        <v>4</v>
      </c>
      <c r="U85" s="3">
        <v>9.9999999999999991E-22</v>
      </c>
      <c r="V85" s="3">
        <v>9.9999999999999991E-22</v>
      </c>
      <c r="W85" s="3">
        <v>9.9999999999999991E-22</v>
      </c>
      <c r="X85" s="3">
        <v>9.9999999999999991E-22</v>
      </c>
      <c r="Y85">
        <v>10000</v>
      </c>
      <c r="Z85">
        <v>10</v>
      </c>
      <c r="AA85">
        <v>0.88980837676719815</v>
      </c>
      <c r="AB85">
        <v>1</v>
      </c>
      <c r="AC85">
        <v>3</v>
      </c>
      <c r="AD85">
        <v>0</v>
      </c>
      <c r="AE85">
        <v>1</v>
      </c>
      <c r="AF85">
        <v>1</v>
      </c>
      <c r="AG85">
        <v>34.817</v>
      </c>
      <c r="AH85">
        <v>80751</v>
      </c>
      <c r="AI85">
        <v>3</v>
      </c>
      <c r="AJ85">
        <v>26500</v>
      </c>
      <c r="AK85">
        <v>15000</v>
      </c>
      <c r="AL85">
        <v>500</v>
      </c>
      <c r="AM85">
        <v>23100</v>
      </c>
      <c r="AN85">
        <v>2000</v>
      </c>
      <c r="AO85">
        <v>0</v>
      </c>
      <c r="AP85">
        <v>67.099999999999994</v>
      </c>
      <c r="AQ85">
        <v>24.4</v>
      </c>
      <c r="AR85">
        <v>13.65100000000001</v>
      </c>
      <c r="AS85">
        <v>4.964000000000004</v>
      </c>
      <c r="AT85">
        <f t="shared" si="4"/>
        <v>883.33333333333337</v>
      </c>
      <c r="AU85" s="3">
        <f t="shared" si="5"/>
        <v>15000</v>
      </c>
      <c r="AV85">
        <f t="shared" si="6"/>
        <v>125</v>
      </c>
      <c r="AW85">
        <f t="shared" si="7"/>
        <v>8400</v>
      </c>
    </row>
    <row r="86" spans="1:49">
      <c r="A86">
        <v>86</v>
      </c>
      <c r="B86" t="s">
        <v>38</v>
      </c>
      <c r="C86" s="3">
        <v>0</v>
      </c>
      <c r="D86">
        <v>54</v>
      </c>
      <c r="E86">
        <v>1</v>
      </c>
      <c r="F86">
        <v>2</v>
      </c>
      <c r="G86">
        <v>40</v>
      </c>
      <c r="H86">
        <v>6</v>
      </c>
      <c r="I86">
        <v>30</v>
      </c>
      <c r="J86">
        <v>50333.333333333336</v>
      </c>
      <c r="K86">
        <v>50.333333333333336</v>
      </c>
      <c r="L86">
        <v>3</v>
      </c>
      <c r="M86">
        <v>1</v>
      </c>
      <c r="N86">
        <v>21.75</v>
      </c>
      <c r="O86">
        <v>16</v>
      </c>
      <c r="P86" s="3">
        <v>9.9999999999999991E-22</v>
      </c>
      <c r="Q86" s="3">
        <v>9.9999999999999991E-22</v>
      </c>
      <c r="R86">
        <v>3575</v>
      </c>
      <c r="S86">
        <v>3.5750000000000002</v>
      </c>
      <c r="T86" s="3">
        <v>9.9999999999999991E-22</v>
      </c>
      <c r="U86" s="3">
        <v>9.9999999999999991E-22</v>
      </c>
      <c r="V86" s="3">
        <v>9.9999999999999991E-22</v>
      </c>
      <c r="W86" s="3">
        <v>9.9999999999999991E-22</v>
      </c>
      <c r="X86" s="3">
        <v>9.9999999999999991E-22</v>
      </c>
      <c r="Y86">
        <v>0</v>
      </c>
      <c r="Z86">
        <v>0</v>
      </c>
      <c r="AA86">
        <v>1</v>
      </c>
      <c r="AB86">
        <v>4</v>
      </c>
      <c r="AC86">
        <v>3</v>
      </c>
      <c r="AD86">
        <v>1</v>
      </c>
      <c r="AE86">
        <v>0</v>
      </c>
      <c r="AF86">
        <v>1</v>
      </c>
      <c r="AG86">
        <v>90</v>
      </c>
      <c r="AH86">
        <v>151000</v>
      </c>
      <c r="AI86">
        <v>4</v>
      </c>
      <c r="AJ86">
        <v>27600</v>
      </c>
      <c r="AK86">
        <v>0</v>
      </c>
      <c r="AL86">
        <v>0</v>
      </c>
      <c r="AM86">
        <v>28600</v>
      </c>
      <c r="AN86">
        <v>0</v>
      </c>
      <c r="AO86">
        <v>0</v>
      </c>
      <c r="AP86">
        <v>56.2</v>
      </c>
      <c r="AQ86">
        <v>18.733333333333334</v>
      </c>
      <c r="AR86">
        <v>94.8</v>
      </c>
      <c r="AS86">
        <v>31.599999999999998</v>
      </c>
      <c r="AT86">
        <f t="shared" si="4"/>
        <v>1725</v>
      </c>
      <c r="AU86" s="3">
        <f t="shared" si="5"/>
        <v>0</v>
      </c>
      <c r="AV86">
        <f t="shared" si="6"/>
        <v>0</v>
      </c>
      <c r="AW86">
        <f t="shared" si="7"/>
        <v>8000</v>
      </c>
    </row>
    <row r="87" spans="1:49">
      <c r="A87">
        <v>87</v>
      </c>
      <c r="B87" t="s">
        <v>38</v>
      </c>
      <c r="C87">
        <v>1</v>
      </c>
      <c r="D87">
        <v>72</v>
      </c>
      <c r="E87">
        <v>1</v>
      </c>
      <c r="F87">
        <v>1</v>
      </c>
      <c r="G87">
        <v>64</v>
      </c>
      <c r="H87">
        <v>4</v>
      </c>
      <c r="I87">
        <v>35.714285714285715</v>
      </c>
      <c r="J87">
        <v>41071.428571428572</v>
      </c>
      <c r="K87">
        <v>41.071428571428569</v>
      </c>
      <c r="L87">
        <v>0.84</v>
      </c>
      <c r="M87">
        <v>1</v>
      </c>
      <c r="N87">
        <v>42.5</v>
      </c>
      <c r="O87">
        <v>19</v>
      </c>
      <c r="P87">
        <v>1</v>
      </c>
      <c r="Q87" s="3">
        <v>9.9999999999999991E-22</v>
      </c>
      <c r="R87">
        <v>650</v>
      </c>
      <c r="S87">
        <v>0.65</v>
      </c>
      <c r="T87" s="3">
        <v>9.9999999999999991E-22</v>
      </c>
      <c r="U87" s="3">
        <v>9.9999999999999991E-22</v>
      </c>
      <c r="V87" s="3">
        <v>9.9999999999999991E-22</v>
      </c>
      <c r="W87" s="3">
        <v>9.9999999999999991E-22</v>
      </c>
      <c r="X87" s="3">
        <v>9.9999999999999991E-22</v>
      </c>
      <c r="Y87">
        <v>102000</v>
      </c>
      <c r="Z87">
        <v>102</v>
      </c>
      <c r="AA87">
        <v>0.25274725274725274</v>
      </c>
      <c r="AB87">
        <v>3</v>
      </c>
      <c r="AC87">
        <v>3</v>
      </c>
      <c r="AD87">
        <v>0</v>
      </c>
      <c r="AE87">
        <v>0</v>
      </c>
      <c r="AF87">
        <v>1</v>
      </c>
      <c r="AG87">
        <v>30</v>
      </c>
      <c r="AH87">
        <v>34500</v>
      </c>
      <c r="AI87">
        <v>3</v>
      </c>
      <c r="AJ87">
        <v>9000</v>
      </c>
      <c r="AK87">
        <v>8000</v>
      </c>
      <c r="AL87">
        <v>0</v>
      </c>
      <c r="AM87">
        <v>5460</v>
      </c>
      <c r="AN87">
        <v>0</v>
      </c>
      <c r="AO87">
        <v>0</v>
      </c>
      <c r="AP87">
        <v>22.46</v>
      </c>
      <c r="AQ87">
        <v>26.738095238095241</v>
      </c>
      <c r="AR87">
        <v>12.04</v>
      </c>
      <c r="AS87">
        <v>14.333333333333332</v>
      </c>
      <c r="AT87">
        <f t="shared" si="4"/>
        <v>473.68421052631578</v>
      </c>
      <c r="AU87" s="3">
        <f t="shared" si="5"/>
        <v>8000</v>
      </c>
      <c r="AV87">
        <f t="shared" si="6"/>
        <v>0</v>
      </c>
      <c r="AW87">
        <f t="shared" si="7"/>
        <v>8400</v>
      </c>
    </row>
    <row r="88" spans="1:49">
      <c r="A88">
        <v>88</v>
      </c>
      <c r="B88" t="s">
        <v>38</v>
      </c>
      <c r="C88" s="3">
        <v>0</v>
      </c>
      <c r="D88">
        <v>64</v>
      </c>
      <c r="E88">
        <v>1</v>
      </c>
      <c r="F88">
        <v>3</v>
      </c>
      <c r="G88">
        <v>50</v>
      </c>
      <c r="H88">
        <v>4</v>
      </c>
      <c r="I88">
        <v>16.666666666666668</v>
      </c>
      <c r="J88">
        <v>15000</v>
      </c>
      <c r="K88">
        <v>15</v>
      </c>
      <c r="L88">
        <v>1.2</v>
      </c>
      <c r="M88">
        <v>2</v>
      </c>
      <c r="N88">
        <v>37</v>
      </c>
      <c r="O88">
        <v>15</v>
      </c>
      <c r="P88">
        <v>1</v>
      </c>
      <c r="Q88">
        <v>3</v>
      </c>
      <c r="R88">
        <v>600</v>
      </c>
      <c r="S88">
        <v>0.6</v>
      </c>
      <c r="T88" s="3">
        <v>9.9999999999999991E-22</v>
      </c>
      <c r="U88" s="3">
        <v>9.9999999999999991E-22</v>
      </c>
      <c r="V88" s="3">
        <v>9.9999999999999991E-22</v>
      </c>
      <c r="W88" s="3">
        <v>9.9999999999999991E-22</v>
      </c>
      <c r="X88" s="3">
        <v>9.9999999999999991E-22</v>
      </c>
      <c r="Y88">
        <v>20000</v>
      </c>
      <c r="Z88">
        <v>20</v>
      </c>
      <c r="AA88">
        <v>0.47368421052631576</v>
      </c>
      <c r="AB88">
        <v>4</v>
      </c>
      <c r="AC88">
        <v>1</v>
      </c>
      <c r="AD88">
        <v>0</v>
      </c>
      <c r="AE88">
        <v>0</v>
      </c>
      <c r="AF88">
        <v>1</v>
      </c>
      <c r="AG88">
        <v>20</v>
      </c>
      <c r="AH88">
        <v>18000</v>
      </c>
      <c r="AI88">
        <v>4</v>
      </c>
      <c r="AJ88">
        <v>5000</v>
      </c>
      <c r="AK88">
        <v>5100</v>
      </c>
      <c r="AL88">
        <v>0</v>
      </c>
      <c r="AM88">
        <v>11880</v>
      </c>
      <c r="AN88">
        <v>0</v>
      </c>
      <c r="AO88">
        <v>0</v>
      </c>
      <c r="AP88">
        <v>21.98</v>
      </c>
      <c r="AQ88">
        <v>18.316666666666666</v>
      </c>
      <c r="AR88">
        <v>-3.9800000000000004</v>
      </c>
      <c r="AS88">
        <v>-3.3166666666666673</v>
      </c>
      <c r="AT88">
        <f t="shared" si="4"/>
        <v>333.33333333333331</v>
      </c>
      <c r="AU88" s="3">
        <f t="shared" si="5"/>
        <v>5100</v>
      </c>
      <c r="AV88">
        <f t="shared" si="6"/>
        <v>0</v>
      </c>
      <c r="AW88">
        <f t="shared" si="7"/>
        <v>19800</v>
      </c>
    </row>
    <row r="89" spans="1:49">
      <c r="A89">
        <v>89</v>
      </c>
      <c r="B89" t="s">
        <v>38</v>
      </c>
      <c r="C89" s="3">
        <v>0</v>
      </c>
      <c r="D89">
        <v>84</v>
      </c>
      <c r="E89">
        <v>1</v>
      </c>
      <c r="F89">
        <v>2</v>
      </c>
      <c r="G89">
        <v>65</v>
      </c>
      <c r="H89">
        <v>4</v>
      </c>
      <c r="I89">
        <v>50</v>
      </c>
      <c r="J89">
        <v>86000</v>
      </c>
      <c r="K89">
        <v>86</v>
      </c>
      <c r="L89">
        <v>2</v>
      </c>
      <c r="M89">
        <v>3</v>
      </c>
      <c r="N89">
        <v>5</v>
      </c>
      <c r="O89">
        <v>26</v>
      </c>
      <c r="P89">
        <v>1</v>
      </c>
      <c r="Q89">
        <v>8</v>
      </c>
      <c r="R89">
        <v>2250</v>
      </c>
      <c r="S89">
        <v>2.25</v>
      </c>
      <c r="T89" s="3">
        <v>9.9999999999999991E-22</v>
      </c>
      <c r="U89" s="3">
        <v>9.9999999999999991E-22</v>
      </c>
      <c r="V89" s="3">
        <v>9.9999999999999991E-22</v>
      </c>
      <c r="W89" s="3">
        <v>9.9999999999999991E-22</v>
      </c>
      <c r="X89" s="3">
        <v>9.9999999999999991E-22</v>
      </c>
      <c r="Y89">
        <v>180000</v>
      </c>
      <c r="Z89">
        <v>180</v>
      </c>
      <c r="AA89">
        <v>0.48863636363636365</v>
      </c>
      <c r="AB89">
        <v>4</v>
      </c>
      <c r="AC89">
        <v>1</v>
      </c>
      <c r="AD89">
        <v>0</v>
      </c>
      <c r="AE89">
        <v>0</v>
      </c>
      <c r="AF89">
        <v>1</v>
      </c>
      <c r="AG89">
        <v>100</v>
      </c>
      <c r="AH89">
        <v>172000</v>
      </c>
      <c r="AI89">
        <v>3</v>
      </c>
      <c r="AJ89">
        <v>35000</v>
      </c>
      <c r="AK89">
        <v>4500</v>
      </c>
      <c r="AL89">
        <v>1200</v>
      </c>
      <c r="AM89">
        <v>22500</v>
      </c>
      <c r="AN89">
        <v>0</v>
      </c>
      <c r="AO89">
        <v>0</v>
      </c>
      <c r="AP89">
        <v>63.2</v>
      </c>
      <c r="AQ89">
        <v>31.6</v>
      </c>
      <c r="AR89">
        <v>108.8</v>
      </c>
      <c r="AS89">
        <v>54.4</v>
      </c>
      <c r="AT89">
        <f t="shared" si="4"/>
        <v>1346.1538461538462</v>
      </c>
      <c r="AU89" s="3">
        <f t="shared" si="5"/>
        <v>4500</v>
      </c>
      <c r="AV89">
        <f t="shared" si="6"/>
        <v>150</v>
      </c>
      <c r="AW89">
        <f t="shared" si="7"/>
        <v>10000</v>
      </c>
    </row>
    <row r="90" spans="1:49">
      <c r="A90">
        <v>90</v>
      </c>
      <c r="B90" t="s">
        <v>39</v>
      </c>
      <c r="C90">
        <v>1</v>
      </c>
      <c r="D90">
        <v>56</v>
      </c>
      <c r="E90">
        <v>1</v>
      </c>
      <c r="F90">
        <v>4</v>
      </c>
      <c r="G90">
        <v>30</v>
      </c>
      <c r="H90">
        <v>7</v>
      </c>
      <c r="I90">
        <v>70</v>
      </c>
      <c r="J90">
        <v>84000</v>
      </c>
      <c r="K90">
        <v>84</v>
      </c>
      <c r="L90">
        <v>0.5</v>
      </c>
      <c r="M90">
        <v>1</v>
      </c>
      <c r="N90">
        <v>4.5</v>
      </c>
      <c r="O90">
        <v>6</v>
      </c>
      <c r="P90">
        <v>0.5</v>
      </c>
      <c r="Q90">
        <v>4</v>
      </c>
      <c r="R90">
        <v>500</v>
      </c>
      <c r="S90">
        <v>0.5</v>
      </c>
      <c r="T90" s="3">
        <v>9.9999999999999991E-22</v>
      </c>
      <c r="U90" s="3">
        <v>9.9999999999999991E-22</v>
      </c>
      <c r="V90" s="3">
        <v>9.9999999999999991E-22</v>
      </c>
      <c r="W90" s="3">
        <v>9.9999999999999991E-22</v>
      </c>
      <c r="X90" s="3">
        <v>9.9999999999999991E-22</v>
      </c>
      <c r="Y90">
        <v>300000</v>
      </c>
      <c r="Z90">
        <v>300</v>
      </c>
      <c r="AA90">
        <v>0.12280701754385964</v>
      </c>
      <c r="AB90">
        <v>3</v>
      </c>
      <c r="AC90">
        <v>3</v>
      </c>
      <c r="AD90">
        <v>0</v>
      </c>
      <c r="AE90">
        <v>0</v>
      </c>
      <c r="AF90">
        <v>1</v>
      </c>
      <c r="AG90">
        <v>35</v>
      </c>
      <c r="AH90">
        <v>42000</v>
      </c>
      <c r="AI90">
        <v>1</v>
      </c>
      <c r="AJ90">
        <v>13250</v>
      </c>
      <c r="AK90">
        <v>7000</v>
      </c>
      <c r="AL90">
        <v>2400</v>
      </c>
      <c r="AM90">
        <v>4500</v>
      </c>
      <c r="AN90">
        <v>0</v>
      </c>
      <c r="AO90">
        <v>0</v>
      </c>
      <c r="AP90">
        <v>27.15</v>
      </c>
      <c r="AQ90">
        <v>54.3</v>
      </c>
      <c r="AR90">
        <v>14.850000000000001</v>
      </c>
      <c r="AS90">
        <v>29.700000000000003</v>
      </c>
      <c r="AT90">
        <f t="shared" si="4"/>
        <v>2208.3333333333335</v>
      </c>
      <c r="AU90" s="3">
        <f t="shared" si="5"/>
        <v>14000</v>
      </c>
      <c r="AV90">
        <f t="shared" si="6"/>
        <v>600</v>
      </c>
      <c r="AW90">
        <f t="shared" si="7"/>
        <v>9000</v>
      </c>
    </row>
    <row r="91" spans="1:49">
      <c r="A91">
        <v>91</v>
      </c>
      <c r="B91" t="s">
        <v>39</v>
      </c>
      <c r="C91">
        <v>1</v>
      </c>
      <c r="D91">
        <v>59</v>
      </c>
      <c r="E91">
        <v>0</v>
      </c>
      <c r="F91">
        <v>5</v>
      </c>
      <c r="G91">
        <v>25</v>
      </c>
      <c r="H91">
        <v>4</v>
      </c>
      <c r="I91">
        <v>50</v>
      </c>
      <c r="J91">
        <v>84000</v>
      </c>
      <c r="K91">
        <v>84</v>
      </c>
      <c r="L91">
        <v>0.5</v>
      </c>
      <c r="M91">
        <v>1</v>
      </c>
      <c r="N91">
        <v>90</v>
      </c>
      <c r="O91">
        <v>14</v>
      </c>
      <c r="P91">
        <v>1</v>
      </c>
      <c r="Q91">
        <v>3</v>
      </c>
      <c r="R91">
        <v>400</v>
      </c>
      <c r="S91">
        <v>0.4</v>
      </c>
      <c r="T91" s="3">
        <v>9.9999999999999991E-22</v>
      </c>
      <c r="U91" s="3">
        <v>9.9999999999999991E-22</v>
      </c>
      <c r="V91" s="3">
        <v>9.9999999999999991E-22</v>
      </c>
      <c r="W91" s="3">
        <v>9.9999999999999991E-22</v>
      </c>
      <c r="X91">
        <v>1</v>
      </c>
      <c r="Y91">
        <v>900000</v>
      </c>
      <c r="Z91">
        <v>900</v>
      </c>
      <c r="AA91">
        <v>4.4585987261146494E-2</v>
      </c>
      <c r="AB91">
        <v>3</v>
      </c>
      <c r="AC91">
        <v>3</v>
      </c>
      <c r="AD91">
        <v>0</v>
      </c>
      <c r="AE91">
        <v>0</v>
      </c>
      <c r="AF91">
        <v>1</v>
      </c>
      <c r="AG91">
        <v>25</v>
      </c>
      <c r="AH91">
        <v>42000</v>
      </c>
      <c r="AI91">
        <v>2</v>
      </c>
      <c r="AJ91">
        <v>10550</v>
      </c>
      <c r="AK91">
        <v>2500</v>
      </c>
      <c r="AL91">
        <v>1800</v>
      </c>
      <c r="AM91">
        <v>3360</v>
      </c>
      <c r="AN91">
        <v>0</v>
      </c>
      <c r="AO91">
        <v>0</v>
      </c>
      <c r="AP91">
        <v>18.21</v>
      </c>
      <c r="AQ91">
        <v>36.42</v>
      </c>
      <c r="AR91">
        <v>23.79</v>
      </c>
      <c r="AS91">
        <v>47.58</v>
      </c>
      <c r="AT91">
        <f t="shared" si="4"/>
        <v>753.57142857142856</v>
      </c>
      <c r="AU91" s="3">
        <f t="shared" si="5"/>
        <v>2500</v>
      </c>
      <c r="AV91">
        <f t="shared" si="6"/>
        <v>600</v>
      </c>
      <c r="AW91">
        <f t="shared" si="7"/>
        <v>8400</v>
      </c>
    </row>
    <row r="92" spans="1:49">
      <c r="A92">
        <v>92</v>
      </c>
      <c r="B92" t="s">
        <v>39</v>
      </c>
      <c r="C92">
        <v>1</v>
      </c>
      <c r="D92">
        <v>82</v>
      </c>
      <c r="E92">
        <v>0</v>
      </c>
      <c r="F92">
        <v>1</v>
      </c>
      <c r="G92">
        <v>70</v>
      </c>
      <c r="H92">
        <v>5</v>
      </c>
      <c r="I92">
        <v>32</v>
      </c>
      <c r="J92">
        <v>186931.33333333334</v>
      </c>
      <c r="K92">
        <v>186.93133333333336</v>
      </c>
      <c r="L92">
        <v>1.5</v>
      </c>
      <c r="M92">
        <v>1</v>
      </c>
      <c r="N92">
        <v>37.5</v>
      </c>
      <c r="O92">
        <v>23</v>
      </c>
      <c r="P92">
        <v>1</v>
      </c>
      <c r="Q92">
        <v>2</v>
      </c>
      <c r="R92">
        <v>2000</v>
      </c>
      <c r="S92">
        <v>2</v>
      </c>
      <c r="T92" s="3">
        <v>9.9999999999999991E-22</v>
      </c>
      <c r="U92" s="3">
        <v>9.9999999999999991E-22</v>
      </c>
      <c r="V92" s="3">
        <v>9.9999999999999991E-22</v>
      </c>
      <c r="W92" s="3">
        <v>9.9999999999999991E-22</v>
      </c>
      <c r="X92" s="3">
        <v>9.9999999999999991E-22</v>
      </c>
      <c r="Y92">
        <v>6000</v>
      </c>
      <c r="Z92">
        <v>6</v>
      </c>
      <c r="AA92">
        <v>0.97905005988191218</v>
      </c>
      <c r="AB92">
        <v>3</v>
      </c>
      <c r="AC92">
        <v>3</v>
      </c>
      <c r="AD92">
        <v>0</v>
      </c>
      <c r="AE92">
        <v>0</v>
      </c>
      <c r="AF92">
        <v>1</v>
      </c>
      <c r="AG92">
        <v>48</v>
      </c>
      <c r="AH92">
        <v>280397</v>
      </c>
      <c r="AI92">
        <v>2</v>
      </c>
      <c r="AJ92">
        <v>22700</v>
      </c>
      <c r="AK92">
        <v>7500</v>
      </c>
      <c r="AL92">
        <v>1200</v>
      </c>
      <c r="AM92">
        <v>18800</v>
      </c>
      <c r="AN92">
        <v>0</v>
      </c>
      <c r="AO92">
        <v>0</v>
      </c>
      <c r="AP92">
        <v>50.2</v>
      </c>
      <c r="AQ92">
        <v>33.466666666666669</v>
      </c>
      <c r="AR92">
        <v>230.197</v>
      </c>
      <c r="AS92">
        <v>153.46466666666666</v>
      </c>
      <c r="AT92">
        <f t="shared" si="4"/>
        <v>986.95652173913038</v>
      </c>
      <c r="AU92" s="3">
        <f t="shared" si="5"/>
        <v>7500</v>
      </c>
      <c r="AV92">
        <f t="shared" si="6"/>
        <v>600</v>
      </c>
      <c r="AW92">
        <f t="shared" si="7"/>
        <v>9400</v>
      </c>
    </row>
    <row r="93" spans="1:49">
      <c r="A93">
        <v>93</v>
      </c>
      <c r="B93" t="s">
        <v>39</v>
      </c>
      <c r="C93" s="3">
        <v>0</v>
      </c>
      <c r="D93">
        <v>50</v>
      </c>
      <c r="E93">
        <v>1</v>
      </c>
      <c r="F93">
        <v>2</v>
      </c>
      <c r="G93">
        <v>40</v>
      </c>
      <c r="H93">
        <v>4</v>
      </c>
      <c r="I93">
        <v>60</v>
      </c>
      <c r="J93">
        <v>67200</v>
      </c>
      <c r="K93">
        <v>67.2</v>
      </c>
      <c r="L93">
        <v>0.5</v>
      </c>
      <c r="M93">
        <v>1</v>
      </c>
      <c r="N93">
        <v>225</v>
      </c>
      <c r="O93">
        <v>18</v>
      </c>
      <c r="P93">
        <v>1</v>
      </c>
      <c r="Q93">
        <v>4</v>
      </c>
      <c r="R93">
        <v>500</v>
      </c>
      <c r="S93">
        <v>0.5</v>
      </c>
      <c r="T93">
        <v>6</v>
      </c>
      <c r="U93" s="3">
        <v>9.9999999999999991E-22</v>
      </c>
      <c r="V93" s="3">
        <v>9.9999999999999991E-22</v>
      </c>
      <c r="W93" s="3">
        <v>9.9999999999999991E-22</v>
      </c>
      <c r="X93" s="3">
        <v>9.9999999999999991E-22</v>
      </c>
      <c r="Y93">
        <v>16000</v>
      </c>
      <c r="Z93">
        <v>16</v>
      </c>
      <c r="AA93">
        <v>0.67741935483870963</v>
      </c>
      <c r="AB93">
        <v>3</v>
      </c>
      <c r="AC93">
        <v>3</v>
      </c>
      <c r="AD93">
        <v>0</v>
      </c>
      <c r="AE93">
        <v>3</v>
      </c>
      <c r="AF93">
        <v>1</v>
      </c>
      <c r="AG93">
        <v>30</v>
      </c>
      <c r="AH93">
        <v>33600</v>
      </c>
      <c r="AI93">
        <v>2</v>
      </c>
      <c r="AJ93">
        <v>13300</v>
      </c>
      <c r="AK93">
        <v>5000</v>
      </c>
      <c r="AL93">
        <v>2400</v>
      </c>
      <c r="AM93">
        <v>5000</v>
      </c>
      <c r="AN93">
        <v>1200</v>
      </c>
      <c r="AO93">
        <v>0</v>
      </c>
      <c r="AP93">
        <v>26.9</v>
      </c>
      <c r="AQ93">
        <v>53.8</v>
      </c>
      <c r="AR93">
        <v>6.7000000000000028</v>
      </c>
      <c r="AS93">
        <v>13.400000000000006</v>
      </c>
      <c r="AT93">
        <f t="shared" si="4"/>
        <v>738.88888888888891</v>
      </c>
      <c r="AU93" s="3">
        <f t="shared" si="5"/>
        <v>5000</v>
      </c>
      <c r="AV93">
        <f t="shared" si="6"/>
        <v>600</v>
      </c>
      <c r="AW93">
        <f t="shared" si="7"/>
        <v>10000</v>
      </c>
    </row>
    <row r="94" spans="1:49">
      <c r="A94">
        <v>94</v>
      </c>
      <c r="B94" t="s">
        <v>39</v>
      </c>
      <c r="C94">
        <v>1</v>
      </c>
      <c r="D94">
        <v>69</v>
      </c>
      <c r="E94">
        <v>1</v>
      </c>
      <c r="F94">
        <v>1</v>
      </c>
      <c r="G94">
        <v>45</v>
      </c>
      <c r="H94">
        <v>6</v>
      </c>
      <c r="I94">
        <v>50</v>
      </c>
      <c r="J94">
        <v>72500</v>
      </c>
      <c r="K94">
        <v>72.5</v>
      </c>
      <c r="L94">
        <v>1</v>
      </c>
      <c r="M94">
        <v>3</v>
      </c>
      <c r="N94">
        <v>135</v>
      </c>
      <c r="O94">
        <v>11</v>
      </c>
      <c r="P94" s="3">
        <v>9.9999999999999991E-22</v>
      </c>
      <c r="Q94">
        <v>8</v>
      </c>
      <c r="R94">
        <v>600</v>
      </c>
      <c r="S94">
        <v>0.6</v>
      </c>
      <c r="T94" s="3">
        <v>9.9999999999999991E-22</v>
      </c>
      <c r="U94" s="3">
        <v>9.9999999999999991E-22</v>
      </c>
      <c r="V94" s="3">
        <v>9.9999999999999991E-22</v>
      </c>
      <c r="W94" s="3">
        <v>9.9999999999999991E-22</v>
      </c>
      <c r="X94" s="3">
        <v>9.9999999999999991E-22</v>
      </c>
      <c r="Y94">
        <v>0</v>
      </c>
      <c r="Z94">
        <v>0</v>
      </c>
      <c r="AA94">
        <v>1</v>
      </c>
      <c r="AB94">
        <v>4</v>
      </c>
      <c r="AC94">
        <v>1</v>
      </c>
      <c r="AD94">
        <v>0</v>
      </c>
      <c r="AE94">
        <v>0</v>
      </c>
      <c r="AF94">
        <v>1</v>
      </c>
      <c r="AG94">
        <v>50</v>
      </c>
      <c r="AH94">
        <v>72500</v>
      </c>
      <c r="AI94">
        <v>3</v>
      </c>
      <c r="AJ94">
        <v>25750</v>
      </c>
      <c r="AK94">
        <v>0</v>
      </c>
      <c r="AL94">
        <v>1000</v>
      </c>
      <c r="AM94">
        <v>6000</v>
      </c>
      <c r="AN94">
        <v>0</v>
      </c>
      <c r="AO94">
        <v>0</v>
      </c>
      <c r="AP94">
        <v>32.75</v>
      </c>
      <c r="AQ94">
        <v>32.75</v>
      </c>
      <c r="AR94">
        <v>39.75</v>
      </c>
      <c r="AS94">
        <v>39.75</v>
      </c>
      <c r="AT94">
        <f t="shared" si="4"/>
        <v>2340.909090909091</v>
      </c>
      <c r="AU94" s="3">
        <f t="shared" si="5"/>
        <v>0</v>
      </c>
      <c r="AV94">
        <f t="shared" si="6"/>
        <v>125</v>
      </c>
      <c r="AW94">
        <f t="shared" si="7"/>
        <v>10000</v>
      </c>
    </row>
    <row r="95" spans="1:49">
      <c r="A95">
        <v>95</v>
      </c>
      <c r="B95" t="s">
        <v>39</v>
      </c>
      <c r="C95">
        <v>1</v>
      </c>
      <c r="D95">
        <v>58</v>
      </c>
      <c r="E95">
        <v>0</v>
      </c>
      <c r="F95">
        <v>5</v>
      </c>
      <c r="G95">
        <v>24</v>
      </c>
      <c r="H95">
        <v>3</v>
      </c>
      <c r="I95">
        <v>94.285714285714292</v>
      </c>
      <c r="J95">
        <v>224205.71428571429</v>
      </c>
      <c r="K95">
        <v>224.20571428571429</v>
      </c>
      <c r="L95">
        <v>0.35</v>
      </c>
      <c r="M95">
        <v>1</v>
      </c>
      <c r="N95" s="3">
        <v>9.9999999999999991E-22</v>
      </c>
      <c r="O95">
        <v>472</v>
      </c>
      <c r="P95" s="3">
        <v>9.9999999999999991E-22</v>
      </c>
      <c r="Q95">
        <v>5</v>
      </c>
      <c r="R95">
        <v>250</v>
      </c>
      <c r="S95">
        <v>0.25</v>
      </c>
      <c r="T95" s="3">
        <v>9.9999999999999991E-22</v>
      </c>
      <c r="U95" s="3">
        <v>9.9999999999999991E-22</v>
      </c>
      <c r="V95" s="3">
        <v>9.9999999999999991E-22</v>
      </c>
      <c r="W95" s="3">
        <v>9.9999999999999991E-22</v>
      </c>
      <c r="X95" s="3">
        <v>9.9999999999999991E-22</v>
      </c>
      <c r="Y95">
        <v>288000</v>
      </c>
      <c r="Z95">
        <v>288</v>
      </c>
      <c r="AA95">
        <v>0.21412822807745202</v>
      </c>
      <c r="AB95">
        <v>4</v>
      </c>
      <c r="AC95">
        <v>3</v>
      </c>
      <c r="AD95">
        <v>0</v>
      </c>
      <c r="AE95">
        <v>0</v>
      </c>
      <c r="AF95">
        <v>1</v>
      </c>
      <c r="AG95">
        <v>33</v>
      </c>
      <c r="AH95">
        <v>78472</v>
      </c>
      <c r="AI95">
        <v>2</v>
      </c>
      <c r="AJ95">
        <v>17200</v>
      </c>
      <c r="AK95">
        <v>0</v>
      </c>
      <c r="AL95">
        <v>3000</v>
      </c>
      <c r="AM95">
        <v>4500</v>
      </c>
      <c r="AN95">
        <v>0</v>
      </c>
      <c r="AO95">
        <v>0</v>
      </c>
      <c r="AP95">
        <v>24.7</v>
      </c>
      <c r="AQ95">
        <v>70.571428571428569</v>
      </c>
      <c r="AR95">
        <v>53.771999999999991</v>
      </c>
      <c r="AS95">
        <v>153.63428571428571</v>
      </c>
      <c r="AT95">
        <f t="shared" si="4"/>
        <v>36.440677966101696</v>
      </c>
      <c r="AU95" s="3">
        <f t="shared" si="5"/>
        <v>0</v>
      </c>
      <c r="AV95">
        <f t="shared" si="6"/>
        <v>600</v>
      </c>
      <c r="AW95">
        <f t="shared" si="7"/>
        <v>18000</v>
      </c>
    </row>
    <row r="96" spans="1:49">
      <c r="A96">
        <v>96</v>
      </c>
      <c r="B96" t="s">
        <v>39</v>
      </c>
      <c r="C96">
        <v>1</v>
      </c>
      <c r="D96">
        <v>66</v>
      </c>
      <c r="E96">
        <v>0</v>
      </c>
      <c r="F96">
        <v>6</v>
      </c>
      <c r="G96">
        <v>19</v>
      </c>
      <c r="H96">
        <v>3</v>
      </c>
      <c r="I96">
        <v>76.666666666666671</v>
      </c>
      <c r="J96">
        <v>186666.66666666669</v>
      </c>
      <c r="K96">
        <v>186.66666666666669</v>
      </c>
      <c r="L96">
        <v>0.3</v>
      </c>
      <c r="M96">
        <v>1</v>
      </c>
      <c r="N96" s="3">
        <v>9.9999999999999991E-22</v>
      </c>
      <c r="O96">
        <v>17</v>
      </c>
      <c r="P96" s="3">
        <v>9.9999999999999991E-22</v>
      </c>
      <c r="Q96">
        <v>1.5</v>
      </c>
      <c r="R96">
        <v>350</v>
      </c>
      <c r="S96">
        <v>0.35</v>
      </c>
      <c r="T96" s="3">
        <v>9.9999999999999991E-22</v>
      </c>
      <c r="U96" s="3">
        <v>9.9999999999999991E-22</v>
      </c>
      <c r="V96" s="3">
        <v>9.9999999999999991E-22</v>
      </c>
      <c r="W96" s="3">
        <v>9.9999999999999991E-22</v>
      </c>
      <c r="X96" s="3">
        <v>9.9999999999999991E-22</v>
      </c>
      <c r="Y96">
        <v>324000</v>
      </c>
      <c r="Z96">
        <v>324</v>
      </c>
      <c r="AA96">
        <v>0.14736842105263157</v>
      </c>
      <c r="AB96">
        <v>3</v>
      </c>
      <c r="AC96">
        <v>3</v>
      </c>
      <c r="AD96">
        <v>0</v>
      </c>
      <c r="AE96">
        <v>0</v>
      </c>
      <c r="AF96">
        <v>1</v>
      </c>
      <c r="AG96">
        <v>23</v>
      </c>
      <c r="AH96">
        <v>56000</v>
      </c>
      <c r="AI96">
        <v>2</v>
      </c>
      <c r="AJ96">
        <v>9700</v>
      </c>
      <c r="AK96">
        <v>0</v>
      </c>
      <c r="AL96">
        <v>7900</v>
      </c>
      <c r="AM96">
        <v>3150</v>
      </c>
      <c r="AN96">
        <v>0</v>
      </c>
      <c r="AO96">
        <v>0</v>
      </c>
      <c r="AP96">
        <v>20.75</v>
      </c>
      <c r="AQ96">
        <v>69.166666666666671</v>
      </c>
      <c r="AR96">
        <v>35.25</v>
      </c>
      <c r="AS96">
        <v>117.5</v>
      </c>
      <c r="AT96">
        <f t="shared" si="4"/>
        <v>570.58823529411768</v>
      </c>
      <c r="AU96" s="3">
        <f t="shared" si="5"/>
        <v>0</v>
      </c>
      <c r="AV96">
        <f t="shared" si="6"/>
        <v>5266.666666666667</v>
      </c>
      <c r="AW96">
        <f t="shared" si="7"/>
        <v>9000</v>
      </c>
    </row>
    <row r="97" spans="1:49">
      <c r="A97">
        <v>97</v>
      </c>
      <c r="B97" t="s">
        <v>39</v>
      </c>
      <c r="C97">
        <v>1</v>
      </c>
      <c r="D97">
        <v>62</v>
      </c>
      <c r="E97">
        <v>0</v>
      </c>
      <c r="F97">
        <v>4</v>
      </c>
      <c r="G97">
        <v>25</v>
      </c>
      <c r="H97">
        <v>2</v>
      </c>
      <c r="I97">
        <v>60.769230769230766</v>
      </c>
      <c r="J97">
        <v>194433.84615384616</v>
      </c>
      <c r="K97">
        <v>194.43384615384616</v>
      </c>
      <c r="L97">
        <v>2.6</v>
      </c>
      <c r="M97">
        <v>4</v>
      </c>
      <c r="N97" s="3">
        <v>9.9999999999999991E-22</v>
      </c>
      <c r="O97">
        <v>88</v>
      </c>
      <c r="P97">
        <v>1</v>
      </c>
      <c r="Q97">
        <v>11</v>
      </c>
      <c r="R97">
        <v>1250</v>
      </c>
      <c r="S97">
        <v>1.25</v>
      </c>
      <c r="T97" s="3">
        <v>9.9999999999999991E-22</v>
      </c>
      <c r="U97" s="3">
        <v>9.9999999999999991E-22</v>
      </c>
      <c r="V97" s="3">
        <v>9.9999999999999991E-22</v>
      </c>
      <c r="W97" s="3">
        <v>9.9999999999999991E-22</v>
      </c>
      <c r="X97">
        <v>1</v>
      </c>
      <c r="Y97">
        <v>180000</v>
      </c>
      <c r="Z97">
        <v>180</v>
      </c>
      <c r="AA97">
        <v>0.73742866812150631</v>
      </c>
      <c r="AB97">
        <v>3</v>
      </c>
      <c r="AC97">
        <v>3</v>
      </c>
      <c r="AD97">
        <v>0</v>
      </c>
      <c r="AE97">
        <v>0</v>
      </c>
      <c r="AF97">
        <v>1</v>
      </c>
      <c r="AG97">
        <v>158</v>
      </c>
      <c r="AH97">
        <v>505528</v>
      </c>
      <c r="AI97">
        <v>2</v>
      </c>
      <c r="AJ97">
        <v>76300</v>
      </c>
      <c r="AK97">
        <v>4050</v>
      </c>
      <c r="AL97">
        <v>6600</v>
      </c>
      <c r="AM97">
        <v>22500</v>
      </c>
      <c r="AN97">
        <v>0</v>
      </c>
      <c r="AO97">
        <v>0</v>
      </c>
      <c r="AP97">
        <v>109.45</v>
      </c>
      <c r="AQ97">
        <v>42.096153846153847</v>
      </c>
      <c r="AR97">
        <v>396.07800000000003</v>
      </c>
      <c r="AS97">
        <v>152.33769230769232</v>
      </c>
      <c r="AT97">
        <f t="shared" si="4"/>
        <v>867.0454545454545</v>
      </c>
      <c r="AU97" s="3">
        <f t="shared" si="5"/>
        <v>4050</v>
      </c>
      <c r="AV97">
        <f t="shared" si="6"/>
        <v>600</v>
      </c>
      <c r="AW97">
        <f t="shared" si="7"/>
        <v>18000</v>
      </c>
    </row>
    <row r="98" spans="1:49">
      <c r="A98">
        <v>98</v>
      </c>
      <c r="B98" t="s">
        <v>39</v>
      </c>
      <c r="C98" s="3">
        <v>0</v>
      </c>
      <c r="D98">
        <v>51</v>
      </c>
      <c r="E98">
        <v>1</v>
      </c>
      <c r="F98">
        <v>4</v>
      </c>
      <c r="G98">
        <v>25</v>
      </c>
      <c r="H98">
        <v>6</v>
      </c>
      <c r="I98">
        <v>63</v>
      </c>
      <c r="J98">
        <v>171000</v>
      </c>
      <c r="K98">
        <v>171</v>
      </c>
      <c r="L98">
        <v>1</v>
      </c>
      <c r="M98">
        <v>1</v>
      </c>
      <c r="N98">
        <v>105</v>
      </c>
      <c r="O98">
        <v>45</v>
      </c>
      <c r="P98">
        <v>0.5</v>
      </c>
      <c r="Q98">
        <v>4</v>
      </c>
      <c r="R98">
        <v>500</v>
      </c>
      <c r="S98">
        <v>0.5</v>
      </c>
      <c r="T98" s="3">
        <v>9.9999999999999991E-22</v>
      </c>
      <c r="U98" s="3">
        <v>9.9999999999999991E-22</v>
      </c>
      <c r="V98" s="3">
        <v>9.9999999999999991E-22</v>
      </c>
      <c r="W98" s="3">
        <v>9.9999999999999991E-22</v>
      </c>
      <c r="X98" s="3">
        <v>9.9999999999999991E-22</v>
      </c>
      <c r="Y98">
        <v>0</v>
      </c>
      <c r="Z98">
        <v>0</v>
      </c>
      <c r="AA98">
        <v>1</v>
      </c>
      <c r="AB98">
        <v>4</v>
      </c>
      <c r="AC98">
        <v>3</v>
      </c>
      <c r="AD98">
        <v>0</v>
      </c>
      <c r="AE98">
        <v>0</v>
      </c>
      <c r="AF98">
        <v>1</v>
      </c>
      <c r="AG98">
        <v>63</v>
      </c>
      <c r="AH98">
        <v>171000</v>
      </c>
      <c r="AI98">
        <v>3</v>
      </c>
      <c r="AJ98">
        <v>32550</v>
      </c>
      <c r="AK98">
        <v>7500</v>
      </c>
      <c r="AL98">
        <v>2100</v>
      </c>
      <c r="AM98">
        <v>4500</v>
      </c>
      <c r="AN98">
        <v>0</v>
      </c>
      <c r="AO98">
        <v>0</v>
      </c>
      <c r="AP98">
        <v>46.65</v>
      </c>
      <c r="AQ98">
        <v>46.65</v>
      </c>
      <c r="AR98">
        <v>124.35</v>
      </c>
      <c r="AS98">
        <v>124.35</v>
      </c>
      <c r="AT98">
        <f t="shared" si="4"/>
        <v>723.33333333333337</v>
      </c>
      <c r="AU98" s="3">
        <f t="shared" si="5"/>
        <v>15000</v>
      </c>
      <c r="AV98">
        <f t="shared" si="6"/>
        <v>525</v>
      </c>
      <c r="AW98">
        <f t="shared" si="7"/>
        <v>9000</v>
      </c>
    </row>
    <row r="99" spans="1:49">
      <c r="A99">
        <v>99</v>
      </c>
      <c r="B99" t="s">
        <v>39</v>
      </c>
      <c r="C99" s="3">
        <v>0</v>
      </c>
      <c r="D99">
        <v>54</v>
      </c>
      <c r="E99">
        <v>1</v>
      </c>
      <c r="F99">
        <v>2</v>
      </c>
      <c r="G99">
        <v>37</v>
      </c>
      <c r="H99">
        <v>8</v>
      </c>
      <c r="I99">
        <v>60</v>
      </c>
      <c r="J99">
        <v>95930</v>
      </c>
      <c r="K99">
        <v>95.93</v>
      </c>
      <c r="L99">
        <v>0.5</v>
      </c>
      <c r="M99">
        <v>1</v>
      </c>
      <c r="N99">
        <v>90</v>
      </c>
      <c r="O99">
        <v>28</v>
      </c>
      <c r="P99" s="3">
        <v>9.9999999999999991E-22</v>
      </c>
      <c r="Q99">
        <v>2</v>
      </c>
      <c r="R99">
        <v>400</v>
      </c>
      <c r="S99">
        <v>0.4</v>
      </c>
      <c r="T99" s="3">
        <v>9.9999999999999991E-22</v>
      </c>
      <c r="U99" s="3">
        <v>9.9999999999999991E-22</v>
      </c>
      <c r="V99" s="3">
        <v>9.9999999999999991E-22</v>
      </c>
      <c r="W99" s="3">
        <v>9.9999999999999991E-22</v>
      </c>
      <c r="X99" s="3">
        <v>9.9999999999999991E-22</v>
      </c>
      <c r="Y99">
        <v>303264</v>
      </c>
      <c r="Z99">
        <v>303.26400000000001</v>
      </c>
      <c r="AA99">
        <v>0.13656332478240693</v>
      </c>
      <c r="AB99">
        <v>5</v>
      </c>
      <c r="AC99">
        <v>3</v>
      </c>
      <c r="AD99">
        <v>0</v>
      </c>
      <c r="AE99">
        <v>0</v>
      </c>
      <c r="AF99">
        <v>1</v>
      </c>
      <c r="AG99">
        <v>30</v>
      </c>
      <c r="AH99">
        <v>47965</v>
      </c>
      <c r="AI99">
        <v>2</v>
      </c>
      <c r="AJ99">
        <v>15400</v>
      </c>
      <c r="AK99">
        <v>0</v>
      </c>
      <c r="AL99">
        <v>1200</v>
      </c>
      <c r="AM99">
        <v>3600</v>
      </c>
      <c r="AN99">
        <v>0</v>
      </c>
      <c r="AO99">
        <v>0</v>
      </c>
      <c r="AP99">
        <v>20.2</v>
      </c>
      <c r="AQ99">
        <v>40.4</v>
      </c>
      <c r="AR99">
        <v>27.765000000000004</v>
      </c>
      <c r="AS99">
        <v>55.530000000000008</v>
      </c>
      <c r="AT99">
        <f t="shared" si="4"/>
        <v>550</v>
      </c>
      <c r="AU99" s="3">
        <f t="shared" si="5"/>
        <v>0</v>
      </c>
      <c r="AV99">
        <f t="shared" si="6"/>
        <v>600</v>
      </c>
      <c r="AW99">
        <f t="shared" si="7"/>
        <v>9000</v>
      </c>
    </row>
    <row r="100" spans="1:49">
      <c r="A100">
        <v>100</v>
      </c>
      <c r="B100" t="s">
        <v>39</v>
      </c>
      <c r="C100">
        <v>1</v>
      </c>
      <c r="D100">
        <v>41</v>
      </c>
      <c r="E100">
        <v>0</v>
      </c>
      <c r="F100">
        <v>4</v>
      </c>
      <c r="G100">
        <v>29</v>
      </c>
      <c r="H100">
        <v>4</v>
      </c>
      <c r="I100">
        <v>50.128205128205131</v>
      </c>
      <c r="J100">
        <v>154842.73504273506</v>
      </c>
      <c r="K100">
        <v>154.84273504273506</v>
      </c>
      <c r="L100">
        <v>1.17</v>
      </c>
      <c r="M100">
        <v>2</v>
      </c>
      <c r="N100">
        <v>75</v>
      </c>
      <c r="O100">
        <v>21</v>
      </c>
      <c r="P100" s="3">
        <v>9.9999999999999991E-22</v>
      </c>
      <c r="Q100">
        <v>6</v>
      </c>
      <c r="R100">
        <v>1000</v>
      </c>
      <c r="S100">
        <v>1</v>
      </c>
      <c r="T100" s="3">
        <v>9.9999999999999991E-22</v>
      </c>
      <c r="U100" s="3">
        <v>9.9999999999999991E-22</v>
      </c>
      <c r="V100" s="3">
        <v>9.9999999999999991E-22</v>
      </c>
      <c r="W100" s="3">
        <v>9.9999999999999991E-22</v>
      </c>
      <c r="X100" s="3">
        <v>9.9999999999999991E-22</v>
      </c>
      <c r="Y100">
        <v>60000</v>
      </c>
      <c r="Z100">
        <v>60</v>
      </c>
      <c r="AA100">
        <v>0.75120871101233178</v>
      </c>
      <c r="AB100">
        <v>4</v>
      </c>
      <c r="AC100">
        <v>3</v>
      </c>
      <c r="AD100">
        <v>0</v>
      </c>
      <c r="AE100">
        <v>0</v>
      </c>
      <c r="AF100">
        <v>1</v>
      </c>
      <c r="AG100">
        <v>58.65</v>
      </c>
      <c r="AH100">
        <v>181166</v>
      </c>
      <c r="AI100">
        <v>2</v>
      </c>
      <c r="AJ100">
        <v>22045</v>
      </c>
      <c r="AK100">
        <v>0</v>
      </c>
      <c r="AL100">
        <v>3600</v>
      </c>
      <c r="AM100">
        <v>9000</v>
      </c>
      <c r="AN100">
        <v>0</v>
      </c>
      <c r="AO100">
        <v>0</v>
      </c>
      <c r="AP100">
        <v>34.645000000000003</v>
      </c>
      <c r="AQ100">
        <v>29.611111111111114</v>
      </c>
      <c r="AR100">
        <v>146.52099999999999</v>
      </c>
      <c r="AS100">
        <v>125.23162393162393</v>
      </c>
      <c r="AT100">
        <f t="shared" si="4"/>
        <v>1049.7619047619048</v>
      </c>
      <c r="AU100" s="3">
        <f t="shared" si="5"/>
        <v>0</v>
      </c>
      <c r="AV100">
        <f t="shared" si="6"/>
        <v>600</v>
      </c>
      <c r="AW100">
        <f t="shared" si="7"/>
        <v>9000</v>
      </c>
    </row>
    <row r="101" spans="1:49">
      <c r="A101">
        <v>101</v>
      </c>
      <c r="B101" t="s">
        <v>39</v>
      </c>
      <c r="C101">
        <v>1</v>
      </c>
      <c r="D101">
        <v>97</v>
      </c>
      <c r="E101">
        <v>0</v>
      </c>
      <c r="F101">
        <v>0</v>
      </c>
      <c r="G101">
        <v>82</v>
      </c>
      <c r="H101">
        <v>3</v>
      </c>
      <c r="I101">
        <v>25</v>
      </c>
      <c r="J101">
        <v>73333.333333333343</v>
      </c>
      <c r="K101">
        <v>73.333333333333343</v>
      </c>
      <c r="L101">
        <v>0.6</v>
      </c>
      <c r="M101">
        <v>3</v>
      </c>
      <c r="N101" s="3">
        <v>9.9999999999999991E-22</v>
      </c>
      <c r="O101">
        <v>22</v>
      </c>
      <c r="P101" s="3">
        <v>9.9999999999999991E-22</v>
      </c>
      <c r="Q101">
        <v>5</v>
      </c>
      <c r="R101">
        <v>300</v>
      </c>
      <c r="S101">
        <v>0.3</v>
      </c>
      <c r="T101" s="3">
        <v>9.9999999999999991E-22</v>
      </c>
      <c r="U101" s="3">
        <v>9.9999999999999991E-22</v>
      </c>
      <c r="V101" s="3">
        <v>9.9999999999999991E-22</v>
      </c>
      <c r="W101" s="3">
        <v>9.9999999999999991E-22</v>
      </c>
      <c r="X101" s="3">
        <v>9.9999999999999991E-22</v>
      </c>
      <c r="Y101">
        <v>36000</v>
      </c>
      <c r="Z101">
        <v>36</v>
      </c>
      <c r="AA101">
        <v>0.55000000000000004</v>
      </c>
      <c r="AB101">
        <v>3</v>
      </c>
      <c r="AC101">
        <v>3</v>
      </c>
      <c r="AD101">
        <v>0</v>
      </c>
      <c r="AE101">
        <v>0</v>
      </c>
      <c r="AF101">
        <v>1</v>
      </c>
      <c r="AG101">
        <v>15</v>
      </c>
      <c r="AH101">
        <v>44000</v>
      </c>
      <c r="AI101">
        <v>2</v>
      </c>
      <c r="AJ101">
        <v>8800</v>
      </c>
      <c r="AK101">
        <v>0</v>
      </c>
      <c r="AL101">
        <v>3000</v>
      </c>
      <c r="AM101">
        <v>2700</v>
      </c>
      <c r="AN101">
        <v>0</v>
      </c>
      <c r="AO101">
        <v>0</v>
      </c>
      <c r="AP101">
        <v>14.5</v>
      </c>
      <c r="AQ101">
        <v>24.166666666666668</v>
      </c>
      <c r="AR101">
        <v>29.5</v>
      </c>
      <c r="AS101">
        <v>49.166666666666671</v>
      </c>
      <c r="AT101">
        <f t="shared" si="4"/>
        <v>400</v>
      </c>
      <c r="AU101" s="3">
        <f t="shared" si="5"/>
        <v>0</v>
      </c>
      <c r="AV101">
        <f t="shared" si="6"/>
        <v>600</v>
      </c>
      <c r="AW101">
        <f t="shared" si="7"/>
        <v>9000</v>
      </c>
    </row>
    <row r="102" spans="1:49">
      <c r="A102">
        <v>102</v>
      </c>
      <c r="B102" t="s">
        <v>39</v>
      </c>
      <c r="C102">
        <v>1</v>
      </c>
      <c r="D102">
        <v>78</v>
      </c>
      <c r="E102">
        <v>0</v>
      </c>
      <c r="F102">
        <v>1</v>
      </c>
      <c r="G102">
        <v>50</v>
      </c>
      <c r="H102">
        <v>2</v>
      </c>
      <c r="I102">
        <v>36</v>
      </c>
      <c r="J102">
        <v>160000</v>
      </c>
      <c r="K102">
        <v>160</v>
      </c>
      <c r="L102">
        <v>0.5</v>
      </c>
      <c r="M102">
        <v>1</v>
      </c>
      <c r="N102">
        <v>90</v>
      </c>
      <c r="O102">
        <v>16</v>
      </c>
      <c r="P102">
        <v>0.5</v>
      </c>
      <c r="Q102">
        <v>3.5</v>
      </c>
      <c r="R102">
        <v>500</v>
      </c>
      <c r="S102">
        <v>0.5</v>
      </c>
      <c r="T102" s="3">
        <v>9.9999999999999991E-22</v>
      </c>
      <c r="U102" s="3">
        <v>9.9999999999999991E-22</v>
      </c>
      <c r="V102" s="3">
        <v>9.9999999999999991E-22</v>
      </c>
      <c r="W102" s="3">
        <v>9.9999999999999991E-22</v>
      </c>
      <c r="X102" s="3">
        <v>9.9999999999999991E-22</v>
      </c>
      <c r="Y102">
        <v>36000</v>
      </c>
      <c r="Z102">
        <v>36</v>
      </c>
      <c r="AA102">
        <v>0.68965517241379315</v>
      </c>
      <c r="AB102">
        <v>4</v>
      </c>
      <c r="AC102">
        <v>3</v>
      </c>
      <c r="AD102">
        <v>0</v>
      </c>
      <c r="AE102">
        <v>0</v>
      </c>
      <c r="AF102">
        <v>1</v>
      </c>
      <c r="AG102">
        <v>18</v>
      </c>
      <c r="AH102">
        <v>80000</v>
      </c>
      <c r="AI102">
        <v>2</v>
      </c>
      <c r="AJ102">
        <v>8100</v>
      </c>
      <c r="AK102">
        <v>2700</v>
      </c>
      <c r="AL102">
        <v>2100</v>
      </c>
      <c r="AM102">
        <v>9900</v>
      </c>
      <c r="AN102">
        <v>0</v>
      </c>
      <c r="AO102">
        <v>0</v>
      </c>
      <c r="AP102">
        <v>22.8</v>
      </c>
      <c r="AQ102">
        <v>45.6</v>
      </c>
      <c r="AR102">
        <v>57.2</v>
      </c>
      <c r="AS102">
        <v>114.4</v>
      </c>
      <c r="AT102">
        <f t="shared" si="4"/>
        <v>506.25</v>
      </c>
      <c r="AU102" s="3">
        <f t="shared" si="5"/>
        <v>5400</v>
      </c>
      <c r="AV102">
        <f t="shared" si="6"/>
        <v>600</v>
      </c>
      <c r="AW102">
        <f t="shared" si="7"/>
        <v>19800</v>
      </c>
    </row>
    <row r="103" spans="1:49">
      <c r="A103">
        <v>103</v>
      </c>
      <c r="B103" t="s">
        <v>39</v>
      </c>
      <c r="C103">
        <v>1</v>
      </c>
      <c r="D103">
        <v>47</v>
      </c>
      <c r="E103">
        <v>1</v>
      </c>
      <c r="F103">
        <v>4</v>
      </c>
      <c r="G103">
        <v>20</v>
      </c>
      <c r="H103">
        <v>4</v>
      </c>
      <c r="I103">
        <v>40</v>
      </c>
      <c r="J103">
        <v>56000</v>
      </c>
      <c r="K103">
        <v>56</v>
      </c>
      <c r="L103">
        <v>0.5</v>
      </c>
      <c r="M103">
        <v>1</v>
      </c>
      <c r="N103">
        <v>30</v>
      </c>
      <c r="O103">
        <v>18</v>
      </c>
      <c r="P103">
        <v>1</v>
      </c>
      <c r="Q103">
        <v>1</v>
      </c>
      <c r="R103">
        <v>250</v>
      </c>
      <c r="S103">
        <v>0.25</v>
      </c>
      <c r="T103" s="3">
        <v>9.9999999999999991E-22</v>
      </c>
      <c r="U103" s="3">
        <v>9.9999999999999991E-22</v>
      </c>
      <c r="V103" s="3">
        <v>9.9999999999999991E-22</v>
      </c>
      <c r="W103" s="3">
        <v>9.9999999999999991E-22</v>
      </c>
      <c r="X103" s="3">
        <v>9.9999999999999991E-22</v>
      </c>
      <c r="Y103">
        <v>44700</v>
      </c>
      <c r="Z103">
        <v>44.7</v>
      </c>
      <c r="AA103">
        <v>0.38514442916093533</v>
      </c>
      <c r="AB103">
        <v>3</v>
      </c>
      <c r="AC103">
        <v>3</v>
      </c>
      <c r="AD103">
        <v>0</v>
      </c>
      <c r="AE103">
        <v>0</v>
      </c>
      <c r="AF103">
        <v>1</v>
      </c>
      <c r="AG103">
        <v>20</v>
      </c>
      <c r="AH103">
        <v>28000</v>
      </c>
      <c r="AI103">
        <v>2</v>
      </c>
      <c r="AJ103">
        <v>8400</v>
      </c>
      <c r="AK103">
        <v>6000</v>
      </c>
      <c r="AL103">
        <v>600</v>
      </c>
      <c r="AM103">
        <v>4950</v>
      </c>
      <c r="AN103">
        <v>0</v>
      </c>
      <c r="AO103">
        <v>0</v>
      </c>
      <c r="AP103">
        <v>19.95</v>
      </c>
      <c r="AQ103">
        <v>39.9</v>
      </c>
      <c r="AR103">
        <v>8.0500000000000007</v>
      </c>
      <c r="AS103">
        <v>16.100000000000001</v>
      </c>
      <c r="AT103">
        <f t="shared" si="4"/>
        <v>466.66666666666669</v>
      </c>
      <c r="AU103" s="3">
        <f t="shared" si="5"/>
        <v>6000</v>
      </c>
      <c r="AV103">
        <f t="shared" si="6"/>
        <v>600</v>
      </c>
      <c r="AW103">
        <f t="shared" si="7"/>
        <v>19800</v>
      </c>
    </row>
    <row r="104" spans="1:49">
      <c r="A104">
        <v>104</v>
      </c>
      <c r="B104" t="s">
        <v>39</v>
      </c>
      <c r="C104">
        <v>1</v>
      </c>
      <c r="D104">
        <v>46</v>
      </c>
      <c r="E104">
        <v>1</v>
      </c>
      <c r="F104">
        <v>4</v>
      </c>
      <c r="G104">
        <v>12</v>
      </c>
      <c r="H104">
        <v>8</v>
      </c>
      <c r="I104">
        <v>30</v>
      </c>
      <c r="J104">
        <v>31500</v>
      </c>
      <c r="K104">
        <v>31.5</v>
      </c>
      <c r="L104">
        <v>2</v>
      </c>
      <c r="M104">
        <v>2</v>
      </c>
      <c r="N104">
        <v>24</v>
      </c>
      <c r="O104">
        <v>25</v>
      </c>
      <c r="P104">
        <v>3</v>
      </c>
      <c r="Q104">
        <v>3</v>
      </c>
      <c r="R104">
        <v>1250</v>
      </c>
      <c r="S104">
        <v>1.25</v>
      </c>
      <c r="T104" s="3">
        <v>9.9999999999999991E-22</v>
      </c>
      <c r="U104" s="3">
        <v>9.9999999999999991E-22</v>
      </c>
      <c r="V104" s="3">
        <v>9.9999999999999991E-22</v>
      </c>
      <c r="W104" s="3">
        <v>9.9999999999999991E-22</v>
      </c>
      <c r="X104" s="3">
        <v>9.9999999999999991E-22</v>
      </c>
      <c r="Y104">
        <v>96000</v>
      </c>
      <c r="Z104">
        <v>96</v>
      </c>
      <c r="AA104">
        <v>0.39622641509433965</v>
      </c>
      <c r="AB104">
        <v>3</v>
      </c>
      <c r="AC104">
        <v>3</v>
      </c>
      <c r="AD104">
        <v>0</v>
      </c>
      <c r="AE104">
        <v>0</v>
      </c>
      <c r="AF104">
        <v>1</v>
      </c>
      <c r="AG104">
        <v>60</v>
      </c>
      <c r="AH104">
        <v>63000</v>
      </c>
      <c r="AI104">
        <v>2</v>
      </c>
      <c r="AJ104">
        <v>24000</v>
      </c>
      <c r="AK104">
        <v>30500</v>
      </c>
      <c r="AL104">
        <v>7000</v>
      </c>
      <c r="AM104">
        <v>25000</v>
      </c>
      <c r="AN104">
        <v>0</v>
      </c>
      <c r="AO104">
        <v>0</v>
      </c>
      <c r="AP104">
        <v>86.5</v>
      </c>
      <c r="AQ104">
        <v>43.25</v>
      </c>
      <c r="AR104">
        <v>-23.5</v>
      </c>
      <c r="AS104">
        <v>-11.75</v>
      </c>
      <c r="AT104">
        <f t="shared" si="4"/>
        <v>960</v>
      </c>
      <c r="AU104" s="3">
        <f t="shared" si="5"/>
        <v>10166.666666666666</v>
      </c>
      <c r="AV104">
        <f t="shared" si="6"/>
        <v>2333.3333333333335</v>
      </c>
      <c r="AW104">
        <f t="shared" si="7"/>
        <v>20000</v>
      </c>
    </row>
    <row r="105" spans="1:49">
      <c r="A105">
        <v>105</v>
      </c>
      <c r="B105" t="s">
        <v>39</v>
      </c>
      <c r="C105">
        <v>1</v>
      </c>
      <c r="D105">
        <v>62</v>
      </c>
      <c r="E105">
        <v>1</v>
      </c>
      <c r="F105">
        <v>5</v>
      </c>
      <c r="G105">
        <v>23</v>
      </c>
      <c r="H105">
        <v>6</v>
      </c>
      <c r="I105">
        <v>30</v>
      </c>
      <c r="J105">
        <v>115500</v>
      </c>
      <c r="K105">
        <v>115.5</v>
      </c>
      <c r="L105">
        <v>2</v>
      </c>
      <c r="M105">
        <v>1</v>
      </c>
      <c r="N105">
        <v>13</v>
      </c>
      <c r="O105">
        <v>23</v>
      </c>
      <c r="P105">
        <v>1</v>
      </c>
      <c r="Q105">
        <v>3</v>
      </c>
      <c r="R105">
        <v>750</v>
      </c>
      <c r="S105">
        <v>0.75</v>
      </c>
      <c r="T105" s="3">
        <v>9.9999999999999991E-22</v>
      </c>
      <c r="U105" s="3">
        <v>9.9999999999999991E-22</v>
      </c>
      <c r="V105" s="3">
        <v>9.9999999999999991E-22</v>
      </c>
      <c r="W105" s="3">
        <v>9.9999999999999991E-22</v>
      </c>
      <c r="X105" s="3">
        <v>9.9999999999999991E-22</v>
      </c>
      <c r="Y105">
        <v>10000</v>
      </c>
      <c r="Z105">
        <v>10</v>
      </c>
      <c r="AA105">
        <v>0.95850622406639008</v>
      </c>
      <c r="AB105">
        <v>3</v>
      </c>
      <c r="AC105">
        <v>3</v>
      </c>
      <c r="AD105">
        <v>0</v>
      </c>
      <c r="AE105">
        <v>0</v>
      </c>
      <c r="AF105">
        <v>1</v>
      </c>
      <c r="AG105">
        <v>60</v>
      </c>
      <c r="AH105">
        <v>231000</v>
      </c>
      <c r="AI105">
        <v>2</v>
      </c>
      <c r="AJ105">
        <v>22750</v>
      </c>
      <c r="AK105">
        <v>22000</v>
      </c>
      <c r="AL105">
        <v>0</v>
      </c>
      <c r="AM105">
        <v>6300</v>
      </c>
      <c r="AN105">
        <v>0</v>
      </c>
      <c r="AO105">
        <v>0</v>
      </c>
      <c r="AP105">
        <v>51.05</v>
      </c>
      <c r="AQ105">
        <v>25.524999999999999</v>
      </c>
      <c r="AR105">
        <v>179.95</v>
      </c>
      <c r="AS105">
        <v>89.974999999999994</v>
      </c>
      <c r="AT105">
        <f t="shared" si="4"/>
        <v>989.13043478260875</v>
      </c>
      <c r="AU105" s="3">
        <f t="shared" si="5"/>
        <v>22000</v>
      </c>
      <c r="AV105">
        <f t="shared" si="6"/>
        <v>0</v>
      </c>
      <c r="AW105">
        <f t="shared" si="7"/>
        <v>8400</v>
      </c>
    </row>
    <row r="106" spans="1:49">
      <c r="A106">
        <v>106</v>
      </c>
      <c r="B106" t="s">
        <v>39</v>
      </c>
      <c r="C106" s="3">
        <v>0</v>
      </c>
      <c r="D106">
        <v>65</v>
      </c>
      <c r="E106">
        <v>1</v>
      </c>
      <c r="F106">
        <v>1</v>
      </c>
      <c r="G106">
        <v>50</v>
      </c>
      <c r="H106">
        <v>6</v>
      </c>
      <c r="I106">
        <v>28.94</v>
      </c>
      <c r="J106">
        <v>69441</v>
      </c>
      <c r="K106">
        <v>69.441000000000003</v>
      </c>
      <c r="L106">
        <v>1</v>
      </c>
      <c r="M106">
        <v>1</v>
      </c>
      <c r="N106">
        <v>195</v>
      </c>
      <c r="O106">
        <v>60</v>
      </c>
      <c r="P106" s="3">
        <v>9.9999999999999991E-22</v>
      </c>
      <c r="Q106">
        <v>2</v>
      </c>
      <c r="R106">
        <v>500</v>
      </c>
      <c r="S106">
        <v>0.5</v>
      </c>
      <c r="T106" s="3">
        <v>9.9999999999999991E-22</v>
      </c>
      <c r="U106" s="3">
        <v>9.9999999999999991E-22</v>
      </c>
      <c r="V106" s="3">
        <v>9.9999999999999991E-22</v>
      </c>
      <c r="W106" s="3">
        <v>9.9999999999999991E-22</v>
      </c>
      <c r="X106" s="3">
        <v>9.9999999999999991E-22</v>
      </c>
      <c r="Y106">
        <v>176280</v>
      </c>
      <c r="Z106">
        <v>176.28</v>
      </c>
      <c r="AA106">
        <v>0.28260099869364036</v>
      </c>
      <c r="AB106">
        <v>4</v>
      </c>
      <c r="AC106">
        <v>3</v>
      </c>
      <c r="AD106">
        <v>0</v>
      </c>
      <c r="AE106">
        <v>0</v>
      </c>
      <c r="AF106">
        <v>1</v>
      </c>
      <c r="AG106">
        <v>28.94</v>
      </c>
      <c r="AH106">
        <v>69441</v>
      </c>
      <c r="AI106">
        <v>2</v>
      </c>
      <c r="AJ106">
        <v>25040</v>
      </c>
      <c r="AK106">
        <v>0</v>
      </c>
      <c r="AL106">
        <v>2400</v>
      </c>
      <c r="AM106">
        <v>4500</v>
      </c>
      <c r="AN106">
        <v>0</v>
      </c>
      <c r="AO106">
        <v>0</v>
      </c>
      <c r="AP106">
        <v>31.94</v>
      </c>
      <c r="AQ106">
        <v>31.94</v>
      </c>
      <c r="AR106">
        <v>37.501000000000005</v>
      </c>
      <c r="AS106">
        <v>37.501000000000005</v>
      </c>
      <c r="AT106">
        <f t="shared" si="4"/>
        <v>417.33333333333331</v>
      </c>
      <c r="AU106" s="3">
        <f t="shared" si="5"/>
        <v>0</v>
      </c>
      <c r="AV106">
        <f t="shared" si="6"/>
        <v>1200</v>
      </c>
      <c r="AW106">
        <f t="shared" si="7"/>
        <v>9000</v>
      </c>
    </row>
    <row r="107" spans="1:49">
      <c r="A107">
        <v>107</v>
      </c>
      <c r="B107" t="s">
        <v>39</v>
      </c>
      <c r="C107">
        <v>1</v>
      </c>
      <c r="D107">
        <v>64</v>
      </c>
      <c r="E107">
        <v>1</v>
      </c>
      <c r="F107">
        <v>2</v>
      </c>
      <c r="G107">
        <v>35</v>
      </c>
      <c r="H107">
        <v>3</v>
      </c>
      <c r="I107">
        <v>40</v>
      </c>
      <c r="J107">
        <v>87300</v>
      </c>
      <c r="K107">
        <v>87.3</v>
      </c>
      <c r="L107">
        <v>2</v>
      </c>
      <c r="M107">
        <v>2</v>
      </c>
      <c r="N107">
        <v>325.7</v>
      </c>
      <c r="O107">
        <v>45</v>
      </c>
      <c r="P107">
        <v>0.25</v>
      </c>
      <c r="Q107">
        <v>4.5</v>
      </c>
      <c r="R107">
        <v>750</v>
      </c>
      <c r="S107">
        <v>0.75</v>
      </c>
      <c r="T107" s="3">
        <v>9.9999999999999991E-22</v>
      </c>
      <c r="U107" s="3">
        <v>9.9999999999999991E-22</v>
      </c>
      <c r="V107" s="3">
        <v>9.9999999999999991E-22</v>
      </c>
      <c r="W107">
        <v>1</v>
      </c>
      <c r="X107" s="3">
        <v>9.9999999999999991E-22</v>
      </c>
      <c r="Y107">
        <v>0</v>
      </c>
      <c r="Z107">
        <v>0</v>
      </c>
      <c r="AA107">
        <v>1</v>
      </c>
      <c r="AB107">
        <v>4</v>
      </c>
      <c r="AC107">
        <v>3</v>
      </c>
      <c r="AD107">
        <v>0</v>
      </c>
      <c r="AE107">
        <v>0</v>
      </c>
      <c r="AF107">
        <v>1</v>
      </c>
      <c r="AG107">
        <v>80</v>
      </c>
      <c r="AH107">
        <v>174600</v>
      </c>
      <c r="AI107">
        <v>3</v>
      </c>
      <c r="AJ107">
        <v>38000</v>
      </c>
      <c r="AK107">
        <v>8000</v>
      </c>
      <c r="AL107">
        <v>2400</v>
      </c>
      <c r="AM107">
        <v>11000</v>
      </c>
      <c r="AN107">
        <v>0</v>
      </c>
      <c r="AO107">
        <v>0</v>
      </c>
      <c r="AP107">
        <v>59.4</v>
      </c>
      <c r="AQ107">
        <v>29.7</v>
      </c>
      <c r="AR107">
        <v>115.19999999999999</v>
      </c>
      <c r="AS107">
        <v>57.599999999999994</v>
      </c>
      <c r="AT107">
        <f t="shared" si="4"/>
        <v>844.44444444444446</v>
      </c>
      <c r="AU107" s="3">
        <f t="shared" si="5"/>
        <v>32000</v>
      </c>
      <c r="AV107">
        <f t="shared" si="6"/>
        <v>533.33333333333337</v>
      </c>
      <c r="AW107">
        <f t="shared" si="7"/>
        <v>14666.666666666666</v>
      </c>
    </row>
    <row r="108" spans="1:49">
      <c r="A108">
        <v>108</v>
      </c>
      <c r="B108" t="s">
        <v>39</v>
      </c>
      <c r="C108">
        <v>1</v>
      </c>
      <c r="D108">
        <v>78</v>
      </c>
      <c r="E108">
        <v>1</v>
      </c>
      <c r="F108">
        <v>2</v>
      </c>
      <c r="G108">
        <v>30</v>
      </c>
      <c r="H108">
        <v>1</v>
      </c>
      <c r="I108">
        <v>50</v>
      </c>
      <c r="J108">
        <v>90000</v>
      </c>
      <c r="K108">
        <v>90</v>
      </c>
      <c r="L108">
        <v>2</v>
      </c>
      <c r="M108">
        <v>2</v>
      </c>
      <c r="N108">
        <v>20.25</v>
      </c>
      <c r="O108">
        <v>112</v>
      </c>
      <c r="P108" s="3">
        <v>9.9999999999999991E-22</v>
      </c>
      <c r="Q108">
        <v>2</v>
      </c>
      <c r="R108">
        <v>1500</v>
      </c>
      <c r="S108">
        <v>1.5</v>
      </c>
      <c r="T108">
        <v>2</v>
      </c>
      <c r="U108" s="3">
        <v>9.9999999999999991E-22</v>
      </c>
      <c r="V108" s="3">
        <v>9.9999999999999991E-22</v>
      </c>
      <c r="W108">
        <v>1</v>
      </c>
      <c r="X108" s="3">
        <v>9.9999999999999991E-22</v>
      </c>
      <c r="Y108">
        <v>0</v>
      </c>
      <c r="Z108">
        <v>0</v>
      </c>
      <c r="AA108">
        <v>1</v>
      </c>
      <c r="AB108">
        <v>4</v>
      </c>
      <c r="AC108">
        <v>3</v>
      </c>
      <c r="AD108">
        <v>1</v>
      </c>
      <c r="AE108">
        <v>1</v>
      </c>
      <c r="AF108">
        <v>1</v>
      </c>
      <c r="AG108">
        <v>100</v>
      </c>
      <c r="AH108">
        <v>180000</v>
      </c>
      <c r="AI108">
        <v>2</v>
      </c>
      <c r="AJ108">
        <v>62000</v>
      </c>
      <c r="AK108">
        <v>0</v>
      </c>
      <c r="AL108">
        <v>1000</v>
      </c>
      <c r="AM108">
        <v>13500</v>
      </c>
      <c r="AN108">
        <v>850</v>
      </c>
      <c r="AO108">
        <v>0</v>
      </c>
      <c r="AP108">
        <v>77.349999999999994</v>
      </c>
      <c r="AQ108">
        <v>38.674999999999997</v>
      </c>
      <c r="AR108">
        <v>102.65</v>
      </c>
      <c r="AS108">
        <v>51.325000000000003</v>
      </c>
      <c r="AT108">
        <f t="shared" si="4"/>
        <v>553.57142857142856</v>
      </c>
      <c r="AU108" s="3">
        <f t="shared" si="5"/>
        <v>0</v>
      </c>
      <c r="AV108">
        <f t="shared" si="6"/>
        <v>500</v>
      </c>
      <c r="AW108">
        <f t="shared" si="7"/>
        <v>9000</v>
      </c>
    </row>
    <row r="109" spans="1:49">
      <c r="A109">
        <v>109</v>
      </c>
      <c r="B109" t="s">
        <v>39</v>
      </c>
      <c r="C109">
        <v>1</v>
      </c>
      <c r="D109">
        <v>59</v>
      </c>
      <c r="E109">
        <v>1</v>
      </c>
      <c r="F109">
        <v>5</v>
      </c>
      <c r="G109">
        <v>18</v>
      </c>
      <c r="H109">
        <v>2</v>
      </c>
      <c r="I109">
        <v>100</v>
      </c>
      <c r="J109">
        <v>198000</v>
      </c>
      <c r="K109">
        <v>198</v>
      </c>
      <c r="L109">
        <v>0.5</v>
      </c>
      <c r="M109">
        <v>1</v>
      </c>
      <c r="N109">
        <v>5.5</v>
      </c>
      <c r="O109">
        <v>5</v>
      </c>
      <c r="P109">
        <v>2</v>
      </c>
      <c r="Q109">
        <v>2</v>
      </c>
      <c r="R109">
        <v>600</v>
      </c>
      <c r="S109">
        <v>0.6</v>
      </c>
      <c r="T109" s="3">
        <v>9.9999999999999991E-22</v>
      </c>
      <c r="U109" s="3">
        <v>9.9999999999999991E-22</v>
      </c>
      <c r="V109" s="3">
        <v>9.9999999999999991E-22</v>
      </c>
      <c r="W109">
        <v>1</v>
      </c>
      <c r="X109" s="3">
        <v>9.9999999999999991E-22</v>
      </c>
      <c r="Y109">
        <v>128400</v>
      </c>
      <c r="Z109">
        <v>128.4</v>
      </c>
      <c r="AA109">
        <v>0.43535620052770446</v>
      </c>
      <c r="AB109">
        <v>3</v>
      </c>
      <c r="AC109">
        <v>3</v>
      </c>
      <c r="AD109">
        <v>0</v>
      </c>
      <c r="AE109">
        <v>0</v>
      </c>
      <c r="AF109">
        <v>1</v>
      </c>
      <c r="AG109">
        <v>50</v>
      </c>
      <c r="AH109">
        <v>99000</v>
      </c>
      <c r="AI109">
        <v>2</v>
      </c>
      <c r="AJ109">
        <v>21000</v>
      </c>
      <c r="AK109">
        <v>15000</v>
      </c>
      <c r="AL109">
        <v>1000</v>
      </c>
      <c r="AM109">
        <v>5400</v>
      </c>
      <c r="AN109">
        <v>0</v>
      </c>
      <c r="AO109">
        <v>0</v>
      </c>
      <c r="AP109">
        <v>42.4</v>
      </c>
      <c r="AQ109">
        <v>84.8</v>
      </c>
      <c r="AR109">
        <v>56.6</v>
      </c>
      <c r="AS109">
        <v>113.2</v>
      </c>
      <c r="AT109">
        <f t="shared" si="4"/>
        <v>4200</v>
      </c>
      <c r="AU109" s="3">
        <f t="shared" si="5"/>
        <v>7500</v>
      </c>
      <c r="AV109">
        <f t="shared" si="6"/>
        <v>500</v>
      </c>
      <c r="AW109">
        <f t="shared" si="7"/>
        <v>9000</v>
      </c>
    </row>
    <row r="110" spans="1:49">
      <c r="A110">
        <v>110</v>
      </c>
      <c r="B110" t="s">
        <v>39</v>
      </c>
      <c r="C110" s="3">
        <v>0</v>
      </c>
      <c r="D110">
        <v>65</v>
      </c>
      <c r="E110">
        <v>0</v>
      </c>
      <c r="F110">
        <v>1</v>
      </c>
      <c r="G110">
        <v>55</v>
      </c>
      <c r="H110">
        <v>1</v>
      </c>
      <c r="I110">
        <v>40</v>
      </c>
      <c r="J110">
        <v>88000</v>
      </c>
      <c r="K110">
        <v>88</v>
      </c>
      <c r="L110">
        <v>1</v>
      </c>
      <c r="M110">
        <v>1</v>
      </c>
      <c r="N110">
        <v>54</v>
      </c>
      <c r="O110">
        <v>87</v>
      </c>
      <c r="P110" s="3">
        <v>9.9999999999999991E-22</v>
      </c>
      <c r="Q110">
        <v>2.5</v>
      </c>
      <c r="R110">
        <v>600</v>
      </c>
      <c r="S110">
        <v>0.6</v>
      </c>
      <c r="T110" s="3">
        <v>9.9999999999999991E-22</v>
      </c>
      <c r="U110" s="3">
        <v>9.9999999999999991E-22</v>
      </c>
      <c r="V110" s="3">
        <v>9.9999999999999991E-22</v>
      </c>
      <c r="W110" s="3">
        <v>9.9999999999999991E-22</v>
      </c>
      <c r="X110" s="3">
        <v>9.9999999999999991E-22</v>
      </c>
      <c r="Y110">
        <v>0</v>
      </c>
      <c r="Z110">
        <v>0</v>
      </c>
      <c r="AA110">
        <v>1</v>
      </c>
      <c r="AB110">
        <v>4</v>
      </c>
      <c r="AC110">
        <v>3</v>
      </c>
      <c r="AD110">
        <v>0</v>
      </c>
      <c r="AE110">
        <v>0</v>
      </c>
      <c r="AF110">
        <v>1</v>
      </c>
      <c r="AG110">
        <v>40</v>
      </c>
      <c r="AH110">
        <v>88000</v>
      </c>
      <c r="AI110">
        <v>3</v>
      </c>
      <c r="AJ110">
        <v>34500</v>
      </c>
      <c r="AK110">
        <v>0</v>
      </c>
      <c r="AL110">
        <v>3000</v>
      </c>
      <c r="AM110">
        <v>10800</v>
      </c>
      <c r="AN110">
        <v>0</v>
      </c>
      <c r="AO110">
        <v>0</v>
      </c>
      <c r="AP110">
        <v>48.3</v>
      </c>
      <c r="AQ110">
        <v>48.3</v>
      </c>
      <c r="AR110">
        <v>39.700000000000003</v>
      </c>
      <c r="AS110">
        <v>39.700000000000003</v>
      </c>
      <c r="AT110">
        <f t="shared" si="4"/>
        <v>396.55172413793105</v>
      </c>
      <c r="AU110" s="3">
        <f t="shared" si="5"/>
        <v>0</v>
      </c>
      <c r="AV110">
        <f t="shared" si="6"/>
        <v>1200</v>
      </c>
      <c r="AW110">
        <f t="shared" si="7"/>
        <v>18000</v>
      </c>
    </row>
    <row r="111" spans="1:49">
      <c r="A111">
        <v>111</v>
      </c>
      <c r="B111" t="s">
        <v>39</v>
      </c>
      <c r="C111" s="3">
        <v>0</v>
      </c>
      <c r="D111">
        <v>61</v>
      </c>
      <c r="E111">
        <v>1</v>
      </c>
      <c r="F111">
        <v>1</v>
      </c>
      <c r="G111">
        <v>46</v>
      </c>
      <c r="H111">
        <v>3</v>
      </c>
      <c r="I111">
        <v>47</v>
      </c>
      <c r="J111">
        <v>102000</v>
      </c>
      <c r="K111">
        <v>102</v>
      </c>
      <c r="L111">
        <v>1</v>
      </c>
      <c r="M111">
        <v>2</v>
      </c>
      <c r="N111">
        <v>36</v>
      </c>
      <c r="O111">
        <v>127</v>
      </c>
      <c r="P111">
        <v>1</v>
      </c>
      <c r="Q111">
        <v>1.9</v>
      </c>
      <c r="R111">
        <v>600</v>
      </c>
      <c r="S111">
        <v>0.6</v>
      </c>
      <c r="T111" s="3">
        <v>9.9999999999999991E-22</v>
      </c>
      <c r="U111" s="3">
        <v>9.9999999999999991E-22</v>
      </c>
      <c r="V111" s="3">
        <v>9.9999999999999991E-22</v>
      </c>
      <c r="W111" s="3">
        <v>9.9999999999999991E-22</v>
      </c>
      <c r="X111" s="3">
        <v>9.9999999999999991E-22</v>
      </c>
      <c r="Y111">
        <v>0</v>
      </c>
      <c r="Z111">
        <v>0</v>
      </c>
      <c r="AA111">
        <v>1</v>
      </c>
      <c r="AB111">
        <v>4</v>
      </c>
      <c r="AC111">
        <v>3</v>
      </c>
      <c r="AD111">
        <v>0</v>
      </c>
      <c r="AE111">
        <v>0</v>
      </c>
      <c r="AF111">
        <v>1</v>
      </c>
      <c r="AG111">
        <v>47</v>
      </c>
      <c r="AH111">
        <v>102000</v>
      </c>
      <c r="AI111">
        <v>3</v>
      </c>
      <c r="AJ111">
        <v>40070</v>
      </c>
      <c r="AK111">
        <v>60001.9</v>
      </c>
      <c r="AL111">
        <v>3000</v>
      </c>
      <c r="AM111">
        <v>5400</v>
      </c>
      <c r="AN111">
        <v>0</v>
      </c>
      <c r="AO111">
        <v>0</v>
      </c>
      <c r="AP111">
        <v>108.47189999999999</v>
      </c>
      <c r="AQ111">
        <v>108.47189999999999</v>
      </c>
      <c r="AR111">
        <v>-6.4718999999999909</v>
      </c>
      <c r="AS111">
        <v>-6.4718999999999909</v>
      </c>
      <c r="AT111">
        <f t="shared" si="4"/>
        <v>315.51181102362204</v>
      </c>
      <c r="AU111" s="3">
        <f t="shared" si="5"/>
        <v>60001.9</v>
      </c>
      <c r="AV111">
        <f t="shared" si="6"/>
        <v>1578.9473684210527</v>
      </c>
      <c r="AW111">
        <f t="shared" si="7"/>
        <v>9000</v>
      </c>
    </row>
    <row r="112" spans="1:49">
      <c r="A112">
        <v>112</v>
      </c>
      <c r="B112" t="s">
        <v>39</v>
      </c>
      <c r="C112" s="3">
        <v>0</v>
      </c>
      <c r="D112">
        <v>63</v>
      </c>
      <c r="E112">
        <v>0</v>
      </c>
      <c r="F112">
        <v>2</v>
      </c>
      <c r="G112">
        <v>44</v>
      </c>
      <c r="H112">
        <v>7</v>
      </c>
      <c r="I112">
        <v>50</v>
      </c>
      <c r="J112">
        <v>108000</v>
      </c>
      <c r="K112">
        <v>108</v>
      </c>
      <c r="L112">
        <v>1</v>
      </c>
      <c r="M112">
        <v>1</v>
      </c>
      <c r="N112">
        <v>70</v>
      </c>
      <c r="O112">
        <v>100</v>
      </c>
      <c r="P112" s="3">
        <v>9.9999999999999991E-22</v>
      </c>
      <c r="Q112">
        <v>1</v>
      </c>
      <c r="R112">
        <v>750</v>
      </c>
      <c r="S112">
        <v>0.75</v>
      </c>
      <c r="T112" s="3">
        <v>9.9999999999999991E-22</v>
      </c>
      <c r="U112" s="3">
        <v>9.9999999999999991E-22</v>
      </c>
      <c r="V112" s="3">
        <v>9.9999999999999991E-22</v>
      </c>
      <c r="W112">
        <v>1</v>
      </c>
      <c r="X112" s="3">
        <v>9.9999999999999991E-22</v>
      </c>
      <c r="Y112">
        <v>461520</v>
      </c>
      <c r="Z112">
        <v>461.52</v>
      </c>
      <c r="AA112">
        <v>0.18963337547408343</v>
      </c>
      <c r="AB112">
        <v>1</v>
      </c>
      <c r="AC112">
        <v>3</v>
      </c>
      <c r="AD112">
        <v>0</v>
      </c>
      <c r="AE112">
        <v>0</v>
      </c>
      <c r="AF112">
        <v>1</v>
      </c>
      <c r="AG112">
        <v>50</v>
      </c>
      <c r="AH112">
        <v>108000</v>
      </c>
      <c r="AI112">
        <v>3</v>
      </c>
      <c r="AJ112">
        <v>35000</v>
      </c>
      <c r="AK112">
        <v>0</v>
      </c>
      <c r="AL112">
        <v>1000</v>
      </c>
      <c r="AM112">
        <v>13500</v>
      </c>
      <c r="AN112">
        <v>0</v>
      </c>
      <c r="AO112">
        <v>0</v>
      </c>
      <c r="AP112">
        <v>49.5</v>
      </c>
      <c r="AQ112">
        <v>49.5</v>
      </c>
      <c r="AR112">
        <v>58.5</v>
      </c>
      <c r="AS112">
        <v>58.5</v>
      </c>
      <c r="AT112">
        <f t="shared" si="4"/>
        <v>350</v>
      </c>
      <c r="AU112" s="3">
        <f t="shared" si="5"/>
        <v>0</v>
      </c>
      <c r="AV112">
        <f t="shared" si="6"/>
        <v>1000</v>
      </c>
      <c r="AW112">
        <f t="shared" si="7"/>
        <v>18000</v>
      </c>
    </row>
    <row r="113" spans="1:49">
      <c r="A113">
        <v>113</v>
      </c>
      <c r="B113" t="s">
        <v>39</v>
      </c>
      <c r="C113">
        <v>1</v>
      </c>
      <c r="D113">
        <v>36</v>
      </c>
      <c r="E113">
        <v>0</v>
      </c>
      <c r="F113">
        <v>2</v>
      </c>
      <c r="G113">
        <v>20</v>
      </c>
      <c r="H113">
        <v>4</v>
      </c>
      <c r="I113">
        <v>57.487783845932739</v>
      </c>
      <c r="J113">
        <v>98174.762862891643</v>
      </c>
      <c r="K113">
        <v>98.17476286289164</v>
      </c>
      <c r="L113">
        <v>0.69579999999999997</v>
      </c>
      <c r="M113">
        <v>1</v>
      </c>
      <c r="N113">
        <v>78</v>
      </c>
      <c r="O113">
        <v>23</v>
      </c>
      <c r="P113" s="3">
        <v>9.9999999999999991E-22</v>
      </c>
      <c r="Q113">
        <v>2</v>
      </c>
      <c r="R113">
        <v>500</v>
      </c>
      <c r="S113">
        <v>0.5</v>
      </c>
      <c r="T113" s="3">
        <v>9.9999999999999991E-22</v>
      </c>
      <c r="U113" s="3">
        <v>9.9999999999999991E-22</v>
      </c>
      <c r="V113" s="3">
        <v>9.9999999999999991E-22</v>
      </c>
      <c r="W113" s="3">
        <v>9.9999999999999991E-22</v>
      </c>
      <c r="X113" s="3">
        <v>9.9999999999999991E-22</v>
      </c>
      <c r="Y113">
        <v>182500</v>
      </c>
      <c r="Z113">
        <v>182.5</v>
      </c>
      <c r="AA113">
        <v>0.27235756150073759</v>
      </c>
      <c r="AB113">
        <v>4</v>
      </c>
      <c r="AC113">
        <v>3</v>
      </c>
      <c r="AD113">
        <v>0</v>
      </c>
      <c r="AE113">
        <v>0</v>
      </c>
      <c r="AF113">
        <v>1</v>
      </c>
      <c r="AG113">
        <v>40</v>
      </c>
      <c r="AH113">
        <v>68310</v>
      </c>
      <c r="AI113">
        <v>2</v>
      </c>
      <c r="AJ113">
        <v>17000</v>
      </c>
      <c r="AK113">
        <v>0</v>
      </c>
      <c r="AL113">
        <v>1200</v>
      </c>
      <c r="AM113">
        <v>4700</v>
      </c>
      <c r="AN113">
        <v>0</v>
      </c>
      <c r="AO113">
        <v>0</v>
      </c>
      <c r="AP113">
        <v>22.9</v>
      </c>
      <c r="AQ113">
        <v>32.91175625179649</v>
      </c>
      <c r="AR113">
        <v>45.410000000000004</v>
      </c>
      <c r="AS113">
        <v>65.26300661109515</v>
      </c>
      <c r="AT113">
        <f t="shared" si="4"/>
        <v>739.13043478260875</v>
      </c>
      <c r="AU113" s="3">
        <f t="shared" si="5"/>
        <v>0</v>
      </c>
      <c r="AV113">
        <f t="shared" si="6"/>
        <v>600</v>
      </c>
      <c r="AW113">
        <f t="shared" si="7"/>
        <v>9400</v>
      </c>
    </row>
    <row r="114" spans="1:49">
      <c r="A114">
        <v>114</v>
      </c>
      <c r="B114" t="s">
        <v>39</v>
      </c>
      <c r="C114">
        <v>1</v>
      </c>
      <c r="D114">
        <v>50</v>
      </c>
      <c r="E114">
        <v>1</v>
      </c>
      <c r="F114">
        <v>3</v>
      </c>
      <c r="G114">
        <v>35</v>
      </c>
      <c r="H114">
        <v>1</v>
      </c>
      <c r="I114">
        <v>19.2</v>
      </c>
      <c r="J114">
        <v>29120</v>
      </c>
      <c r="K114">
        <v>29.12</v>
      </c>
      <c r="L114">
        <v>1.25</v>
      </c>
      <c r="M114">
        <v>1</v>
      </c>
      <c r="N114">
        <v>24</v>
      </c>
      <c r="O114">
        <v>13</v>
      </c>
      <c r="P114" s="3">
        <v>9.9999999999999991E-22</v>
      </c>
      <c r="Q114">
        <v>3</v>
      </c>
      <c r="R114">
        <v>500</v>
      </c>
      <c r="S114">
        <v>0.5</v>
      </c>
      <c r="T114" s="3">
        <v>9.9999999999999991E-22</v>
      </c>
      <c r="U114" s="3">
        <v>9.9999999999999991E-22</v>
      </c>
      <c r="V114" s="3">
        <v>9.9999999999999991E-22</v>
      </c>
      <c r="W114">
        <v>1</v>
      </c>
      <c r="X114" s="3">
        <v>9.9999999999999991E-22</v>
      </c>
      <c r="Y114">
        <v>0</v>
      </c>
      <c r="Z114">
        <v>0</v>
      </c>
      <c r="AA114">
        <v>1</v>
      </c>
      <c r="AB114">
        <v>4</v>
      </c>
      <c r="AC114">
        <v>3</v>
      </c>
      <c r="AD114">
        <v>0</v>
      </c>
      <c r="AE114">
        <v>0</v>
      </c>
      <c r="AF114">
        <v>1</v>
      </c>
      <c r="AG114">
        <v>24</v>
      </c>
      <c r="AH114">
        <v>36400</v>
      </c>
      <c r="AI114">
        <v>2</v>
      </c>
      <c r="AJ114">
        <v>14700</v>
      </c>
      <c r="AK114">
        <v>0</v>
      </c>
      <c r="AL114">
        <v>1500</v>
      </c>
      <c r="AM114">
        <v>5000</v>
      </c>
      <c r="AN114">
        <v>0</v>
      </c>
      <c r="AO114">
        <v>0</v>
      </c>
      <c r="AP114">
        <v>21.2</v>
      </c>
      <c r="AQ114">
        <v>16.96</v>
      </c>
      <c r="AR114">
        <v>15.2</v>
      </c>
      <c r="AS114">
        <v>12.16</v>
      </c>
      <c r="AT114">
        <f t="shared" si="4"/>
        <v>1130.7692307692307</v>
      </c>
      <c r="AU114" s="3">
        <f t="shared" si="5"/>
        <v>0</v>
      </c>
      <c r="AV114">
        <f t="shared" si="6"/>
        <v>500</v>
      </c>
      <c r="AW114">
        <f t="shared" si="7"/>
        <v>10000</v>
      </c>
    </row>
    <row r="115" spans="1:49">
      <c r="A115">
        <v>115</v>
      </c>
      <c r="B115" t="s">
        <v>39</v>
      </c>
      <c r="C115">
        <v>1</v>
      </c>
      <c r="D115">
        <v>68</v>
      </c>
      <c r="E115">
        <v>1</v>
      </c>
      <c r="F115">
        <v>5</v>
      </c>
      <c r="G115">
        <v>50</v>
      </c>
      <c r="H115">
        <v>4</v>
      </c>
      <c r="I115">
        <v>59.090909090909086</v>
      </c>
      <c r="J115">
        <v>88636.363636363632</v>
      </c>
      <c r="K115">
        <v>88.636363636363626</v>
      </c>
      <c r="L115">
        <v>1.1000000000000001</v>
      </c>
      <c r="M115">
        <v>1</v>
      </c>
      <c r="N115">
        <v>8</v>
      </c>
      <c r="O115">
        <v>38</v>
      </c>
      <c r="P115">
        <v>2</v>
      </c>
      <c r="Q115">
        <v>3</v>
      </c>
      <c r="R115">
        <v>1500</v>
      </c>
      <c r="S115">
        <v>1.5</v>
      </c>
      <c r="T115">
        <v>1</v>
      </c>
      <c r="U115" s="3">
        <v>9.9999999999999991E-22</v>
      </c>
      <c r="V115" s="3">
        <v>9.9999999999999991E-22</v>
      </c>
      <c r="W115">
        <v>1</v>
      </c>
      <c r="X115" s="3">
        <v>9.9999999999999991E-22</v>
      </c>
      <c r="Y115">
        <v>0</v>
      </c>
      <c r="Z115">
        <v>0</v>
      </c>
      <c r="AA115">
        <v>1</v>
      </c>
      <c r="AB115">
        <v>4</v>
      </c>
      <c r="AC115">
        <v>3</v>
      </c>
      <c r="AD115">
        <v>1</v>
      </c>
      <c r="AE115">
        <v>0</v>
      </c>
      <c r="AF115">
        <v>1</v>
      </c>
      <c r="AG115">
        <v>65</v>
      </c>
      <c r="AH115">
        <v>97500</v>
      </c>
      <c r="AI115">
        <v>2</v>
      </c>
      <c r="AJ115">
        <v>26400</v>
      </c>
      <c r="AK115">
        <v>11000</v>
      </c>
      <c r="AL115">
        <v>1500</v>
      </c>
      <c r="AM115">
        <v>14100</v>
      </c>
      <c r="AN115">
        <v>1050</v>
      </c>
      <c r="AO115">
        <v>0</v>
      </c>
      <c r="AP115">
        <v>54.05</v>
      </c>
      <c r="AQ115">
        <v>49.136363636363633</v>
      </c>
      <c r="AR115">
        <v>43.45</v>
      </c>
      <c r="AS115">
        <v>39.5</v>
      </c>
      <c r="AT115">
        <f t="shared" si="4"/>
        <v>694.73684210526312</v>
      </c>
      <c r="AU115" s="3">
        <f t="shared" si="5"/>
        <v>5500</v>
      </c>
      <c r="AV115">
        <f t="shared" si="6"/>
        <v>500</v>
      </c>
      <c r="AW115">
        <f t="shared" si="7"/>
        <v>9400</v>
      </c>
    </row>
    <row r="116" spans="1:49">
      <c r="A116">
        <v>116</v>
      </c>
      <c r="B116" t="s">
        <v>39</v>
      </c>
      <c r="C116">
        <v>1</v>
      </c>
      <c r="D116">
        <v>57</v>
      </c>
      <c r="E116">
        <v>1</v>
      </c>
      <c r="F116">
        <v>4</v>
      </c>
      <c r="G116">
        <v>32</v>
      </c>
      <c r="H116">
        <v>3</v>
      </c>
      <c r="I116">
        <v>52.941176470588239</v>
      </c>
      <c r="J116">
        <v>79411.76470588235</v>
      </c>
      <c r="K116">
        <v>79.411764705882348</v>
      </c>
      <c r="L116">
        <v>0.85</v>
      </c>
      <c r="M116">
        <v>1</v>
      </c>
      <c r="N116">
        <v>52</v>
      </c>
      <c r="O116">
        <v>26</v>
      </c>
      <c r="P116">
        <v>2</v>
      </c>
      <c r="Q116">
        <v>3</v>
      </c>
      <c r="R116">
        <v>750</v>
      </c>
      <c r="S116">
        <v>0.75</v>
      </c>
      <c r="T116" s="3">
        <v>9.9999999999999991E-22</v>
      </c>
      <c r="U116" s="3">
        <v>9.9999999999999991E-22</v>
      </c>
      <c r="V116" s="3">
        <v>9.9999999999999991E-22</v>
      </c>
      <c r="W116" s="3">
        <v>9.9999999999999991E-22</v>
      </c>
      <c r="X116" s="3">
        <v>9.9999999999999991E-22</v>
      </c>
      <c r="Y116">
        <v>240000</v>
      </c>
      <c r="Z116">
        <v>240</v>
      </c>
      <c r="AA116">
        <v>0.21951219512195122</v>
      </c>
      <c r="AB116">
        <v>3</v>
      </c>
      <c r="AC116">
        <v>3</v>
      </c>
      <c r="AD116">
        <v>0</v>
      </c>
      <c r="AE116">
        <v>0</v>
      </c>
      <c r="AF116">
        <v>1</v>
      </c>
      <c r="AG116">
        <v>45</v>
      </c>
      <c r="AH116">
        <v>67500</v>
      </c>
      <c r="AI116">
        <v>2</v>
      </c>
      <c r="AJ116">
        <v>21050</v>
      </c>
      <c r="AK116">
        <v>7000</v>
      </c>
      <c r="AL116">
        <v>1500</v>
      </c>
      <c r="AM116">
        <v>7050</v>
      </c>
      <c r="AN116">
        <v>0</v>
      </c>
      <c r="AO116">
        <v>0</v>
      </c>
      <c r="AP116">
        <v>36.6</v>
      </c>
      <c r="AQ116">
        <v>43.058823529411768</v>
      </c>
      <c r="AR116">
        <v>30.9</v>
      </c>
      <c r="AS116">
        <v>36.352941176470587</v>
      </c>
      <c r="AT116">
        <f t="shared" si="4"/>
        <v>809.61538461538464</v>
      </c>
      <c r="AU116" s="3">
        <f t="shared" si="5"/>
        <v>3500</v>
      </c>
      <c r="AV116">
        <f t="shared" si="6"/>
        <v>500</v>
      </c>
      <c r="AW116">
        <f t="shared" si="7"/>
        <v>9400</v>
      </c>
    </row>
    <row r="117" spans="1:49">
      <c r="A117">
        <v>117</v>
      </c>
      <c r="B117" t="s">
        <v>39</v>
      </c>
      <c r="C117" s="3">
        <v>0</v>
      </c>
      <c r="D117">
        <v>60</v>
      </c>
      <c r="E117">
        <v>1</v>
      </c>
      <c r="F117">
        <v>4</v>
      </c>
      <c r="G117">
        <v>7</v>
      </c>
      <c r="H117">
        <v>2</v>
      </c>
      <c r="I117">
        <v>71.2</v>
      </c>
      <c r="J117">
        <v>108000</v>
      </c>
      <c r="K117">
        <v>108</v>
      </c>
      <c r="L117">
        <v>2.5</v>
      </c>
      <c r="M117">
        <v>4</v>
      </c>
      <c r="N117">
        <v>18</v>
      </c>
      <c r="O117">
        <v>47</v>
      </c>
      <c r="P117">
        <v>3</v>
      </c>
      <c r="Q117">
        <v>2</v>
      </c>
      <c r="R117">
        <v>1500</v>
      </c>
      <c r="S117">
        <v>1.5</v>
      </c>
      <c r="T117" s="3">
        <v>9.9999999999999991E-22</v>
      </c>
      <c r="U117" s="3">
        <v>9.9999999999999991E-22</v>
      </c>
      <c r="V117" s="3">
        <v>9.9999999999999991E-22</v>
      </c>
      <c r="W117" s="3">
        <v>9.9999999999999991E-22</v>
      </c>
      <c r="X117" s="3">
        <v>9.9999999999999991E-22</v>
      </c>
      <c r="Y117">
        <v>0</v>
      </c>
      <c r="Z117">
        <v>0</v>
      </c>
      <c r="AA117">
        <v>1</v>
      </c>
      <c r="AB117">
        <v>4</v>
      </c>
      <c r="AC117">
        <v>3</v>
      </c>
      <c r="AD117">
        <v>0</v>
      </c>
      <c r="AE117">
        <v>0</v>
      </c>
      <c r="AF117">
        <v>1</v>
      </c>
      <c r="AG117">
        <v>178</v>
      </c>
      <c r="AH117">
        <v>270000</v>
      </c>
      <c r="AI117">
        <v>2</v>
      </c>
      <c r="AJ117">
        <v>14100</v>
      </c>
      <c r="AK117">
        <v>18000</v>
      </c>
      <c r="AL117">
        <v>1200</v>
      </c>
      <c r="AM117">
        <v>14100</v>
      </c>
      <c r="AN117">
        <v>0</v>
      </c>
      <c r="AO117">
        <v>0</v>
      </c>
      <c r="AP117">
        <v>47.4</v>
      </c>
      <c r="AQ117">
        <v>18.96</v>
      </c>
      <c r="AR117">
        <v>222.6</v>
      </c>
      <c r="AS117">
        <v>89.039999999999992</v>
      </c>
      <c r="AT117">
        <f t="shared" si="4"/>
        <v>300</v>
      </c>
      <c r="AU117" s="3">
        <f t="shared" si="5"/>
        <v>6000</v>
      </c>
      <c r="AV117">
        <f t="shared" si="6"/>
        <v>600</v>
      </c>
      <c r="AW117">
        <f t="shared" si="7"/>
        <v>9400</v>
      </c>
    </row>
    <row r="118" spans="1:49">
      <c r="A118">
        <v>118</v>
      </c>
      <c r="B118" t="s">
        <v>39</v>
      </c>
      <c r="C118" s="3">
        <v>0</v>
      </c>
      <c r="D118">
        <v>69</v>
      </c>
      <c r="E118">
        <v>0</v>
      </c>
      <c r="F118">
        <v>1</v>
      </c>
      <c r="G118">
        <v>50</v>
      </c>
      <c r="H118">
        <v>7</v>
      </c>
      <c r="I118">
        <v>62.222222222222221</v>
      </c>
      <c r="J118">
        <v>95666.666666666672</v>
      </c>
      <c r="K118">
        <v>95.666666666666671</v>
      </c>
      <c r="L118">
        <v>1.8</v>
      </c>
      <c r="M118">
        <v>3</v>
      </c>
      <c r="N118">
        <v>38</v>
      </c>
      <c r="O118">
        <v>39</v>
      </c>
      <c r="P118">
        <v>2</v>
      </c>
      <c r="Q118" s="3">
        <v>9.9999999999999991E-22</v>
      </c>
      <c r="R118">
        <v>1000</v>
      </c>
      <c r="S118">
        <v>1</v>
      </c>
      <c r="T118" s="3">
        <v>9.9999999999999991E-22</v>
      </c>
      <c r="U118" s="3">
        <v>9.9999999999999991E-22</v>
      </c>
      <c r="V118" s="3">
        <v>9.9999999999999991E-22</v>
      </c>
      <c r="W118">
        <v>1</v>
      </c>
      <c r="X118" s="3">
        <v>9.9999999999999991E-22</v>
      </c>
      <c r="Y118">
        <v>36000</v>
      </c>
      <c r="Z118">
        <v>36</v>
      </c>
      <c r="AA118">
        <v>0.82708933717579247</v>
      </c>
      <c r="AB118">
        <v>3</v>
      </c>
      <c r="AC118">
        <v>3</v>
      </c>
      <c r="AD118">
        <v>0</v>
      </c>
      <c r="AE118">
        <v>0</v>
      </c>
      <c r="AF118">
        <v>1</v>
      </c>
      <c r="AG118">
        <v>112</v>
      </c>
      <c r="AH118">
        <v>172200</v>
      </c>
      <c r="AI118">
        <v>2</v>
      </c>
      <c r="AJ118">
        <v>42500</v>
      </c>
      <c r="AK118">
        <v>18000</v>
      </c>
      <c r="AL118">
        <v>0</v>
      </c>
      <c r="AM118">
        <v>10000</v>
      </c>
      <c r="AN118">
        <v>0</v>
      </c>
      <c r="AO118">
        <v>0</v>
      </c>
      <c r="AP118">
        <v>70.5</v>
      </c>
      <c r="AQ118">
        <v>39.166666666666664</v>
      </c>
      <c r="AR118">
        <v>101.69999999999999</v>
      </c>
      <c r="AS118">
        <v>56.499999999999993</v>
      </c>
      <c r="AT118">
        <f t="shared" si="4"/>
        <v>1089.7435897435898</v>
      </c>
      <c r="AU118" s="3">
        <f t="shared" si="5"/>
        <v>9000</v>
      </c>
      <c r="AV118">
        <f t="shared" si="6"/>
        <v>0</v>
      </c>
      <c r="AW118">
        <f t="shared" si="7"/>
        <v>10000</v>
      </c>
    </row>
    <row r="119" spans="1:49">
      <c r="A119">
        <v>119</v>
      </c>
      <c r="B119" t="s">
        <v>39</v>
      </c>
      <c r="C119" s="3">
        <v>0</v>
      </c>
      <c r="D119">
        <v>51</v>
      </c>
      <c r="E119">
        <v>0</v>
      </c>
      <c r="F119">
        <v>2</v>
      </c>
      <c r="G119">
        <v>32</v>
      </c>
      <c r="H119">
        <v>2</v>
      </c>
      <c r="I119">
        <v>142</v>
      </c>
      <c r="J119">
        <v>95066</v>
      </c>
      <c r="K119">
        <v>95.066000000000003</v>
      </c>
      <c r="L119">
        <v>0.5</v>
      </c>
      <c r="M119">
        <v>1</v>
      </c>
      <c r="N119">
        <v>28</v>
      </c>
      <c r="O119">
        <v>18</v>
      </c>
      <c r="P119">
        <v>1</v>
      </c>
      <c r="Q119">
        <v>2</v>
      </c>
      <c r="R119">
        <v>200</v>
      </c>
      <c r="S119">
        <v>0.2</v>
      </c>
      <c r="T119" s="3">
        <v>9.9999999999999991E-22</v>
      </c>
      <c r="U119" s="3">
        <v>9.9999999999999991E-22</v>
      </c>
      <c r="V119" s="3">
        <v>9.9999999999999991E-22</v>
      </c>
      <c r="W119" s="3">
        <v>9.9999999999999991E-22</v>
      </c>
      <c r="X119" s="3">
        <v>9.9999999999999991E-22</v>
      </c>
      <c r="Y119">
        <v>111600</v>
      </c>
      <c r="Z119">
        <v>111.6</v>
      </c>
      <c r="AA119">
        <v>0.29869982970219877</v>
      </c>
      <c r="AB119">
        <v>4</v>
      </c>
      <c r="AC119">
        <v>1</v>
      </c>
      <c r="AD119">
        <v>0</v>
      </c>
      <c r="AE119">
        <v>0</v>
      </c>
      <c r="AF119">
        <v>1</v>
      </c>
      <c r="AG119">
        <v>71</v>
      </c>
      <c r="AH119">
        <v>47533</v>
      </c>
      <c r="AI119">
        <v>3</v>
      </c>
      <c r="AJ119">
        <v>25500</v>
      </c>
      <c r="AK119">
        <v>6600</v>
      </c>
      <c r="AL119">
        <v>1200</v>
      </c>
      <c r="AM119">
        <v>1960</v>
      </c>
      <c r="AN119">
        <v>0</v>
      </c>
      <c r="AO119">
        <v>0</v>
      </c>
      <c r="AP119">
        <v>35.26</v>
      </c>
      <c r="AQ119">
        <v>70.52</v>
      </c>
      <c r="AR119">
        <v>12.273000000000003</v>
      </c>
      <c r="AS119">
        <v>24.546000000000006</v>
      </c>
      <c r="AT119">
        <f t="shared" si="4"/>
        <v>1416.6666666666667</v>
      </c>
      <c r="AU119" s="3">
        <f t="shared" si="5"/>
        <v>6600</v>
      </c>
      <c r="AV119">
        <f t="shared" si="6"/>
        <v>600</v>
      </c>
      <c r="AW119">
        <f t="shared" si="7"/>
        <v>9800</v>
      </c>
    </row>
    <row r="120" spans="1:49">
      <c r="A120">
        <v>120</v>
      </c>
      <c r="B120" t="s">
        <v>39</v>
      </c>
      <c r="C120" s="3">
        <v>0</v>
      </c>
      <c r="D120">
        <v>66</v>
      </c>
      <c r="E120">
        <v>1</v>
      </c>
      <c r="F120">
        <v>2</v>
      </c>
      <c r="G120">
        <v>44</v>
      </c>
      <c r="H120">
        <v>5</v>
      </c>
      <c r="I120">
        <v>40</v>
      </c>
      <c r="J120">
        <v>60000</v>
      </c>
      <c r="K120">
        <v>60</v>
      </c>
      <c r="L120">
        <v>1.5</v>
      </c>
      <c r="M120">
        <v>3</v>
      </c>
      <c r="N120">
        <v>12</v>
      </c>
      <c r="O120">
        <v>21</v>
      </c>
      <c r="P120">
        <v>1</v>
      </c>
      <c r="Q120">
        <v>5</v>
      </c>
      <c r="R120">
        <v>1000</v>
      </c>
      <c r="S120">
        <v>1</v>
      </c>
      <c r="T120" s="3">
        <v>9.9999999999999991E-22</v>
      </c>
      <c r="U120" s="3">
        <v>9.9999999999999991E-22</v>
      </c>
      <c r="V120" s="3">
        <v>9.9999999999999991E-22</v>
      </c>
      <c r="W120" s="3">
        <v>9.9999999999999991E-22</v>
      </c>
      <c r="X120" s="3">
        <v>9.9999999999999991E-22</v>
      </c>
      <c r="Y120">
        <v>36000</v>
      </c>
      <c r="Z120">
        <v>36</v>
      </c>
      <c r="AA120">
        <v>0.7142857142857143</v>
      </c>
      <c r="AB120">
        <v>4</v>
      </c>
      <c r="AC120">
        <v>3</v>
      </c>
      <c r="AD120">
        <v>0</v>
      </c>
      <c r="AE120">
        <v>0</v>
      </c>
      <c r="AF120">
        <v>1</v>
      </c>
      <c r="AG120">
        <v>60</v>
      </c>
      <c r="AH120">
        <v>90000</v>
      </c>
      <c r="AI120">
        <v>1</v>
      </c>
      <c r="AJ120">
        <v>24300</v>
      </c>
      <c r="AK120">
        <v>7500</v>
      </c>
      <c r="AL120">
        <v>2500</v>
      </c>
      <c r="AM120">
        <v>9000</v>
      </c>
      <c r="AN120">
        <v>0</v>
      </c>
      <c r="AO120">
        <v>0</v>
      </c>
      <c r="AP120">
        <v>43.3</v>
      </c>
      <c r="AQ120">
        <v>28.866666666666664</v>
      </c>
      <c r="AR120">
        <v>46.7</v>
      </c>
      <c r="AS120">
        <v>31.133333333333336</v>
      </c>
      <c r="AT120">
        <f t="shared" si="4"/>
        <v>1157.1428571428571</v>
      </c>
      <c r="AU120" s="3">
        <f t="shared" si="5"/>
        <v>7500</v>
      </c>
      <c r="AV120">
        <f t="shared" si="6"/>
        <v>500</v>
      </c>
      <c r="AW120">
        <f t="shared" si="7"/>
        <v>9000</v>
      </c>
    </row>
    <row r="121" spans="1:49">
      <c r="A121">
        <v>121</v>
      </c>
      <c r="B121" t="s">
        <v>39</v>
      </c>
      <c r="C121" s="3">
        <v>0</v>
      </c>
      <c r="D121">
        <v>51</v>
      </c>
      <c r="E121">
        <v>0</v>
      </c>
      <c r="F121">
        <v>4</v>
      </c>
      <c r="G121">
        <v>2</v>
      </c>
      <c r="H121">
        <v>4</v>
      </c>
      <c r="I121">
        <v>45</v>
      </c>
      <c r="J121">
        <v>63000</v>
      </c>
      <c r="K121">
        <v>63</v>
      </c>
      <c r="L121">
        <v>0.8</v>
      </c>
      <c r="M121">
        <v>2</v>
      </c>
      <c r="N121">
        <v>12</v>
      </c>
      <c r="O121">
        <v>31</v>
      </c>
      <c r="P121">
        <v>3</v>
      </c>
      <c r="Q121">
        <v>2</v>
      </c>
      <c r="R121">
        <v>500</v>
      </c>
      <c r="S121">
        <v>0.5</v>
      </c>
      <c r="T121" s="3">
        <v>9.9999999999999991E-22</v>
      </c>
      <c r="U121" s="3">
        <v>9.9999999999999991E-22</v>
      </c>
      <c r="V121" s="3">
        <v>9.9999999999999991E-22</v>
      </c>
      <c r="W121" s="3">
        <v>9.9999999999999991E-22</v>
      </c>
      <c r="X121" s="3">
        <v>9.9999999999999991E-22</v>
      </c>
      <c r="Y121">
        <v>219000</v>
      </c>
      <c r="Z121">
        <v>219</v>
      </c>
      <c r="AA121">
        <v>0.18708240534521159</v>
      </c>
      <c r="AB121">
        <v>4</v>
      </c>
      <c r="AC121">
        <v>3</v>
      </c>
      <c r="AD121">
        <v>0</v>
      </c>
      <c r="AE121">
        <v>0</v>
      </c>
      <c r="AF121">
        <v>1</v>
      </c>
      <c r="AG121">
        <v>36</v>
      </c>
      <c r="AH121">
        <v>50400</v>
      </c>
      <c r="AI121">
        <v>1</v>
      </c>
      <c r="AJ121">
        <v>20900</v>
      </c>
      <c r="AK121">
        <v>18000</v>
      </c>
      <c r="AL121">
        <v>1000</v>
      </c>
      <c r="AM121">
        <v>4700</v>
      </c>
      <c r="AN121">
        <v>0</v>
      </c>
      <c r="AO121">
        <v>0</v>
      </c>
      <c r="AP121">
        <v>44.6</v>
      </c>
      <c r="AQ121">
        <v>55.75</v>
      </c>
      <c r="AR121">
        <v>5.7999999999999972</v>
      </c>
      <c r="AS121">
        <v>7.2499999999999964</v>
      </c>
      <c r="AT121">
        <f t="shared" si="4"/>
        <v>674.19354838709683</v>
      </c>
      <c r="AU121" s="3">
        <f t="shared" si="5"/>
        <v>6000</v>
      </c>
      <c r="AV121">
        <f t="shared" si="6"/>
        <v>500</v>
      </c>
      <c r="AW121">
        <f t="shared" si="7"/>
        <v>9400</v>
      </c>
    </row>
    <row r="122" spans="1:49">
      <c r="A122">
        <v>122</v>
      </c>
      <c r="B122" t="s">
        <v>39</v>
      </c>
      <c r="C122">
        <v>1</v>
      </c>
      <c r="D122">
        <v>59</v>
      </c>
      <c r="E122">
        <v>1</v>
      </c>
      <c r="F122">
        <v>6</v>
      </c>
      <c r="G122">
        <v>5</v>
      </c>
      <c r="H122">
        <v>4</v>
      </c>
      <c r="I122">
        <v>50</v>
      </c>
      <c r="J122">
        <v>75000</v>
      </c>
      <c r="K122">
        <v>75</v>
      </c>
      <c r="L122">
        <v>0.6</v>
      </c>
      <c r="M122">
        <v>1</v>
      </c>
      <c r="N122">
        <v>10</v>
      </c>
      <c r="O122">
        <v>23</v>
      </c>
      <c r="P122" s="3">
        <v>9.9999999999999991E-22</v>
      </c>
      <c r="Q122">
        <v>2</v>
      </c>
      <c r="R122">
        <v>500</v>
      </c>
      <c r="S122">
        <v>0.5</v>
      </c>
      <c r="T122" s="3">
        <v>9.9999999999999991E-22</v>
      </c>
      <c r="U122" s="3">
        <v>9.9999999999999991E-22</v>
      </c>
      <c r="V122" s="3">
        <v>9.9999999999999991E-22</v>
      </c>
      <c r="W122" s="3">
        <v>9.9999999999999991E-22</v>
      </c>
      <c r="X122" s="3">
        <v>9.9999999999999991E-22</v>
      </c>
      <c r="Y122">
        <v>240000</v>
      </c>
      <c r="Z122">
        <v>240</v>
      </c>
      <c r="AA122">
        <v>0.15789473684210525</v>
      </c>
      <c r="AB122">
        <v>2</v>
      </c>
      <c r="AC122">
        <v>3</v>
      </c>
      <c r="AD122">
        <v>0</v>
      </c>
      <c r="AE122">
        <v>0</v>
      </c>
      <c r="AF122">
        <v>1</v>
      </c>
      <c r="AG122">
        <v>30</v>
      </c>
      <c r="AH122">
        <v>45000</v>
      </c>
      <c r="AI122">
        <v>2</v>
      </c>
      <c r="AJ122">
        <v>15000</v>
      </c>
      <c r="AK122">
        <v>0</v>
      </c>
      <c r="AL122">
        <v>1200</v>
      </c>
      <c r="AM122">
        <v>47000</v>
      </c>
      <c r="AN122">
        <v>0</v>
      </c>
      <c r="AO122">
        <v>0</v>
      </c>
      <c r="AP122">
        <v>63.2</v>
      </c>
      <c r="AQ122">
        <v>105.33333333333334</v>
      </c>
      <c r="AR122">
        <v>-18.200000000000003</v>
      </c>
      <c r="AS122">
        <v>-30.333333333333339</v>
      </c>
      <c r="AT122">
        <f t="shared" si="4"/>
        <v>652.17391304347825</v>
      </c>
      <c r="AU122" s="3">
        <f t="shared" si="5"/>
        <v>0</v>
      </c>
      <c r="AV122">
        <f t="shared" si="6"/>
        <v>600</v>
      </c>
      <c r="AW122">
        <f t="shared" si="7"/>
        <v>94000</v>
      </c>
    </row>
    <row r="123" spans="1:49">
      <c r="A123">
        <v>123</v>
      </c>
      <c r="B123" t="s">
        <v>39</v>
      </c>
      <c r="C123">
        <v>1</v>
      </c>
      <c r="D123">
        <v>76</v>
      </c>
      <c r="E123">
        <v>0</v>
      </c>
      <c r="F123">
        <v>2</v>
      </c>
      <c r="G123">
        <v>16</v>
      </c>
      <c r="H123">
        <v>2</v>
      </c>
      <c r="I123">
        <v>66</v>
      </c>
      <c r="J123">
        <v>60000</v>
      </c>
      <c r="K123">
        <v>60</v>
      </c>
      <c r="L123">
        <v>0.5</v>
      </c>
      <c r="M123">
        <v>1</v>
      </c>
      <c r="N123">
        <v>42</v>
      </c>
      <c r="O123">
        <v>41</v>
      </c>
      <c r="P123" s="3">
        <v>9.9999999999999991E-22</v>
      </c>
      <c r="Q123">
        <v>5</v>
      </c>
      <c r="R123">
        <v>500</v>
      </c>
      <c r="S123">
        <v>0.5</v>
      </c>
      <c r="T123" s="3">
        <v>9.9999999999999991E-22</v>
      </c>
      <c r="U123" s="3">
        <v>9.9999999999999991E-22</v>
      </c>
      <c r="V123" s="3">
        <v>9.9999999999999991E-22</v>
      </c>
      <c r="W123">
        <v>1</v>
      </c>
      <c r="X123" s="3">
        <v>9.9999999999999991E-22</v>
      </c>
      <c r="Y123">
        <v>90000</v>
      </c>
      <c r="Z123">
        <v>90</v>
      </c>
      <c r="AA123">
        <v>0.25</v>
      </c>
      <c r="AB123">
        <v>3</v>
      </c>
      <c r="AC123">
        <v>3</v>
      </c>
      <c r="AD123">
        <v>0</v>
      </c>
      <c r="AE123">
        <v>0</v>
      </c>
      <c r="AF123">
        <v>1</v>
      </c>
      <c r="AG123">
        <v>33</v>
      </c>
      <c r="AH123">
        <v>30000</v>
      </c>
      <c r="AI123">
        <v>1</v>
      </c>
      <c r="AJ123">
        <v>14700</v>
      </c>
      <c r="AK123">
        <v>0</v>
      </c>
      <c r="AL123">
        <v>4000</v>
      </c>
      <c r="AM123">
        <v>4200</v>
      </c>
      <c r="AN123">
        <v>0</v>
      </c>
      <c r="AO123">
        <v>0</v>
      </c>
      <c r="AP123">
        <v>22.9</v>
      </c>
      <c r="AQ123">
        <v>45.8</v>
      </c>
      <c r="AR123">
        <v>7.1000000000000014</v>
      </c>
      <c r="AS123">
        <v>14.200000000000003</v>
      </c>
      <c r="AT123">
        <f t="shared" si="4"/>
        <v>358.53658536585368</v>
      </c>
      <c r="AU123" s="3">
        <f t="shared" si="5"/>
        <v>0</v>
      </c>
      <c r="AV123">
        <f t="shared" si="6"/>
        <v>800</v>
      </c>
      <c r="AW123">
        <f t="shared" si="7"/>
        <v>8400</v>
      </c>
    </row>
    <row r="124" spans="1:49">
      <c r="A124">
        <v>124</v>
      </c>
      <c r="B124" t="s">
        <v>39</v>
      </c>
      <c r="C124">
        <v>1</v>
      </c>
      <c r="D124">
        <v>80</v>
      </c>
      <c r="E124">
        <v>0</v>
      </c>
      <c r="F124">
        <v>1</v>
      </c>
      <c r="G124">
        <v>50</v>
      </c>
      <c r="H124">
        <v>2</v>
      </c>
      <c r="I124">
        <v>81.428571428571431</v>
      </c>
      <c r="J124">
        <v>239062.85714285716</v>
      </c>
      <c r="K124">
        <v>239.06285714285715</v>
      </c>
      <c r="L124">
        <v>0.7</v>
      </c>
      <c r="M124">
        <v>1</v>
      </c>
      <c r="N124" s="3">
        <v>9.9999999999999991E-22</v>
      </c>
      <c r="O124">
        <v>60</v>
      </c>
      <c r="P124" s="3">
        <v>9.9999999999999991E-22</v>
      </c>
      <c r="Q124">
        <v>1</v>
      </c>
      <c r="R124">
        <v>750</v>
      </c>
      <c r="S124">
        <v>0.75</v>
      </c>
      <c r="T124" s="3">
        <v>9.9999999999999991E-22</v>
      </c>
      <c r="U124" s="3">
        <v>9.9999999999999991E-22</v>
      </c>
      <c r="V124" s="3">
        <v>9.9999999999999991E-22</v>
      </c>
      <c r="W124" s="3">
        <v>9.9999999999999991E-22</v>
      </c>
      <c r="X124" s="3">
        <v>9.9999999999999991E-22</v>
      </c>
      <c r="Y124">
        <v>150800</v>
      </c>
      <c r="Z124">
        <v>150.80000000000001</v>
      </c>
      <c r="AA124">
        <v>0.526000804667069</v>
      </c>
      <c r="AB124">
        <v>4</v>
      </c>
      <c r="AC124">
        <v>3</v>
      </c>
      <c r="AD124">
        <v>0</v>
      </c>
      <c r="AE124">
        <v>0</v>
      </c>
      <c r="AF124">
        <v>1</v>
      </c>
      <c r="AG124">
        <v>57</v>
      </c>
      <c r="AH124">
        <v>167344</v>
      </c>
      <c r="AI124">
        <v>2</v>
      </c>
      <c r="AJ124">
        <v>33800</v>
      </c>
      <c r="AK124">
        <v>0</v>
      </c>
      <c r="AL124">
        <v>1800</v>
      </c>
      <c r="AM124">
        <v>6750</v>
      </c>
      <c r="AN124">
        <v>0</v>
      </c>
      <c r="AO124">
        <v>0</v>
      </c>
      <c r="AP124">
        <v>42.35</v>
      </c>
      <c r="AQ124">
        <v>60.500000000000007</v>
      </c>
      <c r="AR124">
        <v>124.994</v>
      </c>
      <c r="AS124">
        <v>178.56285714285715</v>
      </c>
      <c r="AT124">
        <f t="shared" si="4"/>
        <v>563.33333333333337</v>
      </c>
      <c r="AU124" s="3">
        <f t="shared" si="5"/>
        <v>0</v>
      </c>
      <c r="AV124">
        <f t="shared" si="6"/>
        <v>1800</v>
      </c>
      <c r="AW124">
        <f t="shared" si="7"/>
        <v>9000</v>
      </c>
    </row>
    <row r="125" spans="1:49">
      <c r="A125">
        <v>125</v>
      </c>
      <c r="B125" t="s">
        <v>40</v>
      </c>
      <c r="C125">
        <v>1</v>
      </c>
      <c r="D125">
        <v>70</v>
      </c>
      <c r="E125">
        <v>0</v>
      </c>
      <c r="F125">
        <v>2</v>
      </c>
      <c r="G125">
        <v>56</v>
      </c>
      <c r="H125">
        <v>7</v>
      </c>
      <c r="I125">
        <v>30</v>
      </c>
      <c r="J125">
        <v>110000</v>
      </c>
      <c r="K125">
        <v>110</v>
      </c>
      <c r="L125">
        <v>0.5</v>
      </c>
      <c r="M125">
        <v>1</v>
      </c>
      <c r="N125">
        <v>9</v>
      </c>
      <c r="O125">
        <v>10</v>
      </c>
      <c r="P125">
        <v>1</v>
      </c>
      <c r="Q125">
        <v>1</v>
      </c>
      <c r="R125">
        <v>350</v>
      </c>
      <c r="S125">
        <v>0.35</v>
      </c>
      <c r="T125" s="3">
        <v>9.9999999999999991E-22</v>
      </c>
      <c r="U125" s="3">
        <v>9.9999999999999991E-22</v>
      </c>
      <c r="V125" s="3">
        <v>9.9999999999999991E-22</v>
      </c>
      <c r="W125" s="3">
        <v>9.9999999999999991E-22</v>
      </c>
      <c r="X125" s="3">
        <v>9.9999999999999991E-22</v>
      </c>
      <c r="Y125">
        <v>230400</v>
      </c>
      <c r="Z125">
        <v>230.4</v>
      </c>
      <c r="AA125">
        <v>0.19271198318149965</v>
      </c>
      <c r="AB125">
        <v>3</v>
      </c>
      <c r="AC125">
        <v>3</v>
      </c>
      <c r="AD125">
        <v>0</v>
      </c>
      <c r="AE125">
        <v>0</v>
      </c>
      <c r="AF125">
        <v>1</v>
      </c>
      <c r="AG125">
        <v>15</v>
      </c>
      <c r="AH125">
        <v>55000</v>
      </c>
      <c r="AI125">
        <v>2</v>
      </c>
      <c r="AJ125">
        <v>5700</v>
      </c>
      <c r="AK125">
        <v>2750</v>
      </c>
      <c r="AL125">
        <v>600</v>
      </c>
      <c r="AM125">
        <v>3360</v>
      </c>
      <c r="AN125">
        <v>0</v>
      </c>
      <c r="AO125">
        <v>0</v>
      </c>
      <c r="AP125">
        <v>12.41</v>
      </c>
      <c r="AQ125">
        <v>24.82</v>
      </c>
      <c r="AR125">
        <v>42.59</v>
      </c>
      <c r="AS125">
        <v>85.18</v>
      </c>
      <c r="AT125">
        <f t="shared" si="4"/>
        <v>570</v>
      </c>
      <c r="AU125" s="3">
        <f t="shared" si="5"/>
        <v>2750</v>
      </c>
      <c r="AV125">
        <f t="shared" si="6"/>
        <v>600</v>
      </c>
      <c r="AW125">
        <f t="shared" si="7"/>
        <v>9600</v>
      </c>
    </row>
    <row r="126" spans="1:49">
      <c r="A126">
        <v>126</v>
      </c>
      <c r="B126" t="s">
        <v>40</v>
      </c>
      <c r="C126">
        <v>1</v>
      </c>
      <c r="D126">
        <v>68</v>
      </c>
      <c r="E126">
        <v>1</v>
      </c>
      <c r="F126">
        <v>3</v>
      </c>
      <c r="G126">
        <v>50</v>
      </c>
      <c r="H126">
        <v>6</v>
      </c>
      <c r="I126">
        <v>90</v>
      </c>
      <c r="J126">
        <v>144000</v>
      </c>
      <c r="K126">
        <v>144</v>
      </c>
      <c r="L126">
        <v>2</v>
      </c>
      <c r="M126">
        <v>2</v>
      </c>
      <c r="N126">
        <v>40.5</v>
      </c>
      <c r="O126">
        <v>32</v>
      </c>
      <c r="P126">
        <v>3</v>
      </c>
      <c r="Q126" s="3">
        <v>9.9999999999999991E-22</v>
      </c>
      <c r="R126">
        <v>2950</v>
      </c>
      <c r="S126">
        <v>2.95</v>
      </c>
      <c r="T126" s="3">
        <v>9.9999999999999991E-22</v>
      </c>
      <c r="U126" s="3">
        <v>9.9999999999999991E-22</v>
      </c>
      <c r="V126" s="3">
        <v>9.9999999999999991E-22</v>
      </c>
      <c r="W126">
        <v>1</v>
      </c>
      <c r="X126">
        <v>1</v>
      </c>
      <c r="Y126">
        <v>258000</v>
      </c>
      <c r="Z126">
        <v>258</v>
      </c>
      <c r="AA126">
        <v>0.52747252747252749</v>
      </c>
      <c r="AB126">
        <v>3</v>
      </c>
      <c r="AC126">
        <v>3</v>
      </c>
      <c r="AD126">
        <v>0</v>
      </c>
      <c r="AE126">
        <v>0</v>
      </c>
      <c r="AF126">
        <v>1</v>
      </c>
      <c r="AG126">
        <v>180</v>
      </c>
      <c r="AH126">
        <v>288000</v>
      </c>
      <c r="AI126">
        <v>1</v>
      </c>
      <c r="AJ126">
        <v>61110</v>
      </c>
      <c r="AK126">
        <v>28500</v>
      </c>
      <c r="AL126">
        <v>0</v>
      </c>
      <c r="AM126">
        <v>32010</v>
      </c>
      <c r="AN126">
        <v>0</v>
      </c>
      <c r="AO126">
        <v>0</v>
      </c>
      <c r="AP126">
        <v>121.62</v>
      </c>
      <c r="AQ126">
        <v>60.81</v>
      </c>
      <c r="AR126">
        <v>166.38</v>
      </c>
      <c r="AS126">
        <v>83.19</v>
      </c>
      <c r="AT126">
        <f t="shared" si="4"/>
        <v>1909.6875</v>
      </c>
      <c r="AU126" s="3">
        <f t="shared" si="5"/>
        <v>9500</v>
      </c>
      <c r="AV126">
        <f t="shared" si="6"/>
        <v>0</v>
      </c>
      <c r="AW126">
        <f t="shared" si="7"/>
        <v>10850.847457627118</v>
      </c>
    </row>
    <row r="127" spans="1:49">
      <c r="A127">
        <v>127</v>
      </c>
      <c r="B127" t="s">
        <v>40</v>
      </c>
      <c r="C127">
        <v>1</v>
      </c>
      <c r="D127">
        <v>47</v>
      </c>
      <c r="E127">
        <v>0</v>
      </c>
      <c r="F127">
        <v>4</v>
      </c>
      <c r="G127">
        <v>7</v>
      </c>
      <c r="H127">
        <v>4</v>
      </c>
      <c r="I127">
        <v>74.999999999999986</v>
      </c>
      <c r="J127">
        <v>112499.99999999999</v>
      </c>
      <c r="K127">
        <v>112.49999999999999</v>
      </c>
      <c r="L127">
        <v>0.56000000000000005</v>
      </c>
      <c r="M127">
        <v>1</v>
      </c>
      <c r="N127">
        <v>83</v>
      </c>
      <c r="O127">
        <v>6</v>
      </c>
      <c r="P127">
        <v>1</v>
      </c>
      <c r="Q127">
        <v>1.5</v>
      </c>
      <c r="R127">
        <v>750</v>
      </c>
      <c r="S127">
        <v>0.75</v>
      </c>
      <c r="T127" s="3">
        <v>9.9999999999999991E-22</v>
      </c>
      <c r="U127" s="3">
        <v>9.9999999999999991E-22</v>
      </c>
      <c r="V127" s="3">
        <v>9.9999999999999991E-22</v>
      </c>
      <c r="W127">
        <v>1</v>
      </c>
      <c r="X127" s="3">
        <v>9.9999999999999991E-22</v>
      </c>
      <c r="Y127">
        <v>202176</v>
      </c>
      <c r="Z127">
        <v>202.17599999999999</v>
      </c>
      <c r="AA127">
        <v>0.23757806136301929</v>
      </c>
      <c r="AB127">
        <v>3</v>
      </c>
      <c r="AC127">
        <v>3</v>
      </c>
      <c r="AD127">
        <v>0</v>
      </c>
      <c r="AE127">
        <v>0</v>
      </c>
      <c r="AF127">
        <v>1</v>
      </c>
      <c r="AG127">
        <v>42</v>
      </c>
      <c r="AH127">
        <v>63000</v>
      </c>
      <c r="AI127">
        <v>2</v>
      </c>
      <c r="AJ127">
        <v>14840</v>
      </c>
      <c r="AK127">
        <v>2750</v>
      </c>
      <c r="AL127">
        <v>900</v>
      </c>
      <c r="AM127">
        <v>7200</v>
      </c>
      <c r="AN127">
        <v>0</v>
      </c>
      <c r="AO127">
        <v>0</v>
      </c>
      <c r="AP127">
        <v>25.69</v>
      </c>
      <c r="AQ127">
        <v>45.875</v>
      </c>
      <c r="AR127">
        <v>37.31</v>
      </c>
      <c r="AS127">
        <v>66.625</v>
      </c>
      <c r="AT127">
        <f t="shared" si="4"/>
        <v>2473.3333333333335</v>
      </c>
      <c r="AU127" s="3">
        <f t="shared" si="5"/>
        <v>2750</v>
      </c>
      <c r="AV127">
        <f t="shared" si="6"/>
        <v>600</v>
      </c>
      <c r="AW127">
        <f t="shared" si="7"/>
        <v>9600</v>
      </c>
    </row>
    <row r="128" spans="1:49">
      <c r="A128">
        <v>128</v>
      </c>
      <c r="B128" t="s">
        <v>40</v>
      </c>
      <c r="C128">
        <v>1</v>
      </c>
      <c r="D128">
        <v>71</v>
      </c>
      <c r="E128">
        <v>1</v>
      </c>
      <c r="F128">
        <v>2</v>
      </c>
      <c r="G128">
        <v>50</v>
      </c>
      <c r="H128">
        <v>3</v>
      </c>
      <c r="I128">
        <v>96</v>
      </c>
      <c r="J128">
        <v>200000</v>
      </c>
      <c r="K128">
        <v>200</v>
      </c>
      <c r="L128">
        <v>0.5</v>
      </c>
      <c r="M128">
        <v>1</v>
      </c>
      <c r="N128">
        <v>26.5</v>
      </c>
      <c r="O128">
        <v>36</v>
      </c>
      <c r="P128">
        <v>0.5</v>
      </c>
      <c r="Q128">
        <v>1</v>
      </c>
      <c r="R128">
        <v>600</v>
      </c>
      <c r="S128">
        <v>0.6</v>
      </c>
      <c r="T128" s="3">
        <v>9.9999999999999991E-22</v>
      </c>
      <c r="U128" s="3">
        <v>9.9999999999999991E-22</v>
      </c>
      <c r="V128" s="3">
        <v>9.9999999999999991E-22</v>
      </c>
      <c r="W128">
        <v>1</v>
      </c>
      <c r="X128" s="3">
        <v>9.9999999999999991E-22</v>
      </c>
      <c r="Y128">
        <v>120000</v>
      </c>
      <c r="Z128">
        <v>120</v>
      </c>
      <c r="AA128">
        <v>0.45454545454545453</v>
      </c>
      <c r="AB128">
        <v>3</v>
      </c>
      <c r="AC128">
        <v>3</v>
      </c>
      <c r="AD128">
        <v>0</v>
      </c>
      <c r="AE128">
        <v>0</v>
      </c>
      <c r="AF128">
        <v>1</v>
      </c>
      <c r="AG128">
        <v>48</v>
      </c>
      <c r="AH128">
        <v>100000</v>
      </c>
      <c r="AI128">
        <v>2</v>
      </c>
      <c r="AJ128">
        <v>14640</v>
      </c>
      <c r="AK128">
        <v>2750</v>
      </c>
      <c r="AL128">
        <v>600</v>
      </c>
      <c r="AM128">
        <v>10680</v>
      </c>
      <c r="AN128">
        <v>0</v>
      </c>
      <c r="AO128">
        <v>0</v>
      </c>
      <c r="AP128">
        <v>28.67</v>
      </c>
      <c r="AQ128">
        <v>57.34</v>
      </c>
      <c r="AR128">
        <v>71.33</v>
      </c>
      <c r="AS128">
        <v>142.66</v>
      </c>
      <c r="AT128">
        <f t="shared" si="4"/>
        <v>406.66666666666669</v>
      </c>
      <c r="AU128" s="3">
        <f t="shared" si="5"/>
        <v>5500</v>
      </c>
      <c r="AV128">
        <f t="shared" si="6"/>
        <v>600</v>
      </c>
      <c r="AW128">
        <f t="shared" si="7"/>
        <v>17800</v>
      </c>
    </row>
    <row r="129" spans="1:49">
      <c r="A129">
        <v>129</v>
      </c>
      <c r="B129" t="s">
        <v>40</v>
      </c>
      <c r="C129">
        <v>1</v>
      </c>
      <c r="D129">
        <v>79</v>
      </c>
      <c r="E129">
        <v>0</v>
      </c>
      <c r="F129">
        <v>2</v>
      </c>
      <c r="G129">
        <v>64</v>
      </c>
      <c r="H129">
        <v>3</v>
      </c>
      <c r="I129">
        <v>50</v>
      </c>
      <c r="J129">
        <v>60000</v>
      </c>
      <c r="K129">
        <v>60</v>
      </c>
      <c r="L129">
        <v>0.5</v>
      </c>
      <c r="M129">
        <v>1</v>
      </c>
      <c r="N129">
        <v>30</v>
      </c>
      <c r="O129">
        <v>22</v>
      </c>
      <c r="P129">
        <v>1</v>
      </c>
      <c r="Q129">
        <v>0.5</v>
      </c>
      <c r="R129">
        <v>500</v>
      </c>
      <c r="S129">
        <v>0.5</v>
      </c>
      <c r="T129" s="3">
        <v>9.9999999999999991E-22</v>
      </c>
      <c r="U129" s="3">
        <v>9.9999999999999991E-22</v>
      </c>
      <c r="V129" s="3">
        <v>9.9999999999999991E-22</v>
      </c>
      <c r="W129" s="3">
        <v>9.9999999999999991E-22</v>
      </c>
      <c r="X129" s="3">
        <v>9.9999999999999991E-22</v>
      </c>
      <c r="Y129">
        <v>157200</v>
      </c>
      <c r="Z129">
        <v>157.19999999999999</v>
      </c>
      <c r="AA129">
        <v>0.16025641025641027</v>
      </c>
      <c r="AB129">
        <v>3</v>
      </c>
      <c r="AC129">
        <v>3</v>
      </c>
      <c r="AD129">
        <v>0</v>
      </c>
      <c r="AE129">
        <v>0</v>
      </c>
      <c r="AF129">
        <v>1</v>
      </c>
      <c r="AG129">
        <v>25</v>
      </c>
      <c r="AH129">
        <v>30000</v>
      </c>
      <c r="AI129">
        <v>2</v>
      </c>
      <c r="AJ129">
        <v>8100</v>
      </c>
      <c r="AK129">
        <v>2500</v>
      </c>
      <c r="AL129">
        <v>300</v>
      </c>
      <c r="AM129">
        <v>4700</v>
      </c>
      <c r="AN129">
        <v>0</v>
      </c>
      <c r="AO129">
        <v>0</v>
      </c>
      <c r="AP129">
        <v>15.6</v>
      </c>
      <c r="AQ129">
        <v>31.2</v>
      </c>
      <c r="AR129">
        <v>14.4</v>
      </c>
      <c r="AS129">
        <v>28.8</v>
      </c>
      <c r="AT129">
        <f t="shared" si="4"/>
        <v>368.18181818181819</v>
      </c>
      <c r="AU129" s="3">
        <f t="shared" si="5"/>
        <v>2500</v>
      </c>
      <c r="AV129">
        <f t="shared" si="6"/>
        <v>600</v>
      </c>
      <c r="AW129">
        <f t="shared" si="7"/>
        <v>9400</v>
      </c>
    </row>
    <row r="130" spans="1:49">
      <c r="A130">
        <v>130</v>
      </c>
      <c r="B130" t="s">
        <v>40</v>
      </c>
      <c r="C130" s="3">
        <v>0</v>
      </c>
      <c r="D130">
        <v>67</v>
      </c>
      <c r="E130">
        <v>1</v>
      </c>
      <c r="F130">
        <v>2</v>
      </c>
      <c r="G130">
        <v>48</v>
      </c>
      <c r="H130">
        <v>7</v>
      </c>
      <c r="I130">
        <v>62.666666666666664</v>
      </c>
      <c r="J130">
        <v>13733.333333333334</v>
      </c>
      <c r="K130">
        <v>13.733333333333334</v>
      </c>
      <c r="L130">
        <v>0.75</v>
      </c>
      <c r="M130">
        <v>1</v>
      </c>
      <c r="N130">
        <v>37.5</v>
      </c>
      <c r="O130">
        <v>41</v>
      </c>
      <c r="P130">
        <v>2</v>
      </c>
      <c r="Q130" s="3">
        <v>9.9999999999999991E-22</v>
      </c>
      <c r="R130">
        <v>750</v>
      </c>
      <c r="S130">
        <v>0.75</v>
      </c>
      <c r="T130" s="3">
        <v>9.9999999999999991E-22</v>
      </c>
      <c r="U130" s="3">
        <v>9.9999999999999991E-22</v>
      </c>
      <c r="V130" s="3">
        <v>9.9999999999999991E-22</v>
      </c>
      <c r="W130">
        <v>1</v>
      </c>
      <c r="X130" s="3">
        <v>9.9999999999999991E-22</v>
      </c>
      <c r="Y130">
        <v>187200</v>
      </c>
      <c r="Z130">
        <v>187.2</v>
      </c>
      <c r="AA130">
        <v>5.2151898734177214E-2</v>
      </c>
      <c r="AB130">
        <v>4</v>
      </c>
      <c r="AC130">
        <v>3</v>
      </c>
      <c r="AD130">
        <v>0</v>
      </c>
      <c r="AE130">
        <v>0</v>
      </c>
      <c r="AF130">
        <v>1</v>
      </c>
      <c r="AG130">
        <v>47</v>
      </c>
      <c r="AH130">
        <v>10300</v>
      </c>
      <c r="AI130">
        <v>2</v>
      </c>
      <c r="AJ130">
        <v>13760</v>
      </c>
      <c r="AK130">
        <v>3094</v>
      </c>
      <c r="AL130">
        <v>0</v>
      </c>
      <c r="AM130">
        <v>7800</v>
      </c>
      <c r="AN130">
        <v>0</v>
      </c>
      <c r="AO130">
        <v>0</v>
      </c>
      <c r="AP130">
        <v>24.654</v>
      </c>
      <c r="AQ130">
        <v>32.872</v>
      </c>
      <c r="AR130">
        <v>-14.353999999999999</v>
      </c>
      <c r="AS130">
        <v>-19.138666666666666</v>
      </c>
      <c r="AT130">
        <f t="shared" si="4"/>
        <v>335.60975609756099</v>
      </c>
      <c r="AU130" s="3">
        <f t="shared" si="5"/>
        <v>1547</v>
      </c>
      <c r="AV130">
        <f t="shared" si="6"/>
        <v>0</v>
      </c>
      <c r="AW130">
        <f t="shared" si="7"/>
        <v>10400</v>
      </c>
    </row>
    <row r="131" spans="1:49">
      <c r="A131">
        <v>131</v>
      </c>
      <c r="B131" t="s">
        <v>40</v>
      </c>
      <c r="C131" s="3">
        <v>0</v>
      </c>
      <c r="D131">
        <v>68</v>
      </c>
      <c r="E131">
        <v>0</v>
      </c>
      <c r="F131">
        <v>2</v>
      </c>
      <c r="G131">
        <v>50</v>
      </c>
      <c r="H131">
        <v>5</v>
      </c>
      <c r="I131">
        <v>65.333333333333329</v>
      </c>
      <c r="J131">
        <v>60000</v>
      </c>
      <c r="K131">
        <v>60</v>
      </c>
      <c r="L131">
        <v>0.75</v>
      </c>
      <c r="M131">
        <v>1</v>
      </c>
      <c r="N131">
        <v>90</v>
      </c>
      <c r="O131">
        <v>15</v>
      </c>
      <c r="P131" s="3">
        <v>9.9999999999999991E-22</v>
      </c>
      <c r="Q131">
        <v>2</v>
      </c>
      <c r="R131">
        <v>750</v>
      </c>
      <c r="S131">
        <v>0.75</v>
      </c>
      <c r="T131" s="3">
        <v>9.9999999999999991E-22</v>
      </c>
      <c r="U131" s="3">
        <v>9.9999999999999991E-22</v>
      </c>
      <c r="V131" s="3">
        <v>9.9999999999999991E-22</v>
      </c>
      <c r="W131">
        <v>1</v>
      </c>
      <c r="X131" s="3">
        <v>9.9999999999999991E-22</v>
      </c>
      <c r="Y131">
        <v>167700</v>
      </c>
      <c r="Z131">
        <v>167.7</v>
      </c>
      <c r="AA131">
        <v>0.21156558533145275</v>
      </c>
      <c r="AB131">
        <v>3</v>
      </c>
      <c r="AC131">
        <v>3</v>
      </c>
      <c r="AD131">
        <v>0</v>
      </c>
      <c r="AE131">
        <v>0</v>
      </c>
      <c r="AF131">
        <v>1</v>
      </c>
      <c r="AG131">
        <v>49</v>
      </c>
      <c r="AH131">
        <v>45000</v>
      </c>
      <c r="AI131">
        <v>2</v>
      </c>
      <c r="AJ131">
        <v>16500</v>
      </c>
      <c r="AK131">
        <v>0</v>
      </c>
      <c r="AL131">
        <v>1200</v>
      </c>
      <c r="AM131">
        <v>7200</v>
      </c>
      <c r="AN131">
        <v>0</v>
      </c>
      <c r="AO131">
        <v>0</v>
      </c>
      <c r="AP131">
        <v>24.9</v>
      </c>
      <c r="AQ131">
        <v>33.199999999999996</v>
      </c>
      <c r="AR131">
        <v>20.100000000000001</v>
      </c>
      <c r="AS131">
        <v>26.8</v>
      </c>
      <c r="AT131">
        <f t="shared" ref="AT131:AT165" si="8">AJ131/O131</f>
        <v>1100</v>
      </c>
      <c r="AU131" s="3">
        <f t="shared" ref="AU131:AU165" si="9">AK131/P131</f>
        <v>0</v>
      </c>
      <c r="AV131">
        <f t="shared" ref="AV131:AV165" si="10">AL131/Q131</f>
        <v>600</v>
      </c>
      <c r="AW131">
        <f t="shared" ref="AW131:AW165" si="11">AM131/S131</f>
        <v>9600</v>
      </c>
    </row>
    <row r="132" spans="1:49">
      <c r="A132">
        <v>132</v>
      </c>
      <c r="B132" t="s">
        <v>40</v>
      </c>
      <c r="C132" s="3">
        <v>0</v>
      </c>
      <c r="D132">
        <v>54</v>
      </c>
      <c r="E132">
        <v>0</v>
      </c>
      <c r="F132">
        <v>6</v>
      </c>
      <c r="G132">
        <v>9</v>
      </c>
      <c r="H132">
        <v>2</v>
      </c>
      <c r="I132">
        <v>30</v>
      </c>
      <c r="J132">
        <v>119000</v>
      </c>
      <c r="K132">
        <v>119</v>
      </c>
      <c r="L132">
        <v>1</v>
      </c>
      <c r="M132">
        <v>1</v>
      </c>
      <c r="N132">
        <v>37.5</v>
      </c>
      <c r="O132">
        <v>51</v>
      </c>
      <c r="P132" s="3">
        <v>9.9999999999999991E-22</v>
      </c>
      <c r="Q132">
        <v>2</v>
      </c>
      <c r="R132">
        <v>1750</v>
      </c>
      <c r="S132">
        <v>1.75</v>
      </c>
      <c r="T132" s="3">
        <v>9.9999999999999991E-22</v>
      </c>
      <c r="U132" s="3">
        <v>9.9999999999999991E-22</v>
      </c>
      <c r="V132" s="3">
        <v>9.9999999999999991E-22</v>
      </c>
      <c r="W132">
        <v>1</v>
      </c>
      <c r="X132">
        <v>1</v>
      </c>
      <c r="Y132">
        <v>73000</v>
      </c>
      <c r="Z132">
        <v>73</v>
      </c>
      <c r="AA132">
        <v>0.61979166666666663</v>
      </c>
      <c r="AB132">
        <v>3</v>
      </c>
      <c r="AC132">
        <v>1</v>
      </c>
      <c r="AD132">
        <v>0</v>
      </c>
      <c r="AE132">
        <v>0</v>
      </c>
      <c r="AF132">
        <v>1</v>
      </c>
      <c r="AG132">
        <v>30</v>
      </c>
      <c r="AH132">
        <v>119000</v>
      </c>
      <c r="AI132">
        <v>4</v>
      </c>
      <c r="AJ132">
        <v>20500</v>
      </c>
      <c r="AK132">
        <v>0</v>
      </c>
      <c r="AL132">
        <v>1200</v>
      </c>
      <c r="AM132">
        <v>16800</v>
      </c>
      <c r="AN132">
        <v>0</v>
      </c>
      <c r="AO132">
        <v>0</v>
      </c>
      <c r="AP132">
        <v>38.5</v>
      </c>
      <c r="AQ132">
        <v>38.5</v>
      </c>
      <c r="AR132">
        <v>80.5</v>
      </c>
      <c r="AS132">
        <v>80.5</v>
      </c>
      <c r="AT132">
        <f t="shared" si="8"/>
        <v>401.96078431372547</v>
      </c>
      <c r="AU132" s="3">
        <f t="shared" si="9"/>
        <v>0</v>
      </c>
      <c r="AV132">
        <f t="shared" si="10"/>
        <v>600</v>
      </c>
      <c r="AW132">
        <f t="shared" si="11"/>
        <v>9600</v>
      </c>
    </row>
    <row r="133" spans="1:49">
      <c r="A133">
        <v>133</v>
      </c>
      <c r="B133" t="s">
        <v>40</v>
      </c>
      <c r="C133" s="3">
        <v>0</v>
      </c>
      <c r="D133">
        <v>79</v>
      </c>
      <c r="E133">
        <v>1</v>
      </c>
      <c r="F133">
        <v>2</v>
      </c>
      <c r="G133">
        <v>64</v>
      </c>
      <c r="H133">
        <v>1</v>
      </c>
      <c r="I133">
        <v>40</v>
      </c>
      <c r="J133">
        <v>32000</v>
      </c>
      <c r="K133">
        <v>32</v>
      </c>
      <c r="L133">
        <v>1.25</v>
      </c>
      <c r="M133">
        <v>1</v>
      </c>
      <c r="N133">
        <v>56</v>
      </c>
      <c r="O133">
        <v>33</v>
      </c>
      <c r="P133">
        <v>0.5</v>
      </c>
      <c r="Q133">
        <v>0.5</v>
      </c>
      <c r="R133">
        <v>900</v>
      </c>
      <c r="S133">
        <v>0.9</v>
      </c>
      <c r="T133" s="3">
        <v>9.9999999999999991E-22</v>
      </c>
      <c r="U133" s="3">
        <v>9.9999999999999991E-22</v>
      </c>
      <c r="V133" s="3">
        <v>9.9999999999999991E-22</v>
      </c>
      <c r="W133" s="3">
        <v>9.9999999999999991E-22</v>
      </c>
      <c r="X133" s="3">
        <v>9.9999999999999991E-22</v>
      </c>
      <c r="Y133">
        <v>6000</v>
      </c>
      <c r="Z133">
        <v>6</v>
      </c>
      <c r="AA133">
        <v>0.86956521739130432</v>
      </c>
      <c r="AB133">
        <v>3</v>
      </c>
      <c r="AC133">
        <v>3</v>
      </c>
      <c r="AD133">
        <v>0</v>
      </c>
      <c r="AE133">
        <v>0</v>
      </c>
      <c r="AF133">
        <v>1</v>
      </c>
      <c r="AG133">
        <v>50</v>
      </c>
      <c r="AH133">
        <v>40000</v>
      </c>
      <c r="AI133">
        <v>2</v>
      </c>
      <c r="AJ133">
        <v>22500</v>
      </c>
      <c r="AK133">
        <v>6875</v>
      </c>
      <c r="AL133">
        <v>750</v>
      </c>
      <c r="AM133">
        <v>9180</v>
      </c>
      <c r="AN133">
        <v>0</v>
      </c>
      <c r="AO133">
        <v>0</v>
      </c>
      <c r="AP133">
        <v>39.305</v>
      </c>
      <c r="AQ133">
        <v>31.443999999999999</v>
      </c>
      <c r="AR133">
        <v>0.69500000000000028</v>
      </c>
      <c r="AS133">
        <v>0.55600000000000027</v>
      </c>
      <c r="AT133">
        <f t="shared" si="8"/>
        <v>681.81818181818187</v>
      </c>
      <c r="AU133" s="3">
        <f t="shared" si="9"/>
        <v>13750</v>
      </c>
      <c r="AV133">
        <f t="shared" si="10"/>
        <v>1500</v>
      </c>
      <c r="AW133">
        <f t="shared" si="11"/>
        <v>10200</v>
      </c>
    </row>
    <row r="134" spans="1:49">
      <c r="A134">
        <v>134</v>
      </c>
      <c r="B134" t="s">
        <v>40</v>
      </c>
      <c r="C134" s="3">
        <v>0</v>
      </c>
      <c r="D134">
        <v>76</v>
      </c>
      <c r="E134">
        <v>1</v>
      </c>
      <c r="F134">
        <v>1</v>
      </c>
      <c r="G134">
        <v>64</v>
      </c>
      <c r="H134">
        <v>2</v>
      </c>
      <c r="I134">
        <v>80</v>
      </c>
      <c r="J134">
        <v>50000</v>
      </c>
      <c r="K134">
        <v>50</v>
      </c>
      <c r="L134">
        <v>2</v>
      </c>
      <c r="M134">
        <v>1</v>
      </c>
      <c r="N134">
        <v>20</v>
      </c>
      <c r="O134">
        <v>22.5</v>
      </c>
      <c r="P134">
        <v>0.5</v>
      </c>
      <c r="Q134" s="3">
        <v>9.9999999999999991E-22</v>
      </c>
      <c r="R134">
        <v>1900</v>
      </c>
      <c r="S134">
        <v>1.9</v>
      </c>
      <c r="T134" s="3">
        <v>9.9999999999999991E-22</v>
      </c>
      <c r="U134" s="3">
        <v>9.9999999999999991E-22</v>
      </c>
      <c r="V134" s="3">
        <v>9.9999999999999991E-22</v>
      </c>
      <c r="W134">
        <v>1</v>
      </c>
      <c r="X134" s="3">
        <v>9.9999999999999991E-22</v>
      </c>
      <c r="Y134">
        <v>0</v>
      </c>
      <c r="Z134">
        <v>0</v>
      </c>
      <c r="AA134">
        <v>1</v>
      </c>
      <c r="AB134">
        <v>4</v>
      </c>
      <c r="AC134">
        <v>1</v>
      </c>
      <c r="AD134">
        <v>0</v>
      </c>
      <c r="AE134">
        <v>0</v>
      </c>
      <c r="AF134">
        <v>1</v>
      </c>
      <c r="AG134">
        <v>160</v>
      </c>
      <c r="AH134">
        <v>100000</v>
      </c>
      <c r="AI134">
        <v>2</v>
      </c>
      <c r="AJ134">
        <v>51250</v>
      </c>
      <c r="AK134">
        <v>3000</v>
      </c>
      <c r="AL134">
        <v>0</v>
      </c>
      <c r="AM134">
        <v>17480</v>
      </c>
      <c r="AN134">
        <v>0</v>
      </c>
      <c r="AO134">
        <v>0</v>
      </c>
      <c r="AP134">
        <v>71.73</v>
      </c>
      <c r="AQ134">
        <v>35.865000000000002</v>
      </c>
      <c r="AR134">
        <v>28.269999999999996</v>
      </c>
      <c r="AS134">
        <v>14.134999999999998</v>
      </c>
      <c r="AT134">
        <f t="shared" si="8"/>
        <v>2277.7777777777778</v>
      </c>
      <c r="AU134" s="3">
        <f t="shared" si="9"/>
        <v>6000</v>
      </c>
      <c r="AV134">
        <f t="shared" si="10"/>
        <v>0</v>
      </c>
      <c r="AW134">
        <f t="shared" si="11"/>
        <v>9200</v>
      </c>
    </row>
    <row r="135" spans="1:49">
      <c r="A135">
        <v>135</v>
      </c>
      <c r="B135" t="s">
        <v>40</v>
      </c>
      <c r="C135">
        <v>1</v>
      </c>
      <c r="D135">
        <v>60</v>
      </c>
      <c r="E135">
        <v>0</v>
      </c>
      <c r="F135">
        <v>4</v>
      </c>
      <c r="G135">
        <v>40</v>
      </c>
      <c r="H135">
        <v>3</v>
      </c>
      <c r="I135">
        <v>100</v>
      </c>
      <c r="J135">
        <v>80000</v>
      </c>
      <c r="K135">
        <v>80</v>
      </c>
      <c r="L135">
        <v>0.5</v>
      </c>
      <c r="M135">
        <v>2</v>
      </c>
      <c r="N135">
        <v>4</v>
      </c>
      <c r="O135">
        <v>3</v>
      </c>
      <c r="P135">
        <v>1</v>
      </c>
      <c r="Q135">
        <v>5</v>
      </c>
      <c r="R135">
        <v>700</v>
      </c>
      <c r="S135">
        <v>0.7</v>
      </c>
      <c r="T135" s="3">
        <v>9.9999999999999991E-22</v>
      </c>
      <c r="U135" s="3">
        <v>9.9999999999999991E-22</v>
      </c>
      <c r="V135" s="3">
        <v>9.9999999999999991E-22</v>
      </c>
      <c r="W135">
        <v>1</v>
      </c>
      <c r="X135" s="3">
        <v>9.9999999999999991E-22</v>
      </c>
      <c r="Y135">
        <v>121800</v>
      </c>
      <c r="Z135">
        <v>121.8</v>
      </c>
      <c r="AA135">
        <v>0.24721878862793573</v>
      </c>
      <c r="AB135">
        <v>3</v>
      </c>
      <c r="AC135">
        <v>3</v>
      </c>
      <c r="AD135">
        <v>3</v>
      </c>
      <c r="AE135">
        <v>3</v>
      </c>
      <c r="AF135">
        <v>1</v>
      </c>
      <c r="AG135">
        <v>50</v>
      </c>
      <c r="AH135">
        <v>40000</v>
      </c>
      <c r="AI135">
        <v>2</v>
      </c>
      <c r="AJ135">
        <v>400</v>
      </c>
      <c r="AK135">
        <v>2750</v>
      </c>
      <c r="AL135">
        <v>2000</v>
      </c>
      <c r="AM135">
        <v>6650</v>
      </c>
      <c r="AN135">
        <v>0</v>
      </c>
      <c r="AO135">
        <v>0</v>
      </c>
      <c r="AP135">
        <v>11.8</v>
      </c>
      <c r="AQ135">
        <v>23.6</v>
      </c>
      <c r="AR135">
        <v>28.2</v>
      </c>
      <c r="AS135">
        <v>56.4</v>
      </c>
      <c r="AT135">
        <f t="shared" si="8"/>
        <v>133.33333333333334</v>
      </c>
      <c r="AU135" s="3">
        <f t="shared" si="9"/>
        <v>2750</v>
      </c>
      <c r="AV135">
        <f t="shared" si="10"/>
        <v>400</v>
      </c>
      <c r="AW135">
        <f t="shared" si="11"/>
        <v>9500</v>
      </c>
    </row>
    <row r="136" spans="1:49">
      <c r="A136">
        <v>136</v>
      </c>
      <c r="B136" t="s">
        <v>40</v>
      </c>
      <c r="C136" s="3">
        <v>0</v>
      </c>
      <c r="D136">
        <v>68</v>
      </c>
      <c r="E136">
        <v>0</v>
      </c>
      <c r="F136">
        <v>2</v>
      </c>
      <c r="G136">
        <v>40</v>
      </c>
      <c r="H136">
        <v>5</v>
      </c>
      <c r="I136">
        <v>59</v>
      </c>
      <c r="J136">
        <v>135000</v>
      </c>
      <c r="K136">
        <v>135</v>
      </c>
      <c r="L136">
        <v>1</v>
      </c>
      <c r="M136">
        <v>1</v>
      </c>
      <c r="N136">
        <v>90</v>
      </c>
      <c r="O136">
        <v>12</v>
      </c>
      <c r="P136" s="3">
        <v>9.9999999999999991E-22</v>
      </c>
      <c r="Q136">
        <v>2</v>
      </c>
      <c r="R136">
        <v>1000</v>
      </c>
      <c r="S136">
        <v>1</v>
      </c>
      <c r="T136" s="3">
        <v>9.9999999999999991E-22</v>
      </c>
      <c r="U136" s="3">
        <v>9.9999999999999991E-22</v>
      </c>
      <c r="V136" s="3">
        <v>9.9999999999999991E-22</v>
      </c>
      <c r="W136" s="3">
        <v>9.9999999999999991E-22</v>
      </c>
      <c r="X136" s="3">
        <v>9.9999999999999991E-22</v>
      </c>
      <c r="Y136">
        <v>6000</v>
      </c>
      <c r="Z136">
        <v>6</v>
      </c>
      <c r="AA136">
        <v>0.95744680851063835</v>
      </c>
      <c r="AB136">
        <v>3</v>
      </c>
      <c r="AC136">
        <v>3</v>
      </c>
      <c r="AD136">
        <v>0</v>
      </c>
      <c r="AE136">
        <v>0</v>
      </c>
      <c r="AF136">
        <v>1</v>
      </c>
      <c r="AG136">
        <v>59</v>
      </c>
      <c r="AH136">
        <v>135000</v>
      </c>
      <c r="AI136">
        <v>2</v>
      </c>
      <c r="AJ136">
        <v>16500</v>
      </c>
      <c r="AK136">
        <v>0</v>
      </c>
      <c r="AL136">
        <v>1200</v>
      </c>
      <c r="AM136">
        <v>9400</v>
      </c>
      <c r="AN136">
        <v>0</v>
      </c>
      <c r="AO136">
        <v>0</v>
      </c>
      <c r="AP136">
        <v>27.1</v>
      </c>
      <c r="AQ136">
        <v>27.1</v>
      </c>
      <c r="AR136">
        <v>107.9</v>
      </c>
      <c r="AS136">
        <v>107.9</v>
      </c>
      <c r="AT136">
        <f t="shared" si="8"/>
        <v>1375</v>
      </c>
      <c r="AU136" s="3">
        <f t="shared" si="9"/>
        <v>0</v>
      </c>
      <c r="AV136">
        <f t="shared" si="10"/>
        <v>600</v>
      </c>
      <c r="AW136">
        <f t="shared" si="11"/>
        <v>9400</v>
      </c>
    </row>
    <row r="137" spans="1:49">
      <c r="A137">
        <v>137</v>
      </c>
      <c r="B137" t="s">
        <v>40</v>
      </c>
      <c r="C137">
        <v>1</v>
      </c>
      <c r="D137">
        <v>66</v>
      </c>
      <c r="E137">
        <v>0</v>
      </c>
      <c r="F137">
        <v>2</v>
      </c>
      <c r="G137">
        <v>46</v>
      </c>
      <c r="H137">
        <v>5</v>
      </c>
      <c r="I137">
        <v>32</v>
      </c>
      <c r="J137">
        <v>42000</v>
      </c>
      <c r="K137">
        <v>42</v>
      </c>
      <c r="L137">
        <v>0.75</v>
      </c>
      <c r="M137">
        <v>1</v>
      </c>
      <c r="N137">
        <v>90</v>
      </c>
      <c r="O137">
        <v>16</v>
      </c>
      <c r="P137">
        <v>1</v>
      </c>
      <c r="Q137">
        <v>3</v>
      </c>
      <c r="R137">
        <v>500</v>
      </c>
      <c r="S137">
        <v>0.5</v>
      </c>
      <c r="T137" s="3">
        <v>9.9999999999999991E-22</v>
      </c>
      <c r="U137" s="3">
        <v>9.9999999999999991E-22</v>
      </c>
      <c r="V137" s="3">
        <v>9.9999999999999991E-22</v>
      </c>
      <c r="W137" s="3">
        <v>9.9999999999999991E-22</v>
      </c>
      <c r="X137" s="3">
        <v>9.9999999999999991E-22</v>
      </c>
      <c r="Y137">
        <v>0</v>
      </c>
      <c r="Z137">
        <v>0</v>
      </c>
      <c r="AA137">
        <v>1</v>
      </c>
      <c r="AB137">
        <v>4</v>
      </c>
      <c r="AC137">
        <v>3</v>
      </c>
      <c r="AD137">
        <v>0</v>
      </c>
      <c r="AE137">
        <v>0</v>
      </c>
      <c r="AF137">
        <v>1</v>
      </c>
      <c r="AG137">
        <v>24</v>
      </c>
      <c r="AH137">
        <v>31500</v>
      </c>
      <c r="AI137">
        <v>2</v>
      </c>
      <c r="AJ137">
        <v>10200</v>
      </c>
      <c r="AK137">
        <v>4125</v>
      </c>
      <c r="AL137">
        <v>1800</v>
      </c>
      <c r="AM137">
        <v>4700</v>
      </c>
      <c r="AN137">
        <v>0</v>
      </c>
      <c r="AO137">
        <v>0</v>
      </c>
      <c r="AP137">
        <v>20.824999999999999</v>
      </c>
      <c r="AQ137">
        <v>27.766666666666666</v>
      </c>
      <c r="AR137">
        <v>10.675000000000001</v>
      </c>
      <c r="AS137">
        <v>14.233333333333334</v>
      </c>
      <c r="AT137">
        <f t="shared" si="8"/>
        <v>637.5</v>
      </c>
      <c r="AU137" s="3">
        <f t="shared" si="9"/>
        <v>4125</v>
      </c>
      <c r="AV137">
        <f t="shared" si="10"/>
        <v>600</v>
      </c>
      <c r="AW137">
        <f t="shared" si="11"/>
        <v>9400</v>
      </c>
    </row>
    <row r="138" spans="1:49">
      <c r="A138">
        <v>138</v>
      </c>
      <c r="B138" t="s">
        <v>40</v>
      </c>
      <c r="C138">
        <v>1</v>
      </c>
      <c r="D138">
        <v>32</v>
      </c>
      <c r="E138">
        <v>0</v>
      </c>
      <c r="F138">
        <v>6</v>
      </c>
      <c r="G138">
        <v>4</v>
      </c>
      <c r="H138">
        <v>3</v>
      </c>
      <c r="I138">
        <v>48.75</v>
      </c>
      <c r="J138">
        <v>84375</v>
      </c>
      <c r="K138">
        <v>84.375</v>
      </c>
      <c r="L138">
        <v>0.8</v>
      </c>
      <c r="M138">
        <v>1</v>
      </c>
      <c r="N138">
        <v>208</v>
      </c>
      <c r="O138">
        <v>20</v>
      </c>
      <c r="P138">
        <v>1</v>
      </c>
      <c r="Q138">
        <v>1</v>
      </c>
      <c r="R138">
        <v>12500</v>
      </c>
      <c r="S138">
        <v>12.5</v>
      </c>
      <c r="T138" s="3">
        <v>9.9999999999999991E-22</v>
      </c>
      <c r="U138" s="3">
        <v>9.9999999999999991E-22</v>
      </c>
      <c r="V138" s="3">
        <v>9.9999999999999991E-22</v>
      </c>
      <c r="W138" s="3">
        <v>9.9999999999999991E-22</v>
      </c>
      <c r="X138" s="3">
        <v>9.9999999999999991E-22</v>
      </c>
      <c r="Y138">
        <v>14376</v>
      </c>
      <c r="Z138">
        <v>14.375999999999999</v>
      </c>
      <c r="AA138">
        <v>0.82441741169573501</v>
      </c>
      <c r="AB138">
        <v>4</v>
      </c>
      <c r="AC138">
        <v>3</v>
      </c>
      <c r="AD138">
        <v>0</v>
      </c>
      <c r="AE138">
        <v>0</v>
      </c>
      <c r="AF138">
        <v>1</v>
      </c>
      <c r="AG138">
        <v>39</v>
      </c>
      <c r="AH138">
        <v>67500</v>
      </c>
      <c r="AI138">
        <v>3</v>
      </c>
      <c r="AJ138">
        <v>11400</v>
      </c>
      <c r="AK138">
        <v>4400</v>
      </c>
      <c r="AL138">
        <v>600</v>
      </c>
      <c r="AM138">
        <v>11750</v>
      </c>
      <c r="AN138">
        <v>0</v>
      </c>
      <c r="AO138">
        <v>0</v>
      </c>
      <c r="AP138">
        <v>28.15</v>
      </c>
      <c r="AQ138">
        <v>35.187499999999993</v>
      </c>
      <c r="AR138">
        <v>39.35</v>
      </c>
      <c r="AS138">
        <v>49.1875</v>
      </c>
      <c r="AT138">
        <f t="shared" si="8"/>
        <v>570</v>
      </c>
      <c r="AU138" s="3">
        <f t="shared" si="9"/>
        <v>4400</v>
      </c>
      <c r="AV138">
        <f t="shared" si="10"/>
        <v>600</v>
      </c>
      <c r="AW138">
        <f t="shared" si="11"/>
        <v>940</v>
      </c>
    </row>
    <row r="139" spans="1:49">
      <c r="A139">
        <v>139</v>
      </c>
      <c r="B139" t="s">
        <v>40</v>
      </c>
      <c r="C139">
        <v>1</v>
      </c>
      <c r="D139">
        <v>60</v>
      </c>
      <c r="E139">
        <v>1</v>
      </c>
      <c r="F139">
        <v>1</v>
      </c>
      <c r="G139">
        <v>15</v>
      </c>
      <c r="H139">
        <v>14</v>
      </c>
      <c r="I139">
        <v>40</v>
      </c>
      <c r="J139">
        <v>66000</v>
      </c>
      <c r="K139">
        <v>66</v>
      </c>
      <c r="L139">
        <v>3</v>
      </c>
      <c r="M139">
        <v>2</v>
      </c>
      <c r="N139">
        <v>91</v>
      </c>
      <c r="O139">
        <v>26</v>
      </c>
      <c r="P139">
        <v>1</v>
      </c>
      <c r="Q139">
        <v>2</v>
      </c>
      <c r="R139">
        <v>1750</v>
      </c>
      <c r="S139">
        <v>1.75</v>
      </c>
      <c r="T139" s="3">
        <v>9.9999999999999991E-22</v>
      </c>
      <c r="U139" s="3">
        <v>9.9999999999999991E-22</v>
      </c>
      <c r="V139" s="3">
        <v>9.9999999999999991E-22</v>
      </c>
      <c r="W139" s="3">
        <v>9.9999999999999991E-22</v>
      </c>
      <c r="X139" s="3">
        <v>9.9999999999999991E-22</v>
      </c>
      <c r="Y139">
        <v>88400</v>
      </c>
      <c r="Z139">
        <v>88.4</v>
      </c>
      <c r="AA139">
        <v>0.69134078212290506</v>
      </c>
      <c r="AB139">
        <v>4</v>
      </c>
      <c r="AC139">
        <v>3</v>
      </c>
      <c r="AD139">
        <v>3</v>
      </c>
      <c r="AE139">
        <v>3</v>
      </c>
      <c r="AF139">
        <v>1</v>
      </c>
      <c r="AG139">
        <v>120</v>
      </c>
      <c r="AH139">
        <v>198000</v>
      </c>
      <c r="AI139">
        <v>1</v>
      </c>
      <c r="AJ139">
        <v>38160</v>
      </c>
      <c r="AK139">
        <v>5500</v>
      </c>
      <c r="AL139">
        <v>1000</v>
      </c>
      <c r="AM139">
        <v>18330</v>
      </c>
      <c r="AN139">
        <v>0</v>
      </c>
      <c r="AO139">
        <v>0</v>
      </c>
      <c r="AP139">
        <v>62.99</v>
      </c>
      <c r="AQ139">
        <v>20.996666666666666</v>
      </c>
      <c r="AR139">
        <v>135.01</v>
      </c>
      <c r="AS139">
        <v>45.00333333333333</v>
      </c>
      <c r="AT139">
        <f t="shared" si="8"/>
        <v>1467.6923076923076</v>
      </c>
      <c r="AU139" s="3">
        <f t="shared" si="9"/>
        <v>5500</v>
      </c>
      <c r="AV139">
        <f t="shared" si="10"/>
        <v>500</v>
      </c>
      <c r="AW139">
        <f t="shared" si="11"/>
        <v>10474.285714285714</v>
      </c>
    </row>
    <row r="140" spans="1:49">
      <c r="A140">
        <v>140</v>
      </c>
      <c r="B140" t="s">
        <v>40</v>
      </c>
      <c r="C140" s="3">
        <v>0</v>
      </c>
      <c r="D140">
        <v>55</v>
      </c>
      <c r="E140">
        <v>1</v>
      </c>
      <c r="F140">
        <v>6</v>
      </c>
      <c r="G140">
        <v>37</v>
      </c>
      <c r="H140">
        <v>3</v>
      </c>
      <c r="I140">
        <v>57.142857142857146</v>
      </c>
      <c r="J140">
        <v>75000</v>
      </c>
      <c r="K140">
        <v>75</v>
      </c>
      <c r="L140">
        <v>0.7</v>
      </c>
      <c r="M140">
        <v>1</v>
      </c>
      <c r="N140">
        <v>90</v>
      </c>
      <c r="O140">
        <v>18</v>
      </c>
      <c r="P140">
        <v>1</v>
      </c>
      <c r="Q140">
        <v>2</v>
      </c>
      <c r="R140">
        <v>850</v>
      </c>
      <c r="S140">
        <v>0.85</v>
      </c>
      <c r="T140" s="3">
        <v>9.9999999999999991E-22</v>
      </c>
      <c r="U140" s="3">
        <v>9.9999999999999991E-22</v>
      </c>
      <c r="V140" s="3">
        <v>9.9999999999999991E-22</v>
      </c>
      <c r="W140" s="3">
        <v>9.9999999999999991E-22</v>
      </c>
      <c r="X140" s="3">
        <v>9.9999999999999991E-22</v>
      </c>
      <c r="Y140">
        <v>156000</v>
      </c>
      <c r="Z140">
        <v>156</v>
      </c>
      <c r="AA140">
        <v>0.25179856115107913</v>
      </c>
      <c r="AB140">
        <v>4</v>
      </c>
      <c r="AC140">
        <v>3</v>
      </c>
      <c r="AD140">
        <v>3</v>
      </c>
      <c r="AE140">
        <v>3</v>
      </c>
      <c r="AF140">
        <v>1</v>
      </c>
      <c r="AG140">
        <v>40</v>
      </c>
      <c r="AH140">
        <v>52500</v>
      </c>
      <c r="AI140">
        <v>2</v>
      </c>
      <c r="AJ140">
        <v>12700</v>
      </c>
      <c r="AK140">
        <v>3850</v>
      </c>
      <c r="AL140">
        <v>900</v>
      </c>
      <c r="AM140">
        <v>8160</v>
      </c>
      <c r="AN140">
        <v>0</v>
      </c>
      <c r="AO140">
        <v>0</v>
      </c>
      <c r="AP140">
        <v>25.61</v>
      </c>
      <c r="AQ140">
        <v>36.585714285714289</v>
      </c>
      <c r="AR140">
        <v>26.89</v>
      </c>
      <c r="AS140">
        <v>38.414285714285718</v>
      </c>
      <c r="AT140">
        <f t="shared" si="8"/>
        <v>705.55555555555554</v>
      </c>
      <c r="AU140" s="3">
        <f t="shared" si="9"/>
        <v>3850</v>
      </c>
      <c r="AV140">
        <f t="shared" si="10"/>
        <v>450</v>
      </c>
      <c r="AW140">
        <f t="shared" si="11"/>
        <v>9600</v>
      </c>
    </row>
    <row r="141" spans="1:49">
      <c r="A141">
        <v>141</v>
      </c>
      <c r="B141" t="s">
        <v>40</v>
      </c>
      <c r="C141" s="3">
        <v>0</v>
      </c>
      <c r="D141">
        <v>52</v>
      </c>
      <c r="E141">
        <v>1</v>
      </c>
      <c r="F141">
        <v>4</v>
      </c>
      <c r="G141">
        <v>35</v>
      </c>
      <c r="H141">
        <v>5</v>
      </c>
      <c r="I141">
        <v>84</v>
      </c>
      <c r="J141">
        <v>144000</v>
      </c>
      <c r="K141">
        <v>144</v>
      </c>
      <c r="L141">
        <v>0.5</v>
      </c>
      <c r="M141">
        <v>2</v>
      </c>
      <c r="N141">
        <v>90</v>
      </c>
      <c r="O141">
        <v>5</v>
      </c>
      <c r="P141" s="3">
        <v>9.9999999999999991E-22</v>
      </c>
      <c r="Q141">
        <v>4</v>
      </c>
      <c r="R141">
        <v>650</v>
      </c>
      <c r="S141">
        <v>0.65</v>
      </c>
      <c r="T141" s="3">
        <v>9.9999999999999991E-22</v>
      </c>
      <c r="U141" s="3">
        <v>9.9999999999999991E-22</v>
      </c>
      <c r="V141" s="3">
        <v>9.9999999999999991E-22</v>
      </c>
      <c r="W141" s="3">
        <v>9.9999999999999991E-22</v>
      </c>
      <c r="X141" s="3">
        <v>9.9999999999999991E-22</v>
      </c>
      <c r="Y141">
        <v>57600</v>
      </c>
      <c r="Z141">
        <v>57.6</v>
      </c>
      <c r="AA141">
        <v>0.55555555555555558</v>
      </c>
      <c r="AB141">
        <v>3</v>
      </c>
      <c r="AC141">
        <v>3</v>
      </c>
      <c r="AD141">
        <v>0</v>
      </c>
      <c r="AE141">
        <v>0</v>
      </c>
      <c r="AF141">
        <v>1</v>
      </c>
      <c r="AG141">
        <v>42</v>
      </c>
      <c r="AH141">
        <v>72000</v>
      </c>
      <c r="AI141">
        <v>2</v>
      </c>
      <c r="AJ141">
        <v>11760</v>
      </c>
      <c r="AK141">
        <v>0</v>
      </c>
      <c r="AL141">
        <v>2400</v>
      </c>
      <c r="AM141">
        <v>6110</v>
      </c>
      <c r="AN141">
        <v>0</v>
      </c>
      <c r="AO141">
        <v>0</v>
      </c>
      <c r="AP141">
        <v>20.27</v>
      </c>
      <c r="AQ141">
        <v>40.54</v>
      </c>
      <c r="AR141">
        <v>51.730000000000004</v>
      </c>
      <c r="AS141">
        <v>103.46000000000001</v>
      </c>
      <c r="AT141">
        <f t="shared" si="8"/>
        <v>2352</v>
      </c>
      <c r="AU141" s="3">
        <f t="shared" si="9"/>
        <v>0</v>
      </c>
      <c r="AV141">
        <f t="shared" si="10"/>
        <v>600</v>
      </c>
      <c r="AW141">
        <f t="shared" si="11"/>
        <v>9400</v>
      </c>
    </row>
    <row r="142" spans="1:49">
      <c r="A142">
        <v>142</v>
      </c>
      <c r="B142" t="s">
        <v>40</v>
      </c>
      <c r="C142">
        <v>1</v>
      </c>
      <c r="D142">
        <v>70</v>
      </c>
      <c r="E142">
        <v>0</v>
      </c>
      <c r="F142">
        <v>0</v>
      </c>
      <c r="G142">
        <v>50</v>
      </c>
      <c r="H142">
        <v>2</v>
      </c>
      <c r="I142">
        <v>80</v>
      </c>
      <c r="J142">
        <v>150000</v>
      </c>
      <c r="K142">
        <v>150</v>
      </c>
      <c r="L142">
        <v>0.25</v>
      </c>
      <c r="M142">
        <v>1</v>
      </c>
      <c r="N142">
        <v>90</v>
      </c>
      <c r="O142">
        <v>10</v>
      </c>
      <c r="P142">
        <v>2</v>
      </c>
      <c r="Q142" s="3">
        <v>9.9999999999999991E-22</v>
      </c>
      <c r="R142">
        <v>500</v>
      </c>
      <c r="S142">
        <v>0.5</v>
      </c>
      <c r="T142" s="3">
        <v>9.9999999999999991E-22</v>
      </c>
      <c r="U142" s="3">
        <v>9.9999999999999991E-22</v>
      </c>
      <c r="V142" s="3">
        <v>9.9999999999999991E-22</v>
      </c>
      <c r="W142">
        <v>1</v>
      </c>
      <c r="X142" s="3">
        <v>9.9999999999999991E-22</v>
      </c>
      <c r="Y142">
        <v>10000</v>
      </c>
      <c r="Z142">
        <v>10</v>
      </c>
      <c r="AA142">
        <v>0.78947368421052633</v>
      </c>
      <c r="AB142">
        <v>3</v>
      </c>
      <c r="AC142">
        <v>3</v>
      </c>
      <c r="AD142">
        <v>0</v>
      </c>
      <c r="AE142">
        <v>0</v>
      </c>
      <c r="AF142">
        <v>1</v>
      </c>
      <c r="AG142">
        <v>20</v>
      </c>
      <c r="AH142">
        <v>37500</v>
      </c>
      <c r="AI142">
        <v>2</v>
      </c>
      <c r="AJ142">
        <v>6850</v>
      </c>
      <c r="AK142">
        <v>1375</v>
      </c>
      <c r="AL142">
        <v>0</v>
      </c>
      <c r="AM142">
        <v>4800</v>
      </c>
      <c r="AN142">
        <v>0</v>
      </c>
      <c r="AO142">
        <v>0</v>
      </c>
      <c r="AP142">
        <v>13.025</v>
      </c>
      <c r="AQ142">
        <v>52.1</v>
      </c>
      <c r="AR142">
        <v>24.475000000000001</v>
      </c>
      <c r="AS142">
        <v>97.9</v>
      </c>
      <c r="AT142">
        <f t="shared" si="8"/>
        <v>685</v>
      </c>
      <c r="AU142" s="3">
        <f t="shared" si="9"/>
        <v>687.5</v>
      </c>
      <c r="AV142">
        <f t="shared" si="10"/>
        <v>0</v>
      </c>
      <c r="AW142">
        <f t="shared" si="11"/>
        <v>9600</v>
      </c>
    </row>
    <row r="143" spans="1:49">
      <c r="A143">
        <v>143</v>
      </c>
      <c r="B143" t="s">
        <v>40</v>
      </c>
      <c r="C143">
        <v>1</v>
      </c>
      <c r="D143">
        <v>78</v>
      </c>
      <c r="E143">
        <v>0</v>
      </c>
      <c r="F143">
        <v>1</v>
      </c>
      <c r="G143">
        <v>50</v>
      </c>
      <c r="H143">
        <v>2</v>
      </c>
      <c r="I143">
        <v>80</v>
      </c>
      <c r="J143">
        <v>132000</v>
      </c>
      <c r="K143">
        <v>132</v>
      </c>
      <c r="L143">
        <v>0.75</v>
      </c>
      <c r="M143">
        <v>1</v>
      </c>
      <c r="N143">
        <v>90</v>
      </c>
      <c r="O143">
        <v>24</v>
      </c>
      <c r="P143">
        <v>2</v>
      </c>
      <c r="Q143">
        <v>3</v>
      </c>
      <c r="R143">
        <v>1250</v>
      </c>
      <c r="S143">
        <v>1.25</v>
      </c>
      <c r="T143" s="3">
        <v>9.9999999999999991E-22</v>
      </c>
      <c r="U143" s="3">
        <v>9.9999999999999991E-22</v>
      </c>
      <c r="V143" s="3">
        <v>9.9999999999999991E-22</v>
      </c>
      <c r="W143" s="3">
        <v>9.9999999999999991E-22</v>
      </c>
      <c r="X143" s="3">
        <v>9.9999999999999991E-22</v>
      </c>
      <c r="Y143">
        <v>156000</v>
      </c>
      <c r="Z143">
        <v>156</v>
      </c>
      <c r="AA143">
        <v>0.38823529411764707</v>
      </c>
      <c r="AB143">
        <v>4</v>
      </c>
      <c r="AC143">
        <v>3</v>
      </c>
      <c r="AD143">
        <v>0</v>
      </c>
      <c r="AE143">
        <v>0</v>
      </c>
      <c r="AF143">
        <v>1</v>
      </c>
      <c r="AG143">
        <v>60</v>
      </c>
      <c r="AH143">
        <v>99000</v>
      </c>
      <c r="AI143">
        <v>2</v>
      </c>
      <c r="AJ143">
        <v>28200</v>
      </c>
      <c r="AK143">
        <v>8250</v>
      </c>
      <c r="AL143">
        <v>1700</v>
      </c>
      <c r="AM143">
        <v>11750</v>
      </c>
      <c r="AN143">
        <v>0</v>
      </c>
      <c r="AO143">
        <v>0</v>
      </c>
      <c r="AP143">
        <v>49.9</v>
      </c>
      <c r="AQ143">
        <v>66.533333333333331</v>
      </c>
      <c r="AR143">
        <v>49.1</v>
      </c>
      <c r="AS143">
        <v>65.466666666666669</v>
      </c>
      <c r="AT143">
        <f t="shared" si="8"/>
        <v>1175</v>
      </c>
      <c r="AU143" s="3">
        <f t="shared" si="9"/>
        <v>4125</v>
      </c>
      <c r="AV143">
        <f t="shared" si="10"/>
        <v>566.66666666666663</v>
      </c>
      <c r="AW143">
        <f t="shared" si="11"/>
        <v>9400</v>
      </c>
    </row>
    <row r="144" spans="1:49">
      <c r="A144">
        <v>144</v>
      </c>
      <c r="B144" t="s">
        <v>40</v>
      </c>
      <c r="C144" s="3">
        <v>0</v>
      </c>
      <c r="D144">
        <v>41</v>
      </c>
      <c r="E144">
        <v>1</v>
      </c>
      <c r="F144">
        <v>6</v>
      </c>
      <c r="G144">
        <v>3</v>
      </c>
      <c r="H144">
        <v>9</v>
      </c>
      <c r="I144">
        <v>58.333333333333336</v>
      </c>
      <c r="J144">
        <v>112500</v>
      </c>
      <c r="K144">
        <v>112.5</v>
      </c>
      <c r="L144">
        <v>0.6</v>
      </c>
      <c r="M144">
        <v>2</v>
      </c>
      <c r="N144">
        <v>90</v>
      </c>
      <c r="O144">
        <v>10</v>
      </c>
      <c r="P144" s="3">
        <v>9.9999999999999991E-22</v>
      </c>
      <c r="Q144">
        <v>1</v>
      </c>
      <c r="R144">
        <v>600</v>
      </c>
      <c r="S144">
        <v>0.6</v>
      </c>
      <c r="T144" s="3">
        <v>9.9999999999999991E-22</v>
      </c>
      <c r="U144" s="3">
        <v>9.9999999999999991E-22</v>
      </c>
      <c r="V144" s="3">
        <v>9.9999999999999991E-22</v>
      </c>
      <c r="W144" s="3">
        <v>9.9999999999999991E-22</v>
      </c>
      <c r="X144" s="3">
        <v>9.9999999999999991E-22</v>
      </c>
      <c r="Y144">
        <v>678000</v>
      </c>
      <c r="Z144">
        <v>678</v>
      </c>
      <c r="AA144">
        <v>9.0543259557344061E-2</v>
      </c>
      <c r="AB144">
        <v>4</v>
      </c>
      <c r="AC144">
        <v>3</v>
      </c>
      <c r="AD144">
        <v>0</v>
      </c>
      <c r="AE144">
        <v>0</v>
      </c>
      <c r="AF144">
        <v>1</v>
      </c>
      <c r="AG144">
        <v>35</v>
      </c>
      <c r="AH144">
        <v>67500</v>
      </c>
      <c r="AI144">
        <v>3</v>
      </c>
      <c r="AJ144">
        <v>2500</v>
      </c>
      <c r="AK144">
        <v>0</v>
      </c>
      <c r="AL144">
        <v>1000</v>
      </c>
      <c r="AM144">
        <v>5640</v>
      </c>
      <c r="AN144">
        <v>0</v>
      </c>
      <c r="AO144">
        <v>0</v>
      </c>
      <c r="AP144">
        <v>9.14</v>
      </c>
      <c r="AQ144">
        <v>15.233333333333334</v>
      </c>
      <c r="AR144">
        <v>58.36</v>
      </c>
      <c r="AS144">
        <v>97.266666666666666</v>
      </c>
      <c r="AT144">
        <f t="shared" si="8"/>
        <v>250</v>
      </c>
      <c r="AU144" s="3">
        <f t="shared" si="9"/>
        <v>0</v>
      </c>
      <c r="AV144">
        <f t="shared" si="10"/>
        <v>1000</v>
      </c>
      <c r="AW144">
        <f t="shared" si="11"/>
        <v>9400</v>
      </c>
    </row>
    <row r="145" spans="1:49">
      <c r="A145">
        <v>145</v>
      </c>
      <c r="B145" t="s">
        <v>40</v>
      </c>
      <c r="C145" s="3">
        <v>0</v>
      </c>
      <c r="D145">
        <v>67</v>
      </c>
      <c r="E145">
        <v>0</v>
      </c>
      <c r="F145">
        <v>2</v>
      </c>
      <c r="G145">
        <v>30</v>
      </c>
      <c r="H145">
        <v>5</v>
      </c>
      <c r="I145">
        <v>64</v>
      </c>
      <c r="J145">
        <v>108000</v>
      </c>
      <c r="K145">
        <v>108</v>
      </c>
      <c r="L145">
        <v>0.25</v>
      </c>
      <c r="M145">
        <v>1</v>
      </c>
      <c r="N145">
        <v>90</v>
      </c>
      <c r="O145">
        <v>13</v>
      </c>
      <c r="P145">
        <v>1</v>
      </c>
      <c r="Q145">
        <v>2</v>
      </c>
      <c r="R145">
        <v>500</v>
      </c>
      <c r="S145">
        <v>0.5</v>
      </c>
      <c r="T145" s="3">
        <v>9.9999999999999991E-22</v>
      </c>
      <c r="U145" s="3">
        <v>9.9999999999999991E-22</v>
      </c>
      <c r="V145" s="3">
        <v>9.9999999999999991E-22</v>
      </c>
      <c r="W145" s="3">
        <v>9.9999999999999991E-22</v>
      </c>
      <c r="X145" s="3">
        <v>9.9999999999999991E-22</v>
      </c>
      <c r="Y145">
        <v>180000</v>
      </c>
      <c r="Z145">
        <v>180</v>
      </c>
      <c r="AA145">
        <v>0.13043478260869565</v>
      </c>
      <c r="AB145">
        <v>4</v>
      </c>
      <c r="AC145">
        <v>3</v>
      </c>
      <c r="AD145">
        <v>0</v>
      </c>
      <c r="AE145">
        <v>0</v>
      </c>
      <c r="AF145">
        <v>1</v>
      </c>
      <c r="AG145">
        <v>16</v>
      </c>
      <c r="AH145">
        <v>27000</v>
      </c>
      <c r="AI145">
        <v>2</v>
      </c>
      <c r="AJ145">
        <v>8680</v>
      </c>
      <c r="AK145">
        <v>1375</v>
      </c>
      <c r="AL145">
        <v>1200</v>
      </c>
      <c r="AM145">
        <v>4700</v>
      </c>
      <c r="AN145">
        <v>0</v>
      </c>
      <c r="AO145">
        <v>0</v>
      </c>
      <c r="AP145">
        <v>15.955</v>
      </c>
      <c r="AQ145">
        <v>63.82</v>
      </c>
      <c r="AR145">
        <v>11.045</v>
      </c>
      <c r="AS145">
        <v>44.18</v>
      </c>
      <c r="AT145">
        <f t="shared" si="8"/>
        <v>667.69230769230774</v>
      </c>
      <c r="AU145" s="3">
        <f t="shared" si="9"/>
        <v>1375</v>
      </c>
      <c r="AV145">
        <f t="shared" si="10"/>
        <v>600</v>
      </c>
      <c r="AW145">
        <f t="shared" si="11"/>
        <v>9400</v>
      </c>
    </row>
    <row r="146" spans="1:49">
      <c r="A146">
        <v>146</v>
      </c>
      <c r="B146" t="s">
        <v>40</v>
      </c>
      <c r="C146">
        <v>1</v>
      </c>
      <c r="D146">
        <v>68</v>
      </c>
      <c r="E146">
        <v>0</v>
      </c>
      <c r="F146">
        <v>4</v>
      </c>
      <c r="G146">
        <v>50</v>
      </c>
      <c r="H146">
        <v>7</v>
      </c>
      <c r="I146">
        <v>66.666666666666671</v>
      </c>
      <c r="J146">
        <v>69551.111111111109</v>
      </c>
      <c r="K146">
        <v>69.551111111111112</v>
      </c>
      <c r="L146">
        <v>0.9</v>
      </c>
      <c r="M146">
        <v>3</v>
      </c>
      <c r="N146">
        <v>54</v>
      </c>
      <c r="O146">
        <v>23</v>
      </c>
      <c r="P146">
        <v>6</v>
      </c>
      <c r="Q146">
        <v>3</v>
      </c>
      <c r="R146">
        <v>1750</v>
      </c>
      <c r="S146">
        <v>1.75</v>
      </c>
      <c r="T146" s="3">
        <v>9.9999999999999991E-22</v>
      </c>
      <c r="U146" s="3">
        <v>9.9999999999999991E-22</v>
      </c>
      <c r="V146" s="3">
        <v>9.9999999999999991E-22</v>
      </c>
      <c r="W146">
        <v>1</v>
      </c>
      <c r="X146" s="3">
        <v>9.9999999999999991E-22</v>
      </c>
      <c r="Y146">
        <v>84000</v>
      </c>
      <c r="Z146">
        <v>84</v>
      </c>
      <c r="AA146">
        <v>0.42699664383748531</v>
      </c>
      <c r="AB146">
        <v>3</v>
      </c>
      <c r="AC146">
        <v>3</v>
      </c>
      <c r="AD146">
        <v>2</v>
      </c>
      <c r="AE146">
        <v>0</v>
      </c>
      <c r="AF146">
        <v>1</v>
      </c>
      <c r="AG146">
        <v>60</v>
      </c>
      <c r="AH146">
        <v>62596</v>
      </c>
      <c r="AI146">
        <v>4</v>
      </c>
      <c r="AJ146">
        <v>38700</v>
      </c>
      <c r="AK146">
        <v>12350</v>
      </c>
      <c r="AL146">
        <v>1800</v>
      </c>
      <c r="AM146">
        <v>16450</v>
      </c>
      <c r="AN146">
        <v>0</v>
      </c>
      <c r="AO146">
        <v>0</v>
      </c>
      <c r="AP146">
        <v>69.3</v>
      </c>
      <c r="AQ146">
        <v>77</v>
      </c>
      <c r="AR146">
        <v>-6.7040000000000006</v>
      </c>
      <c r="AS146">
        <v>-7.4488888888888898</v>
      </c>
      <c r="AT146">
        <f t="shared" si="8"/>
        <v>1682.608695652174</v>
      </c>
      <c r="AU146" s="3">
        <f t="shared" si="9"/>
        <v>2058.3333333333335</v>
      </c>
      <c r="AV146">
        <f t="shared" si="10"/>
        <v>600</v>
      </c>
      <c r="AW146">
        <f t="shared" si="11"/>
        <v>9400</v>
      </c>
    </row>
    <row r="147" spans="1:49">
      <c r="A147">
        <v>147</v>
      </c>
      <c r="B147" t="s">
        <v>40</v>
      </c>
      <c r="C147">
        <v>1</v>
      </c>
      <c r="D147">
        <v>56</v>
      </c>
      <c r="E147">
        <v>0</v>
      </c>
      <c r="F147">
        <v>4</v>
      </c>
      <c r="G147">
        <v>15</v>
      </c>
      <c r="H147">
        <v>3</v>
      </c>
      <c r="I147">
        <v>46</v>
      </c>
      <c r="J147">
        <v>72800</v>
      </c>
      <c r="K147">
        <v>72.8</v>
      </c>
      <c r="L147">
        <v>0.5</v>
      </c>
      <c r="M147">
        <v>1</v>
      </c>
      <c r="N147">
        <v>28</v>
      </c>
      <c r="O147">
        <v>5</v>
      </c>
      <c r="P147">
        <v>2</v>
      </c>
      <c r="Q147">
        <v>3</v>
      </c>
      <c r="R147">
        <v>600</v>
      </c>
      <c r="S147">
        <v>0.6</v>
      </c>
      <c r="T147" s="3">
        <v>9.9999999999999991E-22</v>
      </c>
      <c r="U147" s="3">
        <v>9.9999999999999991E-22</v>
      </c>
      <c r="V147" s="3">
        <v>9.9999999999999991E-22</v>
      </c>
      <c r="W147">
        <v>1</v>
      </c>
      <c r="X147">
        <v>1</v>
      </c>
      <c r="Y147">
        <v>279000</v>
      </c>
      <c r="Z147">
        <v>279</v>
      </c>
      <c r="AA147">
        <v>0.11540900443880786</v>
      </c>
      <c r="AB147">
        <v>3</v>
      </c>
      <c r="AC147">
        <v>3</v>
      </c>
      <c r="AD147">
        <v>0</v>
      </c>
      <c r="AE147">
        <v>0</v>
      </c>
      <c r="AF147">
        <v>1</v>
      </c>
      <c r="AG147">
        <v>23</v>
      </c>
      <c r="AH147">
        <v>36400</v>
      </c>
      <c r="AI147">
        <v>1</v>
      </c>
      <c r="AJ147">
        <v>9940</v>
      </c>
      <c r="AK147">
        <v>3680</v>
      </c>
      <c r="AL147">
        <v>1800</v>
      </c>
      <c r="AM147">
        <v>5640</v>
      </c>
      <c r="AN147">
        <v>0</v>
      </c>
      <c r="AO147">
        <v>0</v>
      </c>
      <c r="AP147">
        <v>21.06</v>
      </c>
      <c r="AQ147">
        <v>42.12</v>
      </c>
      <c r="AR147">
        <v>15.34</v>
      </c>
      <c r="AS147">
        <v>30.68</v>
      </c>
      <c r="AT147">
        <f t="shared" si="8"/>
        <v>1988</v>
      </c>
      <c r="AU147" s="3">
        <f t="shared" si="9"/>
        <v>1840</v>
      </c>
      <c r="AV147">
        <f t="shared" si="10"/>
        <v>600</v>
      </c>
      <c r="AW147">
        <f t="shared" si="11"/>
        <v>9400</v>
      </c>
    </row>
    <row r="148" spans="1:49">
      <c r="A148">
        <v>148</v>
      </c>
      <c r="B148" t="s">
        <v>40</v>
      </c>
      <c r="C148" s="3">
        <v>0</v>
      </c>
      <c r="D148">
        <v>65</v>
      </c>
      <c r="E148">
        <v>0</v>
      </c>
      <c r="F148">
        <v>3</v>
      </c>
      <c r="G148">
        <v>38</v>
      </c>
      <c r="H148">
        <v>6</v>
      </c>
      <c r="I148">
        <v>50</v>
      </c>
      <c r="J148">
        <v>85555.555555555547</v>
      </c>
      <c r="K148">
        <v>85.555555555555543</v>
      </c>
      <c r="L148">
        <v>1.8</v>
      </c>
      <c r="M148">
        <v>2</v>
      </c>
      <c r="N148">
        <v>193</v>
      </c>
      <c r="O148">
        <v>13</v>
      </c>
      <c r="P148">
        <v>8</v>
      </c>
      <c r="Q148">
        <v>1.5</v>
      </c>
      <c r="R148">
        <v>1500</v>
      </c>
      <c r="S148">
        <v>1.5</v>
      </c>
      <c r="T148" s="3">
        <v>9.9999999999999991E-22</v>
      </c>
      <c r="U148" s="3">
        <v>9.9999999999999991E-22</v>
      </c>
      <c r="V148" s="3">
        <v>9.9999999999999991E-22</v>
      </c>
      <c r="W148">
        <v>1</v>
      </c>
      <c r="X148" s="3">
        <v>9.9999999999999991E-22</v>
      </c>
      <c r="Y148">
        <v>351936</v>
      </c>
      <c r="Z148">
        <v>351.93599999999998</v>
      </c>
      <c r="AA148">
        <v>0.3043863255431517</v>
      </c>
      <c r="AB148">
        <v>0</v>
      </c>
      <c r="AC148">
        <v>3</v>
      </c>
      <c r="AD148">
        <v>0</v>
      </c>
      <c r="AE148">
        <v>0</v>
      </c>
      <c r="AF148">
        <v>1</v>
      </c>
      <c r="AG148">
        <v>90</v>
      </c>
      <c r="AH148">
        <v>154000</v>
      </c>
      <c r="AI148">
        <v>2</v>
      </c>
      <c r="AJ148">
        <v>33700</v>
      </c>
      <c r="AK148">
        <v>17400</v>
      </c>
      <c r="AL148">
        <v>900</v>
      </c>
      <c r="AM148">
        <v>16125</v>
      </c>
      <c r="AN148">
        <v>0</v>
      </c>
      <c r="AO148">
        <v>0</v>
      </c>
      <c r="AP148">
        <v>68.125</v>
      </c>
      <c r="AQ148">
        <v>37.847222222222221</v>
      </c>
      <c r="AR148">
        <v>85.875</v>
      </c>
      <c r="AS148">
        <v>47.708333333333336</v>
      </c>
      <c r="AT148">
        <f t="shared" si="8"/>
        <v>2592.3076923076924</v>
      </c>
      <c r="AU148" s="3">
        <f t="shared" si="9"/>
        <v>2175</v>
      </c>
      <c r="AV148">
        <f t="shared" si="10"/>
        <v>600</v>
      </c>
      <c r="AW148">
        <f t="shared" si="11"/>
        <v>10750</v>
      </c>
    </row>
    <row r="149" spans="1:49">
      <c r="A149">
        <v>149</v>
      </c>
      <c r="B149" t="s">
        <v>40</v>
      </c>
      <c r="C149">
        <v>1</v>
      </c>
      <c r="D149">
        <v>69</v>
      </c>
      <c r="E149">
        <v>0</v>
      </c>
      <c r="F149">
        <v>1</v>
      </c>
      <c r="G149">
        <v>56</v>
      </c>
      <c r="H149">
        <v>9</v>
      </c>
      <c r="I149">
        <v>72.222222222222214</v>
      </c>
      <c r="J149">
        <v>128333.33333333333</v>
      </c>
      <c r="K149">
        <v>128.33333333333331</v>
      </c>
      <c r="L149">
        <v>0.9</v>
      </c>
      <c r="M149">
        <v>1</v>
      </c>
      <c r="N149">
        <v>279.5</v>
      </c>
      <c r="O149">
        <v>7</v>
      </c>
      <c r="P149">
        <v>4</v>
      </c>
      <c r="Q149" s="3">
        <v>9.9999999999999991E-22</v>
      </c>
      <c r="R149">
        <v>1000</v>
      </c>
      <c r="S149">
        <v>1</v>
      </c>
      <c r="T149" s="3">
        <v>9.9999999999999991E-22</v>
      </c>
      <c r="U149" s="3">
        <v>9.9999999999999991E-22</v>
      </c>
      <c r="V149">
        <v>1</v>
      </c>
      <c r="W149">
        <v>1</v>
      </c>
      <c r="X149" s="3">
        <v>9.9999999999999991E-22</v>
      </c>
      <c r="Y149">
        <v>218400</v>
      </c>
      <c r="Z149">
        <v>218.4</v>
      </c>
      <c r="AA149">
        <v>0.34591194968553457</v>
      </c>
      <c r="AB149">
        <v>3</v>
      </c>
      <c r="AC149">
        <v>3</v>
      </c>
      <c r="AD149">
        <v>0</v>
      </c>
      <c r="AE149">
        <v>0</v>
      </c>
      <c r="AF149">
        <v>1</v>
      </c>
      <c r="AG149">
        <v>65</v>
      </c>
      <c r="AH149">
        <v>115500</v>
      </c>
      <c r="AI149">
        <v>2</v>
      </c>
      <c r="AJ149">
        <v>30200</v>
      </c>
      <c r="AK149">
        <v>15350</v>
      </c>
      <c r="AL149">
        <v>0</v>
      </c>
      <c r="AM149">
        <v>9400</v>
      </c>
      <c r="AN149">
        <v>0</v>
      </c>
      <c r="AO149">
        <v>0</v>
      </c>
      <c r="AP149">
        <v>54.95</v>
      </c>
      <c r="AQ149">
        <v>61.055555555555557</v>
      </c>
      <c r="AR149">
        <v>60.55</v>
      </c>
      <c r="AS149">
        <v>67.277777777777771</v>
      </c>
      <c r="AT149">
        <f t="shared" si="8"/>
        <v>4314.2857142857147</v>
      </c>
      <c r="AU149" s="3">
        <f t="shared" si="9"/>
        <v>3837.5</v>
      </c>
      <c r="AV149">
        <f t="shared" si="10"/>
        <v>0</v>
      </c>
      <c r="AW149">
        <f t="shared" si="11"/>
        <v>9400</v>
      </c>
    </row>
    <row r="150" spans="1:49">
      <c r="A150">
        <v>150</v>
      </c>
      <c r="B150" t="s">
        <v>40</v>
      </c>
      <c r="C150" s="3">
        <v>0</v>
      </c>
      <c r="D150">
        <v>64</v>
      </c>
      <c r="E150">
        <v>0</v>
      </c>
      <c r="F150">
        <v>2</v>
      </c>
      <c r="G150">
        <v>45</v>
      </c>
      <c r="H150">
        <v>4</v>
      </c>
      <c r="I150">
        <v>72</v>
      </c>
      <c r="J150">
        <v>112000</v>
      </c>
      <c r="K150">
        <v>112</v>
      </c>
      <c r="L150">
        <v>0.25</v>
      </c>
      <c r="M150">
        <v>1</v>
      </c>
      <c r="N150">
        <v>57</v>
      </c>
      <c r="O150">
        <v>2</v>
      </c>
      <c r="P150">
        <v>2</v>
      </c>
      <c r="Q150" s="3">
        <v>9.9999999999999991E-22</v>
      </c>
      <c r="R150">
        <v>300</v>
      </c>
      <c r="S150">
        <v>0.3</v>
      </c>
      <c r="T150" s="3">
        <v>9.9999999999999991E-22</v>
      </c>
      <c r="U150" s="3">
        <v>9.9999999999999991E-22</v>
      </c>
      <c r="V150" s="3">
        <v>9.9999999999999991E-22</v>
      </c>
      <c r="W150">
        <v>1</v>
      </c>
      <c r="X150">
        <v>1</v>
      </c>
      <c r="Y150">
        <v>132000</v>
      </c>
      <c r="Z150">
        <v>132</v>
      </c>
      <c r="AA150">
        <v>0.17499999999999999</v>
      </c>
      <c r="AB150">
        <v>1</v>
      </c>
      <c r="AC150">
        <v>3</v>
      </c>
      <c r="AD150">
        <v>0</v>
      </c>
      <c r="AE150">
        <v>0</v>
      </c>
      <c r="AF150">
        <v>1</v>
      </c>
      <c r="AG150">
        <v>18</v>
      </c>
      <c r="AH150">
        <v>28000</v>
      </c>
      <c r="AI150">
        <v>1</v>
      </c>
      <c r="AJ150">
        <v>5040</v>
      </c>
      <c r="AK150">
        <v>2880</v>
      </c>
      <c r="AL150">
        <v>0</v>
      </c>
      <c r="AM150">
        <v>2820</v>
      </c>
      <c r="AN150">
        <v>0</v>
      </c>
      <c r="AO150">
        <v>0</v>
      </c>
      <c r="AP150">
        <v>10.74</v>
      </c>
      <c r="AQ150">
        <v>42.96</v>
      </c>
      <c r="AR150">
        <v>17.259999999999998</v>
      </c>
      <c r="AS150">
        <v>69.039999999999992</v>
      </c>
      <c r="AT150">
        <f t="shared" si="8"/>
        <v>2520</v>
      </c>
      <c r="AU150" s="3">
        <f t="shared" si="9"/>
        <v>1440</v>
      </c>
      <c r="AV150">
        <f t="shared" si="10"/>
        <v>0</v>
      </c>
      <c r="AW150">
        <f t="shared" si="11"/>
        <v>9400</v>
      </c>
    </row>
    <row r="151" spans="1:49">
      <c r="A151">
        <v>151</v>
      </c>
      <c r="B151" t="s">
        <v>40</v>
      </c>
      <c r="C151" s="3">
        <v>0</v>
      </c>
      <c r="D151">
        <v>80</v>
      </c>
      <c r="E151">
        <v>0</v>
      </c>
      <c r="F151">
        <v>1</v>
      </c>
      <c r="G151">
        <v>62</v>
      </c>
      <c r="H151">
        <v>4</v>
      </c>
      <c r="I151">
        <v>200</v>
      </c>
      <c r="J151">
        <v>330400</v>
      </c>
      <c r="K151">
        <v>330.4</v>
      </c>
      <c r="L151">
        <v>0.25</v>
      </c>
      <c r="M151">
        <v>1</v>
      </c>
      <c r="N151">
        <v>18.375</v>
      </c>
      <c r="O151">
        <v>4</v>
      </c>
      <c r="P151">
        <v>3</v>
      </c>
      <c r="Q151">
        <v>1</v>
      </c>
      <c r="R151">
        <v>750</v>
      </c>
      <c r="S151">
        <v>0.75</v>
      </c>
      <c r="T151" s="3">
        <v>9.9999999999999991E-22</v>
      </c>
      <c r="U151" s="3">
        <v>9.9999999999999991E-22</v>
      </c>
      <c r="V151" s="3">
        <v>9.9999999999999991E-22</v>
      </c>
      <c r="W151" s="3">
        <v>9.9999999999999991E-22</v>
      </c>
      <c r="X151" s="3">
        <v>9.9999999999999991E-22</v>
      </c>
      <c r="Y151">
        <v>0</v>
      </c>
      <c r="Z151">
        <v>0</v>
      </c>
      <c r="AA151">
        <v>1</v>
      </c>
      <c r="AB151">
        <v>3</v>
      </c>
      <c r="AC151">
        <v>3</v>
      </c>
      <c r="AD151">
        <v>0</v>
      </c>
      <c r="AE151">
        <v>0</v>
      </c>
      <c r="AF151">
        <v>1</v>
      </c>
      <c r="AG151">
        <v>50</v>
      </c>
      <c r="AH151">
        <v>82600</v>
      </c>
      <c r="AI151">
        <v>1</v>
      </c>
      <c r="AJ151">
        <v>17600</v>
      </c>
      <c r="AK151">
        <v>11000</v>
      </c>
      <c r="AL151">
        <v>400</v>
      </c>
      <c r="AM151">
        <v>6900</v>
      </c>
      <c r="AN151">
        <v>0</v>
      </c>
      <c r="AO151">
        <v>0</v>
      </c>
      <c r="AP151">
        <v>35.9</v>
      </c>
      <c r="AQ151">
        <v>143.6</v>
      </c>
      <c r="AR151">
        <v>46.699999999999996</v>
      </c>
      <c r="AS151">
        <v>186.79999999999998</v>
      </c>
      <c r="AT151">
        <f t="shared" si="8"/>
        <v>4400</v>
      </c>
      <c r="AU151" s="3">
        <f t="shared" si="9"/>
        <v>3666.6666666666665</v>
      </c>
      <c r="AV151">
        <f t="shared" si="10"/>
        <v>400</v>
      </c>
      <c r="AW151">
        <f t="shared" si="11"/>
        <v>9200</v>
      </c>
    </row>
    <row r="152" spans="1:49">
      <c r="A152">
        <v>152</v>
      </c>
      <c r="B152" t="s">
        <v>40</v>
      </c>
      <c r="C152" s="3">
        <v>0</v>
      </c>
      <c r="D152">
        <v>55</v>
      </c>
      <c r="E152">
        <v>0</v>
      </c>
      <c r="F152">
        <v>3</v>
      </c>
      <c r="G152">
        <v>38</v>
      </c>
      <c r="H152">
        <v>8</v>
      </c>
      <c r="I152">
        <v>28</v>
      </c>
      <c r="J152">
        <v>132000</v>
      </c>
      <c r="K152">
        <v>132</v>
      </c>
      <c r="L152">
        <v>0.25</v>
      </c>
      <c r="M152">
        <v>1</v>
      </c>
      <c r="N152">
        <v>95.5</v>
      </c>
      <c r="O152">
        <v>2</v>
      </c>
      <c r="P152">
        <v>2</v>
      </c>
      <c r="Q152">
        <v>1</v>
      </c>
      <c r="R152">
        <v>250</v>
      </c>
      <c r="S152">
        <v>0.25</v>
      </c>
      <c r="T152" s="3">
        <v>9.9999999999999991E-22</v>
      </c>
      <c r="U152" s="3">
        <v>9.9999999999999991E-22</v>
      </c>
      <c r="V152" s="3">
        <v>9.9999999999999991E-22</v>
      </c>
      <c r="W152" s="3">
        <v>9.9999999999999991E-22</v>
      </c>
      <c r="X152" s="3">
        <v>9.9999999999999991E-22</v>
      </c>
      <c r="Y152">
        <v>273000</v>
      </c>
      <c r="Z152">
        <v>273</v>
      </c>
      <c r="AA152">
        <v>0.10784313725490197</v>
      </c>
      <c r="AB152">
        <v>1</v>
      </c>
      <c r="AC152">
        <v>3</v>
      </c>
      <c r="AD152">
        <v>0</v>
      </c>
      <c r="AE152">
        <v>0</v>
      </c>
      <c r="AF152">
        <v>1</v>
      </c>
      <c r="AG152">
        <v>7</v>
      </c>
      <c r="AH152">
        <v>33000</v>
      </c>
      <c r="AI152">
        <v>1</v>
      </c>
      <c r="AJ152">
        <v>1960</v>
      </c>
      <c r="AK152">
        <v>1120</v>
      </c>
      <c r="AL152">
        <v>600</v>
      </c>
      <c r="AM152">
        <v>2350</v>
      </c>
      <c r="AN152">
        <v>0</v>
      </c>
      <c r="AO152">
        <v>0</v>
      </c>
      <c r="AP152">
        <v>6.03</v>
      </c>
      <c r="AQ152">
        <v>24.12</v>
      </c>
      <c r="AR152">
        <v>26.97</v>
      </c>
      <c r="AS152">
        <v>107.88</v>
      </c>
      <c r="AT152">
        <f t="shared" si="8"/>
        <v>980</v>
      </c>
      <c r="AU152" s="3">
        <f t="shared" si="9"/>
        <v>560</v>
      </c>
      <c r="AV152">
        <f t="shared" si="10"/>
        <v>600</v>
      </c>
      <c r="AW152">
        <f t="shared" si="11"/>
        <v>9400</v>
      </c>
    </row>
    <row r="153" spans="1:49">
      <c r="A153">
        <v>153</v>
      </c>
      <c r="B153" t="s">
        <v>40</v>
      </c>
      <c r="C153" s="3">
        <v>0</v>
      </c>
      <c r="D153">
        <v>73</v>
      </c>
      <c r="E153">
        <v>1</v>
      </c>
      <c r="F153">
        <v>3</v>
      </c>
      <c r="G153">
        <v>59</v>
      </c>
      <c r="H153">
        <v>5</v>
      </c>
      <c r="I153">
        <v>48.387096774193552</v>
      </c>
      <c r="J153">
        <v>80161.290322580651</v>
      </c>
      <c r="K153">
        <v>80.161290322580655</v>
      </c>
      <c r="L153">
        <v>1.24</v>
      </c>
      <c r="M153">
        <v>1</v>
      </c>
      <c r="N153">
        <v>97.5</v>
      </c>
      <c r="O153" s="3">
        <v>9.9999999999999991E-22</v>
      </c>
      <c r="P153">
        <v>1</v>
      </c>
      <c r="Q153">
        <v>2</v>
      </c>
      <c r="R153">
        <v>1250</v>
      </c>
      <c r="S153">
        <v>1.25</v>
      </c>
      <c r="T153" s="3">
        <v>9.9999999999999991E-22</v>
      </c>
      <c r="U153" s="3">
        <v>9.9999999999999991E-22</v>
      </c>
      <c r="V153">
        <v>1</v>
      </c>
      <c r="W153">
        <v>1</v>
      </c>
      <c r="X153" s="3">
        <v>9.9999999999999991E-22</v>
      </c>
      <c r="Y153">
        <v>36000</v>
      </c>
      <c r="Z153">
        <v>36</v>
      </c>
      <c r="AA153">
        <v>0.73412112259970463</v>
      </c>
      <c r="AB153">
        <v>3</v>
      </c>
      <c r="AC153">
        <v>3</v>
      </c>
      <c r="AD153">
        <v>0</v>
      </c>
      <c r="AE153">
        <v>0</v>
      </c>
      <c r="AF153">
        <v>1</v>
      </c>
      <c r="AG153">
        <v>60</v>
      </c>
      <c r="AH153">
        <v>99400</v>
      </c>
      <c r="AI153">
        <v>1</v>
      </c>
      <c r="AJ153">
        <v>0</v>
      </c>
      <c r="AK153">
        <v>3000</v>
      </c>
      <c r="AL153">
        <v>1200</v>
      </c>
      <c r="AM153">
        <v>12000</v>
      </c>
      <c r="AN153">
        <v>0</v>
      </c>
      <c r="AO153">
        <v>0</v>
      </c>
      <c r="AP153">
        <v>16.2</v>
      </c>
      <c r="AQ153">
        <v>13.064516129032258</v>
      </c>
      <c r="AR153">
        <v>83.2</v>
      </c>
      <c r="AS153">
        <v>67.096774193548384</v>
      </c>
      <c r="AT153">
        <f t="shared" si="8"/>
        <v>0</v>
      </c>
      <c r="AU153" s="3">
        <f t="shared" si="9"/>
        <v>3000</v>
      </c>
      <c r="AV153">
        <f t="shared" si="10"/>
        <v>600</v>
      </c>
      <c r="AW153">
        <f t="shared" si="11"/>
        <v>9600</v>
      </c>
    </row>
    <row r="154" spans="1:49">
      <c r="A154">
        <v>154</v>
      </c>
      <c r="B154" t="s">
        <v>40</v>
      </c>
      <c r="C154">
        <v>1</v>
      </c>
      <c r="D154">
        <v>59</v>
      </c>
      <c r="E154">
        <v>1</v>
      </c>
      <c r="F154">
        <v>5</v>
      </c>
      <c r="G154">
        <v>30</v>
      </c>
      <c r="H154">
        <v>5</v>
      </c>
      <c r="I154">
        <v>74</v>
      </c>
      <c r="J154">
        <v>136500</v>
      </c>
      <c r="K154">
        <v>136.5</v>
      </c>
      <c r="L154">
        <v>0.5</v>
      </c>
      <c r="M154">
        <v>1</v>
      </c>
      <c r="N154">
        <v>21.2</v>
      </c>
      <c r="O154">
        <v>23</v>
      </c>
      <c r="P154">
        <v>1</v>
      </c>
      <c r="Q154">
        <v>1</v>
      </c>
      <c r="R154">
        <v>500</v>
      </c>
      <c r="S154">
        <v>0.5</v>
      </c>
      <c r="T154" s="3">
        <v>9.9999999999999991E-22</v>
      </c>
      <c r="U154" s="3">
        <v>9.9999999999999991E-22</v>
      </c>
      <c r="V154" s="3">
        <v>9.9999999999999991E-22</v>
      </c>
      <c r="W154" s="3">
        <v>9.9999999999999991E-22</v>
      </c>
      <c r="X154">
        <v>1</v>
      </c>
      <c r="Y154">
        <v>420000</v>
      </c>
      <c r="Z154">
        <v>420</v>
      </c>
      <c r="AA154">
        <v>0.13978494623655913</v>
      </c>
      <c r="AB154">
        <v>3</v>
      </c>
      <c r="AC154">
        <v>3</v>
      </c>
      <c r="AD154">
        <v>0</v>
      </c>
      <c r="AE154">
        <v>0</v>
      </c>
      <c r="AF154">
        <v>1</v>
      </c>
      <c r="AG154">
        <v>37</v>
      </c>
      <c r="AH154">
        <v>68250</v>
      </c>
      <c r="AI154">
        <v>2</v>
      </c>
      <c r="AJ154">
        <v>12100</v>
      </c>
      <c r="AK154">
        <v>2000</v>
      </c>
      <c r="AL154">
        <v>600</v>
      </c>
      <c r="AM154">
        <v>4800</v>
      </c>
      <c r="AN154">
        <v>0</v>
      </c>
      <c r="AO154">
        <v>0</v>
      </c>
      <c r="AP154">
        <v>19.5</v>
      </c>
      <c r="AQ154">
        <v>39</v>
      </c>
      <c r="AR154">
        <v>48.75</v>
      </c>
      <c r="AS154">
        <v>97.5</v>
      </c>
      <c r="AT154">
        <f t="shared" si="8"/>
        <v>526.08695652173913</v>
      </c>
      <c r="AU154" s="3">
        <f t="shared" si="9"/>
        <v>2000</v>
      </c>
      <c r="AV154">
        <f t="shared" si="10"/>
        <v>600</v>
      </c>
      <c r="AW154">
        <f t="shared" si="11"/>
        <v>9600</v>
      </c>
    </row>
    <row r="155" spans="1:49">
      <c r="A155">
        <v>155</v>
      </c>
      <c r="B155" t="s">
        <v>40</v>
      </c>
      <c r="C155" s="3">
        <v>0</v>
      </c>
      <c r="D155">
        <v>72</v>
      </c>
      <c r="E155">
        <v>1</v>
      </c>
      <c r="F155">
        <v>2</v>
      </c>
      <c r="G155">
        <v>60</v>
      </c>
      <c r="H155">
        <v>7</v>
      </c>
      <c r="I155">
        <v>50</v>
      </c>
      <c r="J155">
        <v>70000</v>
      </c>
      <c r="K155">
        <v>70</v>
      </c>
      <c r="L155">
        <v>2.4</v>
      </c>
      <c r="M155">
        <v>3</v>
      </c>
      <c r="N155">
        <v>18</v>
      </c>
      <c r="O155">
        <v>15</v>
      </c>
      <c r="P155">
        <v>0.5</v>
      </c>
      <c r="Q155">
        <v>5</v>
      </c>
      <c r="R155">
        <v>2500</v>
      </c>
      <c r="S155">
        <v>2.5</v>
      </c>
      <c r="T155" s="3">
        <v>9.9999999999999991E-22</v>
      </c>
      <c r="U155" s="3">
        <v>9.9999999999999991E-22</v>
      </c>
      <c r="V155" s="3">
        <v>9.9999999999999991E-22</v>
      </c>
      <c r="W155" s="3">
        <v>9.9999999999999991E-22</v>
      </c>
      <c r="X155" s="3">
        <v>9.9999999999999991E-22</v>
      </c>
      <c r="Y155">
        <v>206000</v>
      </c>
      <c r="Z155">
        <v>206</v>
      </c>
      <c r="AA155">
        <v>0.44919786096256686</v>
      </c>
      <c r="AB155">
        <v>1</v>
      </c>
      <c r="AC155">
        <v>1</v>
      </c>
      <c r="AD155">
        <v>0</v>
      </c>
      <c r="AE155">
        <v>0</v>
      </c>
      <c r="AF155">
        <v>1</v>
      </c>
      <c r="AG155">
        <v>120</v>
      </c>
      <c r="AH155">
        <v>168000</v>
      </c>
      <c r="AI155">
        <v>2</v>
      </c>
      <c r="AJ155">
        <v>37500</v>
      </c>
      <c r="AK155">
        <v>1320</v>
      </c>
      <c r="AL155">
        <v>3000</v>
      </c>
      <c r="AM155">
        <v>37500</v>
      </c>
      <c r="AN155">
        <v>0</v>
      </c>
      <c r="AO155">
        <v>0</v>
      </c>
      <c r="AP155">
        <v>79.319999999999993</v>
      </c>
      <c r="AQ155">
        <v>33.049999999999997</v>
      </c>
      <c r="AR155">
        <v>88.68</v>
      </c>
      <c r="AS155">
        <v>36.950000000000003</v>
      </c>
      <c r="AT155">
        <f t="shared" si="8"/>
        <v>2500</v>
      </c>
      <c r="AU155" s="3">
        <f t="shared" si="9"/>
        <v>2640</v>
      </c>
      <c r="AV155">
        <f t="shared" si="10"/>
        <v>600</v>
      </c>
      <c r="AW155">
        <f t="shared" si="11"/>
        <v>15000</v>
      </c>
    </row>
    <row r="156" spans="1:49">
      <c r="A156">
        <v>156</v>
      </c>
      <c r="B156" t="s">
        <v>40</v>
      </c>
      <c r="C156">
        <v>1</v>
      </c>
      <c r="D156">
        <v>43</v>
      </c>
      <c r="E156">
        <v>1</v>
      </c>
      <c r="F156">
        <v>4</v>
      </c>
      <c r="G156">
        <v>10</v>
      </c>
      <c r="H156">
        <v>3</v>
      </c>
      <c r="I156">
        <v>52.631578947368425</v>
      </c>
      <c r="J156">
        <v>68421.052631578947</v>
      </c>
      <c r="K156">
        <v>68.421052631578945</v>
      </c>
      <c r="L156">
        <v>1.9</v>
      </c>
      <c r="M156">
        <v>3</v>
      </c>
      <c r="N156">
        <v>9.6</v>
      </c>
      <c r="O156">
        <v>29</v>
      </c>
      <c r="P156">
        <v>0.5</v>
      </c>
      <c r="Q156">
        <v>6</v>
      </c>
      <c r="R156">
        <v>1500</v>
      </c>
      <c r="S156">
        <v>1.5</v>
      </c>
      <c r="T156" s="3">
        <v>9.9999999999999991E-22</v>
      </c>
      <c r="U156" s="3">
        <v>9.9999999999999991E-22</v>
      </c>
      <c r="V156" s="3">
        <v>9.9999999999999991E-22</v>
      </c>
      <c r="W156">
        <v>1</v>
      </c>
      <c r="X156">
        <v>1</v>
      </c>
      <c r="Y156">
        <v>72000</v>
      </c>
      <c r="Z156">
        <v>72</v>
      </c>
      <c r="AA156">
        <v>0.64356435643564358</v>
      </c>
      <c r="AB156">
        <v>3</v>
      </c>
      <c r="AC156">
        <v>3</v>
      </c>
      <c r="AD156">
        <v>0</v>
      </c>
      <c r="AE156">
        <v>0</v>
      </c>
      <c r="AF156">
        <v>1</v>
      </c>
      <c r="AG156">
        <v>100</v>
      </c>
      <c r="AH156">
        <v>130000</v>
      </c>
      <c r="AI156">
        <v>2</v>
      </c>
      <c r="AJ156">
        <v>26750</v>
      </c>
      <c r="AK156">
        <v>27500</v>
      </c>
      <c r="AL156">
        <v>600</v>
      </c>
      <c r="AM156">
        <v>14100</v>
      </c>
      <c r="AN156">
        <v>0</v>
      </c>
      <c r="AO156">
        <v>0</v>
      </c>
      <c r="AP156">
        <v>68.95</v>
      </c>
      <c r="AQ156">
        <v>36.289473684210527</v>
      </c>
      <c r="AR156">
        <v>61.05</v>
      </c>
      <c r="AS156">
        <v>32.131578947368418</v>
      </c>
      <c r="AT156">
        <f t="shared" si="8"/>
        <v>922.41379310344826</v>
      </c>
      <c r="AU156" s="3">
        <f t="shared" si="9"/>
        <v>55000</v>
      </c>
      <c r="AV156">
        <f t="shared" si="10"/>
        <v>100</v>
      </c>
      <c r="AW156">
        <f t="shared" si="11"/>
        <v>9400</v>
      </c>
    </row>
    <row r="157" spans="1:49">
      <c r="A157">
        <v>157</v>
      </c>
      <c r="B157" t="s">
        <v>40</v>
      </c>
      <c r="C157">
        <v>1</v>
      </c>
      <c r="D157">
        <v>52</v>
      </c>
      <c r="E157">
        <v>0</v>
      </c>
      <c r="F157">
        <v>4</v>
      </c>
      <c r="G157">
        <v>38</v>
      </c>
      <c r="H157">
        <v>3</v>
      </c>
      <c r="I157">
        <v>64</v>
      </c>
      <c r="J157">
        <v>179200</v>
      </c>
      <c r="K157">
        <v>179.2</v>
      </c>
      <c r="L157">
        <v>0.5</v>
      </c>
      <c r="M157">
        <v>1</v>
      </c>
      <c r="N157">
        <v>96</v>
      </c>
      <c r="O157">
        <v>25</v>
      </c>
      <c r="P157">
        <v>0.5</v>
      </c>
      <c r="Q157">
        <v>1</v>
      </c>
      <c r="R157">
        <v>500</v>
      </c>
      <c r="S157">
        <v>0.5</v>
      </c>
      <c r="T157" s="3">
        <v>9.9999999999999991E-22</v>
      </c>
      <c r="U157" s="3">
        <v>9.9999999999999991E-22</v>
      </c>
      <c r="V157" s="3">
        <v>9.9999999999999991E-22</v>
      </c>
      <c r="W157" s="3">
        <v>9.9999999999999991E-22</v>
      </c>
      <c r="X157" s="3">
        <v>9.9999999999999991E-22</v>
      </c>
      <c r="Y157">
        <v>106500</v>
      </c>
      <c r="Z157">
        <v>106.5</v>
      </c>
      <c r="AA157">
        <v>0.45690973992860784</v>
      </c>
      <c r="AB157">
        <v>3</v>
      </c>
      <c r="AC157">
        <v>3</v>
      </c>
      <c r="AD157">
        <v>0</v>
      </c>
      <c r="AE157">
        <v>0</v>
      </c>
      <c r="AF157">
        <v>1</v>
      </c>
      <c r="AG157">
        <v>32</v>
      </c>
      <c r="AH157">
        <v>89600</v>
      </c>
      <c r="AI157">
        <v>2</v>
      </c>
      <c r="AJ157">
        <v>8960</v>
      </c>
      <c r="AK157">
        <v>2750</v>
      </c>
      <c r="AL157">
        <v>600</v>
      </c>
      <c r="AM157">
        <v>4800</v>
      </c>
      <c r="AN157">
        <v>0</v>
      </c>
      <c r="AO157">
        <v>0</v>
      </c>
      <c r="AP157">
        <v>17.11</v>
      </c>
      <c r="AQ157">
        <v>34.22</v>
      </c>
      <c r="AR157">
        <v>72.489999999999995</v>
      </c>
      <c r="AS157">
        <v>144.97999999999999</v>
      </c>
      <c r="AT157">
        <f t="shared" si="8"/>
        <v>358.4</v>
      </c>
      <c r="AU157" s="3">
        <f t="shared" si="9"/>
        <v>5500</v>
      </c>
      <c r="AV157">
        <f t="shared" si="10"/>
        <v>600</v>
      </c>
      <c r="AW157">
        <f t="shared" si="11"/>
        <v>9600</v>
      </c>
    </row>
    <row r="158" spans="1:49">
      <c r="A158">
        <v>158</v>
      </c>
      <c r="B158" t="s">
        <v>40</v>
      </c>
      <c r="C158">
        <v>1</v>
      </c>
      <c r="D158">
        <v>64</v>
      </c>
      <c r="E158">
        <v>0</v>
      </c>
      <c r="F158">
        <v>3</v>
      </c>
      <c r="G158">
        <v>49</v>
      </c>
      <c r="H158">
        <v>3</v>
      </c>
      <c r="I158">
        <v>100</v>
      </c>
      <c r="J158">
        <v>150000</v>
      </c>
      <c r="K158">
        <v>150</v>
      </c>
      <c r="L158">
        <v>0.5</v>
      </c>
      <c r="M158">
        <v>1</v>
      </c>
      <c r="N158">
        <v>22.5</v>
      </c>
      <c r="O158">
        <v>22</v>
      </c>
      <c r="P158">
        <v>0.5</v>
      </c>
      <c r="Q158">
        <v>5</v>
      </c>
      <c r="R158">
        <v>750</v>
      </c>
      <c r="S158">
        <v>0.75</v>
      </c>
      <c r="T158" s="3">
        <v>9.9999999999999991E-22</v>
      </c>
      <c r="U158" s="3">
        <v>9.9999999999999991E-22</v>
      </c>
      <c r="V158">
        <v>1</v>
      </c>
      <c r="W158">
        <v>1</v>
      </c>
      <c r="X158">
        <v>1</v>
      </c>
      <c r="Y158">
        <v>2100000</v>
      </c>
      <c r="Z158">
        <v>2100</v>
      </c>
      <c r="AA158">
        <v>3.4482758620689655E-2</v>
      </c>
      <c r="AB158">
        <v>3</v>
      </c>
      <c r="AC158">
        <v>3</v>
      </c>
      <c r="AD158">
        <v>0</v>
      </c>
      <c r="AE158">
        <v>0</v>
      </c>
      <c r="AF158">
        <v>1</v>
      </c>
      <c r="AG158">
        <v>50</v>
      </c>
      <c r="AH158">
        <v>75000</v>
      </c>
      <c r="AI158">
        <v>2</v>
      </c>
      <c r="AJ158">
        <v>19500</v>
      </c>
      <c r="AK158">
        <v>2750</v>
      </c>
      <c r="AL158">
        <v>2500</v>
      </c>
      <c r="AM158">
        <v>12010</v>
      </c>
      <c r="AN158">
        <v>0</v>
      </c>
      <c r="AO158">
        <v>0</v>
      </c>
      <c r="AP158">
        <v>36.76</v>
      </c>
      <c r="AQ158">
        <v>73.52</v>
      </c>
      <c r="AR158">
        <v>38.24</v>
      </c>
      <c r="AS158">
        <v>76.48</v>
      </c>
      <c r="AT158">
        <f t="shared" si="8"/>
        <v>886.36363636363637</v>
      </c>
      <c r="AU158" s="3">
        <f t="shared" si="9"/>
        <v>5500</v>
      </c>
      <c r="AV158">
        <f t="shared" si="10"/>
        <v>500</v>
      </c>
      <c r="AW158">
        <f t="shared" si="11"/>
        <v>16013.333333333334</v>
      </c>
    </row>
    <row r="159" spans="1:49">
      <c r="A159">
        <v>159</v>
      </c>
      <c r="B159" t="s">
        <v>40</v>
      </c>
      <c r="C159">
        <v>1</v>
      </c>
      <c r="D159">
        <v>68</v>
      </c>
      <c r="E159">
        <v>0</v>
      </c>
      <c r="F159">
        <v>2</v>
      </c>
      <c r="G159">
        <v>40</v>
      </c>
      <c r="H159">
        <v>4</v>
      </c>
      <c r="I159">
        <v>66.666666666666671</v>
      </c>
      <c r="J159">
        <v>100000</v>
      </c>
      <c r="K159">
        <v>100</v>
      </c>
      <c r="L159">
        <v>0.75</v>
      </c>
      <c r="M159">
        <v>1</v>
      </c>
      <c r="N159">
        <v>42</v>
      </c>
      <c r="O159">
        <v>16</v>
      </c>
      <c r="P159">
        <v>6</v>
      </c>
      <c r="Q159">
        <v>1</v>
      </c>
      <c r="R159">
        <v>750</v>
      </c>
      <c r="S159">
        <v>0.75</v>
      </c>
      <c r="T159" s="3">
        <v>9.9999999999999991E-22</v>
      </c>
      <c r="U159" s="3">
        <v>9.9999999999999991E-22</v>
      </c>
      <c r="V159">
        <v>1</v>
      </c>
      <c r="W159" s="3">
        <v>9.9999999999999991E-22</v>
      </c>
      <c r="X159">
        <v>1</v>
      </c>
      <c r="Y159">
        <v>840000</v>
      </c>
      <c r="Z159">
        <v>840</v>
      </c>
      <c r="AA159">
        <v>8.1967213114754092E-2</v>
      </c>
      <c r="AB159">
        <v>1</v>
      </c>
      <c r="AC159">
        <v>3</v>
      </c>
      <c r="AD159">
        <v>0</v>
      </c>
      <c r="AE159">
        <v>0</v>
      </c>
      <c r="AF159">
        <v>1</v>
      </c>
      <c r="AG159">
        <v>50</v>
      </c>
      <c r="AH159">
        <v>75000</v>
      </c>
      <c r="AI159">
        <v>2</v>
      </c>
      <c r="AJ159">
        <v>16400</v>
      </c>
      <c r="AK159">
        <v>4125</v>
      </c>
      <c r="AL159">
        <v>600</v>
      </c>
      <c r="AM159">
        <v>7050</v>
      </c>
      <c r="AN159">
        <v>0</v>
      </c>
      <c r="AO159">
        <v>0</v>
      </c>
      <c r="AP159">
        <v>28.175000000000001</v>
      </c>
      <c r="AQ159">
        <v>37.56666666666667</v>
      </c>
      <c r="AR159">
        <v>46.825000000000003</v>
      </c>
      <c r="AS159">
        <v>62.433333333333337</v>
      </c>
      <c r="AT159">
        <f t="shared" si="8"/>
        <v>1025</v>
      </c>
      <c r="AU159" s="3">
        <f t="shared" si="9"/>
        <v>687.5</v>
      </c>
      <c r="AV159">
        <f t="shared" si="10"/>
        <v>600</v>
      </c>
      <c r="AW159">
        <f t="shared" si="11"/>
        <v>9400</v>
      </c>
    </row>
    <row r="160" spans="1:49">
      <c r="A160">
        <v>160</v>
      </c>
      <c r="B160" t="s">
        <v>40</v>
      </c>
      <c r="C160">
        <v>1</v>
      </c>
      <c r="D160">
        <v>64</v>
      </c>
      <c r="E160">
        <v>1</v>
      </c>
      <c r="F160">
        <v>2</v>
      </c>
      <c r="G160">
        <v>50</v>
      </c>
      <c r="H160">
        <v>2</v>
      </c>
      <c r="I160">
        <v>110</v>
      </c>
      <c r="J160">
        <v>120000.00000000001</v>
      </c>
      <c r="K160">
        <v>120.00000000000001</v>
      </c>
      <c r="L160">
        <v>0.7</v>
      </c>
      <c r="M160">
        <v>1</v>
      </c>
      <c r="N160">
        <v>37</v>
      </c>
      <c r="O160">
        <v>17</v>
      </c>
      <c r="P160">
        <v>2</v>
      </c>
      <c r="Q160">
        <v>2</v>
      </c>
      <c r="R160">
        <v>1000</v>
      </c>
      <c r="S160">
        <v>1</v>
      </c>
      <c r="T160" s="3">
        <v>9.9999999999999991E-22</v>
      </c>
      <c r="U160" s="3">
        <v>9.9999999999999991E-22</v>
      </c>
      <c r="V160" s="3">
        <v>9.9999999999999991E-22</v>
      </c>
      <c r="W160" s="3">
        <v>9.9999999999999991E-22</v>
      </c>
      <c r="X160" s="3">
        <v>9.9999999999999991E-22</v>
      </c>
      <c r="Y160">
        <v>115200</v>
      </c>
      <c r="Z160">
        <v>115.2</v>
      </c>
      <c r="AA160">
        <v>0.42168674698795183</v>
      </c>
      <c r="AB160">
        <v>3</v>
      </c>
      <c r="AC160">
        <v>1</v>
      </c>
      <c r="AD160">
        <v>0</v>
      </c>
      <c r="AE160">
        <v>0</v>
      </c>
      <c r="AF160">
        <v>1</v>
      </c>
      <c r="AG160">
        <v>77</v>
      </c>
      <c r="AH160">
        <v>84000</v>
      </c>
      <c r="AI160">
        <v>2</v>
      </c>
      <c r="AJ160">
        <v>4350</v>
      </c>
      <c r="AK160">
        <v>4000</v>
      </c>
      <c r="AL160">
        <v>500</v>
      </c>
      <c r="AM160">
        <v>9600</v>
      </c>
      <c r="AN160">
        <v>0</v>
      </c>
      <c r="AO160">
        <v>0</v>
      </c>
      <c r="AP160">
        <v>18.45</v>
      </c>
      <c r="AQ160">
        <v>26.357142857142858</v>
      </c>
      <c r="AR160">
        <v>65.55</v>
      </c>
      <c r="AS160">
        <v>93.642857142857139</v>
      </c>
      <c r="AT160">
        <f t="shared" si="8"/>
        <v>255.88235294117646</v>
      </c>
      <c r="AU160" s="3">
        <f t="shared" si="9"/>
        <v>2000</v>
      </c>
      <c r="AV160">
        <f t="shared" si="10"/>
        <v>250</v>
      </c>
      <c r="AW160">
        <f t="shared" si="11"/>
        <v>9600</v>
      </c>
    </row>
    <row r="161" spans="1:49">
      <c r="A161">
        <v>161</v>
      </c>
      <c r="B161" t="s">
        <v>40</v>
      </c>
      <c r="C161">
        <v>1</v>
      </c>
      <c r="D161">
        <v>72</v>
      </c>
      <c r="E161">
        <v>0</v>
      </c>
      <c r="F161">
        <v>1</v>
      </c>
      <c r="G161">
        <v>30</v>
      </c>
      <c r="H161">
        <v>4</v>
      </c>
      <c r="I161">
        <v>90</v>
      </c>
      <c r="J161">
        <v>126000</v>
      </c>
      <c r="K161">
        <v>126</v>
      </c>
      <c r="L161">
        <v>0.5</v>
      </c>
      <c r="M161">
        <v>1</v>
      </c>
      <c r="N161">
        <v>150</v>
      </c>
      <c r="O161">
        <v>20</v>
      </c>
      <c r="P161">
        <v>0.5</v>
      </c>
      <c r="Q161">
        <v>1</v>
      </c>
      <c r="R161">
        <v>500</v>
      </c>
      <c r="S161">
        <v>0.5</v>
      </c>
      <c r="T161" s="3">
        <v>9.9999999999999991E-22</v>
      </c>
      <c r="U161" s="3">
        <v>9.9999999999999991E-22</v>
      </c>
      <c r="V161" s="3">
        <v>9.9999999999999991E-22</v>
      </c>
      <c r="W161" s="3">
        <v>9.9999999999999991E-22</v>
      </c>
      <c r="X161" s="3">
        <v>9.9999999999999991E-22</v>
      </c>
      <c r="Y161">
        <v>0</v>
      </c>
      <c r="Z161">
        <v>0</v>
      </c>
      <c r="AA161">
        <v>1</v>
      </c>
      <c r="AB161">
        <v>1</v>
      </c>
      <c r="AC161">
        <v>3</v>
      </c>
      <c r="AD161">
        <v>0</v>
      </c>
      <c r="AE161">
        <v>0</v>
      </c>
      <c r="AF161">
        <v>1</v>
      </c>
      <c r="AG161">
        <v>45</v>
      </c>
      <c r="AH161">
        <v>63000</v>
      </c>
      <c r="AI161">
        <v>2</v>
      </c>
      <c r="AJ161">
        <v>5800</v>
      </c>
      <c r="AK161">
        <v>2750</v>
      </c>
      <c r="AL161">
        <v>600</v>
      </c>
      <c r="AM161">
        <v>4700</v>
      </c>
      <c r="AN161">
        <v>0</v>
      </c>
      <c r="AO161">
        <v>0</v>
      </c>
      <c r="AP161">
        <v>13.85</v>
      </c>
      <c r="AQ161">
        <v>27.7</v>
      </c>
      <c r="AR161">
        <v>49.15</v>
      </c>
      <c r="AS161">
        <v>98.3</v>
      </c>
      <c r="AT161">
        <f t="shared" si="8"/>
        <v>290</v>
      </c>
      <c r="AU161" s="3">
        <f t="shared" si="9"/>
        <v>5500</v>
      </c>
      <c r="AV161">
        <f t="shared" si="10"/>
        <v>600</v>
      </c>
      <c r="AW161">
        <f t="shared" si="11"/>
        <v>9400</v>
      </c>
    </row>
    <row r="162" spans="1:49">
      <c r="A162">
        <v>162</v>
      </c>
      <c r="B162" t="s">
        <v>40</v>
      </c>
      <c r="C162">
        <v>1</v>
      </c>
      <c r="D162">
        <v>79</v>
      </c>
      <c r="E162">
        <v>0</v>
      </c>
      <c r="F162">
        <v>1</v>
      </c>
      <c r="G162">
        <v>50</v>
      </c>
      <c r="H162">
        <v>2</v>
      </c>
      <c r="I162">
        <v>40</v>
      </c>
      <c r="J162">
        <v>56000</v>
      </c>
      <c r="K162">
        <v>56</v>
      </c>
      <c r="L162">
        <v>2</v>
      </c>
      <c r="M162">
        <v>2</v>
      </c>
      <c r="N162">
        <v>22.5</v>
      </c>
      <c r="O162">
        <v>25</v>
      </c>
      <c r="P162">
        <v>1</v>
      </c>
      <c r="Q162">
        <v>5</v>
      </c>
      <c r="R162">
        <v>2000</v>
      </c>
      <c r="S162">
        <v>2</v>
      </c>
      <c r="T162" s="3">
        <v>9.9999999999999991E-22</v>
      </c>
      <c r="U162" s="3">
        <v>9.9999999999999991E-22</v>
      </c>
      <c r="V162" s="3">
        <v>9.9999999999999991E-22</v>
      </c>
      <c r="W162" s="3">
        <v>9.9999999999999991E-22</v>
      </c>
      <c r="X162" s="3">
        <v>9.9999999999999991E-22</v>
      </c>
      <c r="Y162">
        <v>115200</v>
      </c>
      <c r="Z162">
        <v>115.2</v>
      </c>
      <c r="AA162">
        <v>0.49295774647887325</v>
      </c>
      <c r="AB162">
        <v>1</v>
      </c>
      <c r="AC162">
        <v>3</v>
      </c>
      <c r="AD162">
        <v>0</v>
      </c>
      <c r="AE162">
        <v>0</v>
      </c>
      <c r="AF162">
        <v>1</v>
      </c>
      <c r="AG162">
        <v>80</v>
      </c>
      <c r="AH162">
        <v>112000</v>
      </c>
      <c r="AI162">
        <v>2</v>
      </c>
      <c r="AJ162">
        <v>25400</v>
      </c>
      <c r="AK162">
        <v>11000</v>
      </c>
      <c r="AL162">
        <v>3000</v>
      </c>
      <c r="AM162">
        <v>18800</v>
      </c>
      <c r="AN162">
        <v>0</v>
      </c>
      <c r="AO162">
        <v>0</v>
      </c>
      <c r="AP162">
        <v>58.2</v>
      </c>
      <c r="AQ162">
        <v>29.1</v>
      </c>
      <c r="AR162">
        <v>53.8</v>
      </c>
      <c r="AS162">
        <v>26.9</v>
      </c>
      <c r="AT162">
        <f t="shared" si="8"/>
        <v>1016</v>
      </c>
      <c r="AU162" s="3">
        <f t="shared" si="9"/>
        <v>11000</v>
      </c>
      <c r="AV162">
        <f t="shared" si="10"/>
        <v>600</v>
      </c>
      <c r="AW162">
        <f t="shared" si="11"/>
        <v>9400</v>
      </c>
    </row>
    <row r="163" spans="1:49">
      <c r="A163">
        <v>163</v>
      </c>
      <c r="B163" t="s">
        <v>40</v>
      </c>
      <c r="C163">
        <v>1</v>
      </c>
      <c r="D163">
        <v>65</v>
      </c>
      <c r="E163">
        <v>1</v>
      </c>
      <c r="F163">
        <v>2</v>
      </c>
      <c r="G163">
        <v>30</v>
      </c>
      <c r="H163">
        <v>4</v>
      </c>
      <c r="I163">
        <v>41.53846153846154</v>
      </c>
      <c r="J163">
        <v>66769.230769230766</v>
      </c>
      <c r="K163">
        <v>66.769230769230759</v>
      </c>
      <c r="L163">
        <v>0.65</v>
      </c>
      <c r="M163">
        <v>1</v>
      </c>
      <c r="N163">
        <v>72</v>
      </c>
      <c r="O163">
        <v>15</v>
      </c>
      <c r="P163">
        <v>2</v>
      </c>
      <c r="Q163">
        <v>3</v>
      </c>
      <c r="R163">
        <v>200</v>
      </c>
      <c r="S163">
        <v>0.2</v>
      </c>
      <c r="T163" s="3">
        <v>9.9999999999999991E-22</v>
      </c>
      <c r="U163" s="3">
        <v>9.9999999999999991E-22</v>
      </c>
      <c r="V163" s="3">
        <v>9.9999999999999991E-22</v>
      </c>
      <c r="W163" s="3">
        <v>9.9999999999999991E-22</v>
      </c>
      <c r="X163" s="3">
        <v>9.9999999999999991E-22</v>
      </c>
      <c r="Y163">
        <v>24800</v>
      </c>
      <c r="Z163">
        <v>24.8</v>
      </c>
      <c r="AA163">
        <v>0.63636363636363635</v>
      </c>
      <c r="AB163">
        <v>1</v>
      </c>
      <c r="AC163">
        <v>3</v>
      </c>
      <c r="AD163">
        <v>0</v>
      </c>
      <c r="AE163">
        <v>0</v>
      </c>
      <c r="AF163">
        <v>1</v>
      </c>
      <c r="AG163">
        <v>27</v>
      </c>
      <c r="AH163">
        <v>43400</v>
      </c>
      <c r="AI163">
        <v>2</v>
      </c>
      <c r="AJ163">
        <v>9090</v>
      </c>
      <c r="AK163">
        <v>1632</v>
      </c>
      <c r="AL163">
        <v>600</v>
      </c>
      <c r="AM163">
        <v>2890</v>
      </c>
      <c r="AN163">
        <v>0</v>
      </c>
      <c r="AO163">
        <v>0</v>
      </c>
      <c r="AP163">
        <v>14.212</v>
      </c>
      <c r="AQ163">
        <v>21.864615384615384</v>
      </c>
      <c r="AR163">
        <v>29.187999999999999</v>
      </c>
      <c r="AS163">
        <v>44.904615384615383</v>
      </c>
      <c r="AT163">
        <f t="shared" si="8"/>
        <v>606</v>
      </c>
      <c r="AU163" s="3">
        <f t="shared" si="9"/>
        <v>816</v>
      </c>
      <c r="AV163">
        <f t="shared" si="10"/>
        <v>200</v>
      </c>
      <c r="AW163">
        <f t="shared" si="11"/>
        <v>14450</v>
      </c>
    </row>
    <row r="164" spans="1:49">
      <c r="A164">
        <v>164</v>
      </c>
      <c r="B164" t="s">
        <v>40</v>
      </c>
      <c r="C164">
        <v>1</v>
      </c>
      <c r="D164">
        <v>60</v>
      </c>
      <c r="E164">
        <v>0</v>
      </c>
      <c r="F164">
        <v>2</v>
      </c>
      <c r="G164">
        <v>47</v>
      </c>
      <c r="H164">
        <v>6</v>
      </c>
      <c r="I164">
        <v>5.5555555555555554</v>
      </c>
      <c r="J164">
        <v>50000</v>
      </c>
      <c r="K164">
        <v>50</v>
      </c>
      <c r="L164">
        <v>0.18</v>
      </c>
      <c r="M164">
        <v>1</v>
      </c>
      <c r="N164">
        <v>6</v>
      </c>
      <c r="O164">
        <v>8</v>
      </c>
      <c r="P164">
        <v>1</v>
      </c>
      <c r="Q164">
        <v>0.5</v>
      </c>
      <c r="R164">
        <v>350</v>
      </c>
      <c r="S164">
        <v>0.35</v>
      </c>
      <c r="T164" s="3">
        <v>9.9999999999999991E-22</v>
      </c>
      <c r="U164" s="3">
        <v>9.9999999999999991E-22</v>
      </c>
      <c r="V164" s="3">
        <v>9.9999999999999991E-22</v>
      </c>
      <c r="W164" s="3">
        <v>9.9999999999999991E-22</v>
      </c>
      <c r="X164" s="3">
        <v>9.9999999999999991E-22</v>
      </c>
      <c r="Y164">
        <v>0</v>
      </c>
      <c r="Z164">
        <v>0</v>
      </c>
      <c r="AA164">
        <v>1</v>
      </c>
      <c r="AB164">
        <v>1</v>
      </c>
      <c r="AC164">
        <v>3</v>
      </c>
      <c r="AD164">
        <v>0</v>
      </c>
      <c r="AE164">
        <v>0</v>
      </c>
      <c r="AF164">
        <v>1</v>
      </c>
      <c r="AG164">
        <v>1</v>
      </c>
      <c r="AH164">
        <v>9000</v>
      </c>
      <c r="AI164">
        <v>2</v>
      </c>
      <c r="AJ164">
        <v>2800</v>
      </c>
      <c r="AK164">
        <v>1000</v>
      </c>
      <c r="AL164">
        <v>300</v>
      </c>
      <c r="AM164">
        <v>3360</v>
      </c>
      <c r="AN164">
        <v>0</v>
      </c>
      <c r="AO164">
        <v>0</v>
      </c>
      <c r="AP164">
        <v>7.46</v>
      </c>
      <c r="AQ164">
        <v>41.444444444444443</v>
      </c>
      <c r="AR164">
        <v>1.54</v>
      </c>
      <c r="AS164">
        <v>8.5555555555555554</v>
      </c>
      <c r="AT164">
        <f t="shared" si="8"/>
        <v>350</v>
      </c>
      <c r="AU164" s="3">
        <f t="shared" si="9"/>
        <v>1000</v>
      </c>
      <c r="AV164">
        <f t="shared" si="10"/>
        <v>600</v>
      </c>
      <c r="AW164">
        <f t="shared" si="11"/>
        <v>9600</v>
      </c>
    </row>
    <row r="165" spans="1:49">
      <c r="A165">
        <v>165</v>
      </c>
      <c r="B165" t="s">
        <v>40</v>
      </c>
      <c r="C165">
        <v>1</v>
      </c>
      <c r="D165">
        <v>45</v>
      </c>
      <c r="E165">
        <v>1</v>
      </c>
      <c r="F165">
        <v>5</v>
      </c>
      <c r="G165">
        <v>35</v>
      </c>
      <c r="H165">
        <v>5</v>
      </c>
      <c r="I165">
        <v>50</v>
      </c>
      <c r="J165">
        <v>70000</v>
      </c>
      <c r="K165">
        <v>70</v>
      </c>
      <c r="L165">
        <v>1</v>
      </c>
      <c r="M165">
        <v>1</v>
      </c>
      <c r="N165">
        <v>170</v>
      </c>
      <c r="O165">
        <v>12</v>
      </c>
      <c r="P165">
        <v>2</v>
      </c>
      <c r="Q165" s="3">
        <v>9.9999999999999991E-22</v>
      </c>
      <c r="R165">
        <v>1000</v>
      </c>
      <c r="S165">
        <v>1</v>
      </c>
      <c r="T165" s="3">
        <v>9.9999999999999991E-22</v>
      </c>
      <c r="U165" s="3">
        <v>9.9999999999999991E-22</v>
      </c>
      <c r="V165" s="3">
        <v>9.9999999999999991E-22</v>
      </c>
      <c r="W165" s="3">
        <v>9.9999999999999991E-22</v>
      </c>
      <c r="X165" s="3">
        <v>9.9999999999999991E-22</v>
      </c>
      <c r="Y165">
        <v>0</v>
      </c>
      <c r="Z165">
        <v>0</v>
      </c>
      <c r="AA165">
        <v>1</v>
      </c>
      <c r="AB165">
        <v>3</v>
      </c>
      <c r="AC165">
        <v>3</v>
      </c>
      <c r="AD165">
        <v>0</v>
      </c>
      <c r="AE165">
        <v>0</v>
      </c>
      <c r="AF165">
        <v>1</v>
      </c>
      <c r="AG165">
        <v>50</v>
      </c>
      <c r="AH165">
        <v>70000</v>
      </c>
      <c r="AI165">
        <v>2</v>
      </c>
      <c r="AJ165">
        <v>14000</v>
      </c>
      <c r="AK165">
        <v>2000</v>
      </c>
      <c r="AL165">
        <v>0</v>
      </c>
      <c r="AM165">
        <v>9600</v>
      </c>
      <c r="AN165">
        <v>0</v>
      </c>
      <c r="AO165">
        <v>0</v>
      </c>
      <c r="AP165">
        <v>25.6</v>
      </c>
      <c r="AQ165">
        <v>25.6</v>
      </c>
      <c r="AR165">
        <v>44.4</v>
      </c>
      <c r="AS165">
        <v>44.4</v>
      </c>
      <c r="AT165">
        <f t="shared" si="8"/>
        <v>1166.6666666666667</v>
      </c>
      <c r="AU165" s="3">
        <f t="shared" si="9"/>
        <v>1000</v>
      </c>
      <c r="AV165">
        <f t="shared" si="10"/>
        <v>0</v>
      </c>
      <c r="AW165">
        <f t="shared" si="11"/>
        <v>9600</v>
      </c>
    </row>
    <row r="166" spans="1:49">
      <c r="Q166" s="3"/>
    </row>
    <row r="167" spans="1:49">
      <c r="AT167">
        <f>STDEV(AT2:AT166)</f>
        <v>836.52461809719216</v>
      </c>
    </row>
    <row r="1048576" spans="46:46">
      <c r="AT1048576">
        <f>SUBTOTAL(9,AT2:AT1048575)</f>
        <v>173854.33757443057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EE57-55C0-4FD7-BCCB-4CD19C64C915}">
  <dimension ref="A1:AO106"/>
  <sheetViews>
    <sheetView topLeftCell="D76" zoomScale="60" workbookViewId="0">
      <selection activeCell="V100" sqref="V100"/>
    </sheetView>
  </sheetViews>
  <sheetFormatPr defaultRowHeight="14.5"/>
  <cols>
    <col min="40" max="40" width="13.26953125" customWidth="1"/>
    <col min="41" max="41" width="11.54296875" customWidth="1"/>
  </cols>
  <sheetData>
    <row r="1" spans="1:41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43</v>
      </c>
      <c r="J1" t="s">
        <v>48</v>
      </c>
      <c r="K1" t="s">
        <v>44</v>
      </c>
      <c r="L1" t="s">
        <v>12</v>
      </c>
      <c r="M1" t="s">
        <v>13</v>
      </c>
      <c r="N1" t="s">
        <v>17</v>
      </c>
      <c r="O1" t="s">
        <v>18</v>
      </c>
      <c r="P1" t="s">
        <v>20</v>
      </c>
      <c r="Q1" t="s">
        <v>22</v>
      </c>
      <c r="R1" t="s">
        <v>24</v>
      </c>
      <c r="S1" t="s">
        <v>26</v>
      </c>
      <c r="T1" t="s">
        <v>28</v>
      </c>
      <c r="U1" t="s">
        <v>30</v>
      </c>
      <c r="V1" t="s">
        <v>31</v>
      </c>
      <c r="W1" t="s">
        <v>32</v>
      </c>
      <c r="X1" t="s">
        <v>33</v>
      </c>
      <c r="Y1" t="s">
        <v>41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14</v>
      </c>
      <c r="AF1" t="s">
        <v>15</v>
      </c>
      <c r="AG1" t="s">
        <v>16</v>
      </c>
      <c r="AH1" t="s">
        <v>19</v>
      </c>
      <c r="AI1" t="s">
        <v>21</v>
      </c>
      <c r="AJ1" t="s">
        <v>23</v>
      </c>
      <c r="AK1" t="s">
        <v>25</v>
      </c>
      <c r="AL1" t="s">
        <v>27</v>
      </c>
      <c r="AM1" t="s">
        <v>46</v>
      </c>
      <c r="AN1" t="s">
        <v>57</v>
      </c>
      <c r="AO1" t="s">
        <v>58</v>
      </c>
    </row>
    <row r="2" spans="1:41">
      <c r="A2">
        <v>1</v>
      </c>
      <c r="B2" t="s">
        <v>34</v>
      </c>
      <c r="C2">
        <v>1</v>
      </c>
      <c r="D2">
        <v>73</v>
      </c>
      <c r="E2">
        <v>1</v>
      </c>
      <c r="F2">
        <v>2</v>
      </c>
      <c r="G2">
        <v>63</v>
      </c>
      <c r="H2">
        <v>4</v>
      </c>
      <c r="I2">
        <v>100</v>
      </c>
      <c r="J2">
        <f>K2/1000</f>
        <v>125</v>
      </c>
      <c r="K2">
        <v>125000</v>
      </c>
      <c r="L2">
        <v>0.8</v>
      </c>
      <c r="M2">
        <v>1</v>
      </c>
      <c r="N2">
        <v>27</v>
      </c>
      <c r="O2">
        <v>82</v>
      </c>
      <c r="P2">
        <v>0</v>
      </c>
      <c r="Q2">
        <v>4</v>
      </c>
      <c r="R2">
        <v>500</v>
      </c>
      <c r="S2">
        <v>0</v>
      </c>
      <c r="T2">
        <v>0</v>
      </c>
      <c r="U2">
        <v>0</v>
      </c>
      <c r="V2">
        <v>1</v>
      </c>
      <c r="W2">
        <v>0</v>
      </c>
      <c r="X2">
        <v>134000</v>
      </c>
      <c r="Y2">
        <v>0.42735042735042733</v>
      </c>
      <c r="Z2">
        <v>4</v>
      </c>
      <c r="AA2">
        <v>4</v>
      </c>
      <c r="AB2">
        <v>0</v>
      </c>
      <c r="AC2">
        <v>0</v>
      </c>
      <c r="AD2">
        <v>1</v>
      </c>
      <c r="AE2">
        <v>80</v>
      </c>
      <c r="AF2">
        <v>100000</v>
      </c>
      <c r="AG2">
        <v>2</v>
      </c>
      <c r="AH2">
        <v>35500</v>
      </c>
      <c r="AI2">
        <v>0</v>
      </c>
      <c r="AJ2">
        <v>14800</v>
      </c>
      <c r="AK2">
        <v>10000</v>
      </c>
      <c r="AL2">
        <v>0</v>
      </c>
      <c r="AM2">
        <v>0</v>
      </c>
    </row>
    <row r="3" spans="1:41">
      <c r="A3">
        <v>2</v>
      </c>
      <c r="B3" t="s">
        <v>34</v>
      </c>
      <c r="C3">
        <v>1</v>
      </c>
      <c r="D3">
        <v>70</v>
      </c>
      <c r="E3">
        <v>1</v>
      </c>
      <c r="F3">
        <v>4</v>
      </c>
      <c r="G3">
        <v>60</v>
      </c>
      <c r="H3">
        <v>3</v>
      </c>
      <c r="I3">
        <v>56.666666666666671</v>
      </c>
      <c r="J3">
        <f t="shared" ref="J3:J66" si="0">K3/1000</f>
        <v>116.66666666666667</v>
      </c>
      <c r="K3">
        <v>116666.66666666667</v>
      </c>
      <c r="L3">
        <v>0.6</v>
      </c>
      <c r="M3">
        <v>1</v>
      </c>
      <c r="N3">
        <v>47.125</v>
      </c>
      <c r="O3">
        <v>39</v>
      </c>
      <c r="P3">
        <v>0</v>
      </c>
      <c r="Q3">
        <v>5</v>
      </c>
      <c r="R3">
        <v>600</v>
      </c>
      <c r="S3">
        <v>0</v>
      </c>
      <c r="T3">
        <v>0</v>
      </c>
      <c r="U3">
        <v>0</v>
      </c>
      <c r="V3">
        <v>1</v>
      </c>
      <c r="W3">
        <v>0</v>
      </c>
      <c r="X3">
        <v>10400</v>
      </c>
      <c r="Y3">
        <v>0.87064676616915426</v>
      </c>
      <c r="Z3">
        <v>3</v>
      </c>
      <c r="AA3">
        <v>3</v>
      </c>
      <c r="AB3">
        <v>0</v>
      </c>
      <c r="AC3">
        <v>0</v>
      </c>
      <c r="AD3">
        <v>1</v>
      </c>
      <c r="AE3">
        <v>34</v>
      </c>
      <c r="AF3">
        <v>70000</v>
      </c>
      <c r="AG3">
        <v>2</v>
      </c>
      <c r="AH3">
        <v>16900</v>
      </c>
      <c r="AI3">
        <v>0</v>
      </c>
      <c r="AJ3">
        <v>6000</v>
      </c>
      <c r="AK3">
        <v>7200</v>
      </c>
      <c r="AL3">
        <v>0</v>
      </c>
      <c r="AM3">
        <v>0</v>
      </c>
    </row>
    <row r="4" spans="1:41">
      <c r="A4">
        <v>3</v>
      </c>
      <c r="B4" t="s">
        <v>34</v>
      </c>
      <c r="C4">
        <v>1</v>
      </c>
      <c r="D4">
        <v>68</v>
      </c>
      <c r="E4">
        <v>0</v>
      </c>
      <c r="F4">
        <v>2</v>
      </c>
      <c r="G4">
        <v>58</v>
      </c>
      <c r="H4">
        <v>2</v>
      </c>
      <c r="I4">
        <v>30</v>
      </c>
      <c r="J4">
        <f t="shared" si="0"/>
        <v>75</v>
      </c>
      <c r="K4">
        <v>75000</v>
      </c>
      <c r="L4">
        <v>0.4</v>
      </c>
      <c r="M4">
        <v>1</v>
      </c>
      <c r="N4">
        <v>22.8</v>
      </c>
      <c r="O4">
        <v>22</v>
      </c>
      <c r="P4">
        <v>0</v>
      </c>
      <c r="Q4">
        <v>2</v>
      </c>
      <c r="R4">
        <v>400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4</v>
      </c>
      <c r="AA4">
        <v>3</v>
      </c>
      <c r="AB4">
        <v>0</v>
      </c>
      <c r="AC4">
        <v>0</v>
      </c>
      <c r="AD4">
        <v>1</v>
      </c>
      <c r="AE4">
        <v>12</v>
      </c>
      <c r="AF4">
        <v>30000</v>
      </c>
      <c r="AG4">
        <v>2</v>
      </c>
      <c r="AH4">
        <v>7520</v>
      </c>
      <c r="AI4">
        <v>0</v>
      </c>
      <c r="AJ4">
        <v>1000</v>
      </c>
      <c r="AK4">
        <v>4100</v>
      </c>
      <c r="AL4">
        <v>0</v>
      </c>
      <c r="AM4">
        <v>0</v>
      </c>
    </row>
    <row r="5" spans="1:41">
      <c r="A5">
        <v>4</v>
      </c>
      <c r="B5" t="s">
        <v>34</v>
      </c>
      <c r="C5">
        <v>1</v>
      </c>
      <c r="D5">
        <v>47</v>
      </c>
      <c r="E5">
        <v>1</v>
      </c>
      <c r="F5">
        <v>3</v>
      </c>
      <c r="G5">
        <v>32</v>
      </c>
      <c r="H5">
        <v>3</v>
      </c>
      <c r="I5">
        <v>77.777777777777771</v>
      </c>
      <c r="J5">
        <f t="shared" si="0"/>
        <v>142.22222222222223</v>
      </c>
      <c r="K5">
        <v>142222.22222222222</v>
      </c>
      <c r="L5">
        <v>0.9</v>
      </c>
      <c r="M5">
        <v>1</v>
      </c>
      <c r="N5">
        <v>182.5</v>
      </c>
      <c r="O5">
        <v>101</v>
      </c>
      <c r="P5">
        <v>0</v>
      </c>
      <c r="Q5">
        <v>22.5</v>
      </c>
      <c r="R5">
        <v>900</v>
      </c>
      <c r="S5">
        <v>2</v>
      </c>
      <c r="T5">
        <v>0</v>
      </c>
      <c r="U5">
        <v>0</v>
      </c>
      <c r="V5">
        <v>1</v>
      </c>
      <c r="W5">
        <v>0</v>
      </c>
      <c r="X5">
        <v>125100</v>
      </c>
      <c r="Y5">
        <v>0.50572896088502572</v>
      </c>
      <c r="Z5">
        <v>4</v>
      </c>
      <c r="AA5">
        <v>3</v>
      </c>
      <c r="AB5">
        <v>0</v>
      </c>
      <c r="AC5">
        <v>3</v>
      </c>
      <c r="AD5">
        <v>1</v>
      </c>
      <c r="AE5">
        <v>70</v>
      </c>
      <c r="AF5">
        <v>128000</v>
      </c>
      <c r="AG5">
        <v>2</v>
      </c>
      <c r="AH5">
        <v>24600</v>
      </c>
      <c r="AI5">
        <v>0</v>
      </c>
      <c r="AJ5">
        <v>0</v>
      </c>
      <c r="AK5">
        <v>9360</v>
      </c>
      <c r="AL5">
        <v>2000</v>
      </c>
      <c r="AM5">
        <v>0</v>
      </c>
    </row>
    <row r="6" spans="1:41">
      <c r="A6">
        <v>5</v>
      </c>
      <c r="B6" t="s">
        <v>34</v>
      </c>
      <c r="C6">
        <v>1</v>
      </c>
      <c r="D6">
        <v>61</v>
      </c>
      <c r="E6">
        <v>1</v>
      </c>
      <c r="F6">
        <v>5</v>
      </c>
      <c r="G6">
        <v>51</v>
      </c>
      <c r="H6">
        <v>5</v>
      </c>
      <c r="I6">
        <v>22.222222222222221</v>
      </c>
      <c r="J6">
        <f t="shared" si="0"/>
        <v>37.777777777777779</v>
      </c>
      <c r="K6">
        <v>37777.777777777781</v>
      </c>
      <c r="L6">
        <v>4.5</v>
      </c>
      <c r="M6">
        <v>1</v>
      </c>
      <c r="N6">
        <v>842.25</v>
      </c>
      <c r="O6">
        <v>180</v>
      </c>
      <c r="P6">
        <v>1</v>
      </c>
      <c r="Q6">
        <v>1</v>
      </c>
      <c r="R6">
        <v>8000</v>
      </c>
      <c r="S6">
        <v>0</v>
      </c>
      <c r="T6">
        <v>0</v>
      </c>
      <c r="U6">
        <v>0</v>
      </c>
      <c r="V6">
        <v>1</v>
      </c>
      <c r="W6">
        <v>0</v>
      </c>
      <c r="X6">
        <v>92160</v>
      </c>
      <c r="Y6">
        <v>0.64845895636252671</v>
      </c>
      <c r="Z6">
        <v>4</v>
      </c>
      <c r="AA6">
        <v>3</v>
      </c>
      <c r="AB6">
        <v>0</v>
      </c>
      <c r="AC6">
        <v>0</v>
      </c>
      <c r="AD6">
        <v>1</v>
      </c>
      <c r="AE6">
        <v>100</v>
      </c>
      <c r="AF6">
        <v>170000</v>
      </c>
      <c r="AG6">
        <v>2</v>
      </c>
      <c r="AH6">
        <v>45000</v>
      </c>
      <c r="AI6">
        <v>5000</v>
      </c>
      <c r="AJ6">
        <v>500</v>
      </c>
      <c r="AK6">
        <v>80000</v>
      </c>
      <c r="AL6">
        <v>0</v>
      </c>
      <c r="AM6">
        <v>0</v>
      </c>
    </row>
    <row r="7" spans="1:41">
      <c r="A7">
        <v>7</v>
      </c>
      <c r="B7" t="s">
        <v>34</v>
      </c>
      <c r="C7">
        <v>1</v>
      </c>
      <c r="D7">
        <v>53</v>
      </c>
      <c r="E7">
        <v>1</v>
      </c>
      <c r="F7">
        <v>1</v>
      </c>
      <c r="G7">
        <v>41</v>
      </c>
      <c r="H7">
        <v>6</v>
      </c>
      <c r="I7">
        <v>63.333333333333336</v>
      </c>
      <c r="J7">
        <f t="shared" si="0"/>
        <v>100</v>
      </c>
      <c r="K7">
        <v>100000</v>
      </c>
      <c r="L7">
        <v>0.3</v>
      </c>
      <c r="M7">
        <v>1</v>
      </c>
      <c r="N7">
        <v>93.625</v>
      </c>
      <c r="O7">
        <v>24</v>
      </c>
      <c r="P7">
        <v>0</v>
      </c>
      <c r="Q7">
        <v>0</v>
      </c>
      <c r="R7">
        <v>200</v>
      </c>
      <c r="S7">
        <v>0</v>
      </c>
      <c r="T7">
        <v>0</v>
      </c>
      <c r="U7">
        <v>0</v>
      </c>
      <c r="V7">
        <v>1</v>
      </c>
      <c r="W7">
        <v>0</v>
      </c>
      <c r="X7">
        <v>130800</v>
      </c>
      <c r="Y7">
        <v>0.18656716417910449</v>
      </c>
      <c r="Z7">
        <v>4</v>
      </c>
      <c r="AA7">
        <v>3</v>
      </c>
      <c r="AB7">
        <v>0</v>
      </c>
      <c r="AC7">
        <v>0</v>
      </c>
      <c r="AD7">
        <v>1</v>
      </c>
      <c r="AE7">
        <v>19</v>
      </c>
      <c r="AF7">
        <v>30000</v>
      </c>
      <c r="AG7">
        <v>1</v>
      </c>
      <c r="AH7">
        <v>7080</v>
      </c>
      <c r="AI7">
        <v>0</v>
      </c>
      <c r="AJ7">
        <v>0</v>
      </c>
      <c r="AK7">
        <v>2000</v>
      </c>
      <c r="AL7">
        <v>0</v>
      </c>
      <c r="AM7">
        <v>0</v>
      </c>
    </row>
    <row r="8" spans="1:41">
      <c r="A8">
        <v>8</v>
      </c>
      <c r="B8" t="s">
        <v>34</v>
      </c>
      <c r="C8">
        <v>1</v>
      </c>
      <c r="D8">
        <v>54</v>
      </c>
      <c r="E8">
        <v>1</v>
      </c>
      <c r="F8">
        <v>4</v>
      </c>
      <c r="G8">
        <v>44</v>
      </c>
      <c r="H8">
        <v>5</v>
      </c>
      <c r="I8">
        <v>18.399999999999999</v>
      </c>
      <c r="J8">
        <f t="shared" si="0"/>
        <v>32</v>
      </c>
      <c r="K8">
        <v>32000</v>
      </c>
      <c r="L8">
        <v>2.5</v>
      </c>
      <c r="M8">
        <v>1</v>
      </c>
      <c r="N8">
        <v>16</v>
      </c>
      <c r="O8">
        <v>120</v>
      </c>
      <c r="P8">
        <v>1</v>
      </c>
      <c r="Q8">
        <v>0</v>
      </c>
      <c r="R8">
        <v>4200</v>
      </c>
      <c r="S8">
        <v>0</v>
      </c>
      <c r="T8">
        <v>0</v>
      </c>
      <c r="U8">
        <v>0</v>
      </c>
      <c r="V8">
        <v>1</v>
      </c>
      <c r="W8">
        <v>1</v>
      </c>
      <c r="X8">
        <v>564000</v>
      </c>
      <c r="Y8">
        <v>0.12422360248447205</v>
      </c>
      <c r="Z8">
        <v>4</v>
      </c>
      <c r="AA8">
        <v>3</v>
      </c>
      <c r="AB8">
        <v>0</v>
      </c>
      <c r="AC8">
        <v>0</v>
      </c>
      <c r="AD8">
        <v>1</v>
      </c>
      <c r="AE8">
        <v>46</v>
      </c>
      <c r="AF8">
        <v>80000</v>
      </c>
      <c r="AG8">
        <v>2</v>
      </c>
      <c r="AH8">
        <v>24800</v>
      </c>
      <c r="AI8">
        <v>15000</v>
      </c>
      <c r="AJ8">
        <v>0</v>
      </c>
      <c r="AK8">
        <v>37800</v>
      </c>
      <c r="AL8">
        <v>0</v>
      </c>
      <c r="AM8">
        <v>0</v>
      </c>
    </row>
    <row r="9" spans="1:41">
      <c r="A9">
        <v>9</v>
      </c>
      <c r="B9" t="s">
        <v>34</v>
      </c>
      <c r="C9">
        <v>1</v>
      </c>
      <c r="D9">
        <v>64</v>
      </c>
      <c r="E9">
        <v>0</v>
      </c>
      <c r="F9">
        <v>5</v>
      </c>
      <c r="G9">
        <v>25</v>
      </c>
      <c r="H9">
        <v>3</v>
      </c>
      <c r="I9">
        <v>70</v>
      </c>
      <c r="J9">
        <f t="shared" si="0"/>
        <v>81</v>
      </c>
      <c r="K9">
        <v>81000</v>
      </c>
      <c r="L9">
        <v>1</v>
      </c>
      <c r="M9">
        <v>1</v>
      </c>
      <c r="N9">
        <v>22.75</v>
      </c>
      <c r="O9">
        <v>31</v>
      </c>
      <c r="P9">
        <v>0</v>
      </c>
      <c r="Q9">
        <v>2</v>
      </c>
      <c r="R9">
        <v>600</v>
      </c>
      <c r="S9">
        <v>0</v>
      </c>
      <c r="T9">
        <v>100</v>
      </c>
      <c r="U9">
        <v>0</v>
      </c>
      <c r="V9">
        <v>1</v>
      </c>
      <c r="W9">
        <v>1</v>
      </c>
      <c r="X9">
        <v>2218400</v>
      </c>
      <c r="Y9">
        <v>3.5226580847177523E-2</v>
      </c>
      <c r="Z9">
        <v>3</v>
      </c>
      <c r="AA9">
        <v>3</v>
      </c>
      <c r="AB9">
        <v>3</v>
      </c>
      <c r="AC9">
        <v>0</v>
      </c>
      <c r="AD9">
        <v>1</v>
      </c>
      <c r="AE9">
        <v>70</v>
      </c>
      <c r="AF9">
        <v>81000</v>
      </c>
      <c r="AG9">
        <v>2</v>
      </c>
      <c r="AH9">
        <v>31490</v>
      </c>
      <c r="AI9">
        <v>0</v>
      </c>
      <c r="AJ9">
        <v>600</v>
      </c>
      <c r="AK9">
        <v>12000</v>
      </c>
      <c r="AL9">
        <v>0</v>
      </c>
      <c r="AM9">
        <v>1800</v>
      </c>
    </row>
    <row r="10" spans="1:41">
      <c r="A10">
        <v>10</v>
      </c>
      <c r="B10" t="s">
        <v>34</v>
      </c>
      <c r="C10">
        <v>1</v>
      </c>
      <c r="D10">
        <v>58</v>
      </c>
      <c r="E10">
        <v>1</v>
      </c>
      <c r="F10">
        <v>2</v>
      </c>
      <c r="G10">
        <v>44</v>
      </c>
      <c r="H10">
        <v>6</v>
      </c>
      <c r="I10">
        <v>40</v>
      </c>
      <c r="J10">
        <f t="shared" si="0"/>
        <v>40</v>
      </c>
      <c r="K10">
        <v>40000</v>
      </c>
      <c r="L10">
        <v>2</v>
      </c>
      <c r="M10">
        <v>1</v>
      </c>
      <c r="N10">
        <v>115.5</v>
      </c>
      <c r="O10">
        <v>26</v>
      </c>
      <c r="P10">
        <v>1</v>
      </c>
      <c r="Q10">
        <v>11</v>
      </c>
      <c r="R10">
        <v>1500</v>
      </c>
      <c r="S10">
        <v>0</v>
      </c>
      <c r="T10">
        <v>0</v>
      </c>
      <c r="U10">
        <v>0</v>
      </c>
      <c r="V10">
        <v>1</v>
      </c>
      <c r="W10">
        <v>0</v>
      </c>
      <c r="X10">
        <v>2500</v>
      </c>
      <c r="Y10">
        <v>0.96969696969696972</v>
      </c>
      <c r="Z10">
        <v>3</v>
      </c>
      <c r="AA10">
        <v>3</v>
      </c>
      <c r="AB10">
        <v>0</v>
      </c>
      <c r="AC10">
        <v>3</v>
      </c>
      <c r="AD10">
        <v>1</v>
      </c>
      <c r="AE10">
        <v>80</v>
      </c>
      <c r="AF10">
        <v>80000</v>
      </c>
      <c r="AG10">
        <v>1</v>
      </c>
      <c r="AH10">
        <v>42150</v>
      </c>
      <c r="AI10">
        <v>12000</v>
      </c>
      <c r="AJ10">
        <v>5500</v>
      </c>
      <c r="AK10">
        <v>14400</v>
      </c>
      <c r="AL10">
        <v>0</v>
      </c>
      <c r="AM10">
        <v>0</v>
      </c>
    </row>
    <row r="11" spans="1:41">
      <c r="A11">
        <v>12</v>
      </c>
      <c r="B11" t="s">
        <v>34</v>
      </c>
      <c r="C11">
        <v>1</v>
      </c>
      <c r="D11">
        <v>69</v>
      </c>
      <c r="E11">
        <v>0</v>
      </c>
      <c r="F11">
        <v>4</v>
      </c>
      <c r="G11">
        <v>30</v>
      </c>
      <c r="H11">
        <v>8</v>
      </c>
      <c r="I11">
        <v>50</v>
      </c>
      <c r="J11">
        <f t="shared" si="0"/>
        <v>87.5</v>
      </c>
      <c r="K11">
        <v>87500</v>
      </c>
      <c r="L11">
        <v>1.2</v>
      </c>
      <c r="M11">
        <v>1</v>
      </c>
      <c r="N11">
        <v>225</v>
      </c>
      <c r="O11">
        <v>25</v>
      </c>
      <c r="P11">
        <v>2</v>
      </c>
      <c r="Q11">
        <v>3</v>
      </c>
      <c r="R11">
        <v>500</v>
      </c>
      <c r="S11">
        <v>0</v>
      </c>
      <c r="T11">
        <v>0</v>
      </c>
      <c r="U11">
        <v>0</v>
      </c>
      <c r="V11">
        <v>1</v>
      </c>
      <c r="W11">
        <v>0</v>
      </c>
      <c r="X11">
        <v>24000</v>
      </c>
      <c r="Y11">
        <v>0.81395348837209303</v>
      </c>
      <c r="Z11">
        <v>4</v>
      </c>
      <c r="AA11">
        <v>3</v>
      </c>
      <c r="AB11">
        <v>0</v>
      </c>
      <c r="AC11">
        <v>0</v>
      </c>
      <c r="AD11">
        <v>1</v>
      </c>
      <c r="AE11">
        <v>60</v>
      </c>
      <c r="AF11">
        <v>105000</v>
      </c>
      <c r="AG11">
        <v>2</v>
      </c>
      <c r="AH11">
        <v>25500</v>
      </c>
      <c r="AI11">
        <v>25000</v>
      </c>
      <c r="AJ11">
        <v>5000</v>
      </c>
      <c r="AK11">
        <v>12000</v>
      </c>
      <c r="AL11">
        <v>0</v>
      </c>
      <c r="AM11">
        <v>0</v>
      </c>
    </row>
    <row r="12" spans="1:41">
      <c r="A12">
        <v>13</v>
      </c>
      <c r="B12" t="s">
        <v>36</v>
      </c>
      <c r="C12">
        <v>1</v>
      </c>
      <c r="D12">
        <v>84</v>
      </c>
      <c r="E12">
        <v>1</v>
      </c>
      <c r="F12">
        <v>5</v>
      </c>
      <c r="G12">
        <v>75</v>
      </c>
      <c r="H12">
        <v>5</v>
      </c>
      <c r="I12">
        <v>48</v>
      </c>
      <c r="J12">
        <f t="shared" si="0"/>
        <v>78.78</v>
      </c>
      <c r="K12">
        <v>78780</v>
      </c>
      <c r="L12">
        <v>1</v>
      </c>
      <c r="M12">
        <v>1</v>
      </c>
      <c r="N12">
        <v>48</v>
      </c>
      <c r="O12">
        <v>6</v>
      </c>
      <c r="P12">
        <v>0</v>
      </c>
      <c r="Q12">
        <v>2</v>
      </c>
      <c r="R12">
        <v>1000</v>
      </c>
      <c r="S12">
        <v>0</v>
      </c>
      <c r="T12">
        <v>0</v>
      </c>
      <c r="U12">
        <v>0</v>
      </c>
      <c r="V12">
        <v>1</v>
      </c>
      <c r="W12">
        <v>0</v>
      </c>
      <c r="X12">
        <v>60000</v>
      </c>
      <c r="Y12">
        <v>0.56766104626026803</v>
      </c>
      <c r="Z12">
        <v>4</v>
      </c>
      <c r="AA12">
        <v>3</v>
      </c>
      <c r="AB12">
        <v>0</v>
      </c>
      <c r="AC12">
        <v>0</v>
      </c>
      <c r="AD12">
        <v>1</v>
      </c>
      <c r="AE12">
        <v>48</v>
      </c>
      <c r="AF12">
        <v>78780</v>
      </c>
      <c r="AG12">
        <v>2</v>
      </c>
      <c r="AH12">
        <v>20150</v>
      </c>
      <c r="AI12">
        <v>0</v>
      </c>
      <c r="AJ12">
        <v>1500</v>
      </c>
      <c r="AK12">
        <v>9200</v>
      </c>
      <c r="AL12">
        <v>0</v>
      </c>
      <c r="AM12">
        <v>0</v>
      </c>
    </row>
    <row r="13" spans="1:41">
      <c r="A13">
        <v>14</v>
      </c>
      <c r="B13" t="s">
        <v>34</v>
      </c>
      <c r="C13">
        <v>1</v>
      </c>
      <c r="D13">
        <v>49</v>
      </c>
      <c r="E13">
        <v>0</v>
      </c>
      <c r="F13">
        <v>4</v>
      </c>
      <c r="G13">
        <v>45</v>
      </c>
      <c r="H13">
        <v>5</v>
      </c>
      <c r="I13">
        <v>54.324999999999996</v>
      </c>
      <c r="J13">
        <f t="shared" si="0"/>
        <v>76.055000000000007</v>
      </c>
      <c r="K13">
        <v>76055</v>
      </c>
      <c r="L13">
        <v>0.4</v>
      </c>
      <c r="M13">
        <v>1</v>
      </c>
      <c r="N13">
        <v>120</v>
      </c>
      <c r="O13">
        <v>16</v>
      </c>
      <c r="P13">
        <v>1</v>
      </c>
      <c r="Q13">
        <v>3</v>
      </c>
      <c r="R13">
        <v>400</v>
      </c>
      <c r="S13">
        <v>0</v>
      </c>
      <c r="T13">
        <v>0</v>
      </c>
      <c r="U13">
        <v>0</v>
      </c>
      <c r="V13">
        <v>0</v>
      </c>
      <c r="W13">
        <v>0</v>
      </c>
      <c r="X13">
        <v>19200</v>
      </c>
      <c r="Y13">
        <v>0.61307484583450889</v>
      </c>
      <c r="Z13">
        <v>4</v>
      </c>
      <c r="AA13">
        <v>3</v>
      </c>
      <c r="AB13">
        <v>0</v>
      </c>
      <c r="AC13">
        <v>0</v>
      </c>
      <c r="AD13">
        <v>1</v>
      </c>
      <c r="AE13">
        <v>21.73</v>
      </c>
      <c r="AF13">
        <v>30422</v>
      </c>
      <c r="AG13">
        <v>2</v>
      </c>
      <c r="AH13">
        <v>14600</v>
      </c>
      <c r="AI13">
        <v>6400</v>
      </c>
      <c r="AJ13">
        <v>1900</v>
      </c>
      <c r="AK13">
        <v>3600</v>
      </c>
      <c r="AL13">
        <v>0</v>
      </c>
      <c r="AM13">
        <v>0</v>
      </c>
    </row>
    <row r="14" spans="1:41">
      <c r="A14">
        <v>15</v>
      </c>
      <c r="B14" t="s">
        <v>36</v>
      </c>
      <c r="C14">
        <v>1</v>
      </c>
      <c r="D14">
        <v>56</v>
      </c>
      <c r="E14">
        <v>1</v>
      </c>
      <c r="F14">
        <v>5</v>
      </c>
      <c r="G14">
        <v>30</v>
      </c>
      <c r="H14">
        <v>3</v>
      </c>
      <c r="I14">
        <v>29</v>
      </c>
      <c r="J14">
        <f t="shared" si="0"/>
        <v>33.75</v>
      </c>
      <c r="K14">
        <v>33750</v>
      </c>
      <c r="L14">
        <v>2</v>
      </c>
      <c r="M14">
        <v>2</v>
      </c>
      <c r="N14">
        <v>96</v>
      </c>
      <c r="O14">
        <v>15</v>
      </c>
      <c r="P14">
        <v>1</v>
      </c>
      <c r="Q14">
        <v>0</v>
      </c>
      <c r="R14">
        <v>1250</v>
      </c>
      <c r="S14">
        <v>0</v>
      </c>
      <c r="T14">
        <v>0</v>
      </c>
      <c r="U14">
        <v>0</v>
      </c>
      <c r="V14">
        <v>1</v>
      </c>
      <c r="W14">
        <v>0</v>
      </c>
      <c r="X14">
        <v>300000</v>
      </c>
      <c r="Y14">
        <v>0.18367346938775511</v>
      </c>
      <c r="Z14">
        <v>4</v>
      </c>
      <c r="AA14">
        <v>1</v>
      </c>
      <c r="AB14">
        <v>0</v>
      </c>
      <c r="AC14">
        <v>0</v>
      </c>
      <c r="AD14">
        <v>1</v>
      </c>
      <c r="AE14">
        <v>58</v>
      </c>
      <c r="AF14">
        <v>67500</v>
      </c>
      <c r="AG14">
        <v>2</v>
      </c>
      <c r="AH14">
        <v>21850</v>
      </c>
      <c r="AI14">
        <v>15000</v>
      </c>
      <c r="AJ14">
        <v>0</v>
      </c>
      <c r="AK14">
        <v>25000</v>
      </c>
      <c r="AL14">
        <v>0</v>
      </c>
      <c r="AM14">
        <v>0</v>
      </c>
    </row>
    <row r="15" spans="1:41">
      <c r="A15">
        <v>16</v>
      </c>
      <c r="B15" t="s">
        <v>36</v>
      </c>
      <c r="C15">
        <v>1</v>
      </c>
      <c r="D15">
        <v>63</v>
      </c>
      <c r="E15">
        <v>0</v>
      </c>
      <c r="F15">
        <v>3</v>
      </c>
      <c r="G15">
        <v>40</v>
      </c>
      <c r="H15">
        <v>7</v>
      </c>
      <c r="I15">
        <v>50</v>
      </c>
      <c r="J15">
        <f t="shared" si="0"/>
        <v>65.142857142857139</v>
      </c>
      <c r="K15">
        <v>65142.857142857145</v>
      </c>
      <c r="L15">
        <v>0.7</v>
      </c>
      <c r="M15">
        <v>1</v>
      </c>
      <c r="N15">
        <v>26</v>
      </c>
      <c r="O15">
        <v>14</v>
      </c>
      <c r="P15">
        <v>0</v>
      </c>
      <c r="Q15">
        <v>4</v>
      </c>
      <c r="R15">
        <v>500</v>
      </c>
      <c r="S15">
        <v>0</v>
      </c>
      <c r="T15">
        <v>0</v>
      </c>
      <c r="U15">
        <v>0</v>
      </c>
      <c r="V15">
        <v>0</v>
      </c>
      <c r="W15">
        <v>0</v>
      </c>
      <c r="X15">
        <v>15000</v>
      </c>
      <c r="Y15">
        <v>0.75247524752475248</v>
      </c>
      <c r="Z15">
        <v>4</v>
      </c>
      <c r="AA15">
        <v>3</v>
      </c>
      <c r="AB15">
        <v>0</v>
      </c>
      <c r="AC15">
        <v>0</v>
      </c>
      <c r="AD15">
        <v>1</v>
      </c>
      <c r="AE15">
        <v>35</v>
      </c>
      <c r="AF15">
        <v>45600</v>
      </c>
      <c r="AG15">
        <v>2</v>
      </c>
      <c r="AH15">
        <v>14350</v>
      </c>
      <c r="AI15">
        <v>0</v>
      </c>
      <c r="AJ15">
        <v>3500</v>
      </c>
      <c r="AK15">
        <v>4500</v>
      </c>
      <c r="AL15">
        <v>0</v>
      </c>
      <c r="AM15">
        <v>0</v>
      </c>
    </row>
    <row r="16" spans="1:41">
      <c r="A16">
        <v>17</v>
      </c>
      <c r="B16" t="s">
        <v>36</v>
      </c>
      <c r="C16">
        <v>1</v>
      </c>
      <c r="D16">
        <v>45</v>
      </c>
      <c r="E16">
        <v>1</v>
      </c>
      <c r="F16">
        <v>6</v>
      </c>
      <c r="G16">
        <v>30</v>
      </c>
      <c r="H16">
        <v>4</v>
      </c>
      <c r="I16">
        <v>50</v>
      </c>
      <c r="J16">
        <f t="shared" si="0"/>
        <v>93.333333333333343</v>
      </c>
      <c r="K16">
        <v>93333.333333333343</v>
      </c>
      <c r="L16">
        <v>1.2</v>
      </c>
      <c r="M16">
        <v>1</v>
      </c>
      <c r="N16">
        <v>72</v>
      </c>
      <c r="O16">
        <v>38</v>
      </c>
      <c r="P16">
        <v>2</v>
      </c>
      <c r="Q16">
        <v>3</v>
      </c>
      <c r="R16">
        <v>200</v>
      </c>
      <c r="S16">
        <v>0</v>
      </c>
      <c r="T16">
        <v>0</v>
      </c>
      <c r="U16">
        <v>0</v>
      </c>
      <c r="V16">
        <v>1</v>
      </c>
      <c r="W16">
        <v>1</v>
      </c>
      <c r="X16">
        <v>11600</v>
      </c>
      <c r="Y16">
        <v>0.90614886731391586</v>
      </c>
      <c r="Z16">
        <v>3</v>
      </c>
      <c r="AA16">
        <v>3</v>
      </c>
      <c r="AB16">
        <v>0</v>
      </c>
      <c r="AC16">
        <v>0</v>
      </c>
      <c r="AD16">
        <v>1</v>
      </c>
      <c r="AE16">
        <v>60</v>
      </c>
      <c r="AF16">
        <v>112000</v>
      </c>
      <c r="AG16">
        <v>2</v>
      </c>
      <c r="AH16">
        <v>33800</v>
      </c>
      <c r="AI16">
        <v>16000</v>
      </c>
      <c r="AJ16">
        <v>1800</v>
      </c>
      <c r="AK16">
        <v>2000</v>
      </c>
      <c r="AL16">
        <v>0</v>
      </c>
      <c r="AM16">
        <v>0</v>
      </c>
    </row>
    <row r="17" spans="1:39">
      <c r="A17">
        <v>24</v>
      </c>
      <c r="B17" t="s">
        <v>34</v>
      </c>
      <c r="C17">
        <v>1</v>
      </c>
      <c r="D17">
        <v>53</v>
      </c>
      <c r="E17">
        <v>0</v>
      </c>
      <c r="F17">
        <v>4</v>
      </c>
      <c r="G17">
        <v>25</v>
      </c>
      <c r="H17">
        <v>2</v>
      </c>
      <c r="I17">
        <v>57.3</v>
      </c>
      <c r="J17">
        <f t="shared" si="0"/>
        <v>138.05600000000001</v>
      </c>
      <c r="K17">
        <v>138056</v>
      </c>
      <c r="L17">
        <v>1</v>
      </c>
      <c r="M17">
        <v>1</v>
      </c>
      <c r="N17">
        <v>27</v>
      </c>
      <c r="O17">
        <v>14</v>
      </c>
      <c r="P17">
        <v>0</v>
      </c>
      <c r="Q17">
        <v>3</v>
      </c>
      <c r="R17">
        <v>500</v>
      </c>
      <c r="S17">
        <v>0</v>
      </c>
      <c r="T17">
        <v>0</v>
      </c>
      <c r="U17">
        <v>0</v>
      </c>
      <c r="V17">
        <v>1</v>
      </c>
      <c r="W17">
        <v>0</v>
      </c>
      <c r="X17">
        <v>36000</v>
      </c>
      <c r="Y17">
        <v>0.79317001424828792</v>
      </c>
      <c r="Z17">
        <v>4</v>
      </c>
      <c r="AA17">
        <v>3</v>
      </c>
      <c r="AB17">
        <v>0</v>
      </c>
      <c r="AC17">
        <v>0</v>
      </c>
      <c r="AD17">
        <v>1</v>
      </c>
      <c r="AE17">
        <v>57.3</v>
      </c>
      <c r="AF17">
        <v>138056</v>
      </c>
      <c r="AG17">
        <v>2</v>
      </c>
      <c r="AH17">
        <v>38110</v>
      </c>
      <c r="AI17">
        <v>0</v>
      </c>
      <c r="AJ17">
        <v>1500</v>
      </c>
      <c r="AK17">
        <v>10000</v>
      </c>
      <c r="AL17">
        <v>0</v>
      </c>
      <c r="AM17">
        <v>0</v>
      </c>
    </row>
    <row r="18" spans="1:39">
      <c r="A18">
        <v>25</v>
      </c>
      <c r="B18" t="s">
        <v>34</v>
      </c>
      <c r="C18">
        <v>1</v>
      </c>
      <c r="D18">
        <v>51</v>
      </c>
      <c r="E18">
        <v>1</v>
      </c>
      <c r="F18">
        <v>4</v>
      </c>
      <c r="G18">
        <v>26</v>
      </c>
      <c r="H18">
        <v>3</v>
      </c>
      <c r="I18">
        <v>52.5</v>
      </c>
      <c r="J18">
        <f t="shared" si="0"/>
        <v>122.185</v>
      </c>
      <c r="K18">
        <v>122185</v>
      </c>
      <c r="L18">
        <v>0.4</v>
      </c>
      <c r="M18">
        <v>1</v>
      </c>
      <c r="N18">
        <v>45</v>
      </c>
      <c r="O18">
        <v>47</v>
      </c>
      <c r="P18">
        <v>1</v>
      </c>
      <c r="Q18">
        <v>2</v>
      </c>
      <c r="R18">
        <v>400</v>
      </c>
      <c r="S18">
        <v>0</v>
      </c>
      <c r="T18">
        <v>0</v>
      </c>
      <c r="U18">
        <v>0</v>
      </c>
      <c r="V18">
        <v>0</v>
      </c>
      <c r="W18">
        <v>0</v>
      </c>
      <c r="X18">
        <v>192000</v>
      </c>
      <c r="Y18">
        <v>0.20290276244011393</v>
      </c>
      <c r="Z18">
        <v>3</v>
      </c>
      <c r="AA18">
        <v>3</v>
      </c>
      <c r="AB18">
        <v>0</v>
      </c>
      <c r="AC18">
        <v>0</v>
      </c>
      <c r="AD18">
        <v>1</v>
      </c>
      <c r="AE18">
        <v>21</v>
      </c>
      <c r="AF18">
        <v>48874</v>
      </c>
      <c r="AG18">
        <v>2</v>
      </c>
      <c r="AH18">
        <v>22348</v>
      </c>
      <c r="AI18">
        <v>6400</v>
      </c>
      <c r="AJ18">
        <v>1200</v>
      </c>
      <c r="AK18">
        <v>4000</v>
      </c>
      <c r="AL18">
        <v>0</v>
      </c>
      <c r="AM18">
        <v>0</v>
      </c>
    </row>
    <row r="19" spans="1:39">
      <c r="A19">
        <v>26</v>
      </c>
      <c r="B19" t="s">
        <v>34</v>
      </c>
      <c r="C19">
        <v>1</v>
      </c>
      <c r="D19">
        <v>51</v>
      </c>
      <c r="E19">
        <v>1</v>
      </c>
      <c r="F19">
        <v>4</v>
      </c>
      <c r="G19">
        <v>26</v>
      </c>
      <c r="H19">
        <v>3</v>
      </c>
      <c r="I19">
        <v>60</v>
      </c>
      <c r="J19">
        <f t="shared" si="0"/>
        <v>127.07</v>
      </c>
      <c r="K19">
        <v>127070</v>
      </c>
      <c r="L19">
        <v>0.5</v>
      </c>
      <c r="M19">
        <v>1</v>
      </c>
      <c r="N19">
        <v>67</v>
      </c>
      <c r="O19">
        <v>10</v>
      </c>
      <c r="P19">
        <v>0</v>
      </c>
      <c r="Q19">
        <v>2</v>
      </c>
      <c r="R19">
        <v>500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4</v>
      </c>
      <c r="AA19">
        <v>3</v>
      </c>
      <c r="AB19">
        <v>0</v>
      </c>
      <c r="AC19">
        <v>0</v>
      </c>
      <c r="AD19">
        <v>1</v>
      </c>
      <c r="AE19">
        <v>30</v>
      </c>
      <c r="AF19">
        <v>63535</v>
      </c>
      <c r="AG19">
        <v>2</v>
      </c>
      <c r="AH19">
        <v>13500</v>
      </c>
      <c r="AI19">
        <v>0</v>
      </c>
      <c r="AJ19">
        <v>1200</v>
      </c>
      <c r="AK19">
        <v>5000</v>
      </c>
      <c r="AL19">
        <v>0</v>
      </c>
      <c r="AM19">
        <v>0</v>
      </c>
    </row>
    <row r="20" spans="1:39">
      <c r="A20">
        <v>27</v>
      </c>
      <c r="B20" t="s">
        <v>34</v>
      </c>
      <c r="C20">
        <v>1</v>
      </c>
      <c r="D20">
        <v>63</v>
      </c>
      <c r="E20">
        <v>0</v>
      </c>
      <c r="F20">
        <v>3</v>
      </c>
      <c r="G20">
        <v>44</v>
      </c>
      <c r="H20">
        <v>2</v>
      </c>
      <c r="I20">
        <v>54.466666666666669</v>
      </c>
      <c r="J20">
        <f t="shared" si="0"/>
        <v>118.83466666666668</v>
      </c>
      <c r="K20">
        <v>118834.66666666667</v>
      </c>
      <c r="L20">
        <v>1.5</v>
      </c>
      <c r="M20">
        <v>2</v>
      </c>
      <c r="N20">
        <v>32</v>
      </c>
      <c r="O20">
        <v>17</v>
      </c>
      <c r="P20">
        <v>0</v>
      </c>
      <c r="Q20">
        <v>1.5</v>
      </c>
      <c r="R20">
        <v>1500</v>
      </c>
      <c r="S20">
        <v>15</v>
      </c>
      <c r="T20">
        <v>0</v>
      </c>
      <c r="U20">
        <v>0</v>
      </c>
      <c r="V20">
        <v>1</v>
      </c>
      <c r="W20">
        <v>1</v>
      </c>
      <c r="X20">
        <v>146400</v>
      </c>
      <c r="Y20">
        <v>0.54905560415460242</v>
      </c>
      <c r="Z20">
        <v>4</v>
      </c>
      <c r="AA20">
        <v>3</v>
      </c>
      <c r="AB20">
        <v>0</v>
      </c>
      <c r="AC20">
        <v>0</v>
      </c>
      <c r="AD20">
        <v>1</v>
      </c>
      <c r="AE20">
        <v>81.7</v>
      </c>
      <c r="AF20">
        <v>178252</v>
      </c>
      <c r="AG20">
        <v>2</v>
      </c>
      <c r="AH20">
        <v>45380</v>
      </c>
      <c r="AI20">
        <v>0</v>
      </c>
      <c r="AJ20">
        <v>3000</v>
      </c>
      <c r="AK20">
        <v>15000</v>
      </c>
      <c r="AL20">
        <v>1650</v>
      </c>
      <c r="AM20">
        <v>0</v>
      </c>
    </row>
    <row r="21" spans="1:39">
      <c r="A21">
        <v>28</v>
      </c>
      <c r="B21" t="s">
        <v>34</v>
      </c>
      <c r="C21">
        <v>1</v>
      </c>
      <c r="D21">
        <v>67</v>
      </c>
      <c r="E21">
        <v>0</v>
      </c>
      <c r="F21">
        <v>3</v>
      </c>
      <c r="G21">
        <v>46</v>
      </c>
      <c r="H21">
        <v>4</v>
      </c>
      <c r="I21">
        <v>37.5</v>
      </c>
      <c r="J21">
        <f t="shared" si="0"/>
        <v>80.22</v>
      </c>
      <c r="K21">
        <v>80220</v>
      </c>
      <c r="L21">
        <v>0.6</v>
      </c>
      <c r="M21">
        <v>1</v>
      </c>
      <c r="N21">
        <v>79</v>
      </c>
      <c r="O21">
        <v>14</v>
      </c>
      <c r="P21">
        <v>0</v>
      </c>
      <c r="Q21">
        <v>4</v>
      </c>
      <c r="R21">
        <v>500</v>
      </c>
      <c r="S21">
        <v>0</v>
      </c>
      <c r="T21">
        <v>0</v>
      </c>
      <c r="U21">
        <v>0</v>
      </c>
      <c r="V21">
        <v>1</v>
      </c>
      <c r="W21">
        <v>0</v>
      </c>
      <c r="X21">
        <v>191320</v>
      </c>
      <c r="Y21">
        <v>0.20100897048260194</v>
      </c>
      <c r="Z21">
        <v>4</v>
      </c>
      <c r="AA21">
        <v>3</v>
      </c>
      <c r="AB21">
        <v>0</v>
      </c>
      <c r="AC21">
        <v>0</v>
      </c>
      <c r="AD21">
        <v>1</v>
      </c>
      <c r="AE21">
        <v>22.5</v>
      </c>
      <c r="AF21">
        <v>48132</v>
      </c>
      <c r="AG21">
        <v>1</v>
      </c>
      <c r="AH21">
        <v>10850</v>
      </c>
      <c r="AI21">
        <v>0</v>
      </c>
      <c r="AJ21">
        <v>3000</v>
      </c>
      <c r="AK21">
        <v>5000</v>
      </c>
      <c r="AL21">
        <v>0</v>
      </c>
      <c r="AM21">
        <v>0</v>
      </c>
    </row>
    <row r="22" spans="1:39">
      <c r="A22">
        <v>29</v>
      </c>
      <c r="B22" t="s">
        <v>34</v>
      </c>
      <c r="C22">
        <v>1</v>
      </c>
      <c r="D22">
        <v>71</v>
      </c>
      <c r="E22">
        <v>1</v>
      </c>
      <c r="F22">
        <v>1</v>
      </c>
      <c r="G22">
        <v>56</v>
      </c>
      <c r="H22">
        <v>5</v>
      </c>
      <c r="I22">
        <v>53.70000000000001</v>
      </c>
      <c r="J22">
        <f t="shared" si="0"/>
        <v>107.62142857142858</v>
      </c>
      <c r="K22">
        <v>107621.42857142858</v>
      </c>
      <c r="L22">
        <v>0.7</v>
      </c>
      <c r="M22">
        <v>1</v>
      </c>
      <c r="N22">
        <v>90</v>
      </c>
      <c r="O22">
        <v>32</v>
      </c>
      <c r="P22">
        <v>0</v>
      </c>
      <c r="Q22">
        <v>4</v>
      </c>
      <c r="R22">
        <v>1500</v>
      </c>
      <c r="S22">
        <v>0</v>
      </c>
      <c r="T22">
        <v>0</v>
      </c>
      <c r="U22">
        <v>0</v>
      </c>
      <c r="V22">
        <v>1</v>
      </c>
      <c r="W22">
        <v>0</v>
      </c>
      <c r="X22">
        <v>195200</v>
      </c>
      <c r="Y22">
        <v>0.27846674182638104</v>
      </c>
      <c r="Z22">
        <v>4</v>
      </c>
      <c r="AA22">
        <v>3</v>
      </c>
      <c r="AB22">
        <v>0</v>
      </c>
      <c r="AC22">
        <v>0</v>
      </c>
      <c r="AD22">
        <v>1</v>
      </c>
      <c r="AE22">
        <v>37.590000000000003</v>
      </c>
      <c r="AF22">
        <v>75335</v>
      </c>
      <c r="AG22">
        <v>2</v>
      </c>
      <c r="AH22">
        <v>33850</v>
      </c>
      <c r="AI22">
        <v>0</v>
      </c>
      <c r="AJ22">
        <v>1200</v>
      </c>
      <c r="AK22">
        <v>16500</v>
      </c>
      <c r="AL22">
        <v>0</v>
      </c>
      <c r="AM22">
        <v>0</v>
      </c>
    </row>
    <row r="23" spans="1:39">
      <c r="A23">
        <v>36</v>
      </c>
      <c r="B23" t="s">
        <v>34</v>
      </c>
      <c r="C23">
        <v>1</v>
      </c>
      <c r="D23">
        <v>66</v>
      </c>
      <c r="E23">
        <v>0</v>
      </c>
      <c r="F23">
        <v>5</v>
      </c>
      <c r="G23">
        <v>39</v>
      </c>
      <c r="H23">
        <v>2</v>
      </c>
      <c r="I23">
        <v>60</v>
      </c>
      <c r="J23">
        <f t="shared" si="0"/>
        <v>112</v>
      </c>
      <c r="K23">
        <v>112000</v>
      </c>
      <c r="L23">
        <v>4.5</v>
      </c>
      <c r="M23">
        <v>3</v>
      </c>
      <c r="N23">
        <v>70</v>
      </c>
      <c r="O23">
        <v>214</v>
      </c>
      <c r="P23">
        <v>0</v>
      </c>
      <c r="Q23">
        <v>8</v>
      </c>
      <c r="R23">
        <v>2500</v>
      </c>
      <c r="S23">
        <v>0</v>
      </c>
      <c r="T23">
        <v>0</v>
      </c>
      <c r="U23">
        <v>0</v>
      </c>
      <c r="V23">
        <v>1</v>
      </c>
      <c r="W23">
        <v>0</v>
      </c>
      <c r="X23">
        <v>114000</v>
      </c>
      <c r="Y23">
        <v>0.81553398058252424</v>
      </c>
      <c r="Z23">
        <v>3</v>
      </c>
      <c r="AA23">
        <v>3</v>
      </c>
      <c r="AB23">
        <v>0</v>
      </c>
      <c r="AC23">
        <v>0</v>
      </c>
      <c r="AD23">
        <v>1</v>
      </c>
      <c r="AE23">
        <v>270</v>
      </c>
      <c r="AF23">
        <v>504000</v>
      </c>
      <c r="AG23">
        <v>2</v>
      </c>
      <c r="AH23">
        <v>112100</v>
      </c>
      <c r="AI23">
        <v>0</v>
      </c>
      <c r="AJ23">
        <v>2000</v>
      </c>
      <c r="AK23">
        <v>250000</v>
      </c>
      <c r="AL23">
        <v>0</v>
      </c>
      <c r="AM23">
        <v>0</v>
      </c>
    </row>
    <row r="24" spans="1:39">
      <c r="A24">
        <v>37</v>
      </c>
      <c r="B24" t="s">
        <v>34</v>
      </c>
      <c r="C24">
        <v>1</v>
      </c>
      <c r="D24">
        <v>54</v>
      </c>
      <c r="E24">
        <v>0</v>
      </c>
      <c r="F24">
        <v>6</v>
      </c>
      <c r="G24">
        <v>5</v>
      </c>
      <c r="H24">
        <v>5</v>
      </c>
      <c r="I24">
        <v>44</v>
      </c>
      <c r="J24">
        <f t="shared" si="0"/>
        <v>61.6</v>
      </c>
      <c r="K24">
        <v>61600</v>
      </c>
      <c r="L24">
        <v>0.5</v>
      </c>
      <c r="M24">
        <v>1</v>
      </c>
      <c r="N24">
        <v>28</v>
      </c>
      <c r="O24">
        <v>32</v>
      </c>
      <c r="P24">
        <v>0</v>
      </c>
      <c r="Q24">
        <v>2</v>
      </c>
      <c r="R24">
        <v>400</v>
      </c>
      <c r="S24">
        <v>0</v>
      </c>
      <c r="T24">
        <v>0</v>
      </c>
      <c r="U24">
        <v>0</v>
      </c>
      <c r="V24">
        <v>1</v>
      </c>
      <c r="W24">
        <v>0</v>
      </c>
      <c r="X24">
        <v>44400</v>
      </c>
      <c r="Y24">
        <v>0.40957446808510639</v>
      </c>
      <c r="Z24">
        <v>3</v>
      </c>
      <c r="AA24">
        <v>3</v>
      </c>
      <c r="AB24">
        <v>0</v>
      </c>
      <c r="AC24">
        <v>0</v>
      </c>
      <c r="AD24">
        <v>1</v>
      </c>
      <c r="AE24">
        <v>22</v>
      </c>
      <c r="AF24">
        <v>30800</v>
      </c>
      <c r="AG24">
        <v>2</v>
      </c>
      <c r="AH24">
        <v>10100</v>
      </c>
      <c r="AI24">
        <v>0</v>
      </c>
      <c r="AJ24">
        <v>1600</v>
      </c>
      <c r="AK24">
        <v>4240</v>
      </c>
      <c r="AL24">
        <v>0</v>
      </c>
      <c r="AM24">
        <v>0</v>
      </c>
    </row>
    <row r="25" spans="1:39">
      <c r="A25">
        <v>38</v>
      </c>
      <c r="B25" t="s">
        <v>34</v>
      </c>
      <c r="C25">
        <v>1</v>
      </c>
      <c r="D25">
        <v>48</v>
      </c>
      <c r="E25">
        <v>1</v>
      </c>
      <c r="F25">
        <v>4</v>
      </c>
      <c r="G25">
        <v>31</v>
      </c>
      <c r="H25">
        <v>3</v>
      </c>
      <c r="I25">
        <v>37.5</v>
      </c>
      <c r="J25">
        <f t="shared" si="0"/>
        <v>61.25</v>
      </c>
      <c r="K25">
        <v>61250</v>
      </c>
      <c r="L25">
        <v>0.8</v>
      </c>
      <c r="M25">
        <v>1</v>
      </c>
      <c r="N25">
        <v>15</v>
      </c>
      <c r="O25">
        <v>20</v>
      </c>
      <c r="P25">
        <v>0</v>
      </c>
      <c r="Q25">
        <v>2</v>
      </c>
      <c r="R25">
        <v>500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3</v>
      </c>
      <c r="AA25">
        <v>3</v>
      </c>
      <c r="AB25">
        <v>0</v>
      </c>
      <c r="AC25">
        <v>3</v>
      </c>
      <c r="AD25">
        <v>1</v>
      </c>
      <c r="AE25">
        <v>30</v>
      </c>
      <c r="AF25">
        <v>49000</v>
      </c>
      <c r="AG25">
        <v>2</v>
      </c>
      <c r="AH25">
        <v>14500</v>
      </c>
      <c r="AI25">
        <v>0</v>
      </c>
      <c r="AJ25">
        <v>1000</v>
      </c>
      <c r="AK25">
        <v>5000</v>
      </c>
      <c r="AL25">
        <v>700</v>
      </c>
      <c r="AM25">
        <v>0</v>
      </c>
    </row>
    <row r="26" spans="1:39">
      <c r="A26">
        <v>39</v>
      </c>
      <c r="B26" t="s">
        <v>34</v>
      </c>
      <c r="C26">
        <v>1</v>
      </c>
      <c r="D26">
        <v>52</v>
      </c>
      <c r="E26">
        <v>1</v>
      </c>
      <c r="F26">
        <v>6</v>
      </c>
      <c r="G26">
        <v>30</v>
      </c>
      <c r="H26">
        <v>3</v>
      </c>
      <c r="I26">
        <v>60.909090909090907</v>
      </c>
      <c r="J26">
        <f t="shared" si="0"/>
        <v>111.99999999999999</v>
      </c>
      <c r="K26">
        <v>111999.99999999999</v>
      </c>
      <c r="L26">
        <v>1.1000000000000001</v>
      </c>
      <c r="M26">
        <v>1</v>
      </c>
      <c r="N26">
        <v>5</v>
      </c>
      <c r="O26">
        <v>20</v>
      </c>
      <c r="P26">
        <v>0</v>
      </c>
      <c r="Q26">
        <v>2</v>
      </c>
      <c r="R26">
        <v>1100</v>
      </c>
      <c r="S26">
        <v>2</v>
      </c>
      <c r="T26">
        <v>0</v>
      </c>
      <c r="U26">
        <v>0</v>
      </c>
      <c r="V26">
        <v>1</v>
      </c>
      <c r="W26">
        <v>0</v>
      </c>
      <c r="X26">
        <v>132000</v>
      </c>
      <c r="Y26">
        <v>0.48275862068965519</v>
      </c>
      <c r="Z26">
        <v>3</v>
      </c>
      <c r="AA26">
        <v>3</v>
      </c>
      <c r="AB26">
        <v>0</v>
      </c>
      <c r="AC26">
        <v>3</v>
      </c>
      <c r="AD26">
        <v>1</v>
      </c>
      <c r="AE26">
        <v>67</v>
      </c>
      <c r="AF26">
        <v>123200</v>
      </c>
      <c r="AG26">
        <v>2</v>
      </c>
      <c r="AH26">
        <v>30170</v>
      </c>
      <c r="AI26">
        <v>0</v>
      </c>
      <c r="AJ26">
        <v>1000</v>
      </c>
      <c r="AK26">
        <v>11000</v>
      </c>
      <c r="AL26">
        <v>1500</v>
      </c>
      <c r="AM26">
        <v>0</v>
      </c>
    </row>
    <row r="27" spans="1:39">
      <c r="A27">
        <v>40</v>
      </c>
      <c r="B27" t="s">
        <v>34</v>
      </c>
      <c r="C27">
        <v>1</v>
      </c>
      <c r="D27">
        <v>72</v>
      </c>
      <c r="E27">
        <v>1</v>
      </c>
      <c r="F27">
        <v>2</v>
      </c>
      <c r="G27">
        <v>45</v>
      </c>
      <c r="H27">
        <v>5</v>
      </c>
      <c r="I27">
        <v>44.444444444444443</v>
      </c>
      <c r="J27">
        <f t="shared" si="0"/>
        <v>64.555555555555557</v>
      </c>
      <c r="K27">
        <v>64555.555555555555</v>
      </c>
      <c r="L27">
        <v>1.8</v>
      </c>
      <c r="M27">
        <v>1</v>
      </c>
      <c r="N27">
        <v>12</v>
      </c>
      <c r="O27">
        <v>16</v>
      </c>
      <c r="P27">
        <v>0</v>
      </c>
      <c r="Q27">
        <v>2</v>
      </c>
      <c r="R27">
        <v>750</v>
      </c>
      <c r="S27">
        <v>5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3</v>
      </c>
      <c r="AA27">
        <v>3</v>
      </c>
      <c r="AB27">
        <v>0</v>
      </c>
      <c r="AC27">
        <v>3</v>
      </c>
      <c r="AD27">
        <v>1</v>
      </c>
      <c r="AE27">
        <v>80</v>
      </c>
      <c r="AF27">
        <v>116200</v>
      </c>
      <c r="AG27">
        <v>2</v>
      </c>
      <c r="AH27">
        <v>46800</v>
      </c>
      <c r="AI27">
        <v>0</v>
      </c>
      <c r="AJ27">
        <v>1000</v>
      </c>
      <c r="AK27">
        <v>7950</v>
      </c>
      <c r="AL27">
        <v>750</v>
      </c>
      <c r="AM27">
        <v>0</v>
      </c>
    </row>
    <row r="28" spans="1:39">
      <c r="A28">
        <v>41</v>
      </c>
      <c r="B28" t="s">
        <v>34</v>
      </c>
      <c r="C28">
        <v>1</v>
      </c>
      <c r="D28">
        <v>56</v>
      </c>
      <c r="E28">
        <v>1</v>
      </c>
      <c r="F28">
        <v>4</v>
      </c>
      <c r="G28">
        <v>25</v>
      </c>
      <c r="H28">
        <v>4</v>
      </c>
      <c r="I28">
        <v>46.875</v>
      </c>
      <c r="J28">
        <f t="shared" si="0"/>
        <v>70.3125</v>
      </c>
      <c r="K28">
        <v>70312.5</v>
      </c>
      <c r="L28">
        <v>0.64</v>
      </c>
      <c r="M28">
        <v>1</v>
      </c>
      <c r="N28">
        <v>12</v>
      </c>
      <c r="O28">
        <v>8</v>
      </c>
      <c r="P28">
        <v>0</v>
      </c>
      <c r="Q28">
        <v>2</v>
      </c>
      <c r="R28">
        <v>600</v>
      </c>
      <c r="S28">
        <v>5</v>
      </c>
      <c r="T28">
        <v>0</v>
      </c>
      <c r="U28">
        <v>0</v>
      </c>
      <c r="V28">
        <v>0</v>
      </c>
      <c r="W28">
        <v>0</v>
      </c>
      <c r="X28">
        <v>277620</v>
      </c>
      <c r="Y28">
        <v>0.13948298307606471</v>
      </c>
      <c r="Z28">
        <v>3</v>
      </c>
      <c r="AA28">
        <v>3</v>
      </c>
      <c r="AB28">
        <v>0</v>
      </c>
      <c r="AC28">
        <v>3</v>
      </c>
      <c r="AD28">
        <v>1</v>
      </c>
      <c r="AE28">
        <v>30</v>
      </c>
      <c r="AF28">
        <v>45000</v>
      </c>
      <c r="AG28">
        <v>2</v>
      </c>
      <c r="AH28">
        <v>10000</v>
      </c>
      <c r="AI28">
        <v>0</v>
      </c>
      <c r="AJ28">
        <v>800</v>
      </c>
      <c r="AK28">
        <v>6240</v>
      </c>
      <c r="AL28">
        <v>750</v>
      </c>
      <c r="AM28">
        <v>0</v>
      </c>
    </row>
    <row r="29" spans="1:39">
      <c r="A29">
        <v>42</v>
      </c>
      <c r="B29" t="s">
        <v>34</v>
      </c>
      <c r="C29">
        <v>1</v>
      </c>
      <c r="D29">
        <v>41</v>
      </c>
      <c r="E29">
        <v>0</v>
      </c>
      <c r="F29">
        <v>6</v>
      </c>
      <c r="G29">
        <v>9</v>
      </c>
      <c r="H29">
        <v>5</v>
      </c>
      <c r="I29">
        <v>35</v>
      </c>
      <c r="J29">
        <f t="shared" si="0"/>
        <v>61.5</v>
      </c>
      <c r="K29">
        <v>61500</v>
      </c>
      <c r="L29">
        <v>0.8</v>
      </c>
      <c r="M29">
        <v>1</v>
      </c>
      <c r="N29">
        <v>18</v>
      </c>
      <c r="O29">
        <v>36</v>
      </c>
      <c r="P29">
        <v>0</v>
      </c>
      <c r="Q29">
        <v>0</v>
      </c>
      <c r="R29">
        <v>400</v>
      </c>
      <c r="S29">
        <v>0</v>
      </c>
      <c r="T29">
        <v>0</v>
      </c>
      <c r="U29">
        <v>0</v>
      </c>
      <c r="V29">
        <v>0</v>
      </c>
      <c r="W29">
        <v>1</v>
      </c>
      <c r="X29">
        <v>240000</v>
      </c>
      <c r="Y29">
        <v>0.17012448132780084</v>
      </c>
      <c r="Z29">
        <v>3</v>
      </c>
      <c r="AA29">
        <v>3</v>
      </c>
      <c r="AB29">
        <v>0</v>
      </c>
      <c r="AC29">
        <v>0</v>
      </c>
      <c r="AD29">
        <v>1</v>
      </c>
      <c r="AE29">
        <v>28</v>
      </c>
      <c r="AF29">
        <v>49200</v>
      </c>
      <c r="AG29">
        <v>3</v>
      </c>
      <c r="AH29">
        <v>15160</v>
      </c>
      <c r="AI29">
        <v>0</v>
      </c>
      <c r="AJ29">
        <v>0</v>
      </c>
      <c r="AK29">
        <v>8800</v>
      </c>
      <c r="AL29">
        <v>0</v>
      </c>
      <c r="AM29">
        <v>0</v>
      </c>
    </row>
    <row r="30" spans="1:39">
      <c r="A30">
        <v>43</v>
      </c>
      <c r="B30" t="s">
        <v>47</v>
      </c>
      <c r="C30">
        <v>1</v>
      </c>
      <c r="D30">
        <v>69</v>
      </c>
      <c r="E30">
        <v>0</v>
      </c>
      <c r="F30">
        <v>4</v>
      </c>
      <c r="G30">
        <v>51</v>
      </c>
      <c r="H30">
        <v>2</v>
      </c>
      <c r="I30">
        <v>60</v>
      </c>
      <c r="J30">
        <f t="shared" si="0"/>
        <v>93.333333333333329</v>
      </c>
      <c r="K30">
        <v>93333.333333333328</v>
      </c>
      <c r="L30">
        <v>3</v>
      </c>
      <c r="M30">
        <v>3</v>
      </c>
      <c r="N30">
        <v>12</v>
      </c>
      <c r="O30">
        <v>44</v>
      </c>
      <c r="P30">
        <v>0</v>
      </c>
      <c r="Q30">
        <v>2</v>
      </c>
      <c r="R30">
        <v>1200</v>
      </c>
      <c r="S30">
        <v>18</v>
      </c>
      <c r="T30">
        <v>0</v>
      </c>
      <c r="U30">
        <v>0</v>
      </c>
      <c r="V30">
        <v>1</v>
      </c>
      <c r="W30">
        <v>0</v>
      </c>
      <c r="X30">
        <v>72000</v>
      </c>
      <c r="Y30">
        <v>0.79545454545454541</v>
      </c>
      <c r="AH30">
        <f>3440+69000</f>
        <v>72440</v>
      </c>
      <c r="AI30">
        <v>0</v>
      </c>
      <c r="AJ30">
        <v>1000</v>
      </c>
      <c r="AK30">
        <v>24000</v>
      </c>
      <c r="AL30">
        <v>7500</v>
      </c>
      <c r="AM30">
        <v>0</v>
      </c>
    </row>
    <row r="31" spans="1:39">
      <c r="A31">
        <v>44</v>
      </c>
      <c r="B31" t="s">
        <v>34</v>
      </c>
      <c r="C31">
        <v>1</v>
      </c>
      <c r="D31">
        <v>45</v>
      </c>
      <c r="E31">
        <v>1</v>
      </c>
      <c r="F31">
        <v>1</v>
      </c>
      <c r="G31">
        <v>5</v>
      </c>
      <c r="H31">
        <v>1</v>
      </c>
      <c r="I31">
        <v>37.5</v>
      </c>
      <c r="J31">
        <f t="shared" si="0"/>
        <v>61.25</v>
      </c>
      <c r="K31">
        <v>61250</v>
      </c>
      <c r="L31">
        <v>0.8</v>
      </c>
      <c r="M31">
        <v>1</v>
      </c>
      <c r="N31">
        <v>25</v>
      </c>
      <c r="O31">
        <v>28</v>
      </c>
      <c r="P31">
        <v>0</v>
      </c>
      <c r="Q31">
        <v>2</v>
      </c>
      <c r="R31">
        <v>500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3</v>
      </c>
      <c r="AA31">
        <v>3</v>
      </c>
      <c r="AB31">
        <v>0</v>
      </c>
      <c r="AC31">
        <v>0</v>
      </c>
      <c r="AD31">
        <v>1</v>
      </c>
      <c r="AE31">
        <v>30</v>
      </c>
      <c r="AF31">
        <v>49000</v>
      </c>
      <c r="AG31">
        <v>2</v>
      </c>
      <c r="AH31">
        <v>12250</v>
      </c>
      <c r="AI31">
        <v>0</v>
      </c>
      <c r="AJ31">
        <v>1000</v>
      </c>
      <c r="AK31">
        <v>5300</v>
      </c>
      <c r="AL31">
        <v>0</v>
      </c>
      <c r="AM31">
        <v>0</v>
      </c>
    </row>
    <row r="32" spans="1:39">
      <c r="A32">
        <v>49</v>
      </c>
      <c r="B32" t="s">
        <v>38</v>
      </c>
      <c r="C32">
        <v>1</v>
      </c>
      <c r="D32">
        <v>70</v>
      </c>
      <c r="E32">
        <v>0</v>
      </c>
      <c r="F32">
        <v>2</v>
      </c>
      <c r="G32">
        <v>49</v>
      </c>
      <c r="H32">
        <v>8</v>
      </c>
      <c r="I32">
        <v>50</v>
      </c>
      <c r="J32">
        <f t="shared" si="0"/>
        <v>67.2</v>
      </c>
      <c r="K32">
        <v>67200</v>
      </c>
      <c r="L32">
        <v>1</v>
      </c>
      <c r="M32">
        <v>1</v>
      </c>
      <c r="N32">
        <v>22.5</v>
      </c>
      <c r="O32">
        <v>60</v>
      </c>
      <c r="P32">
        <v>0</v>
      </c>
      <c r="Q32">
        <v>1</v>
      </c>
      <c r="R32">
        <v>2250</v>
      </c>
      <c r="S32">
        <v>0</v>
      </c>
      <c r="T32">
        <v>0</v>
      </c>
      <c r="U32">
        <v>0</v>
      </c>
      <c r="V32">
        <v>1</v>
      </c>
      <c r="W32">
        <v>0</v>
      </c>
      <c r="X32">
        <v>81000</v>
      </c>
      <c r="Y32">
        <v>0.45344129554655871</v>
      </c>
      <c r="Z32">
        <v>3</v>
      </c>
      <c r="AA32">
        <v>3</v>
      </c>
      <c r="AB32">
        <v>0</v>
      </c>
      <c r="AC32">
        <v>0</v>
      </c>
      <c r="AD32">
        <v>1</v>
      </c>
      <c r="AE32">
        <v>50</v>
      </c>
      <c r="AF32">
        <v>67200</v>
      </c>
      <c r="AG32">
        <v>2</v>
      </c>
      <c r="AH32">
        <v>21600</v>
      </c>
      <c r="AI32">
        <v>0</v>
      </c>
      <c r="AJ32">
        <v>1200</v>
      </c>
      <c r="AK32">
        <v>24000</v>
      </c>
      <c r="AL32">
        <v>0</v>
      </c>
      <c r="AM32">
        <v>0</v>
      </c>
    </row>
    <row r="33" spans="1:39">
      <c r="A33">
        <v>52</v>
      </c>
      <c r="B33" t="s">
        <v>38</v>
      </c>
      <c r="C33">
        <v>1</v>
      </c>
      <c r="D33">
        <v>40</v>
      </c>
      <c r="E33">
        <v>0</v>
      </c>
      <c r="F33">
        <v>2</v>
      </c>
      <c r="G33">
        <v>21</v>
      </c>
      <c r="H33">
        <v>8</v>
      </c>
      <c r="I33">
        <v>78</v>
      </c>
      <c r="J33">
        <f t="shared" si="0"/>
        <v>127.6</v>
      </c>
      <c r="K33">
        <v>127600</v>
      </c>
      <c r="L33">
        <v>0.5</v>
      </c>
      <c r="M33">
        <v>1</v>
      </c>
      <c r="N33">
        <v>58</v>
      </c>
      <c r="O33">
        <v>30</v>
      </c>
      <c r="P33">
        <v>1</v>
      </c>
      <c r="Q33">
        <v>0.5</v>
      </c>
      <c r="R33">
        <v>600</v>
      </c>
      <c r="S33">
        <v>0</v>
      </c>
      <c r="T33">
        <v>0</v>
      </c>
      <c r="U33">
        <v>0</v>
      </c>
      <c r="V33">
        <v>1</v>
      </c>
      <c r="W33">
        <v>0</v>
      </c>
      <c r="X33">
        <v>673920</v>
      </c>
      <c r="Y33">
        <v>8.6482676354172311E-2</v>
      </c>
      <c r="Z33">
        <v>3</v>
      </c>
      <c r="AA33">
        <v>3</v>
      </c>
      <c r="AB33">
        <v>0</v>
      </c>
      <c r="AC33">
        <v>0</v>
      </c>
      <c r="AD33">
        <v>1</v>
      </c>
      <c r="AE33">
        <v>39</v>
      </c>
      <c r="AF33">
        <v>63800</v>
      </c>
      <c r="AG33">
        <v>2</v>
      </c>
      <c r="AH33">
        <v>13500</v>
      </c>
      <c r="AI33">
        <v>2600</v>
      </c>
      <c r="AJ33">
        <v>450</v>
      </c>
      <c r="AK33">
        <v>5940</v>
      </c>
      <c r="AL33">
        <v>0</v>
      </c>
      <c r="AM33">
        <v>0</v>
      </c>
    </row>
    <row r="34" spans="1:39">
      <c r="A34">
        <v>54</v>
      </c>
      <c r="B34" t="s">
        <v>38</v>
      </c>
      <c r="C34">
        <v>1</v>
      </c>
      <c r="D34">
        <v>61</v>
      </c>
      <c r="E34">
        <v>1</v>
      </c>
      <c r="F34">
        <v>2</v>
      </c>
      <c r="G34">
        <v>44</v>
      </c>
      <c r="H34">
        <v>4</v>
      </c>
      <c r="I34">
        <v>50</v>
      </c>
      <c r="J34">
        <f t="shared" si="0"/>
        <v>84</v>
      </c>
      <c r="K34">
        <v>84000</v>
      </c>
      <c r="L34">
        <v>1</v>
      </c>
      <c r="M34">
        <v>2</v>
      </c>
      <c r="N34">
        <v>62.5</v>
      </c>
      <c r="O34">
        <v>52</v>
      </c>
      <c r="P34">
        <v>0</v>
      </c>
      <c r="Q34">
        <v>4</v>
      </c>
      <c r="R34">
        <v>1000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1</v>
      </c>
      <c r="Z34">
        <v>5</v>
      </c>
      <c r="AA34">
        <v>4</v>
      </c>
      <c r="AB34">
        <v>0</v>
      </c>
      <c r="AC34">
        <v>0</v>
      </c>
      <c r="AD34">
        <v>1</v>
      </c>
      <c r="AE34">
        <v>50</v>
      </c>
      <c r="AF34">
        <v>84000</v>
      </c>
      <c r="AG34">
        <v>3</v>
      </c>
      <c r="AH34">
        <v>17600</v>
      </c>
      <c r="AI34">
        <v>0</v>
      </c>
      <c r="AJ34">
        <v>2400</v>
      </c>
      <c r="AK34">
        <v>10160</v>
      </c>
      <c r="AL34">
        <v>0</v>
      </c>
      <c r="AM34">
        <v>0</v>
      </c>
    </row>
    <row r="35" spans="1:39">
      <c r="A35">
        <v>55</v>
      </c>
      <c r="B35" t="s">
        <v>38</v>
      </c>
      <c r="C35">
        <v>1</v>
      </c>
      <c r="D35">
        <v>47</v>
      </c>
      <c r="E35">
        <v>0</v>
      </c>
      <c r="F35">
        <v>4</v>
      </c>
      <c r="G35">
        <v>8</v>
      </c>
      <c r="H35">
        <v>5</v>
      </c>
      <c r="I35">
        <v>52.857142857142861</v>
      </c>
      <c r="J35">
        <f t="shared" si="0"/>
        <v>80.714285714285722</v>
      </c>
      <c r="K35">
        <v>80714.285714285725</v>
      </c>
      <c r="L35">
        <v>0.7</v>
      </c>
      <c r="M35">
        <v>1</v>
      </c>
      <c r="N35">
        <v>144</v>
      </c>
      <c r="O35">
        <v>55</v>
      </c>
      <c r="P35">
        <v>0</v>
      </c>
      <c r="Q35">
        <v>2</v>
      </c>
      <c r="R35">
        <v>750</v>
      </c>
      <c r="S35">
        <v>0</v>
      </c>
      <c r="T35">
        <v>0</v>
      </c>
      <c r="U35">
        <v>0</v>
      </c>
      <c r="V35">
        <v>1</v>
      </c>
      <c r="W35">
        <v>0</v>
      </c>
      <c r="X35">
        <v>64000</v>
      </c>
      <c r="Y35">
        <v>0.46887966804979253</v>
      </c>
      <c r="Z35">
        <v>4</v>
      </c>
      <c r="AA35">
        <v>3</v>
      </c>
      <c r="AB35">
        <v>0</v>
      </c>
      <c r="AC35">
        <v>0</v>
      </c>
      <c r="AD35">
        <v>1</v>
      </c>
      <c r="AE35">
        <v>37</v>
      </c>
      <c r="AF35">
        <v>56500</v>
      </c>
      <c r="AG35">
        <v>2</v>
      </c>
      <c r="AH35">
        <v>20560</v>
      </c>
      <c r="AI35">
        <v>0</v>
      </c>
      <c r="AJ35">
        <v>1200</v>
      </c>
      <c r="AK35">
        <v>11876</v>
      </c>
      <c r="AL35">
        <v>0</v>
      </c>
      <c r="AM35">
        <v>0</v>
      </c>
    </row>
    <row r="36" spans="1:39">
      <c r="A36">
        <v>56</v>
      </c>
      <c r="B36" t="s">
        <v>38</v>
      </c>
      <c r="C36">
        <v>1</v>
      </c>
      <c r="D36">
        <v>43</v>
      </c>
      <c r="E36">
        <v>1</v>
      </c>
      <c r="F36">
        <v>5</v>
      </c>
      <c r="G36">
        <v>20</v>
      </c>
      <c r="H36">
        <v>7</v>
      </c>
      <c r="I36">
        <v>66.666666666666671</v>
      </c>
      <c r="J36">
        <f t="shared" si="0"/>
        <v>98</v>
      </c>
      <c r="K36">
        <v>98000</v>
      </c>
      <c r="L36">
        <v>1.5</v>
      </c>
      <c r="M36">
        <v>1</v>
      </c>
      <c r="N36">
        <v>69.5</v>
      </c>
      <c r="O36">
        <v>96</v>
      </c>
      <c r="P36">
        <v>5</v>
      </c>
      <c r="Q36">
        <v>20</v>
      </c>
      <c r="R36">
        <v>2250</v>
      </c>
      <c r="S36">
        <v>0</v>
      </c>
      <c r="T36">
        <v>0</v>
      </c>
      <c r="U36">
        <v>0</v>
      </c>
      <c r="V36">
        <v>1</v>
      </c>
      <c r="W36">
        <v>1</v>
      </c>
      <c r="X36">
        <v>120000</v>
      </c>
      <c r="Y36">
        <v>0.550561797752809</v>
      </c>
      <c r="Z36">
        <v>3</v>
      </c>
      <c r="AA36">
        <v>3</v>
      </c>
      <c r="AB36">
        <v>0</v>
      </c>
      <c r="AC36">
        <v>0</v>
      </c>
      <c r="AD36">
        <v>1</v>
      </c>
      <c r="AE36">
        <v>100</v>
      </c>
      <c r="AF36">
        <v>147000</v>
      </c>
      <c r="AG36">
        <v>2</v>
      </c>
      <c r="AH36">
        <v>34200</v>
      </c>
      <c r="AI36">
        <v>4000</v>
      </c>
      <c r="AJ36">
        <v>0</v>
      </c>
      <c r="AK36">
        <v>24100</v>
      </c>
      <c r="AL36">
        <v>0</v>
      </c>
      <c r="AM36">
        <v>0</v>
      </c>
    </row>
    <row r="37" spans="1:39">
      <c r="A37">
        <v>57</v>
      </c>
      <c r="B37" t="s">
        <v>38</v>
      </c>
      <c r="C37">
        <v>1</v>
      </c>
      <c r="D37">
        <v>74</v>
      </c>
      <c r="E37">
        <v>0</v>
      </c>
      <c r="F37">
        <v>1</v>
      </c>
      <c r="G37">
        <v>60</v>
      </c>
      <c r="H37">
        <v>5</v>
      </c>
      <c r="I37">
        <v>65.333333333333329</v>
      </c>
      <c r="J37">
        <f t="shared" si="0"/>
        <v>46.805333333333337</v>
      </c>
      <c r="K37">
        <v>46805.333333333336</v>
      </c>
      <c r="L37">
        <v>1.5</v>
      </c>
      <c r="M37">
        <v>1</v>
      </c>
      <c r="N37">
        <v>559.5</v>
      </c>
      <c r="O37">
        <v>41</v>
      </c>
      <c r="P37">
        <v>1</v>
      </c>
      <c r="Q37">
        <v>19</v>
      </c>
      <c r="R37">
        <v>1500</v>
      </c>
      <c r="S37">
        <v>0</v>
      </c>
      <c r="T37">
        <v>0</v>
      </c>
      <c r="U37">
        <v>0</v>
      </c>
      <c r="V37">
        <v>0</v>
      </c>
      <c r="W37">
        <v>0</v>
      </c>
      <c r="X37">
        <v>12000</v>
      </c>
      <c r="Y37">
        <v>0.85402880498248346</v>
      </c>
      <c r="Z37">
        <v>4</v>
      </c>
      <c r="AA37">
        <v>3</v>
      </c>
      <c r="AB37">
        <v>0</v>
      </c>
      <c r="AC37">
        <v>0</v>
      </c>
      <c r="AD37">
        <v>1</v>
      </c>
      <c r="AE37">
        <v>98</v>
      </c>
      <c r="AF37">
        <v>70208</v>
      </c>
      <c r="AG37">
        <v>3</v>
      </c>
      <c r="AH37">
        <v>32340</v>
      </c>
      <c r="AI37">
        <v>5000</v>
      </c>
      <c r="AJ37">
        <v>0</v>
      </c>
      <c r="AK37">
        <v>15000</v>
      </c>
      <c r="AL37">
        <v>0</v>
      </c>
      <c r="AM37">
        <v>0</v>
      </c>
    </row>
    <row r="38" spans="1:39">
      <c r="A38">
        <v>61</v>
      </c>
      <c r="B38" t="s">
        <v>38</v>
      </c>
      <c r="C38">
        <v>1</v>
      </c>
      <c r="D38">
        <v>44</v>
      </c>
      <c r="E38">
        <v>0</v>
      </c>
      <c r="F38">
        <v>5</v>
      </c>
      <c r="G38">
        <v>20</v>
      </c>
      <c r="H38">
        <v>5</v>
      </c>
      <c r="I38">
        <v>64.5</v>
      </c>
      <c r="J38">
        <f t="shared" si="0"/>
        <v>108.5</v>
      </c>
      <c r="K38">
        <v>108500</v>
      </c>
      <c r="L38">
        <v>2</v>
      </c>
      <c r="M38">
        <v>2</v>
      </c>
      <c r="N38">
        <v>0</v>
      </c>
      <c r="O38">
        <v>34</v>
      </c>
      <c r="P38">
        <v>2</v>
      </c>
      <c r="Q38">
        <v>4</v>
      </c>
      <c r="R38">
        <v>1250</v>
      </c>
      <c r="S38">
        <v>0</v>
      </c>
      <c r="T38">
        <v>0</v>
      </c>
      <c r="U38">
        <v>0</v>
      </c>
      <c r="V38">
        <v>0</v>
      </c>
      <c r="W38">
        <v>0</v>
      </c>
      <c r="X38">
        <v>360000</v>
      </c>
      <c r="Y38">
        <v>0.37608318890814557</v>
      </c>
      <c r="Z38">
        <v>4</v>
      </c>
      <c r="AA38">
        <v>3</v>
      </c>
      <c r="AB38">
        <v>0</v>
      </c>
      <c r="AC38">
        <v>0</v>
      </c>
      <c r="AD38">
        <v>1</v>
      </c>
      <c r="AE38">
        <v>129</v>
      </c>
      <c r="AF38">
        <v>217000</v>
      </c>
      <c r="AG38">
        <v>2</v>
      </c>
      <c r="AH38">
        <v>42580</v>
      </c>
      <c r="AI38">
        <v>10200</v>
      </c>
      <c r="AJ38">
        <v>2000</v>
      </c>
      <c r="AK38">
        <v>13250</v>
      </c>
      <c r="AL38">
        <v>0</v>
      </c>
      <c r="AM38">
        <v>0</v>
      </c>
    </row>
    <row r="39" spans="1:39">
      <c r="A39">
        <v>62</v>
      </c>
      <c r="B39" t="s">
        <v>38</v>
      </c>
      <c r="C39">
        <v>1</v>
      </c>
      <c r="D39">
        <v>38</v>
      </c>
      <c r="E39">
        <v>0</v>
      </c>
      <c r="F39">
        <v>3</v>
      </c>
      <c r="G39">
        <v>15</v>
      </c>
      <c r="H39">
        <v>5</v>
      </c>
      <c r="I39">
        <v>42.307692307692307</v>
      </c>
      <c r="J39">
        <f t="shared" si="0"/>
        <v>63.346153846153847</v>
      </c>
      <c r="K39">
        <v>63346.153846153844</v>
      </c>
      <c r="L39">
        <v>1.3</v>
      </c>
      <c r="M39">
        <v>1</v>
      </c>
      <c r="N39">
        <v>58</v>
      </c>
      <c r="O39">
        <v>55</v>
      </c>
      <c r="P39">
        <v>1</v>
      </c>
      <c r="Q39">
        <v>3</v>
      </c>
      <c r="R39">
        <v>750</v>
      </c>
      <c r="S39">
        <v>0</v>
      </c>
      <c r="T39">
        <v>0</v>
      </c>
      <c r="U39">
        <v>0</v>
      </c>
      <c r="V39">
        <v>1</v>
      </c>
      <c r="W39">
        <v>0</v>
      </c>
      <c r="X39">
        <v>48000</v>
      </c>
      <c r="Y39">
        <v>0.63176064441887225</v>
      </c>
      <c r="Z39">
        <v>3</v>
      </c>
      <c r="AA39">
        <v>3</v>
      </c>
      <c r="AB39">
        <v>0</v>
      </c>
      <c r="AC39">
        <v>0</v>
      </c>
      <c r="AD39">
        <v>1</v>
      </c>
      <c r="AE39">
        <v>55</v>
      </c>
      <c r="AF39">
        <v>82350</v>
      </c>
      <c r="AG39">
        <v>2</v>
      </c>
      <c r="AH39">
        <v>27950</v>
      </c>
      <c r="AI39">
        <v>2626</v>
      </c>
      <c r="AJ39">
        <v>1500</v>
      </c>
      <c r="AK39">
        <v>7950</v>
      </c>
      <c r="AL39">
        <v>0</v>
      </c>
      <c r="AM39">
        <v>0</v>
      </c>
    </row>
    <row r="40" spans="1:39">
      <c r="A40">
        <v>63</v>
      </c>
      <c r="B40" t="s">
        <v>38</v>
      </c>
      <c r="C40">
        <v>1</v>
      </c>
      <c r="D40">
        <v>60</v>
      </c>
      <c r="E40">
        <v>0</v>
      </c>
      <c r="F40">
        <v>2</v>
      </c>
      <c r="G40">
        <v>40</v>
      </c>
      <c r="H40">
        <v>6</v>
      </c>
      <c r="I40">
        <v>47.058823529411768</v>
      </c>
      <c r="J40">
        <f t="shared" si="0"/>
        <v>82.352941176470594</v>
      </c>
      <c r="K40">
        <v>82352.941176470587</v>
      </c>
      <c r="L40">
        <v>1.7</v>
      </c>
      <c r="M40">
        <v>2</v>
      </c>
      <c r="N40">
        <v>9</v>
      </c>
      <c r="O40">
        <v>32</v>
      </c>
      <c r="P40">
        <v>1</v>
      </c>
      <c r="Q40">
        <v>3</v>
      </c>
      <c r="R40">
        <v>2000</v>
      </c>
      <c r="S40">
        <v>0</v>
      </c>
      <c r="T40">
        <v>0</v>
      </c>
      <c r="U40">
        <v>0</v>
      </c>
      <c r="V40">
        <v>0</v>
      </c>
      <c r="W40">
        <v>1</v>
      </c>
      <c r="X40">
        <v>180000</v>
      </c>
      <c r="Y40">
        <v>0.4375</v>
      </c>
      <c r="Z40">
        <v>4</v>
      </c>
      <c r="AA40">
        <v>1</v>
      </c>
      <c r="AB40">
        <v>0</v>
      </c>
      <c r="AC40">
        <v>0</v>
      </c>
      <c r="AD40">
        <v>1</v>
      </c>
      <c r="AE40">
        <v>80</v>
      </c>
      <c r="AF40">
        <v>140000</v>
      </c>
      <c r="AG40">
        <v>2</v>
      </c>
      <c r="AH40">
        <v>41600</v>
      </c>
      <c r="AI40">
        <v>8670</v>
      </c>
      <c r="AJ40">
        <v>1800</v>
      </c>
      <c r="AK40">
        <v>21200</v>
      </c>
      <c r="AL40">
        <v>0</v>
      </c>
      <c r="AM40">
        <v>0</v>
      </c>
    </row>
    <row r="41" spans="1:39">
      <c r="A41">
        <v>67</v>
      </c>
      <c r="B41" t="s">
        <v>38</v>
      </c>
      <c r="C41">
        <v>1</v>
      </c>
      <c r="D41">
        <v>67</v>
      </c>
      <c r="E41">
        <v>1</v>
      </c>
      <c r="F41">
        <v>2</v>
      </c>
      <c r="G41">
        <v>57</v>
      </c>
      <c r="H41">
        <v>6</v>
      </c>
      <c r="I41">
        <v>55</v>
      </c>
      <c r="J41">
        <f t="shared" si="0"/>
        <v>77</v>
      </c>
      <c r="K41">
        <v>77000</v>
      </c>
      <c r="L41">
        <v>1</v>
      </c>
      <c r="M41">
        <v>1</v>
      </c>
      <c r="N41">
        <v>21</v>
      </c>
      <c r="O41">
        <v>34</v>
      </c>
      <c r="P41">
        <v>0</v>
      </c>
      <c r="Q41">
        <v>2</v>
      </c>
      <c r="R41">
        <v>1000</v>
      </c>
      <c r="S41">
        <v>0</v>
      </c>
      <c r="T41">
        <v>0</v>
      </c>
      <c r="U41">
        <v>0</v>
      </c>
      <c r="V41">
        <v>0</v>
      </c>
      <c r="W41">
        <v>0</v>
      </c>
      <c r="X41">
        <v>94800</v>
      </c>
      <c r="Y41">
        <v>0.44819557625145517</v>
      </c>
      <c r="Z41">
        <v>4</v>
      </c>
      <c r="AA41">
        <v>3</v>
      </c>
      <c r="AB41">
        <v>0</v>
      </c>
      <c r="AC41">
        <v>0</v>
      </c>
      <c r="AD41">
        <v>1</v>
      </c>
      <c r="AE41">
        <v>55</v>
      </c>
      <c r="AF41">
        <v>77000</v>
      </c>
      <c r="AG41">
        <v>3</v>
      </c>
      <c r="AH41">
        <v>23300</v>
      </c>
      <c r="AI41">
        <v>0</v>
      </c>
      <c r="AJ41">
        <v>1200</v>
      </c>
      <c r="AK41">
        <v>9400</v>
      </c>
      <c r="AL41">
        <v>0</v>
      </c>
      <c r="AM41">
        <v>0</v>
      </c>
    </row>
    <row r="42" spans="1:39">
      <c r="A42">
        <v>76</v>
      </c>
      <c r="B42" t="s">
        <v>38</v>
      </c>
      <c r="C42">
        <v>1</v>
      </c>
      <c r="D42">
        <v>72</v>
      </c>
      <c r="E42">
        <v>1</v>
      </c>
      <c r="F42">
        <v>1</v>
      </c>
      <c r="G42">
        <v>48</v>
      </c>
      <c r="H42">
        <v>8</v>
      </c>
      <c r="I42">
        <v>54.033613445378151</v>
      </c>
      <c r="J42">
        <f t="shared" si="0"/>
        <v>122.91461344537817</v>
      </c>
      <c r="K42">
        <v>122914.61344537817</v>
      </c>
      <c r="L42">
        <v>1.19</v>
      </c>
      <c r="M42">
        <v>1</v>
      </c>
      <c r="N42">
        <v>38</v>
      </c>
      <c r="O42">
        <v>13</v>
      </c>
      <c r="P42">
        <v>1</v>
      </c>
      <c r="Q42">
        <v>7</v>
      </c>
      <c r="R42">
        <v>12800</v>
      </c>
      <c r="S42">
        <v>0</v>
      </c>
      <c r="T42">
        <v>0</v>
      </c>
      <c r="U42">
        <v>0</v>
      </c>
      <c r="V42">
        <v>1</v>
      </c>
      <c r="W42">
        <v>0</v>
      </c>
      <c r="X42">
        <v>240000</v>
      </c>
      <c r="Y42">
        <v>0.37867035922872178</v>
      </c>
      <c r="Z42">
        <v>4</v>
      </c>
      <c r="AA42">
        <v>3</v>
      </c>
      <c r="AB42">
        <v>0</v>
      </c>
      <c r="AC42">
        <v>0</v>
      </c>
      <c r="AD42">
        <v>1</v>
      </c>
      <c r="AE42">
        <v>64.3</v>
      </c>
      <c r="AF42">
        <v>146268.39000000001</v>
      </c>
      <c r="AG42">
        <v>3</v>
      </c>
      <c r="AH42">
        <v>19261</v>
      </c>
      <c r="AI42">
        <v>3230</v>
      </c>
      <c r="AJ42">
        <v>4200</v>
      </c>
      <c r="AK42">
        <v>16250</v>
      </c>
      <c r="AL42">
        <v>0</v>
      </c>
      <c r="AM42">
        <v>0</v>
      </c>
    </row>
    <row r="43" spans="1:39">
      <c r="A43">
        <v>77</v>
      </c>
      <c r="B43" t="s">
        <v>38</v>
      </c>
      <c r="C43">
        <v>1</v>
      </c>
      <c r="D43">
        <v>57</v>
      </c>
      <c r="E43">
        <v>0</v>
      </c>
      <c r="F43">
        <v>3</v>
      </c>
      <c r="G43">
        <v>2</v>
      </c>
      <c r="H43">
        <v>8</v>
      </c>
      <c r="I43">
        <v>166.66666666666669</v>
      </c>
      <c r="J43">
        <f t="shared" si="0"/>
        <v>241.66666666666669</v>
      </c>
      <c r="K43">
        <v>241666.66666666669</v>
      </c>
      <c r="L43">
        <v>0.3</v>
      </c>
      <c r="M43">
        <v>1</v>
      </c>
      <c r="N43">
        <v>72</v>
      </c>
      <c r="O43">
        <v>16</v>
      </c>
      <c r="P43">
        <v>1</v>
      </c>
      <c r="Q43">
        <v>2</v>
      </c>
      <c r="R43">
        <v>1100</v>
      </c>
      <c r="S43">
        <v>0</v>
      </c>
      <c r="T43">
        <v>0</v>
      </c>
      <c r="U43">
        <v>0</v>
      </c>
      <c r="V43">
        <v>1</v>
      </c>
      <c r="W43">
        <v>0</v>
      </c>
      <c r="X43">
        <v>547200</v>
      </c>
      <c r="Y43">
        <v>0.11699209294820075</v>
      </c>
      <c r="Z43">
        <v>4</v>
      </c>
      <c r="AA43">
        <v>3</v>
      </c>
      <c r="AB43">
        <v>0</v>
      </c>
      <c r="AC43">
        <v>0</v>
      </c>
      <c r="AD43">
        <v>1</v>
      </c>
      <c r="AE43">
        <v>50</v>
      </c>
      <c r="AF43">
        <v>72500</v>
      </c>
      <c r="AG43">
        <v>3</v>
      </c>
      <c r="AH43">
        <v>15680</v>
      </c>
      <c r="AI43">
        <v>1700</v>
      </c>
      <c r="AJ43">
        <v>1200</v>
      </c>
      <c r="AK43">
        <v>11600</v>
      </c>
      <c r="AL43">
        <v>0</v>
      </c>
      <c r="AM43">
        <v>0</v>
      </c>
    </row>
    <row r="44" spans="1:39">
      <c r="A44">
        <v>78</v>
      </c>
      <c r="B44" t="s">
        <v>38</v>
      </c>
      <c r="C44">
        <v>1</v>
      </c>
      <c r="D44">
        <v>49</v>
      </c>
      <c r="E44">
        <v>0</v>
      </c>
      <c r="F44">
        <v>2</v>
      </c>
      <c r="G44">
        <v>34</v>
      </c>
      <c r="H44">
        <v>8</v>
      </c>
      <c r="I44">
        <v>77.085714285714289</v>
      </c>
      <c r="J44">
        <f t="shared" si="0"/>
        <v>145.03714285714287</v>
      </c>
      <c r="K44">
        <v>145037.14285714287</v>
      </c>
      <c r="L44">
        <v>0.35</v>
      </c>
      <c r="M44">
        <v>1</v>
      </c>
      <c r="N44">
        <v>59</v>
      </c>
      <c r="O44">
        <v>14</v>
      </c>
      <c r="P44">
        <v>1</v>
      </c>
      <c r="Q44">
        <v>1</v>
      </c>
      <c r="R44">
        <v>350</v>
      </c>
      <c r="S44">
        <v>0</v>
      </c>
      <c r="T44">
        <v>0</v>
      </c>
      <c r="U44">
        <v>0</v>
      </c>
      <c r="V44">
        <v>1</v>
      </c>
      <c r="W44">
        <v>0</v>
      </c>
      <c r="X44">
        <v>15000</v>
      </c>
      <c r="Y44">
        <v>0.77190821586606451</v>
      </c>
      <c r="Z44">
        <v>3</v>
      </c>
      <c r="AA44">
        <v>3</v>
      </c>
      <c r="AB44">
        <v>0</v>
      </c>
      <c r="AC44">
        <v>0</v>
      </c>
      <c r="AD44">
        <v>1</v>
      </c>
      <c r="AE44">
        <v>26.98</v>
      </c>
      <c r="AF44">
        <v>50763</v>
      </c>
      <c r="AG44">
        <v>2</v>
      </c>
      <c r="AH44">
        <v>10169</v>
      </c>
      <c r="AI44">
        <v>2170</v>
      </c>
      <c r="AJ44">
        <v>500</v>
      </c>
      <c r="AK44">
        <v>4287.5</v>
      </c>
      <c r="AL44">
        <v>0</v>
      </c>
      <c r="AM44">
        <v>0</v>
      </c>
    </row>
    <row r="45" spans="1:39">
      <c r="A45">
        <v>79</v>
      </c>
      <c r="B45" t="s">
        <v>38</v>
      </c>
      <c r="C45">
        <v>1</v>
      </c>
      <c r="D45">
        <v>72</v>
      </c>
      <c r="E45">
        <v>1</v>
      </c>
      <c r="F45">
        <v>3</v>
      </c>
      <c r="G45">
        <v>60</v>
      </c>
      <c r="H45">
        <v>3</v>
      </c>
      <c r="I45">
        <v>60.873333333333335</v>
      </c>
      <c r="J45">
        <f t="shared" si="0"/>
        <v>114.538</v>
      </c>
      <c r="K45">
        <v>114538</v>
      </c>
      <c r="L45">
        <v>1.5</v>
      </c>
      <c r="M45">
        <v>2</v>
      </c>
      <c r="N45">
        <v>32</v>
      </c>
      <c r="O45">
        <v>34</v>
      </c>
      <c r="P45">
        <v>1</v>
      </c>
      <c r="Q45">
        <v>2</v>
      </c>
      <c r="R45">
        <v>2000</v>
      </c>
      <c r="S45">
        <v>0</v>
      </c>
      <c r="T45">
        <v>0</v>
      </c>
      <c r="U45">
        <v>0</v>
      </c>
      <c r="V45">
        <v>1</v>
      </c>
      <c r="W45">
        <v>0</v>
      </c>
      <c r="X45">
        <v>223200</v>
      </c>
      <c r="Y45">
        <v>0.4349467224631462</v>
      </c>
      <c r="Z45">
        <v>4</v>
      </c>
      <c r="AA45">
        <v>3</v>
      </c>
      <c r="AB45">
        <v>0</v>
      </c>
      <c r="AC45">
        <v>0</v>
      </c>
      <c r="AD45">
        <v>1</v>
      </c>
      <c r="AE45">
        <v>91.31</v>
      </c>
      <c r="AF45">
        <v>171807</v>
      </c>
      <c r="AG45">
        <v>3</v>
      </c>
      <c r="AH45">
        <v>38747</v>
      </c>
      <c r="AI45">
        <v>1590</v>
      </c>
      <c r="AJ45">
        <v>1000</v>
      </c>
      <c r="AK45">
        <v>20000</v>
      </c>
      <c r="AL45">
        <v>0</v>
      </c>
      <c r="AM45">
        <v>0</v>
      </c>
    </row>
    <row r="46" spans="1:39">
      <c r="A46">
        <v>83</v>
      </c>
      <c r="B46" t="s">
        <v>38</v>
      </c>
      <c r="C46">
        <v>1</v>
      </c>
      <c r="D46">
        <v>64</v>
      </c>
      <c r="E46">
        <v>0</v>
      </c>
      <c r="F46">
        <v>2</v>
      </c>
      <c r="G46">
        <v>44</v>
      </c>
      <c r="H46">
        <v>4</v>
      </c>
      <c r="I46">
        <v>61.764705882352942</v>
      </c>
      <c r="J46">
        <f t="shared" si="0"/>
        <v>86.47058823529413</v>
      </c>
      <c r="K46">
        <v>86470.588235294126</v>
      </c>
      <c r="L46">
        <v>1.7</v>
      </c>
      <c r="M46">
        <v>2</v>
      </c>
      <c r="N46">
        <v>22.5</v>
      </c>
      <c r="O46">
        <v>23</v>
      </c>
      <c r="P46">
        <v>0</v>
      </c>
      <c r="Q46">
        <v>8</v>
      </c>
      <c r="R46">
        <v>1600</v>
      </c>
      <c r="S46">
        <v>0</v>
      </c>
      <c r="T46">
        <v>0</v>
      </c>
      <c r="U46">
        <v>0</v>
      </c>
      <c r="V46">
        <v>0</v>
      </c>
      <c r="W46">
        <v>1</v>
      </c>
      <c r="X46">
        <v>36000</v>
      </c>
      <c r="Y46">
        <v>0.80327868852459017</v>
      </c>
      <c r="Z46">
        <v>3</v>
      </c>
      <c r="AA46">
        <v>3</v>
      </c>
      <c r="AB46">
        <v>0</v>
      </c>
      <c r="AC46">
        <v>0</v>
      </c>
      <c r="AD46">
        <v>1</v>
      </c>
      <c r="AE46">
        <v>105</v>
      </c>
      <c r="AF46">
        <v>147000</v>
      </c>
      <c r="AG46">
        <v>2</v>
      </c>
      <c r="AH46">
        <v>38450</v>
      </c>
      <c r="AI46">
        <v>0</v>
      </c>
      <c r="AJ46">
        <v>1200</v>
      </c>
      <c r="AK46">
        <v>16000</v>
      </c>
      <c r="AL46">
        <v>0</v>
      </c>
      <c r="AM46">
        <v>0</v>
      </c>
    </row>
    <row r="47" spans="1:39">
      <c r="A47">
        <v>84</v>
      </c>
      <c r="B47" t="s">
        <v>38</v>
      </c>
      <c r="C47">
        <v>1</v>
      </c>
      <c r="D47">
        <v>42</v>
      </c>
      <c r="E47">
        <v>0</v>
      </c>
      <c r="F47">
        <v>5</v>
      </c>
      <c r="G47">
        <v>5</v>
      </c>
      <c r="H47">
        <v>2</v>
      </c>
      <c r="I47">
        <v>54.278947368421051</v>
      </c>
      <c r="J47">
        <f t="shared" si="0"/>
        <v>102.12736842105264</v>
      </c>
      <c r="K47">
        <v>102127.36842105264</v>
      </c>
      <c r="L47">
        <v>1.9</v>
      </c>
      <c r="M47">
        <v>1</v>
      </c>
      <c r="N47">
        <v>81</v>
      </c>
      <c r="O47">
        <v>22</v>
      </c>
      <c r="P47">
        <v>1</v>
      </c>
      <c r="Q47">
        <v>3</v>
      </c>
      <c r="R47">
        <v>1500</v>
      </c>
      <c r="S47">
        <v>0</v>
      </c>
      <c r="T47">
        <v>0</v>
      </c>
      <c r="U47">
        <v>0</v>
      </c>
      <c r="V47">
        <v>0</v>
      </c>
      <c r="W47">
        <v>0</v>
      </c>
      <c r="X47">
        <v>47400</v>
      </c>
      <c r="Y47">
        <v>0.80367955865176732</v>
      </c>
      <c r="Z47">
        <v>4</v>
      </c>
      <c r="AA47">
        <v>3</v>
      </c>
      <c r="AB47">
        <v>0</v>
      </c>
      <c r="AC47">
        <v>0</v>
      </c>
      <c r="AD47">
        <v>1</v>
      </c>
      <c r="AE47">
        <v>103.13</v>
      </c>
      <c r="AF47">
        <v>194042</v>
      </c>
      <c r="AG47">
        <v>1</v>
      </c>
      <c r="AH47">
        <v>25750</v>
      </c>
      <c r="AI47">
        <v>10000</v>
      </c>
      <c r="AJ47">
        <v>1800</v>
      </c>
      <c r="AK47">
        <v>15000</v>
      </c>
      <c r="AL47">
        <v>0</v>
      </c>
      <c r="AM47">
        <v>0</v>
      </c>
    </row>
    <row r="48" spans="1:39">
      <c r="A48">
        <v>85</v>
      </c>
      <c r="B48" t="s">
        <v>38</v>
      </c>
      <c r="C48">
        <v>1</v>
      </c>
      <c r="D48">
        <v>83</v>
      </c>
      <c r="E48">
        <v>1</v>
      </c>
      <c r="F48">
        <v>1</v>
      </c>
      <c r="G48">
        <v>74</v>
      </c>
      <c r="H48">
        <v>3</v>
      </c>
      <c r="I48">
        <v>12.660727272727273</v>
      </c>
      <c r="J48">
        <f t="shared" si="0"/>
        <v>29.364000000000001</v>
      </c>
      <c r="K48">
        <v>29364</v>
      </c>
      <c r="L48">
        <v>2.75</v>
      </c>
      <c r="M48">
        <v>1</v>
      </c>
      <c r="N48">
        <v>68</v>
      </c>
      <c r="O48">
        <v>30</v>
      </c>
      <c r="P48">
        <v>1</v>
      </c>
      <c r="Q48">
        <v>4</v>
      </c>
      <c r="R48">
        <v>2750</v>
      </c>
      <c r="S48">
        <v>4</v>
      </c>
      <c r="T48">
        <v>0</v>
      </c>
      <c r="U48">
        <v>0</v>
      </c>
      <c r="V48">
        <v>0</v>
      </c>
      <c r="W48">
        <v>0</v>
      </c>
      <c r="X48">
        <v>10000</v>
      </c>
      <c r="Y48">
        <v>0.88980837676719815</v>
      </c>
      <c r="Z48">
        <v>1</v>
      </c>
      <c r="AA48">
        <v>3</v>
      </c>
      <c r="AB48">
        <v>0</v>
      </c>
      <c r="AC48">
        <v>1</v>
      </c>
      <c r="AD48">
        <v>1</v>
      </c>
      <c r="AE48">
        <v>34.817</v>
      </c>
      <c r="AF48">
        <v>80751</v>
      </c>
      <c r="AG48">
        <v>3</v>
      </c>
      <c r="AH48">
        <v>26500</v>
      </c>
      <c r="AI48">
        <v>15000</v>
      </c>
      <c r="AJ48">
        <v>500</v>
      </c>
      <c r="AK48">
        <v>23100</v>
      </c>
      <c r="AL48">
        <v>2000</v>
      </c>
      <c r="AM48">
        <v>0</v>
      </c>
    </row>
    <row r="49" spans="1:39">
      <c r="A49">
        <v>87</v>
      </c>
      <c r="B49" t="s">
        <v>38</v>
      </c>
      <c r="C49">
        <v>1</v>
      </c>
      <c r="D49">
        <v>72</v>
      </c>
      <c r="E49">
        <v>1</v>
      </c>
      <c r="F49">
        <v>1</v>
      </c>
      <c r="G49">
        <v>64</v>
      </c>
      <c r="H49">
        <v>4</v>
      </c>
      <c r="I49">
        <v>35.714285714285715</v>
      </c>
      <c r="J49">
        <f t="shared" si="0"/>
        <v>41.071428571428569</v>
      </c>
      <c r="K49">
        <v>41071.428571428572</v>
      </c>
      <c r="L49">
        <v>0.84</v>
      </c>
      <c r="M49">
        <v>1</v>
      </c>
      <c r="N49">
        <v>42.5</v>
      </c>
      <c r="O49">
        <v>19</v>
      </c>
      <c r="P49">
        <v>1</v>
      </c>
      <c r="Q49">
        <v>0</v>
      </c>
      <c r="R49">
        <v>650</v>
      </c>
      <c r="S49">
        <v>0</v>
      </c>
      <c r="T49">
        <v>0</v>
      </c>
      <c r="U49">
        <v>0</v>
      </c>
      <c r="V49">
        <v>0</v>
      </c>
      <c r="W49">
        <v>0</v>
      </c>
      <c r="X49">
        <v>102000</v>
      </c>
      <c r="Y49">
        <v>0.25274725274725274</v>
      </c>
      <c r="Z49">
        <v>3</v>
      </c>
      <c r="AA49">
        <v>3</v>
      </c>
      <c r="AB49">
        <v>0</v>
      </c>
      <c r="AC49">
        <v>0</v>
      </c>
      <c r="AD49">
        <v>1</v>
      </c>
      <c r="AE49">
        <v>30</v>
      </c>
      <c r="AF49">
        <v>34500</v>
      </c>
      <c r="AG49">
        <v>3</v>
      </c>
      <c r="AH49">
        <v>9000</v>
      </c>
      <c r="AI49">
        <v>8000</v>
      </c>
      <c r="AJ49">
        <v>0</v>
      </c>
      <c r="AK49">
        <v>5460</v>
      </c>
      <c r="AL49">
        <v>0</v>
      </c>
      <c r="AM49">
        <v>0</v>
      </c>
    </row>
    <row r="50" spans="1:39">
      <c r="A50">
        <v>90</v>
      </c>
      <c r="B50" t="s">
        <v>39</v>
      </c>
      <c r="C50">
        <v>1</v>
      </c>
      <c r="D50">
        <v>56</v>
      </c>
      <c r="E50">
        <v>1</v>
      </c>
      <c r="F50">
        <v>4</v>
      </c>
      <c r="G50">
        <v>30</v>
      </c>
      <c r="H50">
        <v>7</v>
      </c>
      <c r="I50">
        <v>70</v>
      </c>
      <c r="J50">
        <f t="shared" si="0"/>
        <v>84</v>
      </c>
      <c r="K50">
        <v>84000</v>
      </c>
      <c r="L50">
        <v>0.5</v>
      </c>
      <c r="M50">
        <v>1</v>
      </c>
      <c r="N50">
        <v>4.5</v>
      </c>
      <c r="O50">
        <v>6</v>
      </c>
      <c r="P50">
        <v>0.5</v>
      </c>
      <c r="Q50">
        <v>4</v>
      </c>
      <c r="R50">
        <v>500</v>
      </c>
      <c r="S50">
        <v>0</v>
      </c>
      <c r="T50">
        <v>0</v>
      </c>
      <c r="U50">
        <v>0</v>
      </c>
      <c r="V50">
        <v>0</v>
      </c>
      <c r="W50">
        <v>0</v>
      </c>
      <c r="X50">
        <v>300000</v>
      </c>
      <c r="Y50">
        <v>0.12280701754385964</v>
      </c>
      <c r="Z50">
        <v>3</v>
      </c>
      <c r="AA50">
        <v>3</v>
      </c>
      <c r="AB50">
        <v>0</v>
      </c>
      <c r="AC50">
        <v>0</v>
      </c>
      <c r="AD50">
        <v>1</v>
      </c>
      <c r="AE50">
        <v>35</v>
      </c>
      <c r="AF50">
        <v>42000</v>
      </c>
      <c r="AG50">
        <v>1</v>
      </c>
      <c r="AH50">
        <v>13250</v>
      </c>
      <c r="AI50">
        <v>7000</v>
      </c>
      <c r="AJ50">
        <v>2400</v>
      </c>
      <c r="AK50">
        <v>4500</v>
      </c>
      <c r="AL50">
        <v>0</v>
      </c>
      <c r="AM50">
        <v>0</v>
      </c>
    </row>
    <row r="51" spans="1:39">
      <c r="A51">
        <v>91</v>
      </c>
      <c r="B51" t="s">
        <v>39</v>
      </c>
      <c r="C51">
        <v>1</v>
      </c>
      <c r="D51">
        <v>59</v>
      </c>
      <c r="E51">
        <v>0</v>
      </c>
      <c r="F51">
        <v>5</v>
      </c>
      <c r="G51">
        <v>25</v>
      </c>
      <c r="H51">
        <v>4</v>
      </c>
      <c r="I51">
        <v>50</v>
      </c>
      <c r="J51">
        <f t="shared" si="0"/>
        <v>84</v>
      </c>
      <c r="K51">
        <v>84000</v>
      </c>
      <c r="L51">
        <v>0.5</v>
      </c>
      <c r="M51">
        <v>1</v>
      </c>
      <c r="N51">
        <v>90</v>
      </c>
      <c r="O51">
        <v>14</v>
      </c>
      <c r="P51">
        <v>1</v>
      </c>
      <c r="Q51">
        <v>3</v>
      </c>
      <c r="R51">
        <v>400</v>
      </c>
      <c r="S51">
        <v>0</v>
      </c>
      <c r="T51">
        <v>0</v>
      </c>
      <c r="U51">
        <v>0</v>
      </c>
      <c r="V51">
        <v>0</v>
      </c>
      <c r="W51">
        <v>1</v>
      </c>
      <c r="X51">
        <v>900000</v>
      </c>
      <c r="Y51">
        <v>4.4585987261146494E-2</v>
      </c>
      <c r="Z51">
        <v>3</v>
      </c>
      <c r="AA51">
        <v>3</v>
      </c>
      <c r="AB51">
        <v>0</v>
      </c>
      <c r="AC51">
        <v>0</v>
      </c>
      <c r="AD51">
        <v>1</v>
      </c>
      <c r="AE51">
        <v>25</v>
      </c>
      <c r="AF51">
        <v>42000</v>
      </c>
      <c r="AG51">
        <v>2</v>
      </c>
      <c r="AH51">
        <v>10550</v>
      </c>
      <c r="AI51">
        <v>2500</v>
      </c>
      <c r="AJ51">
        <v>1800</v>
      </c>
      <c r="AK51">
        <v>3360</v>
      </c>
      <c r="AL51">
        <v>0</v>
      </c>
      <c r="AM51">
        <v>0</v>
      </c>
    </row>
    <row r="52" spans="1:39">
      <c r="A52">
        <v>92</v>
      </c>
      <c r="B52" t="s">
        <v>39</v>
      </c>
      <c r="C52">
        <v>1</v>
      </c>
      <c r="D52">
        <v>82</v>
      </c>
      <c r="E52">
        <v>0</v>
      </c>
      <c r="F52">
        <v>1</v>
      </c>
      <c r="G52">
        <v>70</v>
      </c>
      <c r="H52">
        <v>5</v>
      </c>
      <c r="I52">
        <v>32</v>
      </c>
      <c r="J52">
        <f t="shared" si="0"/>
        <v>186.93133333333336</v>
      </c>
      <c r="K52">
        <v>186931.33333333334</v>
      </c>
      <c r="L52">
        <v>1.5</v>
      </c>
      <c r="M52">
        <v>1</v>
      </c>
      <c r="N52">
        <v>37.5</v>
      </c>
      <c r="O52">
        <v>23</v>
      </c>
      <c r="P52">
        <v>1</v>
      </c>
      <c r="Q52">
        <v>2</v>
      </c>
      <c r="R52">
        <v>2000</v>
      </c>
      <c r="S52">
        <v>0</v>
      </c>
      <c r="T52">
        <v>0</v>
      </c>
      <c r="U52">
        <v>0</v>
      </c>
      <c r="V52">
        <v>0</v>
      </c>
      <c r="W52">
        <v>0</v>
      </c>
      <c r="X52">
        <v>6000</v>
      </c>
      <c r="Y52">
        <v>0.97905005988191218</v>
      </c>
      <c r="Z52">
        <v>3</v>
      </c>
      <c r="AA52">
        <v>3</v>
      </c>
      <c r="AB52">
        <v>0</v>
      </c>
      <c r="AC52">
        <v>0</v>
      </c>
      <c r="AD52">
        <v>1</v>
      </c>
      <c r="AE52">
        <v>48</v>
      </c>
      <c r="AF52">
        <v>280397</v>
      </c>
      <c r="AG52">
        <v>2</v>
      </c>
      <c r="AH52">
        <v>22700</v>
      </c>
      <c r="AI52">
        <v>7500</v>
      </c>
      <c r="AJ52">
        <v>1200</v>
      </c>
      <c r="AK52">
        <v>18800</v>
      </c>
      <c r="AL52">
        <v>0</v>
      </c>
      <c r="AM52">
        <v>0</v>
      </c>
    </row>
    <row r="53" spans="1:39">
      <c r="A53">
        <v>94</v>
      </c>
      <c r="B53" t="s">
        <v>39</v>
      </c>
      <c r="C53">
        <v>1</v>
      </c>
      <c r="D53">
        <v>69</v>
      </c>
      <c r="E53">
        <v>1</v>
      </c>
      <c r="F53">
        <v>1</v>
      </c>
      <c r="G53">
        <v>45</v>
      </c>
      <c r="H53">
        <v>6</v>
      </c>
      <c r="I53">
        <v>50</v>
      </c>
      <c r="J53">
        <f t="shared" si="0"/>
        <v>72.5</v>
      </c>
      <c r="K53">
        <v>72500</v>
      </c>
      <c r="L53">
        <v>1</v>
      </c>
      <c r="M53">
        <v>3</v>
      </c>
      <c r="N53">
        <v>135</v>
      </c>
      <c r="O53">
        <v>11</v>
      </c>
      <c r="P53">
        <v>0</v>
      </c>
      <c r="Q53">
        <v>8</v>
      </c>
      <c r="R53">
        <v>600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4</v>
      </c>
      <c r="AA53">
        <v>1</v>
      </c>
      <c r="AB53">
        <v>0</v>
      </c>
      <c r="AC53">
        <v>0</v>
      </c>
      <c r="AD53">
        <v>1</v>
      </c>
      <c r="AE53">
        <v>50</v>
      </c>
      <c r="AF53">
        <v>72500</v>
      </c>
      <c r="AG53">
        <v>3</v>
      </c>
      <c r="AH53">
        <v>25750</v>
      </c>
      <c r="AI53">
        <v>0</v>
      </c>
      <c r="AJ53">
        <v>1000</v>
      </c>
      <c r="AK53">
        <v>6000</v>
      </c>
      <c r="AL53">
        <v>0</v>
      </c>
      <c r="AM53">
        <v>0</v>
      </c>
    </row>
    <row r="54" spans="1:39">
      <c r="A54">
        <v>95</v>
      </c>
      <c r="B54" t="s">
        <v>39</v>
      </c>
      <c r="C54">
        <v>1</v>
      </c>
      <c r="D54">
        <v>58</v>
      </c>
      <c r="E54">
        <v>0</v>
      </c>
      <c r="F54">
        <v>5</v>
      </c>
      <c r="G54">
        <v>24</v>
      </c>
      <c r="H54">
        <v>3</v>
      </c>
      <c r="I54">
        <v>94.285714285714292</v>
      </c>
      <c r="J54">
        <f t="shared" si="0"/>
        <v>224.20571428571429</v>
      </c>
      <c r="K54">
        <v>224205.71428571429</v>
      </c>
      <c r="L54">
        <v>0.35</v>
      </c>
      <c r="M54">
        <v>1</v>
      </c>
      <c r="N54">
        <v>0</v>
      </c>
      <c r="O54">
        <v>472</v>
      </c>
      <c r="P54">
        <v>0</v>
      </c>
      <c r="Q54">
        <v>5</v>
      </c>
      <c r="R54">
        <v>250</v>
      </c>
      <c r="S54">
        <v>0</v>
      </c>
      <c r="T54">
        <v>0</v>
      </c>
      <c r="U54">
        <v>0</v>
      </c>
      <c r="V54">
        <v>0</v>
      </c>
      <c r="W54">
        <v>0</v>
      </c>
      <c r="X54">
        <v>288000</v>
      </c>
      <c r="Y54">
        <v>0.21412822807745202</v>
      </c>
      <c r="Z54">
        <v>4</v>
      </c>
      <c r="AA54">
        <v>3</v>
      </c>
      <c r="AB54">
        <v>0</v>
      </c>
      <c r="AC54">
        <v>0</v>
      </c>
      <c r="AD54">
        <v>1</v>
      </c>
      <c r="AE54">
        <v>33</v>
      </c>
      <c r="AF54">
        <v>78472</v>
      </c>
      <c r="AG54">
        <v>2</v>
      </c>
      <c r="AH54">
        <v>17200</v>
      </c>
      <c r="AI54">
        <v>0</v>
      </c>
      <c r="AJ54">
        <v>3000</v>
      </c>
      <c r="AK54">
        <v>4500</v>
      </c>
      <c r="AL54">
        <v>0</v>
      </c>
      <c r="AM54">
        <v>0</v>
      </c>
    </row>
    <row r="55" spans="1:39">
      <c r="A55">
        <v>96</v>
      </c>
      <c r="B55" t="s">
        <v>39</v>
      </c>
      <c r="C55">
        <v>1</v>
      </c>
      <c r="D55">
        <v>66</v>
      </c>
      <c r="E55">
        <v>0</v>
      </c>
      <c r="F55">
        <v>6</v>
      </c>
      <c r="G55">
        <v>19</v>
      </c>
      <c r="H55">
        <v>3</v>
      </c>
      <c r="I55">
        <v>76.666666666666671</v>
      </c>
      <c r="J55">
        <f t="shared" si="0"/>
        <v>186.66666666666669</v>
      </c>
      <c r="K55">
        <v>186666.66666666669</v>
      </c>
      <c r="L55">
        <v>0.3</v>
      </c>
      <c r="M55">
        <v>1</v>
      </c>
      <c r="N55">
        <v>0</v>
      </c>
      <c r="O55">
        <v>17</v>
      </c>
      <c r="P55">
        <v>0</v>
      </c>
      <c r="Q55">
        <v>1.5</v>
      </c>
      <c r="R55">
        <v>350</v>
      </c>
      <c r="S55">
        <v>0</v>
      </c>
      <c r="T55">
        <v>0</v>
      </c>
      <c r="U55">
        <v>0</v>
      </c>
      <c r="V55">
        <v>0</v>
      </c>
      <c r="W55">
        <v>0</v>
      </c>
      <c r="X55">
        <v>324000</v>
      </c>
      <c r="Y55">
        <v>0.14736842105263157</v>
      </c>
      <c r="Z55">
        <v>3</v>
      </c>
      <c r="AA55">
        <v>3</v>
      </c>
      <c r="AB55">
        <v>0</v>
      </c>
      <c r="AC55">
        <v>0</v>
      </c>
      <c r="AD55">
        <v>1</v>
      </c>
      <c r="AE55">
        <v>23</v>
      </c>
      <c r="AF55">
        <v>56000</v>
      </c>
      <c r="AG55">
        <v>2</v>
      </c>
      <c r="AH55">
        <v>9700</v>
      </c>
      <c r="AI55">
        <v>0</v>
      </c>
      <c r="AJ55">
        <v>7900</v>
      </c>
      <c r="AK55">
        <v>3150</v>
      </c>
      <c r="AL55">
        <v>0</v>
      </c>
      <c r="AM55">
        <v>0</v>
      </c>
    </row>
    <row r="56" spans="1:39">
      <c r="A56">
        <v>97</v>
      </c>
      <c r="B56" t="s">
        <v>39</v>
      </c>
      <c r="C56">
        <v>1</v>
      </c>
      <c r="D56">
        <v>62</v>
      </c>
      <c r="E56">
        <v>0</v>
      </c>
      <c r="F56">
        <v>4</v>
      </c>
      <c r="G56">
        <v>25</v>
      </c>
      <c r="H56">
        <v>2</v>
      </c>
      <c r="I56">
        <v>60.769230769230766</v>
      </c>
      <c r="J56">
        <f t="shared" si="0"/>
        <v>194.43384615384616</v>
      </c>
      <c r="K56">
        <v>194433.84615384616</v>
      </c>
      <c r="L56">
        <v>2.6</v>
      </c>
      <c r="M56">
        <v>4</v>
      </c>
      <c r="N56">
        <v>0</v>
      </c>
      <c r="O56">
        <v>88</v>
      </c>
      <c r="P56">
        <v>1</v>
      </c>
      <c r="Q56">
        <v>11</v>
      </c>
      <c r="R56">
        <v>1250</v>
      </c>
      <c r="S56">
        <v>0</v>
      </c>
      <c r="T56">
        <v>0</v>
      </c>
      <c r="U56">
        <v>0</v>
      </c>
      <c r="V56">
        <v>0</v>
      </c>
      <c r="W56">
        <v>1</v>
      </c>
      <c r="X56">
        <v>180000</v>
      </c>
      <c r="Y56">
        <v>0.73742866812150631</v>
      </c>
      <c r="Z56">
        <v>3</v>
      </c>
      <c r="AA56">
        <v>3</v>
      </c>
      <c r="AB56">
        <v>0</v>
      </c>
      <c r="AC56">
        <v>0</v>
      </c>
      <c r="AD56">
        <v>1</v>
      </c>
      <c r="AE56">
        <v>158</v>
      </c>
      <c r="AF56">
        <v>505528</v>
      </c>
      <c r="AG56">
        <v>2</v>
      </c>
      <c r="AH56">
        <v>76300</v>
      </c>
      <c r="AI56">
        <v>4050</v>
      </c>
      <c r="AJ56">
        <v>6600</v>
      </c>
      <c r="AK56">
        <v>22500</v>
      </c>
      <c r="AL56">
        <v>0</v>
      </c>
      <c r="AM56">
        <v>0</v>
      </c>
    </row>
    <row r="57" spans="1:39">
      <c r="A57">
        <v>100</v>
      </c>
      <c r="B57" t="s">
        <v>39</v>
      </c>
      <c r="C57">
        <v>1</v>
      </c>
      <c r="D57">
        <v>41</v>
      </c>
      <c r="E57">
        <v>0</v>
      </c>
      <c r="F57">
        <v>4</v>
      </c>
      <c r="G57">
        <v>29</v>
      </c>
      <c r="H57">
        <v>4</v>
      </c>
      <c r="I57">
        <v>50.128205128205131</v>
      </c>
      <c r="J57">
        <f t="shared" si="0"/>
        <v>154.84273504273506</v>
      </c>
      <c r="K57">
        <v>154842.73504273506</v>
      </c>
      <c r="L57">
        <v>1.17</v>
      </c>
      <c r="M57">
        <v>2</v>
      </c>
      <c r="N57">
        <v>75</v>
      </c>
      <c r="O57">
        <v>21</v>
      </c>
      <c r="P57">
        <v>0</v>
      </c>
      <c r="Q57">
        <v>6</v>
      </c>
      <c r="R57">
        <v>1000</v>
      </c>
      <c r="S57">
        <v>0</v>
      </c>
      <c r="T57">
        <v>0</v>
      </c>
      <c r="U57">
        <v>0</v>
      </c>
      <c r="V57">
        <v>0</v>
      </c>
      <c r="W57">
        <v>0</v>
      </c>
      <c r="X57">
        <v>60000</v>
      </c>
      <c r="Y57">
        <v>0.75120871101233178</v>
      </c>
      <c r="Z57">
        <v>4</v>
      </c>
      <c r="AA57">
        <v>3</v>
      </c>
      <c r="AB57">
        <v>0</v>
      </c>
      <c r="AC57">
        <v>0</v>
      </c>
      <c r="AD57">
        <v>1</v>
      </c>
      <c r="AE57">
        <v>58.65</v>
      </c>
      <c r="AF57">
        <v>181166</v>
      </c>
      <c r="AG57">
        <v>2</v>
      </c>
      <c r="AH57">
        <v>22045</v>
      </c>
      <c r="AI57">
        <v>0</v>
      </c>
      <c r="AJ57">
        <v>3600</v>
      </c>
      <c r="AK57">
        <v>9000</v>
      </c>
      <c r="AL57">
        <v>0</v>
      </c>
      <c r="AM57">
        <v>0</v>
      </c>
    </row>
    <row r="58" spans="1:39">
      <c r="A58">
        <v>101</v>
      </c>
      <c r="B58" t="s">
        <v>39</v>
      </c>
      <c r="C58">
        <v>1</v>
      </c>
      <c r="D58">
        <v>97</v>
      </c>
      <c r="E58">
        <v>0</v>
      </c>
      <c r="F58">
        <v>0</v>
      </c>
      <c r="G58">
        <v>82</v>
      </c>
      <c r="H58">
        <v>3</v>
      </c>
      <c r="I58">
        <v>25</v>
      </c>
      <c r="J58">
        <f t="shared" si="0"/>
        <v>73.333333333333343</v>
      </c>
      <c r="K58">
        <v>73333.333333333343</v>
      </c>
      <c r="L58">
        <v>0.6</v>
      </c>
      <c r="M58">
        <v>3</v>
      </c>
      <c r="N58">
        <v>0</v>
      </c>
      <c r="O58">
        <v>22</v>
      </c>
      <c r="P58">
        <v>0</v>
      </c>
      <c r="Q58">
        <v>5</v>
      </c>
      <c r="R58">
        <v>300</v>
      </c>
      <c r="S58">
        <v>0</v>
      </c>
      <c r="T58">
        <v>0</v>
      </c>
      <c r="U58">
        <v>0</v>
      </c>
      <c r="V58">
        <v>0</v>
      </c>
      <c r="W58">
        <v>0</v>
      </c>
      <c r="X58">
        <v>36000</v>
      </c>
      <c r="Y58">
        <v>0.55000000000000004</v>
      </c>
      <c r="Z58">
        <v>3</v>
      </c>
      <c r="AA58">
        <v>3</v>
      </c>
      <c r="AB58">
        <v>0</v>
      </c>
      <c r="AC58">
        <v>0</v>
      </c>
      <c r="AD58">
        <v>1</v>
      </c>
      <c r="AE58">
        <v>15</v>
      </c>
      <c r="AF58">
        <v>44000</v>
      </c>
      <c r="AG58">
        <v>2</v>
      </c>
      <c r="AH58">
        <v>8800</v>
      </c>
      <c r="AI58">
        <v>0</v>
      </c>
      <c r="AJ58">
        <v>3000</v>
      </c>
      <c r="AK58">
        <v>2700</v>
      </c>
      <c r="AL58">
        <v>0</v>
      </c>
      <c r="AM58">
        <v>0</v>
      </c>
    </row>
    <row r="59" spans="1:39">
      <c r="A59">
        <v>102</v>
      </c>
      <c r="B59" t="s">
        <v>39</v>
      </c>
      <c r="C59">
        <v>1</v>
      </c>
      <c r="D59">
        <v>78</v>
      </c>
      <c r="E59">
        <v>0</v>
      </c>
      <c r="F59">
        <v>1</v>
      </c>
      <c r="G59">
        <v>50</v>
      </c>
      <c r="H59">
        <v>2</v>
      </c>
      <c r="I59">
        <v>36</v>
      </c>
      <c r="J59">
        <f t="shared" si="0"/>
        <v>160</v>
      </c>
      <c r="K59">
        <v>160000</v>
      </c>
      <c r="L59">
        <v>0.5</v>
      </c>
      <c r="M59">
        <v>1</v>
      </c>
      <c r="N59">
        <v>90</v>
      </c>
      <c r="O59">
        <v>16</v>
      </c>
      <c r="P59">
        <v>0.5</v>
      </c>
      <c r="Q59">
        <v>3.5</v>
      </c>
      <c r="R59">
        <v>500</v>
      </c>
      <c r="S59">
        <v>0</v>
      </c>
      <c r="T59">
        <v>0</v>
      </c>
      <c r="U59">
        <v>0</v>
      </c>
      <c r="V59">
        <v>0</v>
      </c>
      <c r="W59">
        <v>0</v>
      </c>
      <c r="X59">
        <v>36000</v>
      </c>
      <c r="Y59">
        <v>0.68965517241379315</v>
      </c>
      <c r="Z59">
        <v>4</v>
      </c>
      <c r="AA59">
        <v>3</v>
      </c>
      <c r="AB59">
        <v>0</v>
      </c>
      <c r="AC59">
        <v>0</v>
      </c>
      <c r="AD59">
        <v>1</v>
      </c>
      <c r="AE59">
        <v>18</v>
      </c>
      <c r="AF59">
        <v>80000</v>
      </c>
      <c r="AG59">
        <v>2</v>
      </c>
      <c r="AH59">
        <v>8100</v>
      </c>
      <c r="AI59">
        <v>2700</v>
      </c>
      <c r="AJ59">
        <v>2100</v>
      </c>
      <c r="AK59">
        <v>9900</v>
      </c>
      <c r="AL59">
        <v>0</v>
      </c>
      <c r="AM59">
        <v>0</v>
      </c>
    </row>
    <row r="60" spans="1:39">
      <c r="A60">
        <v>103</v>
      </c>
      <c r="B60" t="s">
        <v>39</v>
      </c>
      <c r="C60">
        <v>1</v>
      </c>
      <c r="D60">
        <v>47</v>
      </c>
      <c r="E60">
        <v>1</v>
      </c>
      <c r="F60">
        <v>4</v>
      </c>
      <c r="G60">
        <v>20</v>
      </c>
      <c r="H60">
        <v>4</v>
      </c>
      <c r="I60">
        <v>40</v>
      </c>
      <c r="J60">
        <f t="shared" si="0"/>
        <v>56</v>
      </c>
      <c r="K60">
        <v>56000</v>
      </c>
      <c r="L60">
        <v>0.5</v>
      </c>
      <c r="M60">
        <v>1</v>
      </c>
      <c r="N60">
        <v>30</v>
      </c>
      <c r="O60">
        <v>18</v>
      </c>
      <c r="P60">
        <v>1</v>
      </c>
      <c r="Q60">
        <v>1</v>
      </c>
      <c r="R60">
        <v>250</v>
      </c>
      <c r="S60">
        <v>0</v>
      </c>
      <c r="T60">
        <v>0</v>
      </c>
      <c r="U60">
        <v>0</v>
      </c>
      <c r="V60">
        <v>0</v>
      </c>
      <c r="W60">
        <v>0</v>
      </c>
      <c r="X60">
        <v>44700</v>
      </c>
      <c r="Y60">
        <v>0.38514442916093533</v>
      </c>
      <c r="Z60">
        <v>3</v>
      </c>
      <c r="AA60">
        <v>3</v>
      </c>
      <c r="AB60">
        <v>0</v>
      </c>
      <c r="AC60">
        <v>0</v>
      </c>
      <c r="AD60">
        <v>1</v>
      </c>
      <c r="AE60">
        <v>20</v>
      </c>
      <c r="AF60">
        <v>28000</v>
      </c>
      <c r="AG60">
        <v>2</v>
      </c>
      <c r="AH60">
        <v>8400</v>
      </c>
      <c r="AI60">
        <v>6000</v>
      </c>
      <c r="AJ60">
        <v>600</v>
      </c>
      <c r="AK60">
        <v>4950</v>
      </c>
      <c r="AL60">
        <v>0</v>
      </c>
      <c r="AM60">
        <v>0</v>
      </c>
    </row>
    <row r="61" spans="1:39">
      <c r="A61">
        <v>104</v>
      </c>
      <c r="B61" t="s">
        <v>39</v>
      </c>
      <c r="C61">
        <v>1</v>
      </c>
      <c r="D61">
        <v>46</v>
      </c>
      <c r="E61">
        <v>1</v>
      </c>
      <c r="F61">
        <v>4</v>
      </c>
      <c r="G61">
        <v>12</v>
      </c>
      <c r="H61">
        <v>8</v>
      </c>
      <c r="I61">
        <v>30</v>
      </c>
      <c r="J61">
        <f t="shared" si="0"/>
        <v>31.5</v>
      </c>
      <c r="K61">
        <v>31500</v>
      </c>
      <c r="L61">
        <v>2</v>
      </c>
      <c r="M61">
        <v>2</v>
      </c>
      <c r="N61">
        <v>24</v>
      </c>
      <c r="O61">
        <v>25</v>
      </c>
      <c r="P61">
        <v>3</v>
      </c>
      <c r="Q61">
        <v>3</v>
      </c>
      <c r="R61">
        <v>1250</v>
      </c>
      <c r="S61">
        <v>0</v>
      </c>
      <c r="T61">
        <v>0</v>
      </c>
      <c r="U61">
        <v>0</v>
      </c>
      <c r="V61">
        <v>0</v>
      </c>
      <c r="W61">
        <v>0</v>
      </c>
      <c r="X61">
        <v>96000</v>
      </c>
      <c r="Y61">
        <v>0.39622641509433965</v>
      </c>
      <c r="Z61">
        <v>3</v>
      </c>
      <c r="AA61">
        <v>3</v>
      </c>
      <c r="AB61">
        <v>0</v>
      </c>
      <c r="AC61">
        <v>0</v>
      </c>
      <c r="AD61">
        <v>1</v>
      </c>
      <c r="AE61">
        <v>60</v>
      </c>
      <c r="AF61">
        <v>63000</v>
      </c>
      <c r="AG61">
        <v>2</v>
      </c>
      <c r="AH61">
        <v>24000</v>
      </c>
      <c r="AI61">
        <v>30500</v>
      </c>
      <c r="AJ61">
        <v>7000</v>
      </c>
      <c r="AK61">
        <v>25000</v>
      </c>
      <c r="AL61">
        <v>0</v>
      </c>
      <c r="AM61">
        <v>0</v>
      </c>
    </row>
    <row r="62" spans="1:39">
      <c r="A62">
        <v>105</v>
      </c>
      <c r="B62" t="s">
        <v>39</v>
      </c>
      <c r="C62">
        <v>1</v>
      </c>
      <c r="D62">
        <v>62</v>
      </c>
      <c r="E62">
        <v>1</v>
      </c>
      <c r="F62">
        <v>5</v>
      </c>
      <c r="G62">
        <v>23</v>
      </c>
      <c r="H62">
        <v>6</v>
      </c>
      <c r="I62">
        <v>30</v>
      </c>
      <c r="J62">
        <f t="shared" si="0"/>
        <v>115.5</v>
      </c>
      <c r="K62">
        <v>115500</v>
      </c>
      <c r="L62">
        <v>2</v>
      </c>
      <c r="M62">
        <v>1</v>
      </c>
      <c r="N62">
        <v>13</v>
      </c>
      <c r="O62">
        <v>23</v>
      </c>
      <c r="P62">
        <v>1</v>
      </c>
      <c r="Q62">
        <v>3</v>
      </c>
      <c r="R62">
        <v>750</v>
      </c>
      <c r="S62">
        <v>0</v>
      </c>
      <c r="T62">
        <v>0</v>
      </c>
      <c r="U62">
        <v>0</v>
      </c>
      <c r="V62">
        <v>0</v>
      </c>
      <c r="W62">
        <v>0</v>
      </c>
      <c r="X62">
        <v>10000</v>
      </c>
      <c r="Y62">
        <v>0.95850622406639008</v>
      </c>
      <c r="Z62">
        <v>3</v>
      </c>
      <c r="AA62">
        <v>3</v>
      </c>
      <c r="AB62">
        <v>0</v>
      </c>
      <c r="AC62">
        <v>0</v>
      </c>
      <c r="AD62">
        <v>1</v>
      </c>
      <c r="AE62">
        <v>60</v>
      </c>
      <c r="AF62">
        <v>231000</v>
      </c>
      <c r="AG62">
        <v>2</v>
      </c>
      <c r="AH62">
        <v>22750</v>
      </c>
      <c r="AI62">
        <v>22000</v>
      </c>
      <c r="AJ62">
        <v>0</v>
      </c>
      <c r="AK62">
        <v>6300</v>
      </c>
      <c r="AL62">
        <v>0</v>
      </c>
      <c r="AM62">
        <v>0</v>
      </c>
    </row>
    <row r="63" spans="1:39">
      <c r="A63">
        <v>107</v>
      </c>
      <c r="B63" t="s">
        <v>39</v>
      </c>
      <c r="C63">
        <v>1</v>
      </c>
      <c r="D63">
        <v>64</v>
      </c>
      <c r="E63">
        <v>1</v>
      </c>
      <c r="F63">
        <v>2</v>
      </c>
      <c r="G63">
        <v>35</v>
      </c>
      <c r="H63">
        <v>3</v>
      </c>
      <c r="I63">
        <v>40</v>
      </c>
      <c r="J63">
        <f t="shared" si="0"/>
        <v>87.3</v>
      </c>
      <c r="K63">
        <v>87300</v>
      </c>
      <c r="L63">
        <v>2</v>
      </c>
      <c r="M63">
        <v>2</v>
      </c>
      <c r="N63">
        <v>325.7</v>
      </c>
      <c r="O63">
        <v>45</v>
      </c>
      <c r="P63">
        <v>0.25</v>
      </c>
      <c r="Q63">
        <v>4.5</v>
      </c>
      <c r="R63">
        <v>750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4</v>
      </c>
      <c r="AA63">
        <v>3</v>
      </c>
      <c r="AB63">
        <v>0</v>
      </c>
      <c r="AC63">
        <v>0</v>
      </c>
      <c r="AD63">
        <v>1</v>
      </c>
      <c r="AE63">
        <v>80</v>
      </c>
      <c r="AF63">
        <v>174600</v>
      </c>
      <c r="AG63">
        <v>3</v>
      </c>
      <c r="AH63">
        <v>38000</v>
      </c>
      <c r="AI63">
        <v>8000</v>
      </c>
      <c r="AJ63">
        <v>2400</v>
      </c>
      <c r="AK63">
        <v>11000</v>
      </c>
      <c r="AL63">
        <v>0</v>
      </c>
      <c r="AM63">
        <v>0</v>
      </c>
    </row>
    <row r="64" spans="1:39">
      <c r="A64">
        <v>108</v>
      </c>
      <c r="B64" t="s">
        <v>39</v>
      </c>
      <c r="C64">
        <v>1</v>
      </c>
      <c r="D64">
        <v>78</v>
      </c>
      <c r="E64">
        <v>1</v>
      </c>
      <c r="F64">
        <v>2</v>
      </c>
      <c r="G64">
        <v>30</v>
      </c>
      <c r="H64">
        <v>1</v>
      </c>
      <c r="I64">
        <v>50</v>
      </c>
      <c r="J64">
        <f t="shared" si="0"/>
        <v>90</v>
      </c>
      <c r="K64">
        <v>90000</v>
      </c>
      <c r="L64">
        <v>2</v>
      </c>
      <c r="M64">
        <v>2</v>
      </c>
      <c r="N64">
        <v>20.25</v>
      </c>
      <c r="O64">
        <v>112</v>
      </c>
      <c r="P64">
        <v>0</v>
      </c>
      <c r="Q64">
        <v>2</v>
      </c>
      <c r="R64">
        <v>1500</v>
      </c>
      <c r="S64">
        <v>2</v>
      </c>
      <c r="T64">
        <v>0</v>
      </c>
      <c r="U64">
        <v>0</v>
      </c>
      <c r="V64">
        <v>1</v>
      </c>
      <c r="W64">
        <v>0</v>
      </c>
      <c r="X64">
        <v>0</v>
      </c>
      <c r="Y64">
        <v>1</v>
      </c>
      <c r="Z64">
        <v>4</v>
      </c>
      <c r="AA64">
        <v>3</v>
      </c>
      <c r="AB64">
        <v>1</v>
      </c>
      <c r="AC64">
        <v>1</v>
      </c>
      <c r="AD64">
        <v>1</v>
      </c>
      <c r="AE64">
        <v>100</v>
      </c>
      <c r="AF64">
        <v>180000</v>
      </c>
      <c r="AG64">
        <v>2</v>
      </c>
      <c r="AH64">
        <v>62000</v>
      </c>
      <c r="AI64">
        <v>0</v>
      </c>
      <c r="AJ64">
        <v>1000</v>
      </c>
      <c r="AK64">
        <v>13500</v>
      </c>
      <c r="AL64">
        <v>850</v>
      </c>
      <c r="AM64">
        <v>0</v>
      </c>
    </row>
    <row r="65" spans="1:39">
      <c r="A65">
        <v>109</v>
      </c>
      <c r="B65" t="s">
        <v>39</v>
      </c>
      <c r="C65">
        <v>1</v>
      </c>
      <c r="D65">
        <v>59</v>
      </c>
      <c r="E65">
        <v>1</v>
      </c>
      <c r="F65">
        <v>5</v>
      </c>
      <c r="G65">
        <v>18</v>
      </c>
      <c r="H65">
        <v>2</v>
      </c>
      <c r="I65">
        <v>100</v>
      </c>
      <c r="J65">
        <f t="shared" si="0"/>
        <v>198</v>
      </c>
      <c r="K65">
        <v>198000</v>
      </c>
      <c r="L65">
        <v>0.5</v>
      </c>
      <c r="M65">
        <v>1</v>
      </c>
      <c r="N65">
        <v>5.5</v>
      </c>
      <c r="O65">
        <v>5</v>
      </c>
      <c r="P65">
        <v>2</v>
      </c>
      <c r="Q65">
        <v>2</v>
      </c>
      <c r="R65">
        <v>600</v>
      </c>
      <c r="S65">
        <v>0</v>
      </c>
      <c r="T65">
        <v>0</v>
      </c>
      <c r="U65">
        <v>0</v>
      </c>
      <c r="V65">
        <v>1</v>
      </c>
      <c r="W65">
        <v>0</v>
      </c>
      <c r="X65">
        <v>128400</v>
      </c>
      <c r="Y65">
        <v>0.43535620052770446</v>
      </c>
      <c r="Z65">
        <v>3</v>
      </c>
      <c r="AA65">
        <v>3</v>
      </c>
      <c r="AB65">
        <v>0</v>
      </c>
      <c r="AC65">
        <v>0</v>
      </c>
      <c r="AD65">
        <v>1</v>
      </c>
      <c r="AE65">
        <v>50</v>
      </c>
      <c r="AF65">
        <v>99000</v>
      </c>
      <c r="AG65">
        <v>2</v>
      </c>
      <c r="AH65">
        <v>21000</v>
      </c>
      <c r="AI65">
        <v>15000</v>
      </c>
      <c r="AJ65">
        <v>1000</v>
      </c>
      <c r="AK65">
        <v>5400</v>
      </c>
      <c r="AL65">
        <v>0</v>
      </c>
      <c r="AM65">
        <v>0</v>
      </c>
    </row>
    <row r="66" spans="1:39">
      <c r="A66">
        <v>113</v>
      </c>
      <c r="B66" t="s">
        <v>39</v>
      </c>
      <c r="C66">
        <v>1</v>
      </c>
      <c r="D66">
        <v>36</v>
      </c>
      <c r="E66">
        <v>0</v>
      </c>
      <c r="F66">
        <v>2</v>
      </c>
      <c r="G66">
        <v>20</v>
      </c>
      <c r="H66">
        <v>4</v>
      </c>
      <c r="I66">
        <v>57.487783845932739</v>
      </c>
      <c r="J66">
        <f t="shared" si="0"/>
        <v>98.17476286289164</v>
      </c>
      <c r="K66">
        <v>98174.762862891643</v>
      </c>
      <c r="L66">
        <v>0.69579999999999997</v>
      </c>
      <c r="M66">
        <v>1</v>
      </c>
      <c r="N66">
        <v>78</v>
      </c>
      <c r="O66">
        <v>23</v>
      </c>
      <c r="P66">
        <v>0</v>
      </c>
      <c r="Q66">
        <v>2</v>
      </c>
      <c r="R66">
        <v>500</v>
      </c>
      <c r="S66">
        <v>0</v>
      </c>
      <c r="T66">
        <v>0</v>
      </c>
      <c r="U66">
        <v>0</v>
      </c>
      <c r="V66">
        <v>0</v>
      </c>
      <c r="W66">
        <v>0</v>
      </c>
      <c r="X66">
        <v>182500</v>
      </c>
      <c r="Y66">
        <v>0.27235756150073759</v>
      </c>
      <c r="Z66">
        <v>4</v>
      </c>
      <c r="AA66">
        <v>3</v>
      </c>
      <c r="AB66">
        <v>0</v>
      </c>
      <c r="AC66">
        <v>0</v>
      </c>
      <c r="AD66">
        <v>1</v>
      </c>
      <c r="AE66">
        <v>40</v>
      </c>
      <c r="AF66">
        <v>68310</v>
      </c>
      <c r="AG66">
        <v>2</v>
      </c>
      <c r="AH66">
        <v>17000</v>
      </c>
      <c r="AI66">
        <v>0</v>
      </c>
      <c r="AJ66">
        <v>1200</v>
      </c>
      <c r="AK66">
        <v>4700</v>
      </c>
      <c r="AL66">
        <v>0</v>
      </c>
      <c r="AM66">
        <v>0</v>
      </c>
    </row>
    <row r="67" spans="1:39">
      <c r="A67">
        <v>114</v>
      </c>
      <c r="B67" t="s">
        <v>39</v>
      </c>
      <c r="C67">
        <v>1</v>
      </c>
      <c r="D67">
        <v>50</v>
      </c>
      <c r="E67">
        <v>1</v>
      </c>
      <c r="F67">
        <v>3</v>
      </c>
      <c r="G67">
        <v>35</v>
      </c>
      <c r="H67">
        <v>1</v>
      </c>
      <c r="I67">
        <v>19.2</v>
      </c>
      <c r="J67">
        <f t="shared" ref="J67:J97" si="1">K67/1000</f>
        <v>29.12</v>
      </c>
      <c r="K67">
        <v>29120</v>
      </c>
      <c r="L67">
        <v>1.25</v>
      </c>
      <c r="M67">
        <v>1</v>
      </c>
      <c r="N67">
        <v>24</v>
      </c>
      <c r="O67">
        <v>13</v>
      </c>
      <c r="P67">
        <v>0</v>
      </c>
      <c r="Q67">
        <v>3</v>
      </c>
      <c r="R67">
        <v>500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4</v>
      </c>
      <c r="AA67">
        <v>3</v>
      </c>
      <c r="AB67">
        <v>0</v>
      </c>
      <c r="AC67">
        <v>0</v>
      </c>
      <c r="AD67">
        <v>1</v>
      </c>
      <c r="AE67">
        <v>24</v>
      </c>
      <c r="AF67">
        <v>36400</v>
      </c>
      <c r="AG67">
        <v>2</v>
      </c>
      <c r="AH67">
        <v>14700</v>
      </c>
      <c r="AI67">
        <v>0</v>
      </c>
      <c r="AJ67">
        <v>1500</v>
      </c>
      <c r="AK67">
        <v>5000</v>
      </c>
      <c r="AL67">
        <v>0</v>
      </c>
      <c r="AM67">
        <v>0</v>
      </c>
    </row>
    <row r="68" spans="1:39">
      <c r="A68">
        <v>115</v>
      </c>
      <c r="B68" t="s">
        <v>39</v>
      </c>
      <c r="C68">
        <v>1</v>
      </c>
      <c r="D68">
        <v>68</v>
      </c>
      <c r="E68">
        <v>1</v>
      </c>
      <c r="F68">
        <v>5</v>
      </c>
      <c r="G68">
        <v>50</v>
      </c>
      <c r="H68">
        <v>4</v>
      </c>
      <c r="I68">
        <v>59.090909090909086</v>
      </c>
      <c r="J68">
        <f t="shared" si="1"/>
        <v>88.636363636363626</v>
      </c>
      <c r="K68">
        <v>88636.363636363632</v>
      </c>
      <c r="L68">
        <v>1.1000000000000001</v>
      </c>
      <c r="M68">
        <v>1</v>
      </c>
      <c r="N68">
        <v>8</v>
      </c>
      <c r="O68">
        <v>38</v>
      </c>
      <c r="P68">
        <v>2</v>
      </c>
      <c r="Q68">
        <v>3</v>
      </c>
      <c r="R68">
        <v>1500</v>
      </c>
      <c r="S68">
        <v>1</v>
      </c>
      <c r="T68">
        <v>0</v>
      </c>
      <c r="U68">
        <v>0</v>
      </c>
      <c r="V68">
        <v>1</v>
      </c>
      <c r="W68">
        <v>0</v>
      </c>
      <c r="X68">
        <v>0</v>
      </c>
      <c r="Y68">
        <v>1</v>
      </c>
      <c r="Z68">
        <v>4</v>
      </c>
      <c r="AA68">
        <v>3</v>
      </c>
      <c r="AB68">
        <v>1</v>
      </c>
      <c r="AC68">
        <v>0</v>
      </c>
      <c r="AD68">
        <v>1</v>
      </c>
      <c r="AE68">
        <v>65</v>
      </c>
      <c r="AF68">
        <v>97500</v>
      </c>
      <c r="AG68">
        <v>2</v>
      </c>
      <c r="AH68">
        <v>26400</v>
      </c>
      <c r="AI68">
        <v>11000</v>
      </c>
      <c r="AJ68">
        <v>1500</v>
      </c>
      <c r="AK68">
        <v>14100</v>
      </c>
      <c r="AL68">
        <v>1050</v>
      </c>
      <c r="AM68">
        <v>0</v>
      </c>
    </row>
    <row r="69" spans="1:39">
      <c r="A69">
        <v>116</v>
      </c>
      <c r="B69" t="s">
        <v>39</v>
      </c>
      <c r="C69">
        <v>1</v>
      </c>
      <c r="D69">
        <v>57</v>
      </c>
      <c r="E69">
        <v>1</v>
      </c>
      <c r="F69">
        <v>4</v>
      </c>
      <c r="G69">
        <v>32</v>
      </c>
      <c r="H69">
        <v>3</v>
      </c>
      <c r="I69">
        <v>52.941176470588239</v>
      </c>
      <c r="J69">
        <f t="shared" si="1"/>
        <v>79.411764705882348</v>
      </c>
      <c r="K69">
        <v>79411.76470588235</v>
      </c>
      <c r="L69">
        <v>0.85</v>
      </c>
      <c r="M69">
        <v>1</v>
      </c>
      <c r="N69">
        <v>52</v>
      </c>
      <c r="O69">
        <v>26</v>
      </c>
      <c r="P69">
        <v>2</v>
      </c>
      <c r="Q69">
        <v>3</v>
      </c>
      <c r="R69">
        <v>750</v>
      </c>
      <c r="S69">
        <v>0</v>
      </c>
      <c r="T69">
        <v>0</v>
      </c>
      <c r="U69">
        <v>0</v>
      </c>
      <c r="V69">
        <v>0</v>
      </c>
      <c r="W69">
        <v>0</v>
      </c>
      <c r="X69">
        <v>240000</v>
      </c>
      <c r="Y69">
        <v>0.21951219512195122</v>
      </c>
      <c r="Z69">
        <v>3</v>
      </c>
      <c r="AA69">
        <v>3</v>
      </c>
      <c r="AB69">
        <v>0</v>
      </c>
      <c r="AC69">
        <v>0</v>
      </c>
      <c r="AD69">
        <v>1</v>
      </c>
      <c r="AE69">
        <v>45</v>
      </c>
      <c r="AF69">
        <v>67500</v>
      </c>
      <c r="AG69">
        <v>2</v>
      </c>
      <c r="AH69">
        <v>21050</v>
      </c>
      <c r="AI69">
        <v>7000</v>
      </c>
      <c r="AJ69">
        <v>1500</v>
      </c>
      <c r="AK69">
        <v>7050</v>
      </c>
      <c r="AL69">
        <v>0</v>
      </c>
      <c r="AM69">
        <v>0</v>
      </c>
    </row>
    <row r="70" spans="1:39">
      <c r="A70">
        <v>122</v>
      </c>
      <c r="B70" t="s">
        <v>39</v>
      </c>
      <c r="C70">
        <v>1</v>
      </c>
      <c r="D70">
        <v>59</v>
      </c>
      <c r="E70">
        <v>1</v>
      </c>
      <c r="F70">
        <v>6</v>
      </c>
      <c r="G70">
        <v>5</v>
      </c>
      <c r="H70">
        <v>4</v>
      </c>
      <c r="I70">
        <v>50</v>
      </c>
      <c r="J70">
        <f t="shared" si="1"/>
        <v>75</v>
      </c>
      <c r="K70">
        <v>75000</v>
      </c>
      <c r="L70">
        <v>0.6</v>
      </c>
      <c r="M70">
        <v>1</v>
      </c>
      <c r="N70">
        <v>10</v>
      </c>
      <c r="O70">
        <v>23</v>
      </c>
      <c r="P70">
        <v>0</v>
      </c>
      <c r="Q70">
        <v>2</v>
      </c>
      <c r="R70">
        <v>500</v>
      </c>
      <c r="S70">
        <v>0</v>
      </c>
      <c r="T70">
        <v>0</v>
      </c>
      <c r="U70">
        <v>0</v>
      </c>
      <c r="V70">
        <v>0</v>
      </c>
      <c r="W70">
        <v>0</v>
      </c>
      <c r="X70">
        <v>240000</v>
      </c>
      <c r="Y70">
        <v>0.15789473684210525</v>
      </c>
      <c r="Z70">
        <v>2</v>
      </c>
      <c r="AA70">
        <v>3</v>
      </c>
      <c r="AB70">
        <v>0</v>
      </c>
      <c r="AC70">
        <v>0</v>
      </c>
      <c r="AD70">
        <v>1</v>
      </c>
      <c r="AE70">
        <v>30</v>
      </c>
      <c r="AF70">
        <v>45000</v>
      </c>
      <c r="AG70">
        <v>2</v>
      </c>
      <c r="AH70">
        <v>15000</v>
      </c>
      <c r="AI70">
        <v>0</v>
      </c>
      <c r="AJ70">
        <v>1200</v>
      </c>
      <c r="AK70">
        <v>47000</v>
      </c>
      <c r="AL70">
        <v>0</v>
      </c>
      <c r="AM70">
        <v>0</v>
      </c>
    </row>
    <row r="71" spans="1:39">
      <c r="A71">
        <v>123</v>
      </c>
      <c r="B71" t="s">
        <v>39</v>
      </c>
      <c r="C71">
        <v>1</v>
      </c>
      <c r="D71">
        <v>76</v>
      </c>
      <c r="E71">
        <v>0</v>
      </c>
      <c r="F71">
        <v>2</v>
      </c>
      <c r="G71">
        <v>16</v>
      </c>
      <c r="H71">
        <v>2</v>
      </c>
      <c r="I71">
        <v>66</v>
      </c>
      <c r="J71">
        <f t="shared" si="1"/>
        <v>60</v>
      </c>
      <c r="K71">
        <v>60000</v>
      </c>
      <c r="L71">
        <v>0.5</v>
      </c>
      <c r="M71">
        <v>1</v>
      </c>
      <c r="N71">
        <v>42</v>
      </c>
      <c r="O71">
        <v>41</v>
      </c>
      <c r="P71">
        <v>0</v>
      </c>
      <c r="Q71">
        <v>5</v>
      </c>
      <c r="R71">
        <v>500</v>
      </c>
      <c r="S71">
        <v>0</v>
      </c>
      <c r="T71">
        <v>0</v>
      </c>
      <c r="U71">
        <v>0</v>
      </c>
      <c r="V71">
        <v>1</v>
      </c>
      <c r="W71">
        <v>0</v>
      </c>
      <c r="X71">
        <v>90000</v>
      </c>
      <c r="Y71">
        <v>0.25</v>
      </c>
      <c r="Z71">
        <v>3</v>
      </c>
      <c r="AA71">
        <v>3</v>
      </c>
      <c r="AB71">
        <v>0</v>
      </c>
      <c r="AC71">
        <v>0</v>
      </c>
      <c r="AD71">
        <v>1</v>
      </c>
      <c r="AE71">
        <v>33</v>
      </c>
      <c r="AF71">
        <v>30000</v>
      </c>
      <c r="AG71">
        <v>1</v>
      </c>
      <c r="AH71">
        <v>14700</v>
      </c>
      <c r="AI71">
        <v>0</v>
      </c>
      <c r="AJ71">
        <v>4000</v>
      </c>
      <c r="AK71">
        <v>4200</v>
      </c>
      <c r="AL71">
        <v>0</v>
      </c>
      <c r="AM71">
        <v>0</v>
      </c>
    </row>
    <row r="72" spans="1:39">
      <c r="A72">
        <v>124</v>
      </c>
      <c r="B72" t="s">
        <v>39</v>
      </c>
      <c r="C72">
        <v>1</v>
      </c>
      <c r="D72">
        <v>80</v>
      </c>
      <c r="E72">
        <v>0</v>
      </c>
      <c r="F72">
        <v>1</v>
      </c>
      <c r="G72">
        <v>50</v>
      </c>
      <c r="H72">
        <v>2</v>
      </c>
      <c r="I72">
        <v>81.428571428571431</v>
      </c>
      <c r="J72">
        <f t="shared" si="1"/>
        <v>239.06285714285715</v>
      </c>
      <c r="K72">
        <v>239062.85714285716</v>
      </c>
      <c r="L72">
        <v>0.7</v>
      </c>
      <c r="M72">
        <v>1</v>
      </c>
      <c r="N72">
        <v>0</v>
      </c>
      <c r="O72">
        <v>60</v>
      </c>
      <c r="P72">
        <v>0</v>
      </c>
      <c r="Q72">
        <v>1</v>
      </c>
      <c r="R72">
        <v>750</v>
      </c>
      <c r="S72">
        <v>0</v>
      </c>
      <c r="T72">
        <v>0</v>
      </c>
      <c r="U72">
        <v>0</v>
      </c>
      <c r="V72">
        <v>0</v>
      </c>
      <c r="W72">
        <v>0</v>
      </c>
      <c r="X72">
        <v>150800</v>
      </c>
      <c r="Y72">
        <v>0.526000804667069</v>
      </c>
      <c r="Z72">
        <v>4</v>
      </c>
      <c r="AA72">
        <v>3</v>
      </c>
      <c r="AB72">
        <v>0</v>
      </c>
      <c r="AC72">
        <v>0</v>
      </c>
      <c r="AD72">
        <v>1</v>
      </c>
      <c r="AE72">
        <v>57</v>
      </c>
      <c r="AF72">
        <v>167344</v>
      </c>
      <c r="AG72">
        <v>2</v>
      </c>
      <c r="AH72">
        <v>33800</v>
      </c>
      <c r="AI72">
        <v>0</v>
      </c>
      <c r="AJ72">
        <v>1800</v>
      </c>
      <c r="AK72">
        <v>6750</v>
      </c>
      <c r="AL72">
        <v>0</v>
      </c>
      <c r="AM72">
        <v>0</v>
      </c>
    </row>
    <row r="73" spans="1:39">
      <c r="A73">
        <v>125</v>
      </c>
      <c r="B73" t="s">
        <v>40</v>
      </c>
      <c r="C73">
        <v>1</v>
      </c>
      <c r="D73">
        <v>70</v>
      </c>
      <c r="E73">
        <v>0</v>
      </c>
      <c r="F73">
        <v>2</v>
      </c>
      <c r="G73">
        <v>56</v>
      </c>
      <c r="H73">
        <v>7</v>
      </c>
      <c r="I73">
        <v>30</v>
      </c>
      <c r="J73">
        <f t="shared" si="1"/>
        <v>110</v>
      </c>
      <c r="K73">
        <v>110000</v>
      </c>
      <c r="L73">
        <v>0.5</v>
      </c>
      <c r="M73">
        <v>1</v>
      </c>
      <c r="N73">
        <v>9</v>
      </c>
      <c r="O73">
        <v>10</v>
      </c>
      <c r="P73">
        <v>1</v>
      </c>
      <c r="Q73">
        <v>1</v>
      </c>
      <c r="R73">
        <v>350</v>
      </c>
      <c r="S73">
        <v>0</v>
      </c>
      <c r="T73">
        <v>0</v>
      </c>
      <c r="U73">
        <v>0</v>
      </c>
      <c r="V73">
        <v>0</v>
      </c>
      <c r="W73">
        <v>0</v>
      </c>
      <c r="X73">
        <v>230400</v>
      </c>
      <c r="Y73">
        <v>0.19271198318149965</v>
      </c>
      <c r="Z73">
        <v>3</v>
      </c>
      <c r="AA73">
        <v>3</v>
      </c>
      <c r="AB73">
        <v>0</v>
      </c>
      <c r="AC73">
        <v>0</v>
      </c>
      <c r="AD73">
        <v>1</v>
      </c>
      <c r="AE73">
        <v>15</v>
      </c>
      <c r="AF73">
        <v>55000</v>
      </c>
      <c r="AG73">
        <v>2</v>
      </c>
      <c r="AH73">
        <v>5700</v>
      </c>
      <c r="AI73">
        <v>2750</v>
      </c>
      <c r="AJ73">
        <v>600</v>
      </c>
      <c r="AK73">
        <v>3360</v>
      </c>
      <c r="AL73">
        <v>0</v>
      </c>
      <c r="AM73">
        <v>0</v>
      </c>
    </row>
    <row r="74" spans="1:39">
      <c r="A74">
        <v>126</v>
      </c>
      <c r="B74" t="s">
        <v>40</v>
      </c>
      <c r="C74">
        <v>1</v>
      </c>
      <c r="D74">
        <v>68</v>
      </c>
      <c r="E74">
        <v>1</v>
      </c>
      <c r="F74">
        <v>3</v>
      </c>
      <c r="G74">
        <v>50</v>
      </c>
      <c r="H74">
        <v>6</v>
      </c>
      <c r="I74">
        <v>90</v>
      </c>
      <c r="J74">
        <f t="shared" si="1"/>
        <v>144</v>
      </c>
      <c r="K74">
        <v>144000</v>
      </c>
      <c r="L74">
        <v>2</v>
      </c>
      <c r="M74">
        <v>2</v>
      </c>
      <c r="N74">
        <v>40.5</v>
      </c>
      <c r="O74">
        <v>32</v>
      </c>
      <c r="P74">
        <v>3</v>
      </c>
      <c r="Q74">
        <v>0</v>
      </c>
      <c r="R74">
        <v>2950</v>
      </c>
      <c r="S74">
        <v>0</v>
      </c>
      <c r="T74">
        <v>0</v>
      </c>
      <c r="U74">
        <v>0</v>
      </c>
      <c r="V74">
        <v>1</v>
      </c>
      <c r="W74">
        <v>1</v>
      </c>
      <c r="X74">
        <v>258000</v>
      </c>
      <c r="Y74">
        <v>0.52747252747252749</v>
      </c>
      <c r="Z74">
        <v>3</v>
      </c>
      <c r="AA74">
        <v>3</v>
      </c>
      <c r="AB74">
        <v>0</v>
      </c>
      <c r="AC74">
        <v>0</v>
      </c>
      <c r="AD74">
        <v>1</v>
      </c>
      <c r="AE74">
        <v>180</v>
      </c>
      <c r="AF74">
        <v>288000</v>
      </c>
      <c r="AG74">
        <v>1</v>
      </c>
      <c r="AH74">
        <v>61110</v>
      </c>
      <c r="AI74">
        <v>28500</v>
      </c>
      <c r="AJ74">
        <v>0</v>
      </c>
      <c r="AK74">
        <v>32010</v>
      </c>
      <c r="AL74">
        <v>0</v>
      </c>
      <c r="AM74">
        <v>0</v>
      </c>
    </row>
    <row r="75" spans="1:39">
      <c r="A75">
        <v>127</v>
      </c>
      <c r="B75" t="s">
        <v>40</v>
      </c>
      <c r="C75">
        <v>1</v>
      </c>
      <c r="D75">
        <v>47</v>
      </c>
      <c r="E75">
        <v>0</v>
      </c>
      <c r="F75">
        <v>4</v>
      </c>
      <c r="G75">
        <v>7</v>
      </c>
      <c r="H75">
        <v>4</v>
      </c>
      <c r="I75">
        <v>74.999999999999986</v>
      </c>
      <c r="J75">
        <f t="shared" si="1"/>
        <v>112.49999999999999</v>
      </c>
      <c r="K75">
        <v>112499.99999999999</v>
      </c>
      <c r="L75">
        <v>0.56000000000000005</v>
      </c>
      <c r="M75">
        <v>1</v>
      </c>
      <c r="N75">
        <v>83</v>
      </c>
      <c r="O75">
        <v>6</v>
      </c>
      <c r="P75">
        <v>1</v>
      </c>
      <c r="Q75">
        <v>1.5</v>
      </c>
      <c r="R75">
        <v>750</v>
      </c>
      <c r="S75">
        <v>0</v>
      </c>
      <c r="T75">
        <v>0</v>
      </c>
      <c r="U75">
        <v>0</v>
      </c>
      <c r="V75">
        <v>1</v>
      </c>
      <c r="W75">
        <v>0</v>
      </c>
      <c r="X75">
        <v>202176</v>
      </c>
      <c r="Y75">
        <v>0.23757806136301929</v>
      </c>
      <c r="Z75">
        <v>3</v>
      </c>
      <c r="AA75">
        <v>3</v>
      </c>
      <c r="AB75">
        <v>0</v>
      </c>
      <c r="AC75">
        <v>0</v>
      </c>
      <c r="AD75">
        <v>1</v>
      </c>
      <c r="AE75">
        <v>42</v>
      </c>
      <c r="AF75">
        <v>63000</v>
      </c>
      <c r="AG75">
        <v>2</v>
      </c>
      <c r="AH75">
        <v>14840</v>
      </c>
      <c r="AI75">
        <v>2750</v>
      </c>
      <c r="AJ75">
        <v>900</v>
      </c>
      <c r="AK75">
        <v>7200</v>
      </c>
      <c r="AL75">
        <v>0</v>
      </c>
      <c r="AM75">
        <v>0</v>
      </c>
    </row>
    <row r="76" spans="1:39">
      <c r="A76">
        <v>128</v>
      </c>
      <c r="B76" t="s">
        <v>40</v>
      </c>
      <c r="C76">
        <v>1</v>
      </c>
      <c r="D76">
        <v>71</v>
      </c>
      <c r="E76">
        <v>1</v>
      </c>
      <c r="F76">
        <v>2</v>
      </c>
      <c r="G76">
        <v>50</v>
      </c>
      <c r="H76">
        <v>3</v>
      </c>
      <c r="I76">
        <v>96</v>
      </c>
      <c r="J76">
        <f t="shared" si="1"/>
        <v>200</v>
      </c>
      <c r="K76">
        <v>200000</v>
      </c>
      <c r="L76">
        <v>0.5</v>
      </c>
      <c r="M76">
        <v>1</v>
      </c>
      <c r="N76">
        <v>26.5</v>
      </c>
      <c r="O76">
        <v>36</v>
      </c>
      <c r="P76">
        <v>0.5</v>
      </c>
      <c r="Q76">
        <v>1</v>
      </c>
      <c r="R76">
        <v>600</v>
      </c>
      <c r="S76">
        <v>0</v>
      </c>
      <c r="T76">
        <v>0</v>
      </c>
      <c r="U76">
        <v>0</v>
      </c>
      <c r="V76">
        <v>1</v>
      </c>
      <c r="W76">
        <v>0</v>
      </c>
      <c r="X76">
        <v>120000</v>
      </c>
      <c r="Y76">
        <v>0.45454545454545453</v>
      </c>
      <c r="Z76">
        <v>3</v>
      </c>
      <c r="AA76">
        <v>3</v>
      </c>
      <c r="AB76">
        <v>0</v>
      </c>
      <c r="AC76">
        <v>0</v>
      </c>
      <c r="AD76">
        <v>1</v>
      </c>
      <c r="AE76">
        <v>48</v>
      </c>
      <c r="AF76">
        <v>100000</v>
      </c>
      <c r="AG76">
        <v>2</v>
      </c>
      <c r="AH76">
        <v>14640</v>
      </c>
      <c r="AI76">
        <v>2750</v>
      </c>
      <c r="AJ76">
        <v>600</v>
      </c>
      <c r="AK76">
        <v>10680</v>
      </c>
      <c r="AL76">
        <v>0</v>
      </c>
      <c r="AM76">
        <v>0</v>
      </c>
    </row>
    <row r="77" spans="1:39">
      <c r="A77">
        <v>129</v>
      </c>
      <c r="B77" t="s">
        <v>40</v>
      </c>
      <c r="C77">
        <v>1</v>
      </c>
      <c r="D77">
        <v>79</v>
      </c>
      <c r="E77">
        <v>0</v>
      </c>
      <c r="F77">
        <v>2</v>
      </c>
      <c r="G77">
        <v>64</v>
      </c>
      <c r="H77">
        <v>3</v>
      </c>
      <c r="I77">
        <v>50</v>
      </c>
      <c r="J77">
        <f t="shared" si="1"/>
        <v>60</v>
      </c>
      <c r="K77">
        <v>60000</v>
      </c>
      <c r="L77">
        <v>0.5</v>
      </c>
      <c r="M77">
        <v>1</v>
      </c>
      <c r="N77">
        <v>30</v>
      </c>
      <c r="O77">
        <v>22</v>
      </c>
      <c r="P77">
        <v>1</v>
      </c>
      <c r="Q77">
        <v>0.5</v>
      </c>
      <c r="R77">
        <v>500</v>
      </c>
      <c r="S77">
        <v>0</v>
      </c>
      <c r="T77">
        <v>0</v>
      </c>
      <c r="U77">
        <v>0</v>
      </c>
      <c r="V77">
        <v>0</v>
      </c>
      <c r="W77">
        <v>0</v>
      </c>
      <c r="X77">
        <v>157200</v>
      </c>
      <c r="Y77">
        <v>0.16025641025641027</v>
      </c>
      <c r="Z77">
        <v>3</v>
      </c>
      <c r="AA77">
        <v>3</v>
      </c>
      <c r="AB77">
        <v>0</v>
      </c>
      <c r="AC77">
        <v>0</v>
      </c>
      <c r="AD77">
        <v>1</v>
      </c>
      <c r="AE77">
        <v>25</v>
      </c>
      <c r="AF77">
        <v>30000</v>
      </c>
      <c r="AG77">
        <v>2</v>
      </c>
      <c r="AH77">
        <v>8100</v>
      </c>
      <c r="AI77">
        <v>2500</v>
      </c>
      <c r="AJ77">
        <v>300</v>
      </c>
      <c r="AK77">
        <v>4700</v>
      </c>
      <c r="AL77">
        <v>0</v>
      </c>
      <c r="AM77">
        <v>0</v>
      </c>
    </row>
    <row r="78" spans="1:39">
      <c r="A78">
        <v>135</v>
      </c>
      <c r="B78" t="s">
        <v>40</v>
      </c>
      <c r="C78">
        <v>1</v>
      </c>
      <c r="D78">
        <v>60</v>
      </c>
      <c r="E78">
        <v>0</v>
      </c>
      <c r="F78">
        <v>4</v>
      </c>
      <c r="G78">
        <v>40</v>
      </c>
      <c r="H78">
        <v>3</v>
      </c>
      <c r="I78">
        <v>100</v>
      </c>
      <c r="J78">
        <f t="shared" si="1"/>
        <v>80</v>
      </c>
      <c r="K78">
        <v>80000</v>
      </c>
      <c r="L78">
        <v>0.5</v>
      </c>
      <c r="M78">
        <v>2</v>
      </c>
      <c r="N78">
        <v>4</v>
      </c>
      <c r="O78">
        <v>3</v>
      </c>
      <c r="P78">
        <v>1</v>
      </c>
      <c r="Q78">
        <v>5</v>
      </c>
      <c r="R78">
        <v>700</v>
      </c>
      <c r="S78">
        <v>0</v>
      </c>
      <c r="T78">
        <v>0</v>
      </c>
      <c r="U78">
        <v>0</v>
      </c>
      <c r="V78">
        <v>1</v>
      </c>
      <c r="W78">
        <v>0</v>
      </c>
      <c r="X78">
        <v>121800</v>
      </c>
      <c r="Y78">
        <v>0.24721878862793573</v>
      </c>
      <c r="Z78">
        <v>3</v>
      </c>
      <c r="AA78">
        <v>3</v>
      </c>
      <c r="AB78">
        <v>3</v>
      </c>
      <c r="AC78">
        <v>3</v>
      </c>
      <c r="AD78">
        <v>1</v>
      </c>
      <c r="AE78">
        <v>50</v>
      </c>
      <c r="AF78">
        <v>40000</v>
      </c>
      <c r="AG78">
        <v>2</v>
      </c>
      <c r="AH78">
        <v>400</v>
      </c>
      <c r="AI78">
        <v>2750</v>
      </c>
      <c r="AJ78">
        <v>2000</v>
      </c>
      <c r="AK78">
        <v>6650</v>
      </c>
      <c r="AL78">
        <v>0</v>
      </c>
      <c r="AM78">
        <v>0</v>
      </c>
    </row>
    <row r="79" spans="1:39">
      <c r="A79">
        <v>137</v>
      </c>
      <c r="B79" t="s">
        <v>40</v>
      </c>
      <c r="C79">
        <v>1</v>
      </c>
      <c r="D79">
        <v>66</v>
      </c>
      <c r="E79">
        <v>0</v>
      </c>
      <c r="F79">
        <v>2</v>
      </c>
      <c r="G79">
        <v>46</v>
      </c>
      <c r="H79">
        <v>5</v>
      </c>
      <c r="I79">
        <v>32</v>
      </c>
      <c r="J79">
        <f t="shared" si="1"/>
        <v>42</v>
      </c>
      <c r="K79">
        <v>42000</v>
      </c>
      <c r="L79">
        <v>0.75</v>
      </c>
      <c r="M79">
        <v>1</v>
      </c>
      <c r="N79">
        <v>90</v>
      </c>
      <c r="O79">
        <v>16</v>
      </c>
      <c r="P79">
        <v>1</v>
      </c>
      <c r="Q79">
        <v>3</v>
      </c>
      <c r="R79">
        <v>500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4</v>
      </c>
      <c r="AA79">
        <v>3</v>
      </c>
      <c r="AB79">
        <v>0</v>
      </c>
      <c r="AC79">
        <v>0</v>
      </c>
      <c r="AD79">
        <v>1</v>
      </c>
      <c r="AE79">
        <v>24</v>
      </c>
      <c r="AF79">
        <v>31500</v>
      </c>
      <c r="AG79">
        <v>2</v>
      </c>
      <c r="AH79">
        <v>10200</v>
      </c>
      <c r="AI79">
        <v>4125</v>
      </c>
      <c r="AJ79">
        <v>1800</v>
      </c>
      <c r="AK79">
        <v>4700</v>
      </c>
      <c r="AL79">
        <v>0</v>
      </c>
      <c r="AM79">
        <v>0</v>
      </c>
    </row>
    <row r="80" spans="1:39">
      <c r="A80">
        <v>138</v>
      </c>
      <c r="B80" t="s">
        <v>40</v>
      </c>
      <c r="C80">
        <v>1</v>
      </c>
      <c r="D80">
        <v>32</v>
      </c>
      <c r="E80">
        <v>0</v>
      </c>
      <c r="F80">
        <v>6</v>
      </c>
      <c r="G80">
        <v>4</v>
      </c>
      <c r="H80">
        <v>3</v>
      </c>
      <c r="I80">
        <v>48.75</v>
      </c>
      <c r="J80">
        <f t="shared" si="1"/>
        <v>84.375</v>
      </c>
      <c r="K80">
        <v>84375</v>
      </c>
      <c r="L80">
        <v>0.8</v>
      </c>
      <c r="M80">
        <v>1</v>
      </c>
      <c r="N80">
        <v>208</v>
      </c>
      <c r="O80">
        <v>20</v>
      </c>
      <c r="P80">
        <v>1</v>
      </c>
      <c r="Q80">
        <v>1</v>
      </c>
      <c r="R80">
        <v>12500</v>
      </c>
      <c r="S80">
        <v>0</v>
      </c>
      <c r="T80">
        <v>0</v>
      </c>
      <c r="U80">
        <v>0</v>
      </c>
      <c r="V80">
        <v>0</v>
      </c>
      <c r="W80">
        <v>0</v>
      </c>
      <c r="X80">
        <v>14376</v>
      </c>
      <c r="Y80">
        <v>0.82441741169573501</v>
      </c>
      <c r="Z80">
        <v>4</v>
      </c>
      <c r="AA80">
        <v>3</v>
      </c>
      <c r="AB80">
        <v>0</v>
      </c>
      <c r="AC80">
        <v>0</v>
      </c>
      <c r="AD80">
        <v>1</v>
      </c>
      <c r="AE80">
        <v>39</v>
      </c>
      <c r="AF80">
        <v>67500</v>
      </c>
      <c r="AG80">
        <v>3</v>
      </c>
      <c r="AH80">
        <v>11400</v>
      </c>
      <c r="AI80">
        <v>4400</v>
      </c>
      <c r="AJ80">
        <v>600</v>
      </c>
      <c r="AK80">
        <v>11750</v>
      </c>
      <c r="AL80">
        <v>0</v>
      </c>
      <c r="AM80">
        <v>0</v>
      </c>
    </row>
    <row r="81" spans="1:39">
      <c r="A81">
        <v>139</v>
      </c>
      <c r="B81" t="s">
        <v>40</v>
      </c>
      <c r="C81">
        <v>1</v>
      </c>
      <c r="D81">
        <v>60</v>
      </c>
      <c r="E81">
        <v>1</v>
      </c>
      <c r="F81">
        <v>1</v>
      </c>
      <c r="G81">
        <v>15</v>
      </c>
      <c r="H81">
        <v>14</v>
      </c>
      <c r="I81">
        <v>40</v>
      </c>
      <c r="J81">
        <f t="shared" si="1"/>
        <v>66</v>
      </c>
      <c r="K81">
        <v>66000</v>
      </c>
      <c r="L81">
        <v>3</v>
      </c>
      <c r="M81">
        <v>2</v>
      </c>
      <c r="N81">
        <v>91</v>
      </c>
      <c r="O81">
        <v>26</v>
      </c>
      <c r="P81">
        <v>1</v>
      </c>
      <c r="Q81">
        <v>2</v>
      </c>
      <c r="R81">
        <v>1750</v>
      </c>
      <c r="S81">
        <v>0</v>
      </c>
      <c r="T81">
        <v>0</v>
      </c>
      <c r="U81">
        <v>0</v>
      </c>
      <c r="V81">
        <v>0</v>
      </c>
      <c r="W81">
        <v>0</v>
      </c>
      <c r="X81">
        <v>88400</v>
      </c>
      <c r="Y81">
        <v>0.69134078212290506</v>
      </c>
      <c r="Z81">
        <v>4</v>
      </c>
      <c r="AA81">
        <v>3</v>
      </c>
      <c r="AB81">
        <v>3</v>
      </c>
      <c r="AC81">
        <v>3</v>
      </c>
      <c r="AD81">
        <v>1</v>
      </c>
      <c r="AE81">
        <v>120</v>
      </c>
      <c r="AF81">
        <v>198000</v>
      </c>
      <c r="AG81">
        <v>1</v>
      </c>
      <c r="AH81">
        <v>38160</v>
      </c>
      <c r="AI81">
        <v>5500</v>
      </c>
      <c r="AJ81">
        <v>1000</v>
      </c>
      <c r="AK81">
        <v>18330</v>
      </c>
      <c r="AL81">
        <v>0</v>
      </c>
      <c r="AM81">
        <v>0</v>
      </c>
    </row>
    <row r="82" spans="1:39">
      <c r="A82">
        <v>142</v>
      </c>
      <c r="B82" t="s">
        <v>40</v>
      </c>
      <c r="C82">
        <v>1</v>
      </c>
      <c r="D82">
        <v>70</v>
      </c>
      <c r="E82">
        <v>0</v>
      </c>
      <c r="F82">
        <v>0</v>
      </c>
      <c r="G82">
        <v>50</v>
      </c>
      <c r="H82">
        <v>2</v>
      </c>
      <c r="I82">
        <v>80</v>
      </c>
      <c r="J82">
        <f t="shared" si="1"/>
        <v>150</v>
      </c>
      <c r="K82">
        <v>150000</v>
      </c>
      <c r="L82">
        <v>0.25</v>
      </c>
      <c r="M82">
        <v>1</v>
      </c>
      <c r="N82">
        <v>90</v>
      </c>
      <c r="O82">
        <v>10</v>
      </c>
      <c r="P82">
        <v>2</v>
      </c>
      <c r="Q82">
        <v>0</v>
      </c>
      <c r="R82">
        <v>500</v>
      </c>
      <c r="S82">
        <v>0</v>
      </c>
      <c r="T82">
        <v>0</v>
      </c>
      <c r="U82">
        <v>0</v>
      </c>
      <c r="V82">
        <v>1</v>
      </c>
      <c r="W82">
        <v>0</v>
      </c>
      <c r="X82">
        <v>10000</v>
      </c>
      <c r="Y82">
        <v>0.78947368421052633</v>
      </c>
      <c r="Z82">
        <v>3</v>
      </c>
      <c r="AA82">
        <v>3</v>
      </c>
      <c r="AB82">
        <v>0</v>
      </c>
      <c r="AC82">
        <v>0</v>
      </c>
      <c r="AD82">
        <v>1</v>
      </c>
      <c r="AE82">
        <v>20</v>
      </c>
      <c r="AF82">
        <v>37500</v>
      </c>
      <c r="AG82">
        <v>2</v>
      </c>
      <c r="AH82">
        <v>6850</v>
      </c>
      <c r="AI82">
        <v>1375</v>
      </c>
      <c r="AJ82">
        <v>0</v>
      </c>
      <c r="AK82">
        <v>4800</v>
      </c>
      <c r="AL82">
        <v>0</v>
      </c>
      <c r="AM82">
        <v>0</v>
      </c>
    </row>
    <row r="83" spans="1:39">
      <c r="A83">
        <v>143</v>
      </c>
      <c r="B83" t="s">
        <v>40</v>
      </c>
      <c r="C83">
        <v>1</v>
      </c>
      <c r="D83">
        <v>78</v>
      </c>
      <c r="E83">
        <v>0</v>
      </c>
      <c r="F83">
        <v>1</v>
      </c>
      <c r="G83">
        <v>50</v>
      </c>
      <c r="H83">
        <v>2</v>
      </c>
      <c r="I83">
        <v>80</v>
      </c>
      <c r="J83">
        <f t="shared" si="1"/>
        <v>132</v>
      </c>
      <c r="K83">
        <v>132000</v>
      </c>
      <c r="L83">
        <v>0.75</v>
      </c>
      <c r="M83">
        <v>1</v>
      </c>
      <c r="N83">
        <v>90</v>
      </c>
      <c r="O83">
        <v>24</v>
      </c>
      <c r="P83">
        <v>2</v>
      </c>
      <c r="Q83">
        <v>3</v>
      </c>
      <c r="R83">
        <v>1250</v>
      </c>
      <c r="S83">
        <v>0</v>
      </c>
      <c r="T83">
        <v>0</v>
      </c>
      <c r="U83">
        <v>0</v>
      </c>
      <c r="V83">
        <v>0</v>
      </c>
      <c r="W83">
        <v>0</v>
      </c>
      <c r="X83">
        <v>156000</v>
      </c>
      <c r="Y83">
        <v>0.38823529411764707</v>
      </c>
      <c r="Z83">
        <v>4</v>
      </c>
      <c r="AA83">
        <v>3</v>
      </c>
      <c r="AB83">
        <v>0</v>
      </c>
      <c r="AC83">
        <v>0</v>
      </c>
      <c r="AD83">
        <v>1</v>
      </c>
      <c r="AE83">
        <v>60</v>
      </c>
      <c r="AF83">
        <v>99000</v>
      </c>
      <c r="AG83">
        <v>2</v>
      </c>
      <c r="AH83">
        <v>28200</v>
      </c>
      <c r="AI83">
        <v>8250</v>
      </c>
      <c r="AJ83">
        <v>1700</v>
      </c>
      <c r="AK83">
        <v>11750</v>
      </c>
      <c r="AL83">
        <v>0</v>
      </c>
      <c r="AM83">
        <v>0</v>
      </c>
    </row>
    <row r="84" spans="1:39">
      <c r="A84">
        <v>146</v>
      </c>
      <c r="B84" t="s">
        <v>40</v>
      </c>
      <c r="C84">
        <v>1</v>
      </c>
      <c r="D84">
        <v>68</v>
      </c>
      <c r="E84">
        <v>0</v>
      </c>
      <c r="F84">
        <v>4</v>
      </c>
      <c r="G84">
        <v>50</v>
      </c>
      <c r="H84">
        <v>7</v>
      </c>
      <c r="I84">
        <v>66.666666666666671</v>
      </c>
      <c r="J84">
        <f t="shared" si="1"/>
        <v>69.551111111111112</v>
      </c>
      <c r="K84">
        <v>69551.111111111109</v>
      </c>
      <c r="L84">
        <v>0.9</v>
      </c>
      <c r="M84">
        <v>3</v>
      </c>
      <c r="N84">
        <v>54</v>
      </c>
      <c r="O84">
        <v>23</v>
      </c>
      <c r="P84">
        <v>6</v>
      </c>
      <c r="Q84">
        <v>3</v>
      </c>
      <c r="R84">
        <v>1750</v>
      </c>
      <c r="S84">
        <v>0</v>
      </c>
      <c r="T84">
        <v>0</v>
      </c>
      <c r="U84">
        <v>0</v>
      </c>
      <c r="V84">
        <v>1</v>
      </c>
      <c r="W84">
        <v>0</v>
      </c>
      <c r="X84">
        <v>84000</v>
      </c>
      <c r="Y84">
        <v>0.42699664383748531</v>
      </c>
      <c r="Z84">
        <v>3</v>
      </c>
      <c r="AA84">
        <v>3</v>
      </c>
      <c r="AB84">
        <v>2</v>
      </c>
      <c r="AC84">
        <v>0</v>
      </c>
      <c r="AD84">
        <v>1</v>
      </c>
      <c r="AE84">
        <v>60</v>
      </c>
      <c r="AF84">
        <v>62596</v>
      </c>
      <c r="AG84">
        <v>4</v>
      </c>
      <c r="AH84">
        <v>38700</v>
      </c>
      <c r="AI84">
        <v>12350</v>
      </c>
      <c r="AJ84">
        <v>1800</v>
      </c>
      <c r="AK84">
        <v>16450</v>
      </c>
      <c r="AL84">
        <v>0</v>
      </c>
      <c r="AM84">
        <v>0</v>
      </c>
    </row>
    <row r="85" spans="1:39">
      <c r="A85">
        <v>147</v>
      </c>
      <c r="B85" t="s">
        <v>40</v>
      </c>
      <c r="C85">
        <v>1</v>
      </c>
      <c r="D85">
        <v>56</v>
      </c>
      <c r="E85">
        <v>0</v>
      </c>
      <c r="F85">
        <v>4</v>
      </c>
      <c r="G85">
        <v>15</v>
      </c>
      <c r="H85">
        <v>3</v>
      </c>
      <c r="I85">
        <v>46</v>
      </c>
      <c r="J85">
        <f t="shared" si="1"/>
        <v>72.8</v>
      </c>
      <c r="K85">
        <v>72800</v>
      </c>
      <c r="L85">
        <v>0.5</v>
      </c>
      <c r="M85">
        <v>1</v>
      </c>
      <c r="N85">
        <v>28</v>
      </c>
      <c r="O85">
        <v>5</v>
      </c>
      <c r="P85">
        <v>2</v>
      </c>
      <c r="Q85">
        <v>3</v>
      </c>
      <c r="R85">
        <v>600</v>
      </c>
      <c r="S85">
        <v>0</v>
      </c>
      <c r="T85">
        <v>0</v>
      </c>
      <c r="U85">
        <v>0</v>
      </c>
      <c r="V85">
        <v>1</v>
      </c>
      <c r="W85">
        <v>1</v>
      </c>
      <c r="X85">
        <v>279000</v>
      </c>
      <c r="Y85">
        <v>0.11540900443880786</v>
      </c>
      <c r="Z85">
        <v>3</v>
      </c>
      <c r="AA85">
        <v>3</v>
      </c>
      <c r="AB85">
        <v>0</v>
      </c>
      <c r="AC85">
        <v>0</v>
      </c>
      <c r="AD85">
        <v>1</v>
      </c>
      <c r="AE85">
        <v>23</v>
      </c>
      <c r="AF85">
        <v>36400</v>
      </c>
      <c r="AG85">
        <v>1</v>
      </c>
      <c r="AH85">
        <v>9940</v>
      </c>
      <c r="AI85">
        <v>3680</v>
      </c>
      <c r="AJ85">
        <v>1800</v>
      </c>
      <c r="AK85">
        <v>5640</v>
      </c>
      <c r="AL85">
        <v>0</v>
      </c>
      <c r="AM85">
        <v>0</v>
      </c>
    </row>
    <row r="86" spans="1:39">
      <c r="A86">
        <v>149</v>
      </c>
      <c r="B86" t="s">
        <v>40</v>
      </c>
      <c r="C86">
        <v>1</v>
      </c>
      <c r="D86">
        <v>69</v>
      </c>
      <c r="E86">
        <v>0</v>
      </c>
      <c r="F86">
        <v>1</v>
      </c>
      <c r="G86">
        <v>56</v>
      </c>
      <c r="H86">
        <v>9</v>
      </c>
      <c r="I86">
        <v>72.222222222222214</v>
      </c>
      <c r="J86">
        <f t="shared" si="1"/>
        <v>128.33333333333331</v>
      </c>
      <c r="K86">
        <v>128333.33333333333</v>
      </c>
      <c r="L86">
        <v>0.9</v>
      </c>
      <c r="M86">
        <v>1</v>
      </c>
      <c r="N86">
        <v>279.5</v>
      </c>
      <c r="O86">
        <v>7</v>
      </c>
      <c r="P86">
        <v>4</v>
      </c>
      <c r="Q86">
        <v>0</v>
      </c>
      <c r="R86">
        <v>1000</v>
      </c>
      <c r="S86">
        <v>0</v>
      </c>
      <c r="T86">
        <v>0</v>
      </c>
      <c r="U86">
        <v>1</v>
      </c>
      <c r="V86">
        <v>1</v>
      </c>
      <c r="W86">
        <v>0</v>
      </c>
      <c r="X86">
        <v>218400</v>
      </c>
      <c r="Y86">
        <v>0.34591194968553457</v>
      </c>
      <c r="Z86">
        <v>3</v>
      </c>
      <c r="AA86">
        <v>3</v>
      </c>
      <c r="AB86">
        <v>0</v>
      </c>
      <c r="AC86">
        <v>0</v>
      </c>
      <c r="AD86">
        <v>1</v>
      </c>
      <c r="AE86">
        <v>65</v>
      </c>
      <c r="AF86">
        <v>115500</v>
      </c>
      <c r="AG86">
        <v>2</v>
      </c>
      <c r="AH86">
        <v>30200</v>
      </c>
      <c r="AI86">
        <v>15350</v>
      </c>
      <c r="AJ86">
        <v>0</v>
      </c>
      <c r="AK86">
        <v>9400</v>
      </c>
      <c r="AL86">
        <v>0</v>
      </c>
      <c r="AM86">
        <v>0</v>
      </c>
    </row>
    <row r="87" spans="1:39">
      <c r="A87">
        <v>154</v>
      </c>
      <c r="B87" t="s">
        <v>40</v>
      </c>
      <c r="C87">
        <v>1</v>
      </c>
      <c r="D87">
        <v>59</v>
      </c>
      <c r="E87">
        <v>1</v>
      </c>
      <c r="F87">
        <v>5</v>
      </c>
      <c r="G87">
        <v>30</v>
      </c>
      <c r="H87">
        <v>5</v>
      </c>
      <c r="I87">
        <v>74</v>
      </c>
      <c r="J87">
        <f t="shared" si="1"/>
        <v>136.5</v>
      </c>
      <c r="K87">
        <v>136500</v>
      </c>
      <c r="L87">
        <v>0.5</v>
      </c>
      <c r="M87">
        <v>1</v>
      </c>
      <c r="N87">
        <v>21.2</v>
      </c>
      <c r="O87">
        <v>23</v>
      </c>
      <c r="P87">
        <v>1</v>
      </c>
      <c r="Q87">
        <v>1</v>
      </c>
      <c r="R87">
        <v>500</v>
      </c>
      <c r="S87">
        <v>0</v>
      </c>
      <c r="T87">
        <v>0</v>
      </c>
      <c r="U87">
        <v>0</v>
      </c>
      <c r="V87">
        <v>0</v>
      </c>
      <c r="W87">
        <v>1</v>
      </c>
      <c r="X87">
        <v>420000</v>
      </c>
      <c r="Y87">
        <v>0.13978494623655913</v>
      </c>
      <c r="Z87">
        <v>3</v>
      </c>
      <c r="AA87">
        <v>3</v>
      </c>
      <c r="AB87">
        <v>0</v>
      </c>
      <c r="AC87">
        <v>0</v>
      </c>
      <c r="AD87">
        <v>1</v>
      </c>
      <c r="AE87">
        <v>37</v>
      </c>
      <c r="AF87">
        <v>68250</v>
      </c>
      <c r="AG87">
        <v>2</v>
      </c>
      <c r="AH87">
        <v>12100</v>
      </c>
      <c r="AI87">
        <v>2000</v>
      </c>
      <c r="AJ87">
        <v>600</v>
      </c>
      <c r="AK87">
        <v>4800</v>
      </c>
      <c r="AL87">
        <v>0</v>
      </c>
      <c r="AM87">
        <v>0</v>
      </c>
    </row>
    <row r="88" spans="1:39">
      <c r="A88">
        <v>156</v>
      </c>
      <c r="B88" t="s">
        <v>40</v>
      </c>
      <c r="C88">
        <v>1</v>
      </c>
      <c r="D88">
        <v>43</v>
      </c>
      <c r="E88">
        <v>1</v>
      </c>
      <c r="F88">
        <v>4</v>
      </c>
      <c r="G88">
        <v>10</v>
      </c>
      <c r="H88">
        <v>3</v>
      </c>
      <c r="I88">
        <v>52.631578947368425</v>
      </c>
      <c r="J88">
        <f t="shared" si="1"/>
        <v>68.421052631578945</v>
      </c>
      <c r="K88">
        <v>68421.052631578947</v>
      </c>
      <c r="L88">
        <v>1.9</v>
      </c>
      <c r="M88">
        <v>3</v>
      </c>
      <c r="N88">
        <v>9.6</v>
      </c>
      <c r="O88">
        <v>29</v>
      </c>
      <c r="P88">
        <v>0.5</v>
      </c>
      <c r="Q88">
        <v>6</v>
      </c>
      <c r="R88">
        <v>1500</v>
      </c>
      <c r="S88">
        <v>0</v>
      </c>
      <c r="T88">
        <v>0</v>
      </c>
      <c r="U88">
        <v>0</v>
      </c>
      <c r="V88">
        <v>1</v>
      </c>
      <c r="W88">
        <v>1</v>
      </c>
      <c r="X88">
        <v>72000</v>
      </c>
      <c r="Y88">
        <v>0.64356435643564358</v>
      </c>
      <c r="Z88">
        <v>3</v>
      </c>
      <c r="AA88">
        <v>3</v>
      </c>
      <c r="AB88">
        <v>0</v>
      </c>
      <c r="AC88">
        <v>0</v>
      </c>
      <c r="AD88">
        <v>1</v>
      </c>
      <c r="AE88">
        <v>100</v>
      </c>
      <c r="AF88">
        <v>130000</v>
      </c>
      <c r="AG88">
        <v>2</v>
      </c>
      <c r="AH88">
        <v>26750</v>
      </c>
      <c r="AI88">
        <v>27500</v>
      </c>
      <c r="AJ88">
        <v>600</v>
      </c>
      <c r="AK88">
        <v>14100</v>
      </c>
      <c r="AL88">
        <v>0</v>
      </c>
      <c r="AM88">
        <v>0</v>
      </c>
    </row>
    <row r="89" spans="1:39">
      <c r="A89">
        <v>157</v>
      </c>
      <c r="B89" t="s">
        <v>40</v>
      </c>
      <c r="C89">
        <v>1</v>
      </c>
      <c r="D89">
        <v>52</v>
      </c>
      <c r="E89">
        <v>0</v>
      </c>
      <c r="F89">
        <v>4</v>
      </c>
      <c r="G89">
        <v>38</v>
      </c>
      <c r="H89">
        <v>3</v>
      </c>
      <c r="I89">
        <v>64</v>
      </c>
      <c r="J89">
        <f t="shared" si="1"/>
        <v>179.2</v>
      </c>
      <c r="K89">
        <v>179200</v>
      </c>
      <c r="L89">
        <v>0.5</v>
      </c>
      <c r="M89">
        <v>1</v>
      </c>
      <c r="N89">
        <v>96</v>
      </c>
      <c r="O89">
        <v>25</v>
      </c>
      <c r="P89">
        <v>0.5</v>
      </c>
      <c r="Q89">
        <v>1</v>
      </c>
      <c r="R89">
        <v>500</v>
      </c>
      <c r="S89">
        <v>0</v>
      </c>
      <c r="T89">
        <v>0</v>
      </c>
      <c r="U89">
        <v>0</v>
      </c>
      <c r="V89">
        <v>0</v>
      </c>
      <c r="W89">
        <v>0</v>
      </c>
      <c r="X89">
        <v>106500</v>
      </c>
      <c r="Y89">
        <v>0.45690973992860784</v>
      </c>
      <c r="Z89">
        <v>3</v>
      </c>
      <c r="AA89">
        <v>3</v>
      </c>
      <c r="AB89">
        <v>0</v>
      </c>
      <c r="AC89">
        <v>0</v>
      </c>
      <c r="AD89">
        <v>1</v>
      </c>
      <c r="AE89">
        <v>32</v>
      </c>
      <c r="AF89">
        <v>89600</v>
      </c>
      <c r="AG89">
        <v>2</v>
      </c>
      <c r="AH89">
        <v>8960</v>
      </c>
      <c r="AI89">
        <v>2750</v>
      </c>
      <c r="AJ89">
        <v>600</v>
      </c>
      <c r="AK89">
        <v>4800</v>
      </c>
      <c r="AL89">
        <v>0</v>
      </c>
      <c r="AM89">
        <v>0</v>
      </c>
    </row>
    <row r="90" spans="1:39">
      <c r="A90">
        <v>158</v>
      </c>
      <c r="B90" t="s">
        <v>40</v>
      </c>
      <c r="C90">
        <v>1</v>
      </c>
      <c r="D90">
        <v>64</v>
      </c>
      <c r="E90">
        <v>0</v>
      </c>
      <c r="F90">
        <v>3</v>
      </c>
      <c r="G90">
        <v>49</v>
      </c>
      <c r="H90">
        <v>3</v>
      </c>
      <c r="I90">
        <v>100</v>
      </c>
      <c r="J90">
        <f t="shared" si="1"/>
        <v>150</v>
      </c>
      <c r="K90">
        <v>150000</v>
      </c>
      <c r="L90">
        <v>0.5</v>
      </c>
      <c r="M90">
        <v>1</v>
      </c>
      <c r="N90">
        <v>22.5</v>
      </c>
      <c r="O90">
        <v>22</v>
      </c>
      <c r="P90">
        <v>0.5</v>
      </c>
      <c r="Q90">
        <v>5</v>
      </c>
      <c r="R90">
        <v>750</v>
      </c>
      <c r="S90">
        <v>0</v>
      </c>
      <c r="T90">
        <v>0</v>
      </c>
      <c r="U90">
        <v>1</v>
      </c>
      <c r="V90">
        <v>1</v>
      </c>
      <c r="W90">
        <v>1</v>
      </c>
      <c r="X90">
        <v>2100000</v>
      </c>
      <c r="Y90">
        <v>3.4482758620689655E-2</v>
      </c>
      <c r="Z90">
        <v>3</v>
      </c>
      <c r="AA90">
        <v>3</v>
      </c>
      <c r="AB90">
        <v>0</v>
      </c>
      <c r="AC90">
        <v>0</v>
      </c>
      <c r="AD90">
        <v>1</v>
      </c>
      <c r="AE90">
        <v>50</v>
      </c>
      <c r="AF90">
        <v>75000</v>
      </c>
      <c r="AG90">
        <v>2</v>
      </c>
      <c r="AH90">
        <v>19500</v>
      </c>
      <c r="AI90">
        <v>2750</v>
      </c>
      <c r="AJ90">
        <v>2500</v>
      </c>
      <c r="AK90">
        <v>12010</v>
      </c>
      <c r="AL90">
        <v>0</v>
      </c>
      <c r="AM90">
        <v>0</v>
      </c>
    </row>
    <row r="91" spans="1:39">
      <c r="A91">
        <v>159</v>
      </c>
      <c r="B91" t="s">
        <v>40</v>
      </c>
      <c r="C91">
        <v>1</v>
      </c>
      <c r="D91">
        <v>68</v>
      </c>
      <c r="E91">
        <v>0</v>
      </c>
      <c r="F91">
        <v>2</v>
      </c>
      <c r="G91">
        <v>40</v>
      </c>
      <c r="H91">
        <v>4</v>
      </c>
      <c r="I91">
        <v>66.666666666666671</v>
      </c>
      <c r="J91">
        <f t="shared" si="1"/>
        <v>100</v>
      </c>
      <c r="K91">
        <v>100000</v>
      </c>
      <c r="L91">
        <v>0.75</v>
      </c>
      <c r="M91">
        <v>1</v>
      </c>
      <c r="N91">
        <v>42</v>
      </c>
      <c r="O91">
        <v>16</v>
      </c>
      <c r="P91">
        <v>6</v>
      </c>
      <c r="Q91">
        <v>1</v>
      </c>
      <c r="R91">
        <v>750</v>
      </c>
      <c r="S91">
        <v>0</v>
      </c>
      <c r="T91">
        <v>0</v>
      </c>
      <c r="U91">
        <v>1</v>
      </c>
      <c r="V91">
        <v>0</v>
      </c>
      <c r="W91">
        <v>1</v>
      </c>
      <c r="X91">
        <v>840000</v>
      </c>
      <c r="Y91">
        <v>8.1967213114754092E-2</v>
      </c>
      <c r="Z91">
        <v>1</v>
      </c>
      <c r="AA91">
        <v>3</v>
      </c>
      <c r="AB91">
        <v>0</v>
      </c>
      <c r="AC91">
        <v>0</v>
      </c>
      <c r="AD91">
        <v>1</v>
      </c>
      <c r="AE91">
        <v>50</v>
      </c>
      <c r="AF91">
        <v>75000</v>
      </c>
      <c r="AG91">
        <v>2</v>
      </c>
      <c r="AH91">
        <v>16400</v>
      </c>
      <c r="AI91">
        <v>4125</v>
      </c>
      <c r="AJ91">
        <v>600</v>
      </c>
      <c r="AK91">
        <v>7050</v>
      </c>
      <c r="AL91">
        <v>0</v>
      </c>
      <c r="AM91">
        <v>0</v>
      </c>
    </row>
    <row r="92" spans="1:39">
      <c r="A92">
        <v>160</v>
      </c>
      <c r="B92" t="s">
        <v>40</v>
      </c>
      <c r="C92">
        <v>1</v>
      </c>
      <c r="D92">
        <v>64</v>
      </c>
      <c r="E92">
        <v>1</v>
      </c>
      <c r="F92">
        <v>2</v>
      </c>
      <c r="G92">
        <v>50</v>
      </c>
      <c r="H92">
        <v>2</v>
      </c>
      <c r="I92">
        <v>110</v>
      </c>
      <c r="J92">
        <f t="shared" si="1"/>
        <v>120.00000000000001</v>
      </c>
      <c r="K92">
        <v>120000.00000000001</v>
      </c>
      <c r="L92">
        <v>0.7</v>
      </c>
      <c r="M92">
        <v>1</v>
      </c>
      <c r="N92">
        <v>37</v>
      </c>
      <c r="O92">
        <v>17</v>
      </c>
      <c r="P92">
        <v>2</v>
      </c>
      <c r="Q92">
        <v>2</v>
      </c>
      <c r="R92">
        <v>1000</v>
      </c>
      <c r="S92">
        <v>0</v>
      </c>
      <c r="T92">
        <v>0</v>
      </c>
      <c r="U92">
        <v>0</v>
      </c>
      <c r="V92">
        <v>0</v>
      </c>
      <c r="W92">
        <v>0</v>
      </c>
      <c r="X92">
        <v>115200</v>
      </c>
      <c r="Y92">
        <v>0.42168674698795183</v>
      </c>
      <c r="Z92">
        <v>3</v>
      </c>
      <c r="AA92">
        <v>1</v>
      </c>
      <c r="AB92">
        <v>0</v>
      </c>
      <c r="AC92">
        <v>0</v>
      </c>
      <c r="AD92">
        <v>1</v>
      </c>
      <c r="AE92">
        <v>77</v>
      </c>
      <c r="AF92">
        <v>84000</v>
      </c>
      <c r="AG92">
        <v>2</v>
      </c>
      <c r="AH92">
        <v>4350</v>
      </c>
      <c r="AI92">
        <v>4000</v>
      </c>
      <c r="AJ92">
        <v>500</v>
      </c>
      <c r="AK92">
        <v>9600</v>
      </c>
      <c r="AL92">
        <v>0</v>
      </c>
      <c r="AM92">
        <v>0</v>
      </c>
    </row>
    <row r="93" spans="1:39">
      <c r="A93">
        <v>161</v>
      </c>
      <c r="B93" t="s">
        <v>40</v>
      </c>
      <c r="C93">
        <v>1</v>
      </c>
      <c r="D93">
        <v>72</v>
      </c>
      <c r="E93">
        <v>0</v>
      </c>
      <c r="F93">
        <v>1</v>
      </c>
      <c r="G93">
        <v>30</v>
      </c>
      <c r="H93">
        <v>4</v>
      </c>
      <c r="I93">
        <v>90</v>
      </c>
      <c r="J93">
        <f t="shared" si="1"/>
        <v>126</v>
      </c>
      <c r="K93">
        <v>126000</v>
      </c>
      <c r="L93">
        <v>0.5</v>
      </c>
      <c r="M93">
        <v>1</v>
      </c>
      <c r="N93">
        <v>150</v>
      </c>
      <c r="O93">
        <v>20</v>
      </c>
      <c r="P93">
        <v>0.5</v>
      </c>
      <c r="Q93">
        <v>1</v>
      </c>
      <c r="R93">
        <v>500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3</v>
      </c>
      <c r="AB93">
        <v>0</v>
      </c>
      <c r="AC93">
        <v>0</v>
      </c>
      <c r="AD93">
        <v>1</v>
      </c>
      <c r="AE93">
        <v>45</v>
      </c>
      <c r="AF93">
        <v>63000</v>
      </c>
      <c r="AG93">
        <v>2</v>
      </c>
      <c r="AH93">
        <v>5800</v>
      </c>
      <c r="AI93">
        <v>2750</v>
      </c>
      <c r="AJ93">
        <v>600</v>
      </c>
      <c r="AK93">
        <v>4700</v>
      </c>
      <c r="AL93">
        <v>0</v>
      </c>
      <c r="AM93">
        <v>0</v>
      </c>
    </row>
    <row r="94" spans="1:39">
      <c r="A94">
        <v>162</v>
      </c>
      <c r="B94" t="s">
        <v>40</v>
      </c>
      <c r="C94">
        <v>1</v>
      </c>
      <c r="D94">
        <v>79</v>
      </c>
      <c r="E94">
        <v>0</v>
      </c>
      <c r="F94">
        <v>1</v>
      </c>
      <c r="G94">
        <v>50</v>
      </c>
      <c r="H94">
        <v>2</v>
      </c>
      <c r="I94">
        <v>40</v>
      </c>
      <c r="J94">
        <f t="shared" si="1"/>
        <v>56</v>
      </c>
      <c r="K94">
        <v>56000</v>
      </c>
      <c r="L94">
        <v>2</v>
      </c>
      <c r="M94">
        <v>2</v>
      </c>
      <c r="N94">
        <v>22.5</v>
      </c>
      <c r="O94">
        <v>25</v>
      </c>
      <c r="P94">
        <v>1</v>
      </c>
      <c r="Q94">
        <v>5</v>
      </c>
      <c r="R94">
        <v>2000</v>
      </c>
      <c r="S94">
        <v>0</v>
      </c>
      <c r="T94">
        <v>0</v>
      </c>
      <c r="U94">
        <v>0</v>
      </c>
      <c r="V94">
        <v>0</v>
      </c>
      <c r="W94">
        <v>0</v>
      </c>
      <c r="X94">
        <v>115200</v>
      </c>
      <c r="Y94">
        <v>0.49295774647887325</v>
      </c>
      <c r="Z94">
        <v>1</v>
      </c>
      <c r="AA94">
        <v>3</v>
      </c>
      <c r="AB94">
        <v>0</v>
      </c>
      <c r="AC94">
        <v>0</v>
      </c>
      <c r="AD94">
        <v>1</v>
      </c>
      <c r="AE94">
        <v>80</v>
      </c>
      <c r="AF94">
        <v>112000</v>
      </c>
      <c r="AG94">
        <v>2</v>
      </c>
      <c r="AH94">
        <v>25400</v>
      </c>
      <c r="AI94">
        <v>11000</v>
      </c>
      <c r="AJ94">
        <v>3000</v>
      </c>
      <c r="AK94">
        <v>18800</v>
      </c>
      <c r="AL94">
        <v>0</v>
      </c>
      <c r="AM94">
        <v>0</v>
      </c>
    </row>
    <row r="95" spans="1:39">
      <c r="A95">
        <v>163</v>
      </c>
      <c r="B95" t="s">
        <v>40</v>
      </c>
      <c r="C95">
        <v>1</v>
      </c>
      <c r="D95">
        <v>65</v>
      </c>
      <c r="E95">
        <v>1</v>
      </c>
      <c r="F95">
        <v>2</v>
      </c>
      <c r="G95">
        <v>30</v>
      </c>
      <c r="H95">
        <v>4</v>
      </c>
      <c r="I95">
        <v>41.53846153846154</v>
      </c>
      <c r="J95">
        <f t="shared" si="1"/>
        <v>66.769230769230759</v>
      </c>
      <c r="K95">
        <v>66769.230769230766</v>
      </c>
      <c r="L95">
        <v>0.65</v>
      </c>
      <c r="M95">
        <v>1</v>
      </c>
      <c r="N95">
        <v>72</v>
      </c>
      <c r="O95">
        <v>15</v>
      </c>
      <c r="P95">
        <v>2</v>
      </c>
      <c r="Q95">
        <v>3</v>
      </c>
      <c r="R95">
        <v>200</v>
      </c>
      <c r="S95">
        <v>0</v>
      </c>
      <c r="T95">
        <v>0</v>
      </c>
      <c r="U95">
        <v>0</v>
      </c>
      <c r="V95">
        <v>0</v>
      </c>
      <c r="W95">
        <v>0</v>
      </c>
      <c r="X95">
        <v>24800</v>
      </c>
      <c r="Y95">
        <v>0.63636363636363635</v>
      </c>
      <c r="Z95">
        <v>1</v>
      </c>
      <c r="AA95">
        <v>3</v>
      </c>
      <c r="AB95">
        <v>0</v>
      </c>
      <c r="AC95">
        <v>0</v>
      </c>
      <c r="AD95">
        <v>1</v>
      </c>
      <c r="AE95">
        <v>27</v>
      </c>
      <c r="AF95">
        <v>43400</v>
      </c>
      <c r="AG95">
        <v>2</v>
      </c>
      <c r="AH95">
        <v>9090</v>
      </c>
      <c r="AI95">
        <v>1632</v>
      </c>
      <c r="AJ95">
        <v>600</v>
      </c>
      <c r="AK95">
        <v>2890</v>
      </c>
      <c r="AL95">
        <v>0</v>
      </c>
      <c r="AM95">
        <v>0</v>
      </c>
    </row>
    <row r="96" spans="1:39">
      <c r="A96">
        <v>164</v>
      </c>
      <c r="B96" t="s">
        <v>40</v>
      </c>
      <c r="C96">
        <v>1</v>
      </c>
      <c r="D96">
        <v>60</v>
      </c>
      <c r="E96">
        <v>0</v>
      </c>
      <c r="F96">
        <v>2</v>
      </c>
      <c r="G96">
        <v>47</v>
      </c>
      <c r="H96">
        <v>6</v>
      </c>
      <c r="I96">
        <v>5.5555555555555554</v>
      </c>
      <c r="J96">
        <f t="shared" si="1"/>
        <v>50</v>
      </c>
      <c r="K96">
        <v>50000</v>
      </c>
      <c r="L96">
        <v>0.18</v>
      </c>
      <c r="M96">
        <v>1</v>
      </c>
      <c r="N96">
        <v>6</v>
      </c>
      <c r="O96">
        <v>8</v>
      </c>
      <c r="P96">
        <v>1</v>
      </c>
      <c r="Q96">
        <v>0.5</v>
      </c>
      <c r="R96">
        <v>350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1</v>
      </c>
      <c r="AA96">
        <v>3</v>
      </c>
      <c r="AB96">
        <v>0</v>
      </c>
      <c r="AC96">
        <v>0</v>
      </c>
      <c r="AD96">
        <v>1</v>
      </c>
      <c r="AE96">
        <v>1</v>
      </c>
      <c r="AF96">
        <v>9000</v>
      </c>
      <c r="AG96">
        <v>2</v>
      </c>
      <c r="AH96">
        <v>2800</v>
      </c>
      <c r="AI96">
        <v>1000</v>
      </c>
      <c r="AJ96">
        <v>300</v>
      </c>
      <c r="AK96">
        <v>3360</v>
      </c>
      <c r="AL96">
        <v>0</v>
      </c>
      <c r="AM96">
        <v>0</v>
      </c>
    </row>
    <row r="97" spans="1:39">
      <c r="A97">
        <v>165</v>
      </c>
      <c r="B97" t="s">
        <v>40</v>
      </c>
      <c r="C97">
        <v>1</v>
      </c>
      <c r="D97">
        <v>45</v>
      </c>
      <c r="E97">
        <v>1</v>
      </c>
      <c r="F97">
        <v>5</v>
      </c>
      <c r="G97">
        <v>35</v>
      </c>
      <c r="H97">
        <v>5</v>
      </c>
      <c r="I97">
        <v>50</v>
      </c>
      <c r="J97">
        <f t="shared" si="1"/>
        <v>70</v>
      </c>
      <c r="K97">
        <v>70000</v>
      </c>
      <c r="L97">
        <v>1</v>
      </c>
      <c r="M97">
        <v>1</v>
      </c>
      <c r="N97">
        <v>170</v>
      </c>
      <c r="O97">
        <v>12</v>
      </c>
      <c r="P97">
        <v>2</v>
      </c>
      <c r="Q97">
        <v>0</v>
      </c>
      <c r="R97">
        <v>1000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3</v>
      </c>
      <c r="AA97">
        <v>3</v>
      </c>
      <c r="AB97">
        <v>0</v>
      </c>
      <c r="AC97">
        <v>0</v>
      </c>
      <c r="AD97">
        <v>1</v>
      </c>
      <c r="AE97">
        <v>50</v>
      </c>
      <c r="AF97">
        <v>70000</v>
      </c>
      <c r="AG97">
        <v>2</v>
      </c>
      <c r="AH97">
        <v>14000</v>
      </c>
      <c r="AI97">
        <v>2000</v>
      </c>
      <c r="AJ97">
        <v>0</v>
      </c>
      <c r="AK97">
        <v>9600</v>
      </c>
      <c r="AL97">
        <v>0</v>
      </c>
      <c r="AM97">
        <v>0</v>
      </c>
    </row>
    <row r="98" spans="1:39">
      <c r="D98">
        <f>AVERAGE(D2:D97)</f>
        <v>60.864583333333336</v>
      </c>
      <c r="E98">
        <f t="shared" ref="E98:Y98" si="2">AVERAGE(E2:E97)</f>
        <v>0.46875</v>
      </c>
      <c r="F98">
        <f t="shared" si="2"/>
        <v>3.1354166666666665</v>
      </c>
      <c r="G98">
        <f t="shared" si="2"/>
        <v>36.489583333333336</v>
      </c>
      <c r="H98">
        <f t="shared" si="2"/>
        <v>4.291666666666667</v>
      </c>
      <c r="I98">
        <f t="shared" si="2"/>
        <v>56.440117332980101</v>
      </c>
      <c r="K98">
        <f t="shared" si="2"/>
        <v>99352.020505686713</v>
      </c>
      <c r="L98">
        <f t="shared" si="2"/>
        <v>1.1059979166666667</v>
      </c>
      <c r="M98">
        <f t="shared" si="2"/>
        <v>1.3125</v>
      </c>
      <c r="N98">
        <f t="shared" si="2"/>
        <v>70.30520833333334</v>
      </c>
      <c r="O98">
        <f t="shared" si="2"/>
        <v>36.927083333333336</v>
      </c>
      <c r="P98">
        <f t="shared" si="2"/>
        <v>0.90364583333333337</v>
      </c>
      <c r="Q98">
        <f t="shared" si="2"/>
        <v>3.328125</v>
      </c>
      <c r="R98">
        <f t="shared" si="2"/>
        <v>1267.7083333333333</v>
      </c>
      <c r="S98">
        <f t="shared" si="2"/>
        <v>0.57291666666666663</v>
      </c>
      <c r="T98">
        <f t="shared" si="2"/>
        <v>1.0416666666666667</v>
      </c>
      <c r="U98">
        <f t="shared" si="2"/>
        <v>3.125E-2</v>
      </c>
      <c r="V98">
        <f t="shared" si="2"/>
        <v>0.5</v>
      </c>
      <c r="W98">
        <f t="shared" si="2"/>
        <v>0.16666666666666666</v>
      </c>
      <c r="X98">
        <f t="shared" si="2"/>
        <v>179671.58333333334</v>
      </c>
      <c r="Y98">
        <f t="shared" si="2"/>
        <v>0.54529062975588682</v>
      </c>
      <c r="AH98">
        <f>AVERAGE(AH2:AH97)</f>
        <v>23629.375</v>
      </c>
      <c r="AI98">
        <f t="shared" ref="AI98:AM98" si="3">AVERAGE(AI2:AI97)</f>
        <v>4764.302083333333</v>
      </c>
      <c r="AJ98">
        <f t="shared" si="3"/>
        <v>1719.2708333333333</v>
      </c>
      <c r="AK98">
        <f t="shared" si="3"/>
        <v>14002.640625</v>
      </c>
      <c r="AL98">
        <f t="shared" si="3"/>
        <v>195.3125</v>
      </c>
      <c r="AM98">
        <f t="shared" si="3"/>
        <v>18.75</v>
      </c>
    </row>
    <row r="99" spans="1:39">
      <c r="D99">
        <v>60.864583333333336</v>
      </c>
      <c r="E99">
        <v>0.46875</v>
      </c>
      <c r="F99">
        <v>3.1354166666666665</v>
      </c>
      <c r="G99">
        <v>36.489583333333336</v>
      </c>
      <c r="H99">
        <v>4.291666666666667</v>
      </c>
      <c r="I99">
        <v>56.440117332980101</v>
      </c>
      <c r="K99">
        <v>99352.020505686713</v>
      </c>
      <c r="L99">
        <v>1.1059979166666667</v>
      </c>
      <c r="M99">
        <v>1.3125</v>
      </c>
      <c r="N99">
        <v>70.30520833333334</v>
      </c>
      <c r="O99">
        <v>36.927083333333336</v>
      </c>
      <c r="P99">
        <v>0.90364583333333337</v>
      </c>
      <c r="Q99">
        <v>3.328125</v>
      </c>
      <c r="R99">
        <v>1267.7083333333333</v>
      </c>
      <c r="S99">
        <v>0.57291666666666663</v>
      </c>
      <c r="T99">
        <v>1.0416666666666667</v>
      </c>
      <c r="U99">
        <v>3.125E-2</v>
      </c>
      <c r="V99">
        <v>0.5</v>
      </c>
      <c r="W99">
        <v>0.16666666666666666</v>
      </c>
      <c r="X99">
        <v>179671.58333333334</v>
      </c>
      <c r="Y99">
        <v>0.54529062975588682</v>
      </c>
      <c r="AH99">
        <f>STDEV(AH2:AH97)</f>
        <v>17243.04396210099</v>
      </c>
      <c r="AI99">
        <f t="shared" ref="AI99:AM99" si="4">STDEV(AI2:AI97)</f>
        <v>6822.838380059774</v>
      </c>
      <c r="AJ99">
        <f t="shared" si="4"/>
        <v>2070.8423126283492</v>
      </c>
      <c r="AK99">
        <f t="shared" si="4"/>
        <v>26554.027043756334</v>
      </c>
      <c r="AL99">
        <f t="shared" si="4"/>
        <v>852.24403859210975</v>
      </c>
      <c r="AM99">
        <f t="shared" si="4"/>
        <v>183.71173070873834</v>
      </c>
    </row>
    <row r="100" spans="1:39">
      <c r="D100">
        <f>STDEV(D2:D97)</f>
        <v>12.421221053348184</v>
      </c>
      <c r="E100">
        <f t="shared" ref="E100:Y100" si="5">STDEV(E2:E97)</f>
        <v>0.50164204054495398</v>
      </c>
      <c r="F100">
        <f t="shared" si="5"/>
        <v>1.6197452149654614</v>
      </c>
      <c r="G100">
        <f t="shared" si="5"/>
        <v>18.067705875789407</v>
      </c>
      <c r="H100">
        <f t="shared" si="5"/>
        <v>2.1320445668624561</v>
      </c>
      <c r="I100">
        <f t="shared" si="5"/>
        <v>23.642492921271746</v>
      </c>
      <c r="K100">
        <f t="shared" si="5"/>
        <v>46898.316052190181</v>
      </c>
      <c r="L100">
        <f t="shared" si="5"/>
        <v>0.82286485454035507</v>
      </c>
      <c r="M100">
        <f t="shared" si="5"/>
        <v>0.63763543453012472</v>
      </c>
      <c r="N100">
        <f t="shared" si="5"/>
        <v>111.50209255274247</v>
      </c>
      <c r="O100">
        <f t="shared" si="5"/>
        <v>55.720022819292311</v>
      </c>
      <c r="P100">
        <f t="shared" si="5"/>
        <v>1.1895210179702511</v>
      </c>
      <c r="Q100">
        <f t="shared" si="5"/>
        <v>3.794613998121132</v>
      </c>
      <c r="R100">
        <f t="shared" si="5"/>
        <v>1942.4886258105887</v>
      </c>
      <c r="S100">
        <f t="shared" si="5"/>
        <v>2.5078604496836978</v>
      </c>
      <c r="T100">
        <f t="shared" si="5"/>
        <v>10.206207261596576</v>
      </c>
      <c r="U100">
        <f t="shared" si="5"/>
        <v>0.17490598978639324</v>
      </c>
      <c r="V100">
        <f t="shared" si="5"/>
        <v>0.50262468995003462</v>
      </c>
      <c r="W100">
        <f t="shared" si="5"/>
        <v>0.3746343246326776</v>
      </c>
      <c r="X100">
        <f t="shared" si="5"/>
        <v>335979.1456377728</v>
      </c>
      <c r="Y100">
        <f t="shared" si="5"/>
        <v>0.3143459903678183</v>
      </c>
      <c r="AH100">
        <v>23629.375</v>
      </c>
      <c r="AI100">
        <v>4764.302083333333</v>
      </c>
      <c r="AJ100">
        <v>1719.2708333333333</v>
      </c>
      <c r="AK100">
        <v>14002.640625</v>
      </c>
      <c r="AL100">
        <v>195.3125</v>
      </c>
      <c r="AM100">
        <v>18.75</v>
      </c>
    </row>
    <row r="101" spans="1:39">
      <c r="D101" s="1">
        <v>12.421221053348184</v>
      </c>
      <c r="E101" s="1">
        <v>0.50164204054495398</v>
      </c>
      <c r="F101" s="1">
        <v>1.6197452149654614</v>
      </c>
      <c r="G101" s="1">
        <v>18.067705875789407</v>
      </c>
      <c r="H101" s="1">
        <v>2.1320445668624561</v>
      </c>
      <c r="I101" s="1">
        <v>23.642492921271746</v>
      </c>
      <c r="J101" s="1"/>
      <c r="K101" s="1">
        <v>46898.316052190181</v>
      </c>
      <c r="L101" s="1">
        <v>0.82286485454035507</v>
      </c>
      <c r="M101" s="1">
        <v>0.63763543453012472</v>
      </c>
      <c r="N101" s="1">
        <v>111.50209255274247</v>
      </c>
      <c r="O101" s="1">
        <v>55.720022819292311</v>
      </c>
      <c r="P101" s="1">
        <v>1.1895210179702511</v>
      </c>
      <c r="Q101" s="1">
        <v>3.794613998121132</v>
      </c>
      <c r="R101" s="1">
        <v>1942.4886258105887</v>
      </c>
      <c r="S101" s="1">
        <v>2.5078604496836978</v>
      </c>
      <c r="T101" s="1">
        <v>10.206207261596576</v>
      </c>
      <c r="U101" s="1">
        <v>0.17490598978639324</v>
      </c>
      <c r="V101" s="1">
        <v>0.50262468995003462</v>
      </c>
      <c r="W101" s="1">
        <v>0.3746343246326776</v>
      </c>
      <c r="X101" s="1">
        <v>335979.1456377728</v>
      </c>
      <c r="Y101" s="1">
        <v>0.3143459903678183</v>
      </c>
      <c r="AH101">
        <v>17243.04396210099</v>
      </c>
      <c r="AI101">
        <v>6822.838380059774</v>
      </c>
      <c r="AJ101">
        <v>2070.8423126283492</v>
      </c>
      <c r="AK101">
        <v>26554.027043756334</v>
      </c>
      <c r="AL101">
        <v>852.24403859210975</v>
      </c>
      <c r="AM101">
        <v>183.71173070873834</v>
      </c>
    </row>
    <row r="102" spans="1:39">
      <c r="AH102">
        <v>17243.04396210099</v>
      </c>
      <c r="AI102">
        <v>6822.838380059774</v>
      </c>
      <c r="AJ102">
        <v>2070.8423126283492</v>
      </c>
      <c r="AK102">
        <v>26554.027043756334</v>
      </c>
      <c r="AL102">
        <v>852.24403859210975</v>
      </c>
      <c r="AM102">
        <v>183.71173070873834</v>
      </c>
    </row>
    <row r="103" spans="1:39">
      <c r="AH103">
        <v>17243.04396210099</v>
      </c>
      <c r="AI103">
        <v>6822.838380059774</v>
      </c>
      <c r="AJ103">
        <v>2070.8423126283492</v>
      </c>
      <c r="AK103">
        <v>26554.027043756334</v>
      </c>
      <c r="AL103">
        <v>852.24403859210975</v>
      </c>
      <c r="AM103">
        <v>183.71173070873834</v>
      </c>
    </row>
    <row r="104" spans="1:39">
      <c r="AH104">
        <v>17243.04396210099</v>
      </c>
      <c r="AI104">
        <v>6822.838380059774</v>
      </c>
      <c r="AJ104">
        <v>2070.8423126283492</v>
      </c>
      <c r="AK104">
        <v>26554.027043756334</v>
      </c>
      <c r="AL104">
        <v>852.24403859210975</v>
      </c>
      <c r="AM104">
        <v>183.71173070873834</v>
      </c>
    </row>
    <row r="105" spans="1:39">
      <c r="AH105">
        <v>17243.04396210099</v>
      </c>
      <c r="AI105">
        <v>6822.838380059774</v>
      </c>
      <c r="AJ105">
        <v>2070.8423126283492</v>
      </c>
      <c r="AK105">
        <v>26554.027043756334</v>
      </c>
      <c r="AL105">
        <v>852.24403859210975</v>
      </c>
      <c r="AM105">
        <v>183.71173070873834</v>
      </c>
    </row>
    <row r="106" spans="1:39">
      <c r="AH106">
        <v>17243.04396210099</v>
      </c>
      <c r="AI106">
        <v>6822.838380059774</v>
      </c>
      <c r="AJ106">
        <v>2070.8423126283492</v>
      </c>
      <c r="AK106">
        <v>26554.027043756334</v>
      </c>
      <c r="AL106">
        <v>852.24403859210975</v>
      </c>
      <c r="AM106">
        <v>183.71173070873834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479B-2EDC-463E-A678-B4CD8400D044}">
  <dimension ref="A1:AQ78"/>
  <sheetViews>
    <sheetView tabSelected="1" topLeftCell="A47" zoomScale="67" zoomScaleNormal="100" workbookViewId="0">
      <selection activeCell="R72" sqref="R72"/>
    </sheetView>
  </sheetViews>
  <sheetFormatPr defaultRowHeight="14.5"/>
  <sheetData>
    <row r="1" spans="1:4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12</v>
      </c>
      <c r="J1" t="s">
        <v>13</v>
      </c>
      <c r="K1" t="s">
        <v>61</v>
      </c>
      <c r="L1" t="s">
        <v>18</v>
      </c>
      <c r="M1" t="s">
        <v>20</v>
      </c>
      <c r="N1" t="s">
        <v>22</v>
      </c>
      <c r="O1" t="s">
        <v>24</v>
      </c>
      <c r="P1" t="s">
        <v>26</v>
      </c>
      <c r="Q1" t="s">
        <v>28</v>
      </c>
      <c r="R1" t="s">
        <v>30</v>
      </c>
      <c r="S1" t="s">
        <v>31</v>
      </c>
      <c r="T1" t="s">
        <v>32</v>
      </c>
      <c r="U1" t="s">
        <v>33</v>
      </c>
      <c r="V1" t="s">
        <v>43</v>
      </c>
      <c r="W1" t="s">
        <v>44</v>
      </c>
      <c r="X1" t="s">
        <v>41</v>
      </c>
      <c r="Z1" t="s">
        <v>19</v>
      </c>
      <c r="AA1" t="s">
        <v>25</v>
      </c>
      <c r="AB1" t="s">
        <v>27</v>
      </c>
      <c r="AC1" t="s">
        <v>29</v>
      </c>
      <c r="AD1" t="s">
        <v>23</v>
      </c>
      <c r="AE1" t="s">
        <v>21</v>
      </c>
      <c r="AJ1" t="s">
        <v>7</v>
      </c>
      <c r="AK1" t="s">
        <v>8</v>
      </c>
      <c r="AL1" t="s">
        <v>9</v>
      </c>
      <c r="AM1" t="s">
        <v>10</v>
      </c>
      <c r="AN1" t="s">
        <v>45</v>
      </c>
      <c r="AO1" t="s">
        <v>16</v>
      </c>
      <c r="AP1" t="s">
        <v>14</v>
      </c>
      <c r="AQ1" t="s">
        <v>15</v>
      </c>
    </row>
    <row r="2" spans="1:43">
      <c r="A2">
        <v>6</v>
      </c>
      <c r="B2" t="s">
        <v>34</v>
      </c>
      <c r="C2">
        <v>0</v>
      </c>
      <c r="D2">
        <v>63</v>
      </c>
      <c r="E2">
        <v>1</v>
      </c>
      <c r="F2">
        <v>2</v>
      </c>
      <c r="G2">
        <v>40</v>
      </c>
      <c r="H2">
        <v>6</v>
      </c>
      <c r="I2">
        <v>1</v>
      </c>
      <c r="J2">
        <v>1</v>
      </c>
      <c r="K2">
        <v>24.5</v>
      </c>
      <c r="L2">
        <v>100</v>
      </c>
      <c r="M2">
        <v>0</v>
      </c>
      <c r="N2">
        <v>7</v>
      </c>
      <c r="O2">
        <v>1000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40</v>
      </c>
      <c r="W2">
        <v>35000</v>
      </c>
      <c r="X2">
        <v>1</v>
      </c>
      <c r="Z2">
        <v>24000</v>
      </c>
      <c r="AA2">
        <v>12000</v>
      </c>
      <c r="AB2">
        <v>0</v>
      </c>
      <c r="AC2">
        <v>0</v>
      </c>
      <c r="AD2">
        <v>3500</v>
      </c>
      <c r="AE2">
        <v>0</v>
      </c>
      <c r="AJ2">
        <v>4</v>
      </c>
      <c r="AK2">
        <v>3</v>
      </c>
      <c r="AL2">
        <v>0</v>
      </c>
      <c r="AM2">
        <v>0</v>
      </c>
      <c r="AN2">
        <v>1</v>
      </c>
      <c r="AO2">
        <v>2</v>
      </c>
      <c r="AP2">
        <v>40</v>
      </c>
      <c r="AQ2">
        <v>35000</v>
      </c>
    </row>
    <row r="3" spans="1:43">
      <c r="A3">
        <v>11</v>
      </c>
      <c r="B3" t="s">
        <v>34</v>
      </c>
      <c r="C3">
        <v>0</v>
      </c>
      <c r="D3">
        <v>80</v>
      </c>
      <c r="E3">
        <v>0</v>
      </c>
      <c r="F3">
        <v>1</v>
      </c>
      <c r="G3">
        <v>20</v>
      </c>
      <c r="H3">
        <v>1</v>
      </c>
      <c r="I3">
        <v>0.6</v>
      </c>
      <c r="J3">
        <v>1</v>
      </c>
      <c r="K3">
        <v>12</v>
      </c>
      <c r="L3">
        <v>21</v>
      </c>
      <c r="M3">
        <v>0</v>
      </c>
      <c r="N3">
        <v>3</v>
      </c>
      <c r="O3">
        <v>200</v>
      </c>
      <c r="P3">
        <v>0</v>
      </c>
      <c r="Q3">
        <v>0</v>
      </c>
      <c r="R3">
        <v>0</v>
      </c>
      <c r="S3">
        <v>1</v>
      </c>
      <c r="T3">
        <v>0</v>
      </c>
      <c r="U3">
        <v>24000</v>
      </c>
      <c r="V3">
        <v>10</v>
      </c>
      <c r="W3">
        <v>26666.666666666668</v>
      </c>
      <c r="X3">
        <v>0.4</v>
      </c>
      <c r="Z3">
        <v>7700</v>
      </c>
      <c r="AA3">
        <v>2200</v>
      </c>
      <c r="AB3">
        <v>0</v>
      </c>
      <c r="AC3">
        <v>0</v>
      </c>
      <c r="AD3">
        <v>1800</v>
      </c>
      <c r="AE3">
        <v>0</v>
      </c>
      <c r="AJ3">
        <v>1</v>
      </c>
      <c r="AK3">
        <v>1</v>
      </c>
      <c r="AL3">
        <v>0</v>
      </c>
      <c r="AM3">
        <v>0</v>
      </c>
      <c r="AN3">
        <v>1</v>
      </c>
      <c r="AO3">
        <v>1</v>
      </c>
      <c r="AP3">
        <v>6</v>
      </c>
      <c r="AQ3">
        <v>16000</v>
      </c>
    </row>
    <row r="4" spans="1:43">
      <c r="A4">
        <v>18</v>
      </c>
      <c r="B4" t="s">
        <v>36</v>
      </c>
      <c r="C4">
        <v>0</v>
      </c>
      <c r="D4">
        <v>84</v>
      </c>
      <c r="E4">
        <v>0</v>
      </c>
      <c r="F4">
        <v>3</v>
      </c>
      <c r="G4">
        <v>82</v>
      </c>
      <c r="H4">
        <v>3</v>
      </c>
      <c r="I4">
        <v>1</v>
      </c>
      <c r="J4">
        <v>1</v>
      </c>
      <c r="K4">
        <v>4</v>
      </c>
      <c r="L4">
        <v>18</v>
      </c>
      <c r="M4">
        <v>5</v>
      </c>
      <c r="N4">
        <v>3</v>
      </c>
      <c r="O4">
        <v>1000</v>
      </c>
      <c r="P4">
        <v>0</v>
      </c>
      <c r="Q4">
        <v>0</v>
      </c>
      <c r="R4">
        <v>0</v>
      </c>
      <c r="S4">
        <v>1</v>
      </c>
      <c r="T4">
        <v>0</v>
      </c>
      <c r="U4">
        <v>35000</v>
      </c>
      <c r="V4">
        <v>45</v>
      </c>
      <c r="W4">
        <v>68400</v>
      </c>
      <c r="X4">
        <v>0.66150870406189555</v>
      </c>
      <c r="Z4">
        <v>17800</v>
      </c>
      <c r="AA4">
        <v>10000</v>
      </c>
      <c r="AB4">
        <v>0</v>
      </c>
      <c r="AC4">
        <v>0</v>
      </c>
      <c r="AD4">
        <v>2100</v>
      </c>
      <c r="AE4">
        <v>20000</v>
      </c>
      <c r="AJ4">
        <v>4</v>
      </c>
      <c r="AK4">
        <v>3</v>
      </c>
      <c r="AL4">
        <v>0</v>
      </c>
      <c r="AM4">
        <v>0</v>
      </c>
      <c r="AN4">
        <v>1</v>
      </c>
      <c r="AO4">
        <v>2</v>
      </c>
      <c r="AP4">
        <v>45</v>
      </c>
      <c r="AQ4">
        <v>68400</v>
      </c>
    </row>
    <row r="5" spans="1:43">
      <c r="A5">
        <v>19</v>
      </c>
      <c r="B5" t="s">
        <v>34</v>
      </c>
      <c r="C5">
        <v>0</v>
      </c>
      <c r="D5">
        <v>81</v>
      </c>
      <c r="E5">
        <v>1</v>
      </c>
      <c r="F5">
        <v>2</v>
      </c>
      <c r="G5">
        <v>3</v>
      </c>
      <c r="H5">
        <v>3</v>
      </c>
      <c r="I5">
        <v>1.8</v>
      </c>
      <c r="J5">
        <v>1</v>
      </c>
      <c r="K5">
        <v>60</v>
      </c>
      <c r="L5">
        <v>10</v>
      </c>
      <c r="M5">
        <v>0</v>
      </c>
      <c r="N5">
        <v>4</v>
      </c>
      <c r="O5">
        <v>1700</v>
      </c>
      <c r="P5">
        <v>0</v>
      </c>
      <c r="Q5">
        <v>0</v>
      </c>
      <c r="R5">
        <v>0</v>
      </c>
      <c r="S5">
        <v>1</v>
      </c>
      <c r="T5">
        <v>0</v>
      </c>
      <c r="U5">
        <v>11960</v>
      </c>
      <c r="V5">
        <v>38.888888888888886</v>
      </c>
      <c r="W5">
        <v>56388.888888888891</v>
      </c>
      <c r="X5">
        <v>0.89458840119866034</v>
      </c>
      <c r="Z5">
        <v>34500</v>
      </c>
      <c r="AA5">
        <v>18700</v>
      </c>
      <c r="AB5">
        <v>0</v>
      </c>
      <c r="AC5">
        <v>0</v>
      </c>
      <c r="AD5">
        <v>500</v>
      </c>
      <c r="AE5">
        <v>0</v>
      </c>
      <c r="AJ5">
        <v>5</v>
      </c>
      <c r="AK5">
        <v>1</v>
      </c>
      <c r="AL5">
        <v>0</v>
      </c>
      <c r="AM5">
        <v>0</v>
      </c>
      <c r="AN5">
        <v>1</v>
      </c>
      <c r="AO5">
        <v>2</v>
      </c>
      <c r="AP5">
        <v>70</v>
      </c>
      <c r="AQ5">
        <v>101500</v>
      </c>
    </row>
    <row r="6" spans="1:43">
      <c r="A6">
        <v>20</v>
      </c>
      <c r="B6" t="s">
        <v>34</v>
      </c>
      <c r="C6">
        <v>0</v>
      </c>
      <c r="D6">
        <v>72</v>
      </c>
      <c r="E6">
        <v>1</v>
      </c>
      <c r="F6">
        <v>1</v>
      </c>
      <c r="G6">
        <v>60</v>
      </c>
      <c r="H6">
        <v>3</v>
      </c>
      <c r="I6">
        <v>1</v>
      </c>
      <c r="J6">
        <v>1</v>
      </c>
      <c r="K6">
        <v>42</v>
      </c>
      <c r="L6">
        <v>11</v>
      </c>
      <c r="M6">
        <v>0</v>
      </c>
      <c r="N6">
        <v>0</v>
      </c>
      <c r="O6">
        <v>1000</v>
      </c>
      <c r="P6">
        <v>0</v>
      </c>
      <c r="Q6">
        <v>0</v>
      </c>
      <c r="R6">
        <v>0</v>
      </c>
      <c r="S6">
        <v>0</v>
      </c>
      <c r="T6">
        <v>0</v>
      </c>
      <c r="U6">
        <v>24000</v>
      </c>
      <c r="V6">
        <v>35</v>
      </c>
      <c r="W6">
        <v>43200</v>
      </c>
      <c r="X6">
        <v>0.6428571428571429</v>
      </c>
      <c r="Z6">
        <v>10500</v>
      </c>
      <c r="AA6">
        <v>11000</v>
      </c>
      <c r="AB6">
        <v>0</v>
      </c>
      <c r="AC6">
        <v>0</v>
      </c>
      <c r="AD6">
        <v>0</v>
      </c>
      <c r="AE6">
        <v>0</v>
      </c>
      <c r="AJ6">
        <v>4</v>
      </c>
      <c r="AK6">
        <v>3</v>
      </c>
      <c r="AL6">
        <v>0</v>
      </c>
      <c r="AM6">
        <v>0</v>
      </c>
      <c r="AN6">
        <v>1</v>
      </c>
      <c r="AO6">
        <v>2</v>
      </c>
      <c r="AP6">
        <v>35</v>
      </c>
      <c r="AQ6">
        <v>43200</v>
      </c>
    </row>
    <row r="7" spans="1:43">
      <c r="A7">
        <v>21</v>
      </c>
      <c r="B7" t="s">
        <v>34</v>
      </c>
      <c r="C7">
        <v>0</v>
      </c>
      <c r="D7">
        <v>59</v>
      </c>
      <c r="E7">
        <v>0</v>
      </c>
      <c r="F7">
        <v>4</v>
      </c>
      <c r="G7">
        <v>40</v>
      </c>
      <c r="H7">
        <v>5</v>
      </c>
      <c r="I7">
        <v>0.8</v>
      </c>
      <c r="J7">
        <v>1</v>
      </c>
      <c r="K7">
        <v>92</v>
      </c>
      <c r="L7">
        <v>15</v>
      </c>
      <c r="M7">
        <v>1</v>
      </c>
      <c r="N7">
        <v>2</v>
      </c>
      <c r="O7">
        <v>600</v>
      </c>
      <c r="P7">
        <v>0</v>
      </c>
      <c r="Q7">
        <v>0</v>
      </c>
      <c r="R7">
        <v>0</v>
      </c>
      <c r="S7">
        <v>1</v>
      </c>
      <c r="T7">
        <v>0</v>
      </c>
      <c r="U7">
        <v>54400</v>
      </c>
      <c r="V7">
        <v>52.5</v>
      </c>
      <c r="W7">
        <v>90000</v>
      </c>
      <c r="X7">
        <v>0.569620253164557</v>
      </c>
      <c r="Z7">
        <v>16200</v>
      </c>
      <c r="AA7">
        <v>13800</v>
      </c>
      <c r="AB7">
        <v>0</v>
      </c>
      <c r="AC7">
        <v>0</v>
      </c>
      <c r="AD7">
        <v>2400</v>
      </c>
      <c r="AE7">
        <v>3500</v>
      </c>
      <c r="AJ7">
        <v>4</v>
      </c>
      <c r="AK7">
        <v>1</v>
      </c>
      <c r="AL7">
        <v>0</v>
      </c>
      <c r="AM7">
        <v>0</v>
      </c>
      <c r="AN7">
        <v>1</v>
      </c>
      <c r="AO7">
        <v>2</v>
      </c>
      <c r="AP7">
        <v>42</v>
      </c>
      <c r="AQ7">
        <v>72000</v>
      </c>
    </row>
    <row r="8" spans="1:43">
      <c r="A8">
        <v>22</v>
      </c>
      <c r="B8" t="s">
        <v>34</v>
      </c>
      <c r="C8">
        <v>0</v>
      </c>
      <c r="D8">
        <v>43</v>
      </c>
      <c r="E8">
        <v>1</v>
      </c>
      <c r="F8">
        <v>5</v>
      </c>
      <c r="G8">
        <v>20</v>
      </c>
      <c r="H8">
        <v>4</v>
      </c>
      <c r="I8">
        <v>1</v>
      </c>
      <c r="J8">
        <v>2</v>
      </c>
      <c r="K8">
        <v>76</v>
      </c>
      <c r="L8">
        <v>18</v>
      </c>
      <c r="M8">
        <v>1</v>
      </c>
      <c r="N8">
        <v>5</v>
      </c>
      <c r="O8">
        <v>1250</v>
      </c>
      <c r="P8">
        <v>0</v>
      </c>
      <c r="Q8">
        <v>0</v>
      </c>
      <c r="R8">
        <v>0</v>
      </c>
      <c r="S8">
        <v>0</v>
      </c>
      <c r="T8">
        <v>0</v>
      </c>
      <c r="U8">
        <v>106800</v>
      </c>
      <c r="V8">
        <v>40</v>
      </c>
      <c r="W8">
        <v>58500</v>
      </c>
      <c r="X8">
        <v>0.35390199637023595</v>
      </c>
      <c r="Z8">
        <v>16500</v>
      </c>
      <c r="AA8">
        <v>13750</v>
      </c>
      <c r="AB8">
        <v>0</v>
      </c>
      <c r="AC8">
        <v>0</v>
      </c>
      <c r="AD8">
        <v>4000</v>
      </c>
      <c r="AE8">
        <v>10000</v>
      </c>
      <c r="AJ8">
        <v>4</v>
      </c>
      <c r="AK8">
        <v>1</v>
      </c>
      <c r="AL8">
        <v>0</v>
      </c>
      <c r="AM8">
        <v>0</v>
      </c>
      <c r="AN8">
        <v>1</v>
      </c>
      <c r="AO8">
        <v>3</v>
      </c>
      <c r="AP8">
        <v>40</v>
      </c>
      <c r="AQ8">
        <v>58500</v>
      </c>
    </row>
    <row r="9" spans="1:43">
      <c r="A9">
        <v>30</v>
      </c>
      <c r="B9" t="s">
        <v>34</v>
      </c>
      <c r="C9">
        <v>0</v>
      </c>
      <c r="D9">
        <v>70</v>
      </c>
      <c r="E9">
        <v>1</v>
      </c>
      <c r="F9">
        <v>3</v>
      </c>
      <c r="G9">
        <v>55</v>
      </c>
      <c r="H9">
        <v>5</v>
      </c>
      <c r="I9">
        <v>0.55000000000000004</v>
      </c>
      <c r="J9">
        <v>1</v>
      </c>
      <c r="K9">
        <v>263</v>
      </c>
      <c r="L9">
        <v>10</v>
      </c>
      <c r="M9">
        <v>0</v>
      </c>
      <c r="N9">
        <v>0</v>
      </c>
      <c r="O9">
        <v>500</v>
      </c>
      <c r="P9">
        <v>0</v>
      </c>
      <c r="Q9">
        <v>0</v>
      </c>
      <c r="R9">
        <v>0</v>
      </c>
      <c r="S9">
        <v>0</v>
      </c>
      <c r="T9">
        <v>0</v>
      </c>
      <c r="U9">
        <v>5000</v>
      </c>
      <c r="V9">
        <v>90.909090909090907</v>
      </c>
      <c r="W9">
        <v>90909.090909090897</v>
      </c>
      <c r="X9">
        <v>0.90909090909090906</v>
      </c>
      <c r="Z9">
        <v>19500</v>
      </c>
      <c r="AA9">
        <v>10000</v>
      </c>
      <c r="AB9">
        <v>0</v>
      </c>
      <c r="AC9">
        <v>0</v>
      </c>
      <c r="AD9">
        <v>0</v>
      </c>
      <c r="AE9">
        <v>0</v>
      </c>
      <c r="AJ9">
        <v>4</v>
      </c>
      <c r="AK9">
        <v>1</v>
      </c>
      <c r="AL9">
        <v>0</v>
      </c>
      <c r="AM9">
        <v>0</v>
      </c>
      <c r="AN9">
        <v>1</v>
      </c>
      <c r="AO9">
        <v>2</v>
      </c>
      <c r="AP9">
        <v>50</v>
      </c>
      <c r="AQ9">
        <v>50000</v>
      </c>
    </row>
    <row r="10" spans="1:43">
      <c r="A10">
        <v>31</v>
      </c>
      <c r="B10" t="s">
        <v>34</v>
      </c>
      <c r="C10">
        <v>0</v>
      </c>
      <c r="D10">
        <v>70</v>
      </c>
      <c r="E10">
        <v>0</v>
      </c>
      <c r="F10">
        <v>2</v>
      </c>
      <c r="G10">
        <v>43</v>
      </c>
      <c r="H10">
        <v>3</v>
      </c>
      <c r="I10">
        <v>0.5</v>
      </c>
      <c r="J10">
        <v>1</v>
      </c>
      <c r="K10">
        <v>39</v>
      </c>
      <c r="L10">
        <v>5</v>
      </c>
      <c r="M10">
        <v>0</v>
      </c>
      <c r="N10">
        <v>1</v>
      </c>
      <c r="O10">
        <v>400</v>
      </c>
      <c r="P10">
        <v>0</v>
      </c>
      <c r="Q10">
        <v>0</v>
      </c>
      <c r="R10">
        <v>0</v>
      </c>
      <c r="S10">
        <v>1</v>
      </c>
      <c r="T10">
        <v>0</v>
      </c>
      <c r="U10">
        <v>51000</v>
      </c>
      <c r="V10">
        <v>36</v>
      </c>
      <c r="W10">
        <v>84000</v>
      </c>
      <c r="X10">
        <v>0.45161290322580644</v>
      </c>
      <c r="Z10">
        <v>6900</v>
      </c>
      <c r="AA10">
        <v>4000</v>
      </c>
      <c r="AB10">
        <v>0</v>
      </c>
      <c r="AC10">
        <v>0</v>
      </c>
      <c r="AD10">
        <v>900</v>
      </c>
      <c r="AE10">
        <v>0</v>
      </c>
      <c r="AJ10">
        <v>4</v>
      </c>
      <c r="AK10">
        <v>3</v>
      </c>
      <c r="AL10">
        <v>0</v>
      </c>
      <c r="AM10">
        <v>0</v>
      </c>
      <c r="AN10">
        <v>1</v>
      </c>
      <c r="AO10">
        <v>2</v>
      </c>
      <c r="AP10">
        <v>18</v>
      </c>
      <c r="AQ10">
        <v>42000</v>
      </c>
    </row>
    <row r="11" spans="1:43">
      <c r="A11">
        <v>32</v>
      </c>
      <c r="B11" t="s">
        <v>34</v>
      </c>
      <c r="C11">
        <v>0</v>
      </c>
      <c r="D11">
        <v>76</v>
      </c>
      <c r="E11">
        <v>0</v>
      </c>
      <c r="F11">
        <v>1</v>
      </c>
      <c r="G11">
        <v>51</v>
      </c>
      <c r="H11">
        <v>5</v>
      </c>
      <c r="I11">
        <v>0.5</v>
      </c>
      <c r="J11">
        <v>1</v>
      </c>
      <c r="K11">
        <v>179</v>
      </c>
      <c r="L11">
        <v>9</v>
      </c>
      <c r="M11">
        <v>0</v>
      </c>
      <c r="N11">
        <v>2</v>
      </c>
      <c r="O11">
        <v>100</v>
      </c>
      <c r="P11">
        <v>0</v>
      </c>
      <c r="Q11">
        <v>0</v>
      </c>
      <c r="R11">
        <v>0</v>
      </c>
      <c r="S11">
        <v>0</v>
      </c>
      <c r="T11">
        <v>0</v>
      </c>
      <c r="U11">
        <v>201600</v>
      </c>
      <c r="V11">
        <v>40</v>
      </c>
      <c r="W11">
        <v>60000</v>
      </c>
      <c r="X11">
        <v>0.12953367875647667</v>
      </c>
      <c r="Z11">
        <v>10850</v>
      </c>
      <c r="AA11">
        <v>2000</v>
      </c>
      <c r="AB11">
        <v>0</v>
      </c>
      <c r="AC11">
        <v>0</v>
      </c>
      <c r="AD11">
        <v>1000</v>
      </c>
      <c r="AE11">
        <v>0</v>
      </c>
      <c r="AJ11">
        <v>4</v>
      </c>
      <c r="AK11">
        <v>5</v>
      </c>
      <c r="AL11">
        <v>0</v>
      </c>
      <c r="AM11">
        <v>0</v>
      </c>
      <c r="AN11">
        <v>1</v>
      </c>
      <c r="AO11">
        <v>2</v>
      </c>
      <c r="AP11">
        <v>20</v>
      </c>
      <c r="AQ11">
        <v>30000</v>
      </c>
    </row>
    <row r="12" spans="1:43">
      <c r="A12">
        <v>33</v>
      </c>
      <c r="B12" t="s">
        <v>34</v>
      </c>
      <c r="C12">
        <v>0</v>
      </c>
      <c r="D12">
        <v>74</v>
      </c>
      <c r="E12">
        <v>0</v>
      </c>
      <c r="F12">
        <v>2</v>
      </c>
      <c r="G12">
        <v>50</v>
      </c>
      <c r="H12">
        <v>7</v>
      </c>
      <c r="I12">
        <v>0.5</v>
      </c>
      <c r="J12">
        <v>1</v>
      </c>
      <c r="K12">
        <v>42</v>
      </c>
      <c r="L12">
        <v>5</v>
      </c>
      <c r="M12">
        <v>0</v>
      </c>
      <c r="N12">
        <v>7</v>
      </c>
      <c r="O12">
        <v>500</v>
      </c>
      <c r="P12">
        <v>0</v>
      </c>
      <c r="Q12">
        <v>0</v>
      </c>
      <c r="R12">
        <v>0</v>
      </c>
      <c r="S12">
        <v>0</v>
      </c>
      <c r="T12">
        <v>0</v>
      </c>
      <c r="U12">
        <v>3350</v>
      </c>
      <c r="V12">
        <v>70</v>
      </c>
      <c r="W12">
        <v>150000</v>
      </c>
      <c r="X12">
        <v>0.95724313975749842</v>
      </c>
      <c r="Z12">
        <v>15500</v>
      </c>
      <c r="AA12">
        <v>5000</v>
      </c>
      <c r="AB12">
        <v>0</v>
      </c>
      <c r="AC12">
        <v>0</v>
      </c>
      <c r="AD12">
        <v>4200</v>
      </c>
      <c r="AE12">
        <v>0</v>
      </c>
      <c r="AJ12">
        <v>4</v>
      </c>
      <c r="AK12">
        <v>3</v>
      </c>
      <c r="AL12">
        <v>0</v>
      </c>
      <c r="AM12">
        <v>0</v>
      </c>
      <c r="AN12">
        <v>1</v>
      </c>
      <c r="AO12">
        <v>2</v>
      </c>
      <c r="AP12">
        <v>35</v>
      </c>
      <c r="AQ12">
        <v>75000</v>
      </c>
    </row>
    <row r="13" spans="1:43">
      <c r="A13">
        <v>34</v>
      </c>
      <c r="B13" t="s">
        <v>34</v>
      </c>
      <c r="C13">
        <v>0</v>
      </c>
      <c r="D13">
        <v>61</v>
      </c>
      <c r="E13">
        <v>1</v>
      </c>
      <c r="F13">
        <v>4</v>
      </c>
      <c r="G13">
        <v>46</v>
      </c>
      <c r="H13">
        <v>2</v>
      </c>
      <c r="I13">
        <v>0.8</v>
      </c>
      <c r="J13">
        <v>1</v>
      </c>
      <c r="K13">
        <v>80</v>
      </c>
      <c r="L13">
        <v>10</v>
      </c>
      <c r="M13">
        <v>1</v>
      </c>
      <c r="N13">
        <v>6</v>
      </c>
      <c r="O13">
        <v>7500</v>
      </c>
      <c r="P13">
        <v>0</v>
      </c>
      <c r="Q13">
        <v>3</v>
      </c>
      <c r="R13">
        <v>0</v>
      </c>
      <c r="S13">
        <v>1</v>
      </c>
      <c r="T13">
        <v>0</v>
      </c>
      <c r="U13">
        <v>13176</v>
      </c>
      <c r="V13">
        <v>75</v>
      </c>
      <c r="W13">
        <v>100000</v>
      </c>
      <c r="X13">
        <v>0.85859019489997424</v>
      </c>
      <c r="Z13">
        <v>25200</v>
      </c>
      <c r="AA13">
        <v>8250</v>
      </c>
      <c r="AB13">
        <v>0</v>
      </c>
      <c r="AC13">
        <v>1950</v>
      </c>
      <c r="AD13">
        <v>3000</v>
      </c>
      <c r="AE13">
        <v>10000</v>
      </c>
      <c r="AJ13">
        <v>2</v>
      </c>
      <c r="AK13">
        <v>1</v>
      </c>
      <c r="AL13">
        <v>1</v>
      </c>
      <c r="AM13">
        <v>0</v>
      </c>
      <c r="AN13">
        <v>1</v>
      </c>
      <c r="AO13">
        <v>2</v>
      </c>
      <c r="AP13">
        <v>60</v>
      </c>
      <c r="AQ13">
        <v>80000</v>
      </c>
    </row>
    <row r="14" spans="1:43">
      <c r="A14">
        <v>35</v>
      </c>
      <c r="B14" t="s">
        <v>34</v>
      </c>
      <c r="C14">
        <v>0</v>
      </c>
      <c r="D14">
        <v>67</v>
      </c>
      <c r="E14">
        <v>0</v>
      </c>
      <c r="F14">
        <v>3</v>
      </c>
      <c r="G14">
        <v>57</v>
      </c>
      <c r="H14">
        <v>4</v>
      </c>
      <c r="I14">
        <v>2</v>
      </c>
      <c r="J14">
        <v>3</v>
      </c>
      <c r="K14">
        <v>90</v>
      </c>
      <c r="L14">
        <v>64</v>
      </c>
      <c r="M14">
        <v>2</v>
      </c>
      <c r="N14">
        <v>7</v>
      </c>
      <c r="O14">
        <v>3000</v>
      </c>
      <c r="P14">
        <v>0</v>
      </c>
      <c r="Q14">
        <v>0</v>
      </c>
      <c r="R14">
        <v>0</v>
      </c>
      <c r="S14">
        <v>0</v>
      </c>
      <c r="T14">
        <v>0</v>
      </c>
      <c r="U14">
        <v>204500</v>
      </c>
      <c r="V14">
        <v>60</v>
      </c>
      <c r="W14">
        <v>100000</v>
      </c>
      <c r="X14">
        <v>0.49443757725587145</v>
      </c>
      <c r="Z14">
        <v>68100</v>
      </c>
      <c r="AA14">
        <v>30000</v>
      </c>
      <c r="AB14">
        <v>0</v>
      </c>
      <c r="AC14">
        <v>0</v>
      </c>
      <c r="AD14">
        <v>4200</v>
      </c>
      <c r="AE14">
        <v>13000</v>
      </c>
      <c r="AJ14">
        <v>3</v>
      </c>
      <c r="AK14">
        <v>3</v>
      </c>
      <c r="AL14">
        <v>0</v>
      </c>
      <c r="AM14">
        <v>0</v>
      </c>
      <c r="AN14">
        <v>1</v>
      </c>
      <c r="AO14">
        <v>2</v>
      </c>
      <c r="AP14">
        <v>120</v>
      </c>
      <c r="AQ14">
        <v>200000</v>
      </c>
    </row>
    <row r="15" spans="1:43">
      <c r="A15">
        <v>45</v>
      </c>
      <c r="B15" t="s">
        <v>34</v>
      </c>
      <c r="C15">
        <v>0</v>
      </c>
      <c r="D15">
        <v>76</v>
      </c>
      <c r="E15">
        <v>1</v>
      </c>
      <c r="F15">
        <v>2</v>
      </c>
      <c r="G15">
        <v>66</v>
      </c>
      <c r="H15">
        <v>6</v>
      </c>
      <c r="I15">
        <v>3</v>
      </c>
      <c r="J15">
        <v>1</v>
      </c>
      <c r="K15">
        <v>21</v>
      </c>
      <c r="L15">
        <v>100</v>
      </c>
      <c r="M15">
        <v>1</v>
      </c>
      <c r="N15">
        <v>5</v>
      </c>
      <c r="O15">
        <v>2000</v>
      </c>
      <c r="P15">
        <v>54</v>
      </c>
      <c r="Q15">
        <v>0</v>
      </c>
      <c r="R15">
        <v>0</v>
      </c>
      <c r="S15">
        <v>0</v>
      </c>
      <c r="T15">
        <v>0</v>
      </c>
      <c r="U15">
        <v>266000</v>
      </c>
      <c r="V15">
        <v>16.666666666666668</v>
      </c>
      <c r="W15">
        <v>23333.333333333332</v>
      </c>
      <c r="X15">
        <v>0.20833333333333334</v>
      </c>
      <c r="Z15">
        <v>45000</v>
      </c>
      <c r="AA15">
        <v>22000</v>
      </c>
      <c r="AB15">
        <v>6480</v>
      </c>
      <c r="AC15">
        <v>0</v>
      </c>
      <c r="AD15">
        <v>2500</v>
      </c>
      <c r="AE15">
        <v>15000</v>
      </c>
      <c r="AJ15">
        <v>4</v>
      </c>
      <c r="AK15">
        <v>1</v>
      </c>
      <c r="AL15">
        <v>0</v>
      </c>
      <c r="AM15">
        <v>1</v>
      </c>
      <c r="AN15">
        <v>1</v>
      </c>
      <c r="AO15">
        <v>2</v>
      </c>
      <c r="AP15">
        <v>50</v>
      </c>
      <c r="AQ15">
        <v>70000</v>
      </c>
    </row>
    <row r="16" spans="1:43">
      <c r="A16">
        <v>46</v>
      </c>
      <c r="B16" t="s">
        <v>34</v>
      </c>
      <c r="C16">
        <v>0</v>
      </c>
      <c r="D16">
        <v>76</v>
      </c>
      <c r="E16">
        <v>1</v>
      </c>
      <c r="F16">
        <v>2</v>
      </c>
      <c r="G16">
        <v>65</v>
      </c>
      <c r="H16">
        <v>7</v>
      </c>
      <c r="I16">
        <v>4</v>
      </c>
      <c r="J16">
        <v>2</v>
      </c>
      <c r="K16">
        <v>5</v>
      </c>
      <c r="L16">
        <v>56</v>
      </c>
      <c r="M16">
        <v>0</v>
      </c>
      <c r="N16">
        <v>12</v>
      </c>
      <c r="O16">
        <v>4000</v>
      </c>
      <c r="P16">
        <v>40</v>
      </c>
      <c r="Q16">
        <v>0</v>
      </c>
      <c r="R16">
        <v>0</v>
      </c>
      <c r="S16">
        <v>0</v>
      </c>
      <c r="T16">
        <v>0</v>
      </c>
      <c r="U16">
        <v>360000</v>
      </c>
      <c r="V16">
        <v>60</v>
      </c>
      <c r="W16">
        <v>84000</v>
      </c>
      <c r="X16">
        <v>0.48275862068965519</v>
      </c>
      <c r="Z16">
        <v>84800</v>
      </c>
      <c r="AA16">
        <v>40000</v>
      </c>
      <c r="AB16">
        <v>12800</v>
      </c>
      <c r="AC16">
        <v>0</v>
      </c>
      <c r="AD16">
        <v>6000</v>
      </c>
      <c r="AE16">
        <v>0</v>
      </c>
      <c r="AJ16">
        <v>4</v>
      </c>
      <c r="AK16">
        <v>1</v>
      </c>
      <c r="AL16">
        <v>0</v>
      </c>
      <c r="AM16">
        <v>1</v>
      </c>
      <c r="AN16">
        <v>1</v>
      </c>
      <c r="AO16">
        <v>2</v>
      </c>
      <c r="AP16">
        <v>240</v>
      </c>
      <c r="AQ16">
        <v>336000</v>
      </c>
    </row>
    <row r="17" spans="1:43">
      <c r="A17">
        <v>47</v>
      </c>
      <c r="B17" t="s">
        <v>34</v>
      </c>
      <c r="C17">
        <v>0</v>
      </c>
      <c r="D17">
        <v>65</v>
      </c>
      <c r="E17">
        <v>1</v>
      </c>
      <c r="F17">
        <v>4</v>
      </c>
      <c r="G17">
        <v>45</v>
      </c>
      <c r="H17">
        <v>2</v>
      </c>
      <c r="I17">
        <v>1</v>
      </c>
      <c r="J17">
        <v>1</v>
      </c>
      <c r="K17">
        <v>5</v>
      </c>
      <c r="L17">
        <v>32</v>
      </c>
      <c r="M17">
        <v>0</v>
      </c>
      <c r="N17">
        <v>6</v>
      </c>
      <c r="O17">
        <v>1250</v>
      </c>
      <c r="P17">
        <v>0</v>
      </c>
      <c r="Q17">
        <v>0</v>
      </c>
      <c r="R17">
        <v>0</v>
      </c>
      <c r="S17">
        <v>0</v>
      </c>
      <c r="T17">
        <v>0</v>
      </c>
      <c r="U17">
        <v>90000</v>
      </c>
      <c r="V17">
        <v>30</v>
      </c>
      <c r="W17">
        <v>36000</v>
      </c>
      <c r="X17">
        <v>0.2857142857142857</v>
      </c>
      <c r="Z17">
        <v>19350</v>
      </c>
      <c r="AA17">
        <v>12500</v>
      </c>
      <c r="AB17">
        <v>0</v>
      </c>
      <c r="AC17">
        <v>0</v>
      </c>
      <c r="AD17">
        <v>3000</v>
      </c>
      <c r="AE17">
        <v>0</v>
      </c>
      <c r="AJ17">
        <v>5</v>
      </c>
      <c r="AK17">
        <v>1</v>
      </c>
      <c r="AL17">
        <v>0</v>
      </c>
      <c r="AM17">
        <v>0</v>
      </c>
      <c r="AN17">
        <v>1</v>
      </c>
      <c r="AO17">
        <v>2</v>
      </c>
      <c r="AP17">
        <v>30</v>
      </c>
      <c r="AQ17">
        <v>36000</v>
      </c>
    </row>
    <row r="18" spans="1:43">
      <c r="A18">
        <v>48</v>
      </c>
      <c r="B18" t="s">
        <v>34</v>
      </c>
      <c r="C18">
        <v>0</v>
      </c>
      <c r="D18">
        <v>53</v>
      </c>
      <c r="E18">
        <v>1</v>
      </c>
      <c r="F18">
        <v>2</v>
      </c>
      <c r="G18">
        <v>15</v>
      </c>
      <c r="H18">
        <v>8</v>
      </c>
      <c r="I18">
        <v>1</v>
      </c>
      <c r="J18">
        <v>2</v>
      </c>
      <c r="K18">
        <v>21</v>
      </c>
      <c r="L18">
        <v>32</v>
      </c>
      <c r="M18">
        <v>0</v>
      </c>
      <c r="N18">
        <v>3</v>
      </c>
      <c r="O18">
        <v>1000</v>
      </c>
      <c r="P18">
        <v>0</v>
      </c>
      <c r="Q18">
        <v>0</v>
      </c>
      <c r="R18">
        <v>0</v>
      </c>
      <c r="S18">
        <v>0</v>
      </c>
      <c r="T18">
        <v>0</v>
      </c>
      <c r="U18">
        <v>36000</v>
      </c>
      <c r="V18">
        <v>60</v>
      </c>
      <c r="W18">
        <v>104000</v>
      </c>
      <c r="X18">
        <v>0.74285714285714288</v>
      </c>
      <c r="Z18">
        <v>27000</v>
      </c>
      <c r="AA18">
        <v>10400</v>
      </c>
      <c r="AB18">
        <v>0</v>
      </c>
      <c r="AC18">
        <v>0</v>
      </c>
      <c r="AD18">
        <v>1500</v>
      </c>
      <c r="AE18">
        <v>0</v>
      </c>
      <c r="AJ18">
        <v>4</v>
      </c>
      <c r="AK18">
        <v>1</v>
      </c>
      <c r="AL18">
        <v>0</v>
      </c>
      <c r="AM18">
        <v>0</v>
      </c>
      <c r="AN18">
        <v>1</v>
      </c>
      <c r="AO18">
        <v>2</v>
      </c>
      <c r="AP18">
        <v>60</v>
      </c>
      <c r="AQ18">
        <v>104000</v>
      </c>
    </row>
    <row r="19" spans="1:43">
      <c r="A19">
        <v>50</v>
      </c>
      <c r="B19" t="s">
        <v>38</v>
      </c>
      <c r="C19">
        <v>0</v>
      </c>
      <c r="D19">
        <v>52</v>
      </c>
      <c r="E19">
        <v>1</v>
      </c>
      <c r="F19">
        <v>4</v>
      </c>
      <c r="G19">
        <v>25</v>
      </c>
      <c r="H19">
        <v>7</v>
      </c>
      <c r="I19">
        <v>3</v>
      </c>
      <c r="J19">
        <v>2</v>
      </c>
      <c r="K19">
        <v>42</v>
      </c>
      <c r="L19">
        <v>263</v>
      </c>
      <c r="M19">
        <v>0</v>
      </c>
      <c r="N19">
        <v>7.5</v>
      </c>
      <c r="O19">
        <v>3250</v>
      </c>
      <c r="P19">
        <v>0</v>
      </c>
      <c r="Q19">
        <v>0</v>
      </c>
      <c r="R19">
        <v>0</v>
      </c>
      <c r="S19">
        <v>1</v>
      </c>
      <c r="T19">
        <v>1</v>
      </c>
      <c r="U19">
        <v>778320</v>
      </c>
      <c r="V19">
        <v>67.666666666666671</v>
      </c>
      <c r="W19">
        <v>88666.666666666672</v>
      </c>
      <c r="X19">
        <v>0.2547111996322966</v>
      </c>
      <c r="Z19">
        <v>76560</v>
      </c>
      <c r="AA19">
        <v>27300</v>
      </c>
      <c r="AB19">
        <v>0</v>
      </c>
      <c r="AC19">
        <v>0</v>
      </c>
      <c r="AD19">
        <v>2500</v>
      </c>
      <c r="AE19">
        <v>0</v>
      </c>
      <c r="AJ19">
        <v>4</v>
      </c>
      <c r="AK19">
        <v>3</v>
      </c>
      <c r="AL19">
        <v>0</v>
      </c>
      <c r="AM19">
        <v>0</v>
      </c>
      <c r="AN19">
        <v>1</v>
      </c>
      <c r="AO19">
        <v>2</v>
      </c>
      <c r="AP19">
        <v>203</v>
      </c>
      <c r="AQ19">
        <v>266000</v>
      </c>
    </row>
    <row r="20" spans="1:43">
      <c r="A20">
        <v>51</v>
      </c>
      <c r="B20" t="s">
        <v>38</v>
      </c>
      <c r="C20">
        <v>0</v>
      </c>
      <c r="D20">
        <v>59</v>
      </c>
      <c r="E20">
        <v>1</v>
      </c>
      <c r="F20">
        <v>2</v>
      </c>
      <c r="G20">
        <v>42</v>
      </c>
      <c r="H20">
        <v>7</v>
      </c>
      <c r="I20">
        <v>0.5</v>
      </c>
      <c r="J20">
        <v>1</v>
      </c>
      <c r="K20">
        <v>2</v>
      </c>
      <c r="L20">
        <v>64</v>
      </c>
      <c r="M20">
        <v>1</v>
      </c>
      <c r="N20">
        <v>2</v>
      </c>
      <c r="O20">
        <v>1000</v>
      </c>
      <c r="P20">
        <v>0</v>
      </c>
      <c r="Q20">
        <v>0</v>
      </c>
      <c r="R20">
        <v>0</v>
      </c>
      <c r="S20">
        <v>1</v>
      </c>
      <c r="T20">
        <v>0</v>
      </c>
      <c r="U20">
        <v>244800</v>
      </c>
      <c r="V20">
        <v>100</v>
      </c>
      <c r="W20">
        <v>140000</v>
      </c>
      <c r="X20">
        <v>0.22236340533672172</v>
      </c>
      <c r="Z20">
        <v>22150</v>
      </c>
      <c r="AA20">
        <v>10000</v>
      </c>
      <c r="AB20">
        <v>0</v>
      </c>
      <c r="AC20">
        <v>0</v>
      </c>
      <c r="AD20">
        <v>600</v>
      </c>
      <c r="AE20">
        <v>7800</v>
      </c>
      <c r="AJ20">
        <v>3</v>
      </c>
      <c r="AK20">
        <v>3</v>
      </c>
      <c r="AL20">
        <v>0</v>
      </c>
      <c r="AM20">
        <v>0</v>
      </c>
      <c r="AN20">
        <v>1</v>
      </c>
      <c r="AO20">
        <v>2</v>
      </c>
      <c r="AP20">
        <v>50</v>
      </c>
      <c r="AQ20">
        <v>70000</v>
      </c>
    </row>
    <row r="21" spans="1:43">
      <c r="A21">
        <v>53</v>
      </c>
      <c r="B21" t="s">
        <v>38</v>
      </c>
      <c r="C21">
        <v>0</v>
      </c>
      <c r="D21">
        <v>51</v>
      </c>
      <c r="E21">
        <v>1</v>
      </c>
      <c r="F21">
        <v>4</v>
      </c>
      <c r="G21">
        <v>33</v>
      </c>
      <c r="H21">
        <v>4</v>
      </c>
      <c r="I21">
        <v>0.5</v>
      </c>
      <c r="J21">
        <v>1</v>
      </c>
      <c r="K21">
        <v>9.75</v>
      </c>
      <c r="L21">
        <v>57</v>
      </c>
      <c r="M21">
        <v>0</v>
      </c>
      <c r="N21">
        <v>2</v>
      </c>
      <c r="O21">
        <v>600</v>
      </c>
      <c r="P21">
        <v>0</v>
      </c>
      <c r="Q21">
        <v>0</v>
      </c>
      <c r="R21">
        <v>0</v>
      </c>
      <c r="S21">
        <v>1</v>
      </c>
      <c r="T21">
        <v>0</v>
      </c>
      <c r="U21">
        <v>529000</v>
      </c>
      <c r="V21">
        <v>62</v>
      </c>
      <c r="W21">
        <v>85800</v>
      </c>
      <c r="X21">
        <v>7.5013114180800838E-2</v>
      </c>
      <c r="Z21">
        <v>11290</v>
      </c>
      <c r="AA21">
        <v>5760</v>
      </c>
      <c r="AB21">
        <v>0</v>
      </c>
      <c r="AC21">
        <v>0</v>
      </c>
      <c r="AD21">
        <v>0</v>
      </c>
      <c r="AE21">
        <v>0</v>
      </c>
      <c r="AJ21">
        <v>3</v>
      </c>
      <c r="AK21">
        <v>3</v>
      </c>
      <c r="AL21">
        <v>0</v>
      </c>
      <c r="AM21">
        <v>0</v>
      </c>
      <c r="AN21">
        <v>1</v>
      </c>
      <c r="AO21">
        <v>2</v>
      </c>
      <c r="AP21">
        <v>31</v>
      </c>
      <c r="AQ21">
        <v>42900</v>
      </c>
    </row>
    <row r="22" spans="1:43">
      <c r="A22">
        <v>58</v>
      </c>
      <c r="B22" t="s">
        <v>38</v>
      </c>
      <c r="C22">
        <v>0</v>
      </c>
      <c r="D22">
        <v>69</v>
      </c>
      <c r="E22">
        <v>1</v>
      </c>
      <c r="F22">
        <v>4</v>
      </c>
      <c r="G22">
        <v>55</v>
      </c>
      <c r="H22">
        <v>4</v>
      </c>
      <c r="I22">
        <v>1</v>
      </c>
      <c r="J22">
        <v>1</v>
      </c>
      <c r="K22">
        <v>66.5</v>
      </c>
      <c r="L22">
        <v>72</v>
      </c>
      <c r="M22">
        <v>1</v>
      </c>
      <c r="N22">
        <v>74</v>
      </c>
      <c r="O22">
        <v>1500</v>
      </c>
      <c r="P22">
        <v>0</v>
      </c>
      <c r="Q22">
        <v>0</v>
      </c>
      <c r="R22">
        <v>0</v>
      </c>
      <c r="S22">
        <v>1</v>
      </c>
      <c r="T22">
        <v>0</v>
      </c>
      <c r="U22">
        <v>43200</v>
      </c>
      <c r="V22">
        <v>85</v>
      </c>
      <c r="W22">
        <v>84000</v>
      </c>
      <c r="X22">
        <v>0.660377358490566</v>
      </c>
      <c r="Z22">
        <v>26800</v>
      </c>
      <c r="AA22">
        <v>15600</v>
      </c>
      <c r="AB22">
        <v>0</v>
      </c>
      <c r="AC22">
        <v>0</v>
      </c>
      <c r="AD22">
        <v>0</v>
      </c>
      <c r="AE22">
        <v>1078</v>
      </c>
      <c r="AJ22">
        <v>4</v>
      </c>
      <c r="AK22">
        <v>3</v>
      </c>
      <c r="AL22">
        <v>0</v>
      </c>
      <c r="AM22">
        <v>0</v>
      </c>
      <c r="AN22">
        <v>1</v>
      </c>
      <c r="AO22">
        <v>3</v>
      </c>
      <c r="AP22">
        <v>85</v>
      </c>
      <c r="AQ22">
        <v>84000</v>
      </c>
    </row>
    <row r="23" spans="1:43">
      <c r="A23">
        <v>59</v>
      </c>
      <c r="B23" t="s">
        <v>38</v>
      </c>
      <c r="C23">
        <v>0</v>
      </c>
      <c r="D23">
        <v>56</v>
      </c>
      <c r="E23">
        <v>0</v>
      </c>
      <c r="F23">
        <v>5</v>
      </c>
      <c r="G23">
        <v>34</v>
      </c>
      <c r="H23">
        <v>5</v>
      </c>
      <c r="I23">
        <v>1.5</v>
      </c>
      <c r="J23">
        <v>2</v>
      </c>
      <c r="K23">
        <v>10</v>
      </c>
      <c r="L23">
        <v>46</v>
      </c>
      <c r="M23">
        <v>0</v>
      </c>
      <c r="N23">
        <v>3</v>
      </c>
      <c r="O23">
        <v>1500</v>
      </c>
      <c r="P23">
        <v>0</v>
      </c>
      <c r="Q23">
        <v>0</v>
      </c>
      <c r="R23">
        <v>0</v>
      </c>
      <c r="S23">
        <v>0</v>
      </c>
      <c r="T23">
        <v>0</v>
      </c>
      <c r="U23">
        <v>216000</v>
      </c>
      <c r="V23">
        <v>74.666666666666671</v>
      </c>
      <c r="W23">
        <v>123000</v>
      </c>
      <c r="X23">
        <v>0.4606741573033708</v>
      </c>
      <c r="Z23">
        <v>40190</v>
      </c>
      <c r="AA23">
        <v>14100</v>
      </c>
      <c r="AB23">
        <v>0</v>
      </c>
      <c r="AC23">
        <v>0</v>
      </c>
      <c r="AD23">
        <v>1800</v>
      </c>
      <c r="AE23">
        <v>0</v>
      </c>
      <c r="AJ23">
        <v>4</v>
      </c>
      <c r="AK23">
        <v>3</v>
      </c>
      <c r="AL23">
        <v>0</v>
      </c>
      <c r="AM23">
        <v>0</v>
      </c>
      <c r="AN23">
        <v>1</v>
      </c>
      <c r="AO23">
        <v>2</v>
      </c>
      <c r="AP23">
        <v>112</v>
      </c>
      <c r="AQ23">
        <v>184500</v>
      </c>
    </row>
    <row r="24" spans="1:43">
      <c r="A24">
        <v>60</v>
      </c>
      <c r="B24" t="s">
        <v>38</v>
      </c>
      <c r="C24">
        <v>0</v>
      </c>
      <c r="D24">
        <v>65</v>
      </c>
      <c r="E24">
        <v>0</v>
      </c>
      <c r="F24">
        <v>2</v>
      </c>
      <c r="G24">
        <v>49</v>
      </c>
      <c r="H24">
        <v>9</v>
      </c>
      <c r="I24">
        <v>0.75</v>
      </c>
      <c r="J24">
        <v>1</v>
      </c>
      <c r="K24">
        <v>24</v>
      </c>
      <c r="L24">
        <v>27</v>
      </c>
      <c r="M24">
        <v>0</v>
      </c>
      <c r="N24">
        <v>3</v>
      </c>
      <c r="O24">
        <v>600</v>
      </c>
      <c r="P24">
        <v>0</v>
      </c>
      <c r="Q24">
        <v>0</v>
      </c>
      <c r="R24">
        <v>0</v>
      </c>
      <c r="S24">
        <v>0</v>
      </c>
      <c r="T24">
        <v>1</v>
      </c>
      <c r="U24">
        <v>186000</v>
      </c>
      <c r="V24">
        <v>53.333333333333336</v>
      </c>
      <c r="W24">
        <v>55466.666666666664</v>
      </c>
      <c r="X24">
        <v>0.18277680140597541</v>
      </c>
      <c r="Z24">
        <v>18520</v>
      </c>
      <c r="AA24">
        <v>6360</v>
      </c>
      <c r="AB24">
        <v>0</v>
      </c>
      <c r="AC24">
        <v>0</v>
      </c>
      <c r="AD24">
        <v>1800</v>
      </c>
      <c r="AE24">
        <v>0</v>
      </c>
      <c r="AJ24">
        <v>4</v>
      </c>
      <c r="AK24">
        <v>2</v>
      </c>
      <c r="AL24">
        <v>0</v>
      </c>
      <c r="AM24">
        <v>0</v>
      </c>
      <c r="AN24">
        <v>1</v>
      </c>
      <c r="AO24">
        <v>2</v>
      </c>
      <c r="AP24">
        <v>40</v>
      </c>
      <c r="AQ24">
        <v>41600</v>
      </c>
    </row>
    <row r="25" spans="1:43">
      <c r="A25">
        <v>64</v>
      </c>
      <c r="B25" t="s">
        <v>38</v>
      </c>
      <c r="C25">
        <v>0</v>
      </c>
      <c r="D25">
        <v>66</v>
      </c>
      <c r="E25">
        <v>1</v>
      </c>
      <c r="F25">
        <v>3</v>
      </c>
      <c r="G25">
        <v>40</v>
      </c>
      <c r="H25">
        <v>5</v>
      </c>
      <c r="I25">
        <v>2.5</v>
      </c>
      <c r="J25">
        <v>1</v>
      </c>
      <c r="K25">
        <v>18</v>
      </c>
      <c r="L25">
        <v>107</v>
      </c>
      <c r="M25">
        <v>2</v>
      </c>
      <c r="N25">
        <v>6</v>
      </c>
      <c r="O25">
        <v>2750</v>
      </c>
      <c r="P25">
        <v>4</v>
      </c>
      <c r="Q25">
        <v>8</v>
      </c>
      <c r="R25">
        <v>0</v>
      </c>
      <c r="S25">
        <v>1</v>
      </c>
      <c r="T25">
        <v>0</v>
      </c>
      <c r="U25">
        <v>339000</v>
      </c>
      <c r="V25">
        <v>48</v>
      </c>
      <c r="W25">
        <v>60000</v>
      </c>
      <c r="X25">
        <v>0.30674846625766872</v>
      </c>
      <c r="Z25">
        <v>62550</v>
      </c>
      <c r="AA25">
        <v>26400</v>
      </c>
      <c r="AB25">
        <v>1000</v>
      </c>
      <c r="AC25">
        <v>2900</v>
      </c>
      <c r="AD25">
        <v>3600</v>
      </c>
      <c r="AE25">
        <v>5100</v>
      </c>
      <c r="AJ25">
        <v>4</v>
      </c>
      <c r="AK25">
        <v>3</v>
      </c>
      <c r="AL25">
        <v>3</v>
      </c>
      <c r="AM25">
        <v>3</v>
      </c>
      <c r="AN25">
        <v>1</v>
      </c>
      <c r="AO25">
        <v>2</v>
      </c>
      <c r="AP25">
        <v>120</v>
      </c>
      <c r="AQ25">
        <v>150000</v>
      </c>
    </row>
    <row r="26" spans="1:43">
      <c r="A26">
        <v>65</v>
      </c>
      <c r="B26" t="s">
        <v>38</v>
      </c>
      <c r="C26">
        <v>0</v>
      </c>
      <c r="D26">
        <v>60</v>
      </c>
      <c r="E26">
        <v>0</v>
      </c>
      <c r="F26">
        <v>4</v>
      </c>
      <c r="G26">
        <v>15</v>
      </c>
      <c r="H26">
        <v>5</v>
      </c>
      <c r="I26">
        <v>0.5</v>
      </c>
      <c r="J26">
        <v>1</v>
      </c>
      <c r="K26">
        <v>18</v>
      </c>
      <c r="L26">
        <v>13</v>
      </c>
      <c r="M26">
        <v>0</v>
      </c>
      <c r="N26">
        <v>3</v>
      </c>
      <c r="O26">
        <v>350</v>
      </c>
      <c r="P26">
        <v>0</v>
      </c>
      <c r="Q26">
        <v>0</v>
      </c>
      <c r="R26">
        <v>0</v>
      </c>
      <c r="S26">
        <v>0</v>
      </c>
      <c r="T26">
        <v>0</v>
      </c>
      <c r="U26">
        <v>223150</v>
      </c>
      <c r="V26">
        <v>32</v>
      </c>
      <c r="W26">
        <v>44800</v>
      </c>
      <c r="X26">
        <v>9.1223783343514553E-2</v>
      </c>
      <c r="Z26">
        <v>8520</v>
      </c>
      <c r="AA26">
        <v>3430</v>
      </c>
      <c r="AB26">
        <v>0</v>
      </c>
      <c r="AC26">
        <v>0</v>
      </c>
      <c r="AD26">
        <v>1800</v>
      </c>
      <c r="AE26">
        <v>0</v>
      </c>
      <c r="AJ26">
        <v>3</v>
      </c>
      <c r="AK26">
        <v>3</v>
      </c>
      <c r="AL26">
        <v>0</v>
      </c>
      <c r="AM26">
        <v>0</v>
      </c>
      <c r="AN26">
        <v>1</v>
      </c>
      <c r="AO26">
        <v>1</v>
      </c>
      <c r="AP26">
        <v>16</v>
      </c>
      <c r="AQ26">
        <v>22400</v>
      </c>
    </row>
    <row r="27" spans="1:43">
      <c r="A27">
        <v>66</v>
      </c>
      <c r="B27" t="s">
        <v>38</v>
      </c>
      <c r="C27">
        <v>0</v>
      </c>
      <c r="D27">
        <v>75</v>
      </c>
      <c r="E27">
        <v>1</v>
      </c>
      <c r="F27">
        <v>1</v>
      </c>
      <c r="G27">
        <v>57</v>
      </c>
      <c r="H27">
        <v>3</v>
      </c>
      <c r="I27">
        <v>1.5</v>
      </c>
      <c r="J27">
        <v>3</v>
      </c>
      <c r="K27">
        <v>53</v>
      </c>
      <c r="L27">
        <v>10</v>
      </c>
      <c r="M27">
        <v>1</v>
      </c>
      <c r="N27">
        <v>3</v>
      </c>
      <c r="O27">
        <v>2000</v>
      </c>
      <c r="P27">
        <v>1</v>
      </c>
      <c r="Q27">
        <v>0</v>
      </c>
      <c r="R27">
        <v>0</v>
      </c>
      <c r="S27">
        <v>0</v>
      </c>
      <c r="T27">
        <v>0</v>
      </c>
      <c r="U27">
        <v>6000</v>
      </c>
      <c r="V27">
        <v>53.333333333333336</v>
      </c>
      <c r="W27">
        <v>108000</v>
      </c>
      <c r="X27">
        <v>0.9642857142857143</v>
      </c>
      <c r="Z27">
        <v>24100</v>
      </c>
      <c r="AA27">
        <v>18800</v>
      </c>
      <c r="AB27">
        <v>300</v>
      </c>
      <c r="AC27">
        <v>0</v>
      </c>
      <c r="AD27">
        <v>1500</v>
      </c>
      <c r="AE27">
        <v>7650</v>
      </c>
      <c r="AJ27">
        <v>4</v>
      </c>
      <c r="AK27">
        <v>1</v>
      </c>
      <c r="AL27">
        <v>0</v>
      </c>
      <c r="AM27">
        <v>0</v>
      </c>
      <c r="AN27">
        <v>1</v>
      </c>
      <c r="AO27">
        <v>4</v>
      </c>
      <c r="AP27">
        <v>80</v>
      </c>
      <c r="AQ27">
        <v>162000</v>
      </c>
    </row>
    <row r="28" spans="1:43">
      <c r="A28">
        <v>68</v>
      </c>
      <c r="B28" t="s">
        <v>38</v>
      </c>
      <c r="C28">
        <v>0</v>
      </c>
      <c r="D28">
        <v>48</v>
      </c>
      <c r="E28">
        <v>1</v>
      </c>
      <c r="F28">
        <v>2</v>
      </c>
      <c r="G28">
        <v>30</v>
      </c>
      <c r="H28">
        <v>8</v>
      </c>
      <c r="I28">
        <v>2</v>
      </c>
      <c r="J28">
        <v>1</v>
      </c>
      <c r="K28">
        <v>36</v>
      </c>
      <c r="L28">
        <v>34</v>
      </c>
      <c r="M28">
        <v>1</v>
      </c>
      <c r="N28">
        <v>2</v>
      </c>
      <c r="O28">
        <v>1800</v>
      </c>
      <c r="P28">
        <v>0</v>
      </c>
      <c r="Q28">
        <v>0</v>
      </c>
      <c r="R28">
        <v>0</v>
      </c>
      <c r="S28">
        <v>0</v>
      </c>
      <c r="T28">
        <v>0</v>
      </c>
      <c r="U28">
        <v>72000</v>
      </c>
      <c r="V28">
        <v>65</v>
      </c>
      <c r="W28">
        <v>112000</v>
      </c>
      <c r="X28">
        <v>0.7567567567567568</v>
      </c>
      <c r="Z28">
        <v>52900</v>
      </c>
      <c r="AA28">
        <v>19080</v>
      </c>
      <c r="AB28">
        <v>0</v>
      </c>
      <c r="AC28">
        <v>0</v>
      </c>
      <c r="AD28">
        <v>1200</v>
      </c>
      <c r="AE28">
        <v>10200</v>
      </c>
      <c r="AJ28">
        <v>4</v>
      </c>
      <c r="AK28">
        <v>3</v>
      </c>
      <c r="AL28">
        <v>0</v>
      </c>
      <c r="AM28">
        <v>0</v>
      </c>
      <c r="AN28">
        <v>1</v>
      </c>
      <c r="AO28">
        <v>2</v>
      </c>
      <c r="AP28">
        <v>130</v>
      </c>
      <c r="AQ28">
        <v>224000</v>
      </c>
    </row>
    <row r="29" spans="1:43">
      <c r="A29">
        <v>69</v>
      </c>
      <c r="B29" t="s">
        <v>38</v>
      </c>
      <c r="C29">
        <v>0</v>
      </c>
      <c r="D29">
        <v>55</v>
      </c>
      <c r="E29">
        <v>1</v>
      </c>
      <c r="F29">
        <v>1</v>
      </c>
      <c r="G29">
        <v>40</v>
      </c>
      <c r="H29">
        <v>6</v>
      </c>
      <c r="I29">
        <v>0.25</v>
      </c>
      <c r="J29">
        <v>1</v>
      </c>
      <c r="K29">
        <v>18</v>
      </c>
      <c r="L29">
        <v>1</v>
      </c>
      <c r="M29">
        <v>0</v>
      </c>
      <c r="N29">
        <v>3</v>
      </c>
      <c r="O29">
        <v>250</v>
      </c>
      <c r="P29">
        <v>0</v>
      </c>
      <c r="Q29">
        <v>0</v>
      </c>
      <c r="R29">
        <v>0</v>
      </c>
      <c r="S29">
        <v>0</v>
      </c>
      <c r="T29">
        <v>0</v>
      </c>
      <c r="U29">
        <v>38400</v>
      </c>
      <c r="V29">
        <v>60</v>
      </c>
      <c r="W29">
        <v>84000</v>
      </c>
      <c r="X29">
        <v>0.35353535353535354</v>
      </c>
      <c r="Z29">
        <v>500</v>
      </c>
      <c r="AA29">
        <v>2650</v>
      </c>
      <c r="AB29">
        <v>0</v>
      </c>
      <c r="AC29">
        <v>0</v>
      </c>
      <c r="AD29">
        <v>1800</v>
      </c>
      <c r="AE29">
        <v>0</v>
      </c>
      <c r="AJ29">
        <v>4</v>
      </c>
      <c r="AK29">
        <v>3</v>
      </c>
      <c r="AL29">
        <v>0</v>
      </c>
      <c r="AM29">
        <v>0</v>
      </c>
      <c r="AN29">
        <v>1</v>
      </c>
      <c r="AO29">
        <v>2</v>
      </c>
      <c r="AP29">
        <v>15</v>
      </c>
      <c r="AQ29">
        <v>21000</v>
      </c>
    </row>
    <row r="30" spans="1:43">
      <c r="A30">
        <v>70</v>
      </c>
      <c r="B30" t="s">
        <v>38</v>
      </c>
      <c r="C30">
        <v>0</v>
      </c>
      <c r="D30">
        <v>48</v>
      </c>
      <c r="E30">
        <v>1</v>
      </c>
      <c r="F30">
        <v>3</v>
      </c>
      <c r="G30">
        <v>31</v>
      </c>
      <c r="H30">
        <v>4</v>
      </c>
      <c r="I30">
        <v>0.4</v>
      </c>
      <c r="J30">
        <v>1</v>
      </c>
      <c r="K30">
        <v>20</v>
      </c>
      <c r="L30">
        <v>8</v>
      </c>
      <c r="M30">
        <v>0</v>
      </c>
      <c r="N30">
        <v>2</v>
      </c>
      <c r="O30">
        <v>600</v>
      </c>
      <c r="P30">
        <v>0</v>
      </c>
      <c r="Q30">
        <v>0</v>
      </c>
      <c r="R30">
        <v>0</v>
      </c>
      <c r="S30">
        <v>1</v>
      </c>
      <c r="T30">
        <v>0</v>
      </c>
      <c r="U30">
        <v>24000</v>
      </c>
      <c r="V30">
        <v>65</v>
      </c>
      <c r="W30">
        <v>125000</v>
      </c>
      <c r="X30">
        <v>0.67567567567567566</v>
      </c>
      <c r="Z30">
        <v>9540</v>
      </c>
      <c r="AA30">
        <v>6000</v>
      </c>
      <c r="AB30">
        <v>0</v>
      </c>
      <c r="AC30">
        <v>0</v>
      </c>
      <c r="AD30">
        <v>1200</v>
      </c>
      <c r="AE30">
        <v>0</v>
      </c>
      <c r="AJ30">
        <v>4</v>
      </c>
      <c r="AK30">
        <v>3</v>
      </c>
      <c r="AL30">
        <v>0</v>
      </c>
      <c r="AM30">
        <v>0</v>
      </c>
      <c r="AN30">
        <v>1</v>
      </c>
      <c r="AO30">
        <v>2</v>
      </c>
      <c r="AP30">
        <v>26</v>
      </c>
      <c r="AQ30">
        <v>50000</v>
      </c>
    </row>
    <row r="31" spans="1:43">
      <c r="A31">
        <v>71</v>
      </c>
      <c r="B31" t="s">
        <v>38</v>
      </c>
      <c r="C31">
        <v>0</v>
      </c>
      <c r="D31">
        <v>70</v>
      </c>
      <c r="E31">
        <v>1</v>
      </c>
      <c r="F31">
        <v>6</v>
      </c>
      <c r="G31">
        <v>20</v>
      </c>
      <c r="H31">
        <v>4</v>
      </c>
      <c r="I31">
        <v>2</v>
      </c>
      <c r="J31">
        <v>1</v>
      </c>
      <c r="K31">
        <v>0</v>
      </c>
      <c r="L31">
        <v>56</v>
      </c>
      <c r="M31">
        <v>1</v>
      </c>
      <c r="N31">
        <v>4</v>
      </c>
      <c r="O31">
        <v>2500</v>
      </c>
      <c r="P31">
        <v>0</v>
      </c>
      <c r="Q31">
        <v>0</v>
      </c>
      <c r="R31">
        <v>0</v>
      </c>
      <c r="S31">
        <v>1</v>
      </c>
      <c r="T31">
        <v>0</v>
      </c>
      <c r="U31">
        <v>6000</v>
      </c>
      <c r="V31">
        <v>70.5</v>
      </c>
      <c r="W31">
        <v>125000</v>
      </c>
      <c r="X31">
        <v>0.9765625</v>
      </c>
      <c r="Z31">
        <v>57300</v>
      </c>
      <c r="AA31">
        <v>22500</v>
      </c>
      <c r="AB31">
        <v>0</v>
      </c>
      <c r="AC31">
        <v>0</v>
      </c>
      <c r="AD31">
        <v>2400</v>
      </c>
      <c r="AE31">
        <v>3905</v>
      </c>
      <c r="AJ31">
        <v>4</v>
      </c>
      <c r="AK31">
        <v>1</v>
      </c>
      <c r="AL31">
        <v>0</v>
      </c>
      <c r="AM31">
        <v>0</v>
      </c>
      <c r="AN31">
        <v>1</v>
      </c>
      <c r="AO31">
        <v>4</v>
      </c>
      <c r="AP31">
        <v>141</v>
      </c>
      <c r="AQ31">
        <v>250000</v>
      </c>
    </row>
    <row r="32" spans="1:43">
      <c r="A32">
        <v>72</v>
      </c>
      <c r="B32" t="s">
        <v>38</v>
      </c>
      <c r="C32">
        <v>0</v>
      </c>
      <c r="D32">
        <v>75</v>
      </c>
      <c r="E32">
        <v>0</v>
      </c>
      <c r="F32">
        <v>1</v>
      </c>
      <c r="G32">
        <v>50</v>
      </c>
      <c r="H32">
        <v>2</v>
      </c>
      <c r="I32">
        <v>0.55000000000000004</v>
      </c>
      <c r="J32">
        <v>1</v>
      </c>
      <c r="K32">
        <v>0</v>
      </c>
      <c r="L32">
        <v>46</v>
      </c>
      <c r="M32">
        <v>0</v>
      </c>
      <c r="N32">
        <v>5</v>
      </c>
      <c r="O32">
        <v>1500</v>
      </c>
      <c r="P32">
        <v>0</v>
      </c>
      <c r="Q32">
        <v>0</v>
      </c>
      <c r="R32">
        <v>0</v>
      </c>
      <c r="S32">
        <v>0</v>
      </c>
      <c r="T32">
        <v>0</v>
      </c>
      <c r="U32">
        <v>96000</v>
      </c>
      <c r="V32">
        <v>90.909090909090907</v>
      </c>
      <c r="W32">
        <v>127272.72727272726</v>
      </c>
      <c r="X32">
        <v>0.42168674698795183</v>
      </c>
      <c r="Z32">
        <v>23300</v>
      </c>
      <c r="AA32">
        <v>13500</v>
      </c>
      <c r="AB32">
        <v>0</v>
      </c>
      <c r="AC32">
        <v>0</v>
      </c>
      <c r="AD32">
        <v>2500</v>
      </c>
      <c r="AE32">
        <v>0</v>
      </c>
      <c r="AJ32">
        <v>4</v>
      </c>
      <c r="AK32">
        <v>3</v>
      </c>
      <c r="AL32">
        <v>0</v>
      </c>
      <c r="AM32">
        <v>0</v>
      </c>
      <c r="AN32">
        <v>1</v>
      </c>
      <c r="AO32">
        <v>2</v>
      </c>
      <c r="AP32">
        <v>50</v>
      </c>
      <c r="AQ32">
        <v>70000</v>
      </c>
    </row>
    <row r="33" spans="1:43">
      <c r="A33">
        <v>73</v>
      </c>
      <c r="B33" t="s">
        <v>38</v>
      </c>
      <c r="C33">
        <v>0</v>
      </c>
      <c r="D33">
        <v>79</v>
      </c>
      <c r="E33">
        <v>1</v>
      </c>
      <c r="F33">
        <v>2</v>
      </c>
      <c r="G33">
        <v>54</v>
      </c>
      <c r="H33">
        <v>5</v>
      </c>
      <c r="I33">
        <v>3</v>
      </c>
      <c r="J33">
        <v>3</v>
      </c>
      <c r="K33">
        <v>0</v>
      </c>
      <c r="L33">
        <v>32</v>
      </c>
      <c r="M33">
        <v>1</v>
      </c>
      <c r="N33">
        <v>28</v>
      </c>
      <c r="O33">
        <v>4500</v>
      </c>
      <c r="P33">
        <v>0</v>
      </c>
      <c r="Q33">
        <v>0</v>
      </c>
      <c r="R33">
        <v>0</v>
      </c>
      <c r="S33">
        <v>1</v>
      </c>
      <c r="T33">
        <v>0</v>
      </c>
      <c r="U33">
        <v>129500</v>
      </c>
      <c r="V33">
        <v>50</v>
      </c>
      <c r="W33">
        <v>70000</v>
      </c>
      <c r="X33">
        <v>0.61855670103092786</v>
      </c>
      <c r="Z33">
        <v>71780</v>
      </c>
      <c r="AA33">
        <v>44100</v>
      </c>
      <c r="AB33">
        <v>0</v>
      </c>
      <c r="AC33">
        <v>0</v>
      </c>
      <c r="AD33">
        <v>16800</v>
      </c>
      <c r="AE33">
        <v>7900</v>
      </c>
      <c r="AJ33">
        <v>4</v>
      </c>
      <c r="AK33">
        <v>3</v>
      </c>
      <c r="AL33">
        <v>0</v>
      </c>
      <c r="AM33">
        <v>0</v>
      </c>
      <c r="AN33">
        <v>1</v>
      </c>
      <c r="AO33">
        <v>3</v>
      </c>
      <c r="AP33">
        <v>150</v>
      </c>
      <c r="AQ33">
        <v>210000</v>
      </c>
    </row>
    <row r="34" spans="1:43">
      <c r="A34">
        <v>74</v>
      </c>
      <c r="B34" t="s">
        <v>38</v>
      </c>
      <c r="C34">
        <v>0</v>
      </c>
      <c r="D34">
        <v>66</v>
      </c>
      <c r="E34">
        <v>1</v>
      </c>
      <c r="F34">
        <v>1</v>
      </c>
      <c r="G34">
        <v>40</v>
      </c>
      <c r="H34">
        <v>6</v>
      </c>
      <c r="I34">
        <v>0.5</v>
      </c>
      <c r="J34">
        <v>1</v>
      </c>
      <c r="K34">
        <v>67</v>
      </c>
      <c r="L34">
        <v>14</v>
      </c>
      <c r="M34">
        <v>1</v>
      </c>
      <c r="N34">
        <v>2</v>
      </c>
      <c r="O34">
        <v>400</v>
      </c>
      <c r="P34">
        <v>0</v>
      </c>
      <c r="Q34">
        <v>0</v>
      </c>
      <c r="R34">
        <v>0</v>
      </c>
      <c r="S34">
        <v>1</v>
      </c>
      <c r="T34">
        <v>0</v>
      </c>
      <c r="U34">
        <v>300000</v>
      </c>
      <c r="V34">
        <v>80</v>
      </c>
      <c r="W34">
        <v>120000</v>
      </c>
      <c r="X34">
        <v>0.16666666666666666</v>
      </c>
      <c r="Z34">
        <v>12700</v>
      </c>
      <c r="AA34">
        <v>4200</v>
      </c>
      <c r="AB34">
        <v>0</v>
      </c>
      <c r="AC34">
        <v>0</v>
      </c>
      <c r="AD34">
        <v>1000</v>
      </c>
      <c r="AE34">
        <v>800</v>
      </c>
      <c r="AJ34">
        <v>4</v>
      </c>
      <c r="AK34">
        <v>1</v>
      </c>
      <c r="AL34">
        <v>0</v>
      </c>
      <c r="AM34">
        <v>0</v>
      </c>
      <c r="AN34">
        <v>1</v>
      </c>
      <c r="AO34">
        <v>2</v>
      </c>
      <c r="AP34">
        <v>40</v>
      </c>
      <c r="AQ34">
        <v>60000</v>
      </c>
    </row>
    <row r="35" spans="1:43">
      <c r="A35">
        <v>75</v>
      </c>
      <c r="B35" t="s">
        <v>38</v>
      </c>
      <c r="C35">
        <v>0</v>
      </c>
      <c r="D35">
        <v>66</v>
      </c>
      <c r="E35">
        <v>1</v>
      </c>
      <c r="F35">
        <v>3</v>
      </c>
      <c r="G35">
        <v>46</v>
      </c>
      <c r="H35">
        <v>5</v>
      </c>
      <c r="I35">
        <v>0.3</v>
      </c>
      <c r="J35">
        <v>1</v>
      </c>
      <c r="K35">
        <v>32</v>
      </c>
      <c r="L35">
        <v>5.5</v>
      </c>
      <c r="M35">
        <v>0</v>
      </c>
      <c r="N35">
        <v>2</v>
      </c>
      <c r="O35">
        <v>550</v>
      </c>
      <c r="P35">
        <v>0</v>
      </c>
      <c r="Q35">
        <v>0</v>
      </c>
      <c r="R35">
        <v>0</v>
      </c>
      <c r="S35">
        <v>1</v>
      </c>
      <c r="T35">
        <v>0</v>
      </c>
      <c r="U35">
        <v>456000</v>
      </c>
      <c r="V35">
        <v>50</v>
      </c>
      <c r="W35">
        <v>116666.66666666667</v>
      </c>
      <c r="X35">
        <v>7.128309572301425E-2</v>
      </c>
      <c r="Z35">
        <v>6000</v>
      </c>
      <c r="AA35">
        <v>5665</v>
      </c>
      <c r="AB35">
        <v>0</v>
      </c>
      <c r="AC35">
        <v>0</v>
      </c>
      <c r="AD35">
        <v>1400</v>
      </c>
      <c r="AE35">
        <v>0</v>
      </c>
      <c r="AJ35">
        <v>4</v>
      </c>
      <c r="AK35">
        <v>3</v>
      </c>
      <c r="AL35">
        <v>0</v>
      </c>
      <c r="AM35">
        <v>0</v>
      </c>
      <c r="AN35">
        <v>1</v>
      </c>
      <c r="AO35">
        <v>2</v>
      </c>
      <c r="AP35">
        <v>15</v>
      </c>
      <c r="AQ35">
        <v>35000</v>
      </c>
    </row>
    <row r="36" spans="1:43">
      <c r="A36">
        <v>80</v>
      </c>
      <c r="B36" t="s">
        <v>38</v>
      </c>
      <c r="C36">
        <v>0</v>
      </c>
      <c r="D36">
        <v>38</v>
      </c>
      <c r="E36">
        <v>1</v>
      </c>
      <c r="F36">
        <v>4</v>
      </c>
      <c r="G36">
        <v>10</v>
      </c>
      <c r="H36">
        <v>4</v>
      </c>
      <c r="I36">
        <v>2</v>
      </c>
      <c r="J36">
        <v>2</v>
      </c>
      <c r="K36">
        <v>15</v>
      </c>
      <c r="L36">
        <v>38</v>
      </c>
      <c r="M36">
        <v>1</v>
      </c>
      <c r="N36">
        <v>3</v>
      </c>
      <c r="O36">
        <v>1750</v>
      </c>
      <c r="P36">
        <v>0</v>
      </c>
      <c r="Q36">
        <v>0</v>
      </c>
      <c r="R36">
        <v>0</v>
      </c>
      <c r="S36">
        <v>0</v>
      </c>
      <c r="T36">
        <v>0</v>
      </c>
      <c r="U36">
        <v>45600</v>
      </c>
      <c r="V36">
        <v>50</v>
      </c>
      <c r="W36">
        <v>84000</v>
      </c>
      <c r="X36">
        <v>0.7865168539325843</v>
      </c>
      <c r="Z36">
        <v>36900</v>
      </c>
      <c r="AA36">
        <v>19250</v>
      </c>
      <c r="AB36">
        <v>0</v>
      </c>
      <c r="AC36">
        <v>0</v>
      </c>
      <c r="AD36">
        <v>1800</v>
      </c>
      <c r="AE36">
        <v>10000</v>
      </c>
      <c r="AJ36">
        <v>1</v>
      </c>
      <c r="AK36">
        <v>1</v>
      </c>
      <c r="AL36">
        <v>0</v>
      </c>
      <c r="AM36">
        <v>0</v>
      </c>
      <c r="AN36">
        <v>1</v>
      </c>
      <c r="AO36">
        <v>2</v>
      </c>
      <c r="AP36">
        <v>100</v>
      </c>
      <c r="AQ36">
        <v>168000</v>
      </c>
    </row>
    <row r="37" spans="1:43">
      <c r="A37">
        <v>81</v>
      </c>
      <c r="B37" t="s">
        <v>38</v>
      </c>
      <c r="C37">
        <v>0</v>
      </c>
      <c r="D37">
        <v>72</v>
      </c>
      <c r="E37">
        <v>1</v>
      </c>
      <c r="F37">
        <v>1</v>
      </c>
      <c r="G37">
        <v>60</v>
      </c>
      <c r="H37">
        <v>7</v>
      </c>
      <c r="I37">
        <v>1</v>
      </c>
      <c r="J37">
        <v>1</v>
      </c>
      <c r="K37">
        <v>15</v>
      </c>
      <c r="L37">
        <v>15</v>
      </c>
      <c r="M37">
        <v>0</v>
      </c>
      <c r="N37">
        <v>0</v>
      </c>
      <c r="O37">
        <v>600</v>
      </c>
      <c r="P37">
        <v>0</v>
      </c>
      <c r="Q37">
        <v>0</v>
      </c>
      <c r="R37">
        <v>0</v>
      </c>
      <c r="S37">
        <v>0</v>
      </c>
      <c r="T37">
        <v>0</v>
      </c>
      <c r="U37">
        <v>120000</v>
      </c>
      <c r="V37">
        <v>60</v>
      </c>
      <c r="W37">
        <v>80000</v>
      </c>
      <c r="X37">
        <v>0.4</v>
      </c>
      <c r="Z37">
        <v>22450</v>
      </c>
      <c r="AA37">
        <v>6000</v>
      </c>
      <c r="AB37">
        <v>0</v>
      </c>
      <c r="AC37">
        <v>0</v>
      </c>
      <c r="AD37">
        <v>0</v>
      </c>
      <c r="AE37">
        <v>0</v>
      </c>
      <c r="AJ37">
        <v>4</v>
      </c>
      <c r="AK37">
        <v>1</v>
      </c>
      <c r="AL37">
        <v>0</v>
      </c>
      <c r="AM37">
        <v>0</v>
      </c>
      <c r="AN37">
        <v>1</v>
      </c>
      <c r="AO37">
        <v>2</v>
      </c>
      <c r="AP37">
        <v>60</v>
      </c>
      <c r="AQ37">
        <v>80000</v>
      </c>
    </row>
    <row r="38" spans="1:43">
      <c r="A38">
        <v>82</v>
      </c>
      <c r="B38" t="s">
        <v>38</v>
      </c>
      <c r="C38">
        <v>0</v>
      </c>
      <c r="D38">
        <v>52</v>
      </c>
      <c r="E38">
        <v>0</v>
      </c>
      <c r="F38">
        <v>2</v>
      </c>
      <c r="G38">
        <v>31</v>
      </c>
      <c r="H38">
        <v>6</v>
      </c>
      <c r="I38">
        <v>2</v>
      </c>
      <c r="J38">
        <v>1</v>
      </c>
      <c r="K38">
        <v>36</v>
      </c>
      <c r="L38">
        <v>20</v>
      </c>
      <c r="M38">
        <v>0</v>
      </c>
      <c r="N38">
        <v>4</v>
      </c>
      <c r="O38">
        <v>4000</v>
      </c>
      <c r="P38">
        <v>0</v>
      </c>
      <c r="Q38">
        <v>0</v>
      </c>
      <c r="R38">
        <v>0</v>
      </c>
      <c r="S38">
        <v>1</v>
      </c>
      <c r="T38">
        <v>0</v>
      </c>
      <c r="U38">
        <v>196000</v>
      </c>
      <c r="V38">
        <v>65</v>
      </c>
      <c r="W38">
        <v>91000</v>
      </c>
      <c r="X38">
        <v>0.48148148148148145</v>
      </c>
      <c r="Z38">
        <v>42000</v>
      </c>
      <c r="AA38">
        <v>44000</v>
      </c>
      <c r="AB38">
        <v>0</v>
      </c>
      <c r="AC38">
        <v>0</v>
      </c>
      <c r="AD38">
        <v>600</v>
      </c>
      <c r="AE38">
        <v>0</v>
      </c>
      <c r="AJ38">
        <v>1</v>
      </c>
      <c r="AK38">
        <v>3</v>
      </c>
      <c r="AL38">
        <v>0</v>
      </c>
      <c r="AM38">
        <v>0</v>
      </c>
      <c r="AN38">
        <v>1</v>
      </c>
      <c r="AO38">
        <v>2</v>
      </c>
      <c r="AP38">
        <v>130</v>
      </c>
      <c r="AQ38">
        <v>182000</v>
      </c>
    </row>
    <row r="39" spans="1:43">
      <c r="A39">
        <v>86</v>
      </c>
      <c r="B39" t="s">
        <v>38</v>
      </c>
      <c r="C39">
        <v>0</v>
      </c>
      <c r="D39">
        <v>54</v>
      </c>
      <c r="E39">
        <v>1</v>
      </c>
      <c r="F39">
        <v>2</v>
      </c>
      <c r="G39">
        <v>40</v>
      </c>
      <c r="H39">
        <v>6</v>
      </c>
      <c r="I39">
        <v>3</v>
      </c>
      <c r="J39">
        <v>1</v>
      </c>
      <c r="K39">
        <v>21.75</v>
      </c>
      <c r="L39">
        <v>16</v>
      </c>
      <c r="M39">
        <v>0</v>
      </c>
      <c r="N39">
        <v>0</v>
      </c>
      <c r="O39">
        <v>3575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30</v>
      </c>
      <c r="W39">
        <v>50333.333333333336</v>
      </c>
      <c r="X39">
        <v>1</v>
      </c>
      <c r="Z39">
        <v>27600</v>
      </c>
      <c r="AA39">
        <v>28600</v>
      </c>
      <c r="AB39">
        <v>0</v>
      </c>
      <c r="AC39">
        <v>0</v>
      </c>
      <c r="AD39">
        <v>0</v>
      </c>
      <c r="AE39">
        <v>0</v>
      </c>
      <c r="AJ39">
        <v>4</v>
      </c>
      <c r="AK39">
        <v>3</v>
      </c>
      <c r="AL39">
        <v>1</v>
      </c>
      <c r="AM39">
        <v>0</v>
      </c>
      <c r="AN39">
        <v>1</v>
      </c>
      <c r="AO39">
        <v>4</v>
      </c>
      <c r="AP39">
        <v>90</v>
      </c>
      <c r="AQ39">
        <v>151000</v>
      </c>
    </row>
    <row r="40" spans="1:43">
      <c r="A40">
        <v>88</v>
      </c>
      <c r="B40" t="s">
        <v>38</v>
      </c>
      <c r="C40">
        <v>0</v>
      </c>
      <c r="D40">
        <v>64</v>
      </c>
      <c r="E40">
        <v>1</v>
      </c>
      <c r="F40">
        <v>3</v>
      </c>
      <c r="G40">
        <v>50</v>
      </c>
      <c r="H40">
        <v>4</v>
      </c>
      <c r="I40">
        <v>1.2</v>
      </c>
      <c r="J40">
        <v>2</v>
      </c>
      <c r="K40">
        <v>37</v>
      </c>
      <c r="L40">
        <v>15</v>
      </c>
      <c r="M40">
        <v>1</v>
      </c>
      <c r="N40">
        <v>3</v>
      </c>
      <c r="O40">
        <v>600</v>
      </c>
      <c r="P40">
        <v>0</v>
      </c>
      <c r="Q40">
        <v>0</v>
      </c>
      <c r="R40">
        <v>0</v>
      </c>
      <c r="S40">
        <v>0</v>
      </c>
      <c r="T40">
        <v>0</v>
      </c>
      <c r="U40">
        <v>20000</v>
      </c>
      <c r="V40">
        <v>16.666666666666668</v>
      </c>
      <c r="W40">
        <v>15000</v>
      </c>
      <c r="X40">
        <v>0.47368421052631576</v>
      </c>
      <c r="Z40">
        <v>5000</v>
      </c>
      <c r="AA40">
        <v>11880</v>
      </c>
      <c r="AB40">
        <v>0</v>
      </c>
      <c r="AC40">
        <v>0</v>
      </c>
      <c r="AD40">
        <v>0</v>
      </c>
      <c r="AE40">
        <v>5100</v>
      </c>
      <c r="AJ40">
        <v>4</v>
      </c>
      <c r="AK40">
        <v>1</v>
      </c>
      <c r="AL40">
        <v>0</v>
      </c>
      <c r="AM40">
        <v>0</v>
      </c>
      <c r="AN40">
        <v>1</v>
      </c>
      <c r="AO40">
        <v>4</v>
      </c>
      <c r="AP40">
        <v>20</v>
      </c>
      <c r="AQ40">
        <v>18000</v>
      </c>
    </row>
    <row r="41" spans="1:43">
      <c r="A41">
        <v>89</v>
      </c>
      <c r="B41" t="s">
        <v>38</v>
      </c>
      <c r="C41">
        <v>0</v>
      </c>
      <c r="D41">
        <v>84</v>
      </c>
      <c r="E41">
        <v>1</v>
      </c>
      <c r="F41">
        <v>2</v>
      </c>
      <c r="G41">
        <v>65</v>
      </c>
      <c r="H41">
        <v>4</v>
      </c>
      <c r="I41">
        <v>2</v>
      </c>
      <c r="J41">
        <v>3</v>
      </c>
      <c r="K41">
        <v>5</v>
      </c>
      <c r="L41">
        <v>26</v>
      </c>
      <c r="M41">
        <v>1</v>
      </c>
      <c r="N41">
        <v>8</v>
      </c>
      <c r="O41">
        <v>2250</v>
      </c>
      <c r="P41">
        <v>0</v>
      </c>
      <c r="Q41">
        <v>0</v>
      </c>
      <c r="R41">
        <v>0</v>
      </c>
      <c r="S41">
        <v>0</v>
      </c>
      <c r="T41">
        <v>0</v>
      </c>
      <c r="U41">
        <v>180000</v>
      </c>
      <c r="V41">
        <v>50</v>
      </c>
      <c r="W41">
        <v>86000</v>
      </c>
      <c r="X41">
        <v>0.48863636363636365</v>
      </c>
      <c r="Z41">
        <v>35000</v>
      </c>
      <c r="AA41">
        <v>22500</v>
      </c>
      <c r="AB41">
        <v>0</v>
      </c>
      <c r="AC41">
        <v>0</v>
      </c>
      <c r="AD41">
        <v>1200</v>
      </c>
      <c r="AE41">
        <v>4500</v>
      </c>
      <c r="AJ41">
        <v>4</v>
      </c>
      <c r="AK41">
        <v>1</v>
      </c>
      <c r="AL41">
        <v>0</v>
      </c>
      <c r="AM41">
        <v>0</v>
      </c>
      <c r="AN41">
        <v>1</v>
      </c>
      <c r="AO41">
        <v>3</v>
      </c>
      <c r="AP41">
        <v>100</v>
      </c>
      <c r="AQ41">
        <v>172000</v>
      </c>
    </row>
    <row r="42" spans="1:43">
      <c r="A42">
        <v>93</v>
      </c>
      <c r="B42" t="s">
        <v>39</v>
      </c>
      <c r="C42">
        <v>0</v>
      </c>
      <c r="D42">
        <v>50</v>
      </c>
      <c r="E42">
        <v>1</v>
      </c>
      <c r="F42">
        <v>2</v>
      </c>
      <c r="G42">
        <v>40</v>
      </c>
      <c r="H42">
        <v>4</v>
      </c>
      <c r="I42">
        <v>0.5</v>
      </c>
      <c r="J42">
        <v>1</v>
      </c>
      <c r="K42">
        <v>225</v>
      </c>
      <c r="L42">
        <v>18</v>
      </c>
      <c r="M42">
        <v>1</v>
      </c>
      <c r="N42">
        <v>4</v>
      </c>
      <c r="O42">
        <v>500</v>
      </c>
      <c r="P42">
        <v>6</v>
      </c>
      <c r="Q42">
        <v>0</v>
      </c>
      <c r="R42">
        <v>0</v>
      </c>
      <c r="S42">
        <v>0</v>
      </c>
      <c r="T42">
        <v>0</v>
      </c>
      <c r="U42">
        <v>16000</v>
      </c>
      <c r="V42">
        <v>60</v>
      </c>
      <c r="W42">
        <v>67200</v>
      </c>
      <c r="X42">
        <v>0.67741935483870963</v>
      </c>
      <c r="Z42">
        <v>13300</v>
      </c>
      <c r="AA42">
        <v>5000</v>
      </c>
      <c r="AB42">
        <v>1200</v>
      </c>
      <c r="AC42">
        <v>0</v>
      </c>
      <c r="AD42">
        <v>2400</v>
      </c>
      <c r="AE42">
        <v>5000</v>
      </c>
      <c r="AJ42">
        <v>3</v>
      </c>
      <c r="AK42">
        <v>3</v>
      </c>
      <c r="AL42">
        <v>0</v>
      </c>
      <c r="AM42">
        <v>3</v>
      </c>
      <c r="AN42">
        <v>1</v>
      </c>
      <c r="AO42">
        <v>2</v>
      </c>
      <c r="AP42">
        <v>30</v>
      </c>
      <c r="AQ42">
        <v>33600</v>
      </c>
    </row>
    <row r="43" spans="1:43">
      <c r="A43">
        <v>98</v>
      </c>
      <c r="B43" t="s">
        <v>39</v>
      </c>
      <c r="C43">
        <v>0</v>
      </c>
      <c r="D43">
        <v>51</v>
      </c>
      <c r="E43">
        <v>1</v>
      </c>
      <c r="F43">
        <v>4</v>
      </c>
      <c r="G43">
        <v>25</v>
      </c>
      <c r="H43">
        <v>6</v>
      </c>
      <c r="I43">
        <v>1</v>
      </c>
      <c r="J43">
        <v>1</v>
      </c>
      <c r="K43">
        <v>105</v>
      </c>
      <c r="L43">
        <v>45</v>
      </c>
      <c r="M43">
        <v>0.5</v>
      </c>
      <c r="N43">
        <v>4</v>
      </c>
      <c r="O43">
        <v>500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63</v>
      </c>
      <c r="W43">
        <v>171000</v>
      </c>
      <c r="X43">
        <v>1</v>
      </c>
      <c r="Z43">
        <v>32550</v>
      </c>
      <c r="AA43">
        <v>4500</v>
      </c>
      <c r="AB43">
        <v>0</v>
      </c>
      <c r="AC43">
        <v>0</v>
      </c>
      <c r="AD43">
        <v>2100</v>
      </c>
      <c r="AE43">
        <v>7500</v>
      </c>
      <c r="AJ43">
        <v>4</v>
      </c>
      <c r="AK43">
        <v>3</v>
      </c>
      <c r="AL43">
        <v>0</v>
      </c>
      <c r="AM43">
        <v>0</v>
      </c>
      <c r="AN43">
        <v>1</v>
      </c>
      <c r="AO43">
        <v>3</v>
      </c>
      <c r="AP43">
        <v>63</v>
      </c>
      <c r="AQ43">
        <v>171000</v>
      </c>
    </row>
    <row r="44" spans="1:43">
      <c r="A44">
        <v>99</v>
      </c>
      <c r="B44" t="s">
        <v>39</v>
      </c>
      <c r="C44">
        <v>0</v>
      </c>
      <c r="D44">
        <v>54</v>
      </c>
      <c r="E44">
        <v>1</v>
      </c>
      <c r="F44">
        <v>2</v>
      </c>
      <c r="G44">
        <v>37</v>
      </c>
      <c r="H44">
        <v>8</v>
      </c>
      <c r="I44">
        <v>0.5</v>
      </c>
      <c r="J44">
        <v>1</v>
      </c>
      <c r="K44">
        <v>90</v>
      </c>
      <c r="L44">
        <v>28</v>
      </c>
      <c r="M44">
        <v>0</v>
      </c>
      <c r="N44">
        <v>2</v>
      </c>
      <c r="O44">
        <v>400</v>
      </c>
      <c r="P44">
        <v>0</v>
      </c>
      <c r="Q44">
        <v>0</v>
      </c>
      <c r="R44">
        <v>0</v>
      </c>
      <c r="S44">
        <v>0</v>
      </c>
      <c r="T44">
        <v>0</v>
      </c>
      <c r="U44">
        <v>303264</v>
      </c>
      <c r="V44">
        <v>60</v>
      </c>
      <c r="W44">
        <v>95930</v>
      </c>
      <c r="X44">
        <v>0.13656332478240693</v>
      </c>
      <c r="Z44">
        <v>15400</v>
      </c>
      <c r="AA44">
        <v>3600</v>
      </c>
      <c r="AB44">
        <v>0</v>
      </c>
      <c r="AC44">
        <v>0</v>
      </c>
      <c r="AD44">
        <v>1200</v>
      </c>
      <c r="AE44">
        <v>0</v>
      </c>
      <c r="AJ44">
        <v>5</v>
      </c>
      <c r="AK44">
        <v>3</v>
      </c>
      <c r="AL44">
        <v>0</v>
      </c>
      <c r="AM44">
        <v>0</v>
      </c>
      <c r="AN44">
        <v>1</v>
      </c>
      <c r="AO44">
        <v>2</v>
      </c>
      <c r="AP44">
        <v>30</v>
      </c>
      <c r="AQ44">
        <v>47965</v>
      </c>
    </row>
    <row r="45" spans="1:43">
      <c r="A45">
        <v>106</v>
      </c>
      <c r="B45" t="s">
        <v>39</v>
      </c>
      <c r="C45">
        <v>0</v>
      </c>
      <c r="D45">
        <v>65</v>
      </c>
      <c r="E45">
        <v>1</v>
      </c>
      <c r="F45">
        <v>1</v>
      </c>
      <c r="G45">
        <v>50</v>
      </c>
      <c r="H45">
        <v>6</v>
      </c>
      <c r="I45">
        <v>1</v>
      </c>
      <c r="J45">
        <v>1</v>
      </c>
      <c r="K45">
        <v>195</v>
      </c>
      <c r="L45">
        <v>60</v>
      </c>
      <c r="M45">
        <v>0</v>
      </c>
      <c r="N45">
        <v>2</v>
      </c>
      <c r="O45">
        <v>500</v>
      </c>
      <c r="P45">
        <v>0</v>
      </c>
      <c r="Q45">
        <v>0</v>
      </c>
      <c r="R45">
        <v>0</v>
      </c>
      <c r="S45">
        <v>0</v>
      </c>
      <c r="T45">
        <v>0</v>
      </c>
      <c r="U45">
        <v>176280</v>
      </c>
      <c r="V45">
        <v>28.94</v>
      </c>
      <c r="W45">
        <v>69441</v>
      </c>
      <c r="X45">
        <v>0.28260099869364036</v>
      </c>
      <c r="Z45">
        <v>25040</v>
      </c>
      <c r="AA45">
        <v>4500</v>
      </c>
      <c r="AB45">
        <v>0</v>
      </c>
      <c r="AC45">
        <v>0</v>
      </c>
      <c r="AD45">
        <v>2400</v>
      </c>
      <c r="AE45">
        <v>0</v>
      </c>
      <c r="AJ45">
        <v>4</v>
      </c>
      <c r="AK45">
        <v>3</v>
      </c>
      <c r="AL45">
        <v>0</v>
      </c>
      <c r="AM45">
        <v>0</v>
      </c>
      <c r="AN45">
        <v>1</v>
      </c>
      <c r="AO45">
        <v>2</v>
      </c>
      <c r="AP45">
        <v>28.94</v>
      </c>
      <c r="AQ45">
        <v>69441</v>
      </c>
    </row>
    <row r="46" spans="1:43">
      <c r="A46">
        <v>110</v>
      </c>
      <c r="B46" t="s">
        <v>39</v>
      </c>
      <c r="C46">
        <v>0</v>
      </c>
      <c r="D46">
        <v>65</v>
      </c>
      <c r="E46">
        <v>0</v>
      </c>
      <c r="F46">
        <v>1</v>
      </c>
      <c r="G46">
        <v>55</v>
      </c>
      <c r="H46">
        <v>1</v>
      </c>
      <c r="I46">
        <v>1</v>
      </c>
      <c r="J46">
        <v>1</v>
      </c>
      <c r="K46">
        <v>54</v>
      </c>
      <c r="L46">
        <v>87</v>
      </c>
      <c r="M46">
        <v>0</v>
      </c>
      <c r="N46">
        <v>2.5</v>
      </c>
      <c r="O46">
        <v>600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40</v>
      </c>
      <c r="W46">
        <v>88000</v>
      </c>
      <c r="X46">
        <v>1</v>
      </c>
      <c r="Z46">
        <v>34500</v>
      </c>
      <c r="AA46">
        <v>10800</v>
      </c>
      <c r="AB46">
        <v>0</v>
      </c>
      <c r="AC46">
        <v>0</v>
      </c>
      <c r="AD46">
        <v>3000</v>
      </c>
      <c r="AE46">
        <v>0</v>
      </c>
      <c r="AJ46">
        <v>4</v>
      </c>
      <c r="AK46">
        <v>3</v>
      </c>
      <c r="AL46">
        <v>0</v>
      </c>
      <c r="AM46">
        <v>0</v>
      </c>
      <c r="AN46">
        <v>1</v>
      </c>
      <c r="AO46">
        <v>3</v>
      </c>
      <c r="AP46">
        <v>40</v>
      </c>
      <c r="AQ46">
        <v>88000</v>
      </c>
    </row>
    <row r="47" spans="1:43">
      <c r="A47">
        <v>111</v>
      </c>
      <c r="B47" t="s">
        <v>39</v>
      </c>
      <c r="C47">
        <v>0</v>
      </c>
      <c r="D47">
        <v>61</v>
      </c>
      <c r="E47">
        <v>1</v>
      </c>
      <c r="F47">
        <v>1</v>
      </c>
      <c r="G47">
        <v>46</v>
      </c>
      <c r="H47">
        <v>3</v>
      </c>
      <c r="I47">
        <v>1</v>
      </c>
      <c r="J47">
        <v>2</v>
      </c>
      <c r="K47">
        <v>36</v>
      </c>
      <c r="L47">
        <v>127</v>
      </c>
      <c r="M47">
        <v>1</v>
      </c>
      <c r="N47">
        <v>1.9</v>
      </c>
      <c r="O47">
        <v>600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47</v>
      </c>
      <c r="W47">
        <v>102000</v>
      </c>
      <c r="X47">
        <v>1</v>
      </c>
      <c r="Z47">
        <v>40070</v>
      </c>
      <c r="AA47">
        <v>5400</v>
      </c>
      <c r="AB47">
        <v>0</v>
      </c>
      <c r="AC47">
        <v>0</v>
      </c>
      <c r="AD47">
        <v>3000</v>
      </c>
      <c r="AE47">
        <v>60001.9</v>
      </c>
      <c r="AJ47">
        <v>4</v>
      </c>
      <c r="AK47">
        <v>3</v>
      </c>
      <c r="AL47">
        <v>0</v>
      </c>
      <c r="AM47">
        <v>0</v>
      </c>
      <c r="AN47">
        <v>1</v>
      </c>
      <c r="AO47">
        <v>3</v>
      </c>
      <c r="AP47">
        <v>47</v>
      </c>
      <c r="AQ47">
        <v>102000</v>
      </c>
    </row>
    <row r="48" spans="1:43">
      <c r="A48">
        <v>112</v>
      </c>
      <c r="B48" t="s">
        <v>39</v>
      </c>
      <c r="C48">
        <v>0</v>
      </c>
      <c r="D48">
        <v>63</v>
      </c>
      <c r="E48">
        <v>0</v>
      </c>
      <c r="F48">
        <v>2</v>
      </c>
      <c r="G48">
        <v>44</v>
      </c>
      <c r="H48">
        <v>7</v>
      </c>
      <c r="I48">
        <v>1</v>
      </c>
      <c r="J48">
        <v>1</v>
      </c>
      <c r="K48">
        <v>70</v>
      </c>
      <c r="L48">
        <v>100</v>
      </c>
      <c r="M48">
        <v>0</v>
      </c>
      <c r="N48">
        <v>1</v>
      </c>
      <c r="O48">
        <v>750</v>
      </c>
      <c r="P48">
        <v>0</v>
      </c>
      <c r="Q48">
        <v>0</v>
      </c>
      <c r="R48">
        <v>0</v>
      </c>
      <c r="S48">
        <v>1</v>
      </c>
      <c r="T48">
        <v>0</v>
      </c>
      <c r="U48">
        <v>461520</v>
      </c>
      <c r="V48">
        <v>50</v>
      </c>
      <c r="W48">
        <v>108000</v>
      </c>
      <c r="X48">
        <v>0.18963337547408343</v>
      </c>
      <c r="Z48">
        <v>35000</v>
      </c>
      <c r="AA48">
        <v>13500</v>
      </c>
      <c r="AB48">
        <v>0</v>
      </c>
      <c r="AC48">
        <v>0</v>
      </c>
      <c r="AD48">
        <v>1000</v>
      </c>
      <c r="AE48">
        <v>0</v>
      </c>
      <c r="AJ48">
        <v>1</v>
      </c>
      <c r="AK48">
        <v>3</v>
      </c>
      <c r="AL48">
        <v>0</v>
      </c>
      <c r="AM48">
        <v>0</v>
      </c>
      <c r="AN48">
        <v>1</v>
      </c>
      <c r="AO48">
        <v>3</v>
      </c>
      <c r="AP48">
        <v>50</v>
      </c>
      <c r="AQ48">
        <v>108000</v>
      </c>
    </row>
    <row r="49" spans="1:43">
      <c r="A49">
        <v>117</v>
      </c>
      <c r="B49" t="s">
        <v>39</v>
      </c>
      <c r="C49">
        <v>0</v>
      </c>
      <c r="D49">
        <v>60</v>
      </c>
      <c r="E49">
        <v>1</v>
      </c>
      <c r="F49">
        <v>4</v>
      </c>
      <c r="G49">
        <v>7</v>
      </c>
      <c r="H49">
        <v>2</v>
      </c>
      <c r="I49">
        <v>2.5</v>
      </c>
      <c r="J49">
        <v>4</v>
      </c>
      <c r="K49">
        <v>18</v>
      </c>
      <c r="L49">
        <v>47</v>
      </c>
      <c r="M49">
        <v>3</v>
      </c>
      <c r="N49">
        <v>2</v>
      </c>
      <c r="O49">
        <v>1500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71.2</v>
      </c>
      <c r="W49">
        <v>108000</v>
      </c>
      <c r="X49">
        <v>1</v>
      </c>
      <c r="Z49">
        <v>14100</v>
      </c>
      <c r="AA49">
        <v>14100</v>
      </c>
      <c r="AB49">
        <v>0</v>
      </c>
      <c r="AC49">
        <v>0</v>
      </c>
      <c r="AD49">
        <v>1200</v>
      </c>
      <c r="AE49">
        <v>18000</v>
      </c>
      <c r="AJ49">
        <v>4</v>
      </c>
      <c r="AK49">
        <v>3</v>
      </c>
      <c r="AL49">
        <v>0</v>
      </c>
      <c r="AM49">
        <v>0</v>
      </c>
      <c r="AN49">
        <v>1</v>
      </c>
      <c r="AO49">
        <v>2</v>
      </c>
      <c r="AP49">
        <v>178</v>
      </c>
      <c r="AQ49">
        <v>270000</v>
      </c>
    </row>
    <row r="50" spans="1:43">
      <c r="A50">
        <v>118</v>
      </c>
      <c r="B50" t="s">
        <v>39</v>
      </c>
      <c r="C50">
        <v>0</v>
      </c>
      <c r="D50">
        <v>69</v>
      </c>
      <c r="E50">
        <v>0</v>
      </c>
      <c r="F50">
        <v>1</v>
      </c>
      <c r="G50">
        <v>50</v>
      </c>
      <c r="H50">
        <v>7</v>
      </c>
      <c r="I50">
        <v>1.8</v>
      </c>
      <c r="J50">
        <v>3</v>
      </c>
      <c r="K50">
        <v>38</v>
      </c>
      <c r="L50">
        <v>39</v>
      </c>
      <c r="M50">
        <v>2</v>
      </c>
      <c r="N50">
        <v>0</v>
      </c>
      <c r="O50">
        <v>1000</v>
      </c>
      <c r="P50">
        <v>0</v>
      </c>
      <c r="Q50">
        <v>0</v>
      </c>
      <c r="R50">
        <v>0</v>
      </c>
      <c r="S50">
        <v>1</v>
      </c>
      <c r="T50">
        <v>0</v>
      </c>
      <c r="U50">
        <v>36000</v>
      </c>
      <c r="V50">
        <v>62.222222222222221</v>
      </c>
      <c r="W50">
        <v>95666.666666666672</v>
      </c>
      <c r="X50">
        <v>0.82708933717579247</v>
      </c>
      <c r="Z50">
        <v>42500</v>
      </c>
      <c r="AA50">
        <v>10000</v>
      </c>
      <c r="AB50">
        <v>0</v>
      </c>
      <c r="AC50">
        <v>0</v>
      </c>
      <c r="AD50">
        <v>0</v>
      </c>
      <c r="AE50">
        <v>18000</v>
      </c>
      <c r="AJ50">
        <v>3</v>
      </c>
      <c r="AK50">
        <v>3</v>
      </c>
      <c r="AL50">
        <v>0</v>
      </c>
      <c r="AM50">
        <v>0</v>
      </c>
      <c r="AN50">
        <v>1</v>
      </c>
      <c r="AO50">
        <v>2</v>
      </c>
      <c r="AP50">
        <v>112</v>
      </c>
      <c r="AQ50">
        <v>172200</v>
      </c>
    </row>
    <row r="51" spans="1:43">
      <c r="A51">
        <v>119</v>
      </c>
      <c r="B51" t="s">
        <v>39</v>
      </c>
      <c r="C51">
        <v>0</v>
      </c>
      <c r="D51">
        <v>51</v>
      </c>
      <c r="E51">
        <v>0</v>
      </c>
      <c r="F51">
        <v>2</v>
      </c>
      <c r="G51">
        <v>32</v>
      </c>
      <c r="H51">
        <v>2</v>
      </c>
      <c r="I51">
        <v>0.5</v>
      </c>
      <c r="J51">
        <v>1</v>
      </c>
      <c r="K51">
        <v>28</v>
      </c>
      <c r="L51">
        <v>18</v>
      </c>
      <c r="M51">
        <v>1</v>
      </c>
      <c r="N51">
        <v>2</v>
      </c>
      <c r="O51">
        <v>200</v>
      </c>
      <c r="P51">
        <v>0</v>
      </c>
      <c r="Q51">
        <v>0</v>
      </c>
      <c r="R51">
        <v>0</v>
      </c>
      <c r="S51">
        <v>0</v>
      </c>
      <c r="T51">
        <v>0</v>
      </c>
      <c r="U51">
        <v>111600</v>
      </c>
      <c r="V51">
        <v>142</v>
      </c>
      <c r="W51">
        <v>95066</v>
      </c>
      <c r="X51">
        <v>0.29869982970219877</v>
      </c>
      <c r="Z51">
        <v>25500</v>
      </c>
      <c r="AA51">
        <v>1960</v>
      </c>
      <c r="AB51">
        <v>0</v>
      </c>
      <c r="AC51">
        <v>0</v>
      </c>
      <c r="AD51">
        <v>1200</v>
      </c>
      <c r="AE51">
        <v>6600</v>
      </c>
      <c r="AJ51">
        <v>4</v>
      </c>
      <c r="AK51">
        <v>1</v>
      </c>
      <c r="AL51">
        <v>0</v>
      </c>
      <c r="AM51">
        <v>0</v>
      </c>
      <c r="AN51">
        <v>1</v>
      </c>
      <c r="AO51">
        <v>3</v>
      </c>
      <c r="AP51">
        <v>71</v>
      </c>
      <c r="AQ51">
        <v>47533</v>
      </c>
    </row>
    <row r="52" spans="1:43">
      <c r="A52">
        <v>120</v>
      </c>
      <c r="B52" t="s">
        <v>39</v>
      </c>
      <c r="C52">
        <v>0</v>
      </c>
      <c r="D52">
        <v>66</v>
      </c>
      <c r="E52">
        <v>1</v>
      </c>
      <c r="F52">
        <v>2</v>
      </c>
      <c r="G52">
        <v>44</v>
      </c>
      <c r="H52">
        <v>5</v>
      </c>
      <c r="I52">
        <v>1.5</v>
      </c>
      <c r="J52">
        <v>3</v>
      </c>
      <c r="K52">
        <v>12</v>
      </c>
      <c r="L52">
        <v>21</v>
      </c>
      <c r="M52">
        <v>1</v>
      </c>
      <c r="N52">
        <v>5</v>
      </c>
      <c r="O52">
        <v>1000</v>
      </c>
      <c r="P52">
        <v>0</v>
      </c>
      <c r="Q52">
        <v>0</v>
      </c>
      <c r="R52">
        <v>0</v>
      </c>
      <c r="S52">
        <v>0</v>
      </c>
      <c r="T52">
        <v>0</v>
      </c>
      <c r="U52">
        <v>36000</v>
      </c>
      <c r="V52">
        <v>40</v>
      </c>
      <c r="W52">
        <v>60000</v>
      </c>
      <c r="X52">
        <v>0.7142857142857143</v>
      </c>
      <c r="Z52">
        <v>24300</v>
      </c>
      <c r="AA52">
        <v>9000</v>
      </c>
      <c r="AB52">
        <v>0</v>
      </c>
      <c r="AC52">
        <v>0</v>
      </c>
      <c r="AD52">
        <v>2500</v>
      </c>
      <c r="AE52">
        <v>7500</v>
      </c>
      <c r="AJ52">
        <v>4</v>
      </c>
      <c r="AK52">
        <v>3</v>
      </c>
      <c r="AL52">
        <v>0</v>
      </c>
      <c r="AM52">
        <v>0</v>
      </c>
      <c r="AN52">
        <v>1</v>
      </c>
      <c r="AO52">
        <v>1</v>
      </c>
      <c r="AP52">
        <v>60</v>
      </c>
      <c r="AQ52">
        <v>90000</v>
      </c>
    </row>
    <row r="53" spans="1:43">
      <c r="A53">
        <v>121</v>
      </c>
      <c r="B53" t="s">
        <v>39</v>
      </c>
      <c r="C53">
        <v>0</v>
      </c>
      <c r="D53">
        <v>51</v>
      </c>
      <c r="E53">
        <v>0</v>
      </c>
      <c r="F53">
        <v>4</v>
      </c>
      <c r="G53">
        <v>2</v>
      </c>
      <c r="H53">
        <v>4</v>
      </c>
      <c r="I53">
        <v>0.8</v>
      </c>
      <c r="J53">
        <v>2</v>
      </c>
      <c r="K53">
        <v>12</v>
      </c>
      <c r="L53">
        <v>31</v>
      </c>
      <c r="M53">
        <v>3</v>
      </c>
      <c r="N53">
        <v>2</v>
      </c>
      <c r="O53">
        <v>500</v>
      </c>
      <c r="P53">
        <v>0</v>
      </c>
      <c r="Q53">
        <v>0</v>
      </c>
      <c r="R53">
        <v>0</v>
      </c>
      <c r="S53">
        <v>0</v>
      </c>
      <c r="T53">
        <v>0</v>
      </c>
      <c r="U53">
        <v>219000</v>
      </c>
      <c r="V53">
        <v>45</v>
      </c>
      <c r="W53">
        <v>63000</v>
      </c>
      <c r="X53">
        <v>0.18708240534521159</v>
      </c>
      <c r="Z53">
        <v>20900</v>
      </c>
      <c r="AA53">
        <v>4700</v>
      </c>
      <c r="AB53">
        <v>0</v>
      </c>
      <c r="AC53">
        <v>0</v>
      </c>
      <c r="AD53">
        <v>1000</v>
      </c>
      <c r="AE53">
        <v>18000</v>
      </c>
      <c r="AJ53">
        <v>4</v>
      </c>
      <c r="AK53">
        <v>3</v>
      </c>
      <c r="AL53">
        <v>0</v>
      </c>
      <c r="AM53">
        <v>0</v>
      </c>
      <c r="AN53">
        <v>1</v>
      </c>
      <c r="AO53">
        <v>1</v>
      </c>
      <c r="AP53">
        <v>36</v>
      </c>
      <c r="AQ53">
        <v>50400</v>
      </c>
    </row>
    <row r="54" spans="1:43">
      <c r="A54">
        <v>130</v>
      </c>
      <c r="B54" t="s">
        <v>40</v>
      </c>
      <c r="C54">
        <v>0</v>
      </c>
      <c r="D54">
        <v>67</v>
      </c>
      <c r="E54">
        <v>1</v>
      </c>
      <c r="F54">
        <v>2</v>
      </c>
      <c r="G54">
        <v>48</v>
      </c>
      <c r="H54">
        <v>7</v>
      </c>
      <c r="I54">
        <v>0.75</v>
      </c>
      <c r="J54">
        <v>1</v>
      </c>
      <c r="K54">
        <v>37.5</v>
      </c>
      <c r="L54">
        <v>41</v>
      </c>
      <c r="M54">
        <v>2</v>
      </c>
      <c r="N54">
        <v>0</v>
      </c>
      <c r="O54">
        <v>750</v>
      </c>
      <c r="P54">
        <v>0</v>
      </c>
      <c r="Q54">
        <v>0</v>
      </c>
      <c r="R54">
        <v>0</v>
      </c>
      <c r="S54">
        <v>1</v>
      </c>
      <c r="T54">
        <v>0</v>
      </c>
      <c r="U54">
        <v>187200</v>
      </c>
      <c r="V54">
        <v>62.666666666666664</v>
      </c>
      <c r="W54">
        <v>13733.333333333334</v>
      </c>
      <c r="X54">
        <v>5.2151898734177214E-2</v>
      </c>
      <c r="Z54">
        <v>13760</v>
      </c>
      <c r="AA54">
        <v>7800</v>
      </c>
      <c r="AB54">
        <v>0</v>
      </c>
      <c r="AC54">
        <v>0</v>
      </c>
      <c r="AD54">
        <v>0</v>
      </c>
      <c r="AE54">
        <v>3094</v>
      </c>
      <c r="AJ54">
        <v>4</v>
      </c>
      <c r="AK54">
        <v>3</v>
      </c>
      <c r="AL54">
        <v>0</v>
      </c>
      <c r="AM54">
        <v>0</v>
      </c>
      <c r="AN54">
        <v>1</v>
      </c>
      <c r="AO54">
        <v>2</v>
      </c>
      <c r="AP54">
        <v>47</v>
      </c>
      <c r="AQ54">
        <v>10300</v>
      </c>
    </row>
    <row r="55" spans="1:43">
      <c r="A55">
        <v>131</v>
      </c>
      <c r="B55" t="s">
        <v>40</v>
      </c>
      <c r="C55">
        <v>0</v>
      </c>
      <c r="D55">
        <v>68</v>
      </c>
      <c r="E55">
        <v>0</v>
      </c>
      <c r="F55">
        <v>2</v>
      </c>
      <c r="G55">
        <v>50</v>
      </c>
      <c r="H55">
        <v>5</v>
      </c>
      <c r="I55">
        <v>0.75</v>
      </c>
      <c r="J55">
        <v>1</v>
      </c>
      <c r="K55">
        <v>90</v>
      </c>
      <c r="L55">
        <v>15</v>
      </c>
      <c r="M55">
        <v>0</v>
      </c>
      <c r="N55">
        <v>2</v>
      </c>
      <c r="O55">
        <v>750</v>
      </c>
      <c r="P55">
        <v>0</v>
      </c>
      <c r="Q55">
        <v>0</v>
      </c>
      <c r="R55">
        <v>0</v>
      </c>
      <c r="S55">
        <v>1</v>
      </c>
      <c r="T55">
        <v>0</v>
      </c>
      <c r="U55">
        <v>167700</v>
      </c>
      <c r="V55">
        <v>65.333333333333329</v>
      </c>
      <c r="W55">
        <v>60000</v>
      </c>
      <c r="X55">
        <v>0.21156558533145275</v>
      </c>
      <c r="Z55">
        <v>16500</v>
      </c>
      <c r="AA55">
        <v>7200</v>
      </c>
      <c r="AB55">
        <v>0</v>
      </c>
      <c r="AC55">
        <v>0</v>
      </c>
      <c r="AD55">
        <v>1200</v>
      </c>
      <c r="AE55">
        <v>0</v>
      </c>
      <c r="AJ55">
        <v>3</v>
      </c>
      <c r="AK55">
        <v>3</v>
      </c>
      <c r="AL55">
        <v>0</v>
      </c>
      <c r="AM55">
        <v>0</v>
      </c>
      <c r="AN55">
        <v>1</v>
      </c>
      <c r="AO55">
        <v>2</v>
      </c>
      <c r="AP55">
        <v>49</v>
      </c>
      <c r="AQ55">
        <v>45000</v>
      </c>
    </row>
    <row r="56" spans="1:43">
      <c r="A56">
        <v>132</v>
      </c>
      <c r="B56" t="s">
        <v>40</v>
      </c>
      <c r="C56">
        <v>0</v>
      </c>
      <c r="D56">
        <v>54</v>
      </c>
      <c r="E56">
        <v>0</v>
      </c>
      <c r="F56">
        <v>6</v>
      </c>
      <c r="G56">
        <v>9</v>
      </c>
      <c r="H56">
        <v>2</v>
      </c>
      <c r="I56">
        <v>1</v>
      </c>
      <c r="J56">
        <v>1</v>
      </c>
      <c r="K56">
        <v>37.5</v>
      </c>
      <c r="L56">
        <v>51</v>
      </c>
      <c r="M56">
        <v>0</v>
      </c>
      <c r="N56">
        <v>2</v>
      </c>
      <c r="O56">
        <v>1750</v>
      </c>
      <c r="P56">
        <v>0</v>
      </c>
      <c r="Q56">
        <v>0</v>
      </c>
      <c r="R56">
        <v>0</v>
      </c>
      <c r="S56">
        <v>1</v>
      </c>
      <c r="T56">
        <v>1</v>
      </c>
      <c r="U56">
        <v>73000</v>
      </c>
      <c r="V56">
        <v>30</v>
      </c>
      <c r="W56">
        <v>119000</v>
      </c>
      <c r="X56">
        <v>0.61979166666666663</v>
      </c>
      <c r="Z56">
        <v>20500</v>
      </c>
      <c r="AA56">
        <v>16800</v>
      </c>
      <c r="AB56">
        <v>0</v>
      </c>
      <c r="AC56">
        <v>0</v>
      </c>
      <c r="AD56">
        <v>1200</v>
      </c>
      <c r="AE56">
        <v>0</v>
      </c>
      <c r="AJ56">
        <v>3</v>
      </c>
      <c r="AK56">
        <v>1</v>
      </c>
      <c r="AL56">
        <v>0</v>
      </c>
      <c r="AM56">
        <v>0</v>
      </c>
      <c r="AN56">
        <v>1</v>
      </c>
      <c r="AO56">
        <v>4</v>
      </c>
      <c r="AP56">
        <v>30</v>
      </c>
      <c r="AQ56">
        <v>119000</v>
      </c>
    </row>
    <row r="57" spans="1:43">
      <c r="A57">
        <v>133</v>
      </c>
      <c r="B57" t="s">
        <v>40</v>
      </c>
      <c r="C57">
        <v>0</v>
      </c>
      <c r="D57">
        <v>79</v>
      </c>
      <c r="E57">
        <v>1</v>
      </c>
      <c r="F57">
        <v>2</v>
      </c>
      <c r="G57">
        <v>64</v>
      </c>
      <c r="H57">
        <v>1</v>
      </c>
      <c r="I57">
        <v>1.25</v>
      </c>
      <c r="J57">
        <v>1</v>
      </c>
      <c r="K57">
        <v>56</v>
      </c>
      <c r="L57">
        <v>33</v>
      </c>
      <c r="M57">
        <v>0.5</v>
      </c>
      <c r="N57">
        <v>0.5</v>
      </c>
      <c r="O57">
        <v>900</v>
      </c>
      <c r="P57">
        <v>0</v>
      </c>
      <c r="Q57">
        <v>0</v>
      </c>
      <c r="R57">
        <v>0</v>
      </c>
      <c r="S57">
        <v>0</v>
      </c>
      <c r="T57">
        <v>0</v>
      </c>
      <c r="U57">
        <v>6000</v>
      </c>
      <c r="V57">
        <v>40</v>
      </c>
      <c r="W57">
        <v>32000</v>
      </c>
      <c r="X57">
        <v>0.86956521739130432</v>
      </c>
      <c r="Z57">
        <v>22500</v>
      </c>
      <c r="AA57">
        <v>9180</v>
      </c>
      <c r="AB57">
        <v>0</v>
      </c>
      <c r="AC57">
        <v>0</v>
      </c>
      <c r="AD57">
        <v>750</v>
      </c>
      <c r="AE57">
        <v>6875</v>
      </c>
      <c r="AJ57">
        <v>3</v>
      </c>
      <c r="AK57">
        <v>3</v>
      </c>
      <c r="AL57">
        <v>0</v>
      </c>
      <c r="AM57">
        <v>0</v>
      </c>
      <c r="AN57">
        <v>1</v>
      </c>
      <c r="AO57">
        <v>2</v>
      </c>
      <c r="AP57">
        <v>50</v>
      </c>
      <c r="AQ57">
        <v>40000</v>
      </c>
    </row>
    <row r="58" spans="1:43">
      <c r="A58">
        <v>134</v>
      </c>
      <c r="B58" t="s">
        <v>40</v>
      </c>
      <c r="C58">
        <v>0</v>
      </c>
      <c r="D58">
        <v>76</v>
      </c>
      <c r="E58">
        <v>1</v>
      </c>
      <c r="F58">
        <v>1</v>
      </c>
      <c r="G58">
        <v>64</v>
      </c>
      <c r="H58">
        <v>2</v>
      </c>
      <c r="I58">
        <v>2</v>
      </c>
      <c r="J58">
        <v>1</v>
      </c>
      <c r="K58">
        <v>20</v>
      </c>
      <c r="L58">
        <v>22.5</v>
      </c>
      <c r="M58">
        <v>0.5</v>
      </c>
      <c r="N58">
        <v>0</v>
      </c>
      <c r="O58">
        <v>1900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80</v>
      </c>
      <c r="W58">
        <v>50000</v>
      </c>
      <c r="X58">
        <v>1</v>
      </c>
      <c r="Z58">
        <v>51250</v>
      </c>
      <c r="AA58">
        <v>17480</v>
      </c>
      <c r="AB58">
        <v>0</v>
      </c>
      <c r="AC58">
        <v>0</v>
      </c>
      <c r="AD58">
        <v>0</v>
      </c>
      <c r="AE58">
        <v>3000</v>
      </c>
      <c r="AJ58">
        <v>4</v>
      </c>
      <c r="AK58">
        <v>1</v>
      </c>
      <c r="AL58">
        <v>0</v>
      </c>
      <c r="AM58">
        <v>0</v>
      </c>
      <c r="AN58">
        <v>1</v>
      </c>
      <c r="AO58">
        <v>2</v>
      </c>
      <c r="AP58">
        <v>160</v>
      </c>
      <c r="AQ58">
        <v>100000</v>
      </c>
    </row>
    <row r="59" spans="1:43">
      <c r="A59">
        <v>136</v>
      </c>
      <c r="B59" t="s">
        <v>40</v>
      </c>
      <c r="C59">
        <v>0</v>
      </c>
      <c r="D59">
        <v>68</v>
      </c>
      <c r="E59">
        <v>0</v>
      </c>
      <c r="F59">
        <v>2</v>
      </c>
      <c r="G59">
        <v>40</v>
      </c>
      <c r="H59">
        <v>5</v>
      </c>
      <c r="I59">
        <v>1</v>
      </c>
      <c r="J59">
        <v>1</v>
      </c>
      <c r="K59">
        <v>90</v>
      </c>
      <c r="L59">
        <v>12</v>
      </c>
      <c r="M59">
        <v>0</v>
      </c>
      <c r="N59">
        <v>2</v>
      </c>
      <c r="O59">
        <v>1000</v>
      </c>
      <c r="P59">
        <v>0</v>
      </c>
      <c r="Q59">
        <v>0</v>
      </c>
      <c r="R59">
        <v>0</v>
      </c>
      <c r="S59">
        <v>0</v>
      </c>
      <c r="T59">
        <v>0</v>
      </c>
      <c r="U59">
        <v>6000</v>
      </c>
      <c r="V59">
        <v>59</v>
      </c>
      <c r="W59">
        <v>135000</v>
      </c>
      <c r="X59">
        <v>0.95744680851063835</v>
      </c>
      <c r="Z59">
        <v>16500</v>
      </c>
      <c r="AA59">
        <v>9400</v>
      </c>
      <c r="AB59">
        <v>0</v>
      </c>
      <c r="AC59">
        <v>0</v>
      </c>
      <c r="AD59">
        <v>1200</v>
      </c>
      <c r="AE59">
        <v>0</v>
      </c>
      <c r="AJ59">
        <v>3</v>
      </c>
      <c r="AK59">
        <v>3</v>
      </c>
      <c r="AL59">
        <v>0</v>
      </c>
      <c r="AM59">
        <v>0</v>
      </c>
      <c r="AN59">
        <v>1</v>
      </c>
      <c r="AO59">
        <v>2</v>
      </c>
      <c r="AP59">
        <v>59</v>
      </c>
      <c r="AQ59">
        <v>135000</v>
      </c>
    </row>
    <row r="60" spans="1:43">
      <c r="A60">
        <v>140</v>
      </c>
      <c r="B60" t="s">
        <v>40</v>
      </c>
      <c r="C60">
        <v>0</v>
      </c>
      <c r="D60">
        <v>55</v>
      </c>
      <c r="E60">
        <v>1</v>
      </c>
      <c r="F60">
        <v>6</v>
      </c>
      <c r="G60">
        <v>37</v>
      </c>
      <c r="H60">
        <v>3</v>
      </c>
      <c r="I60">
        <v>0.7</v>
      </c>
      <c r="J60">
        <v>1</v>
      </c>
      <c r="K60">
        <v>90</v>
      </c>
      <c r="L60">
        <v>18</v>
      </c>
      <c r="M60">
        <v>1</v>
      </c>
      <c r="N60">
        <v>2</v>
      </c>
      <c r="O60">
        <v>850</v>
      </c>
      <c r="P60">
        <v>0</v>
      </c>
      <c r="Q60">
        <v>0</v>
      </c>
      <c r="R60">
        <v>0</v>
      </c>
      <c r="S60">
        <v>0</v>
      </c>
      <c r="T60">
        <v>0</v>
      </c>
      <c r="U60">
        <v>156000</v>
      </c>
      <c r="V60">
        <v>57.142857142857146</v>
      </c>
      <c r="W60">
        <v>75000</v>
      </c>
      <c r="X60">
        <v>0.25179856115107913</v>
      </c>
      <c r="Z60">
        <v>12700</v>
      </c>
      <c r="AA60">
        <v>8160</v>
      </c>
      <c r="AB60">
        <v>0</v>
      </c>
      <c r="AC60">
        <v>0</v>
      </c>
      <c r="AD60">
        <v>900</v>
      </c>
      <c r="AE60">
        <v>3850</v>
      </c>
      <c r="AJ60">
        <v>4</v>
      </c>
      <c r="AK60">
        <v>3</v>
      </c>
      <c r="AL60">
        <v>3</v>
      </c>
      <c r="AM60">
        <v>3</v>
      </c>
      <c r="AN60">
        <v>1</v>
      </c>
      <c r="AO60">
        <v>2</v>
      </c>
      <c r="AP60">
        <v>40</v>
      </c>
      <c r="AQ60">
        <v>52500</v>
      </c>
    </row>
    <row r="61" spans="1:43">
      <c r="A61">
        <v>141</v>
      </c>
      <c r="B61" t="s">
        <v>40</v>
      </c>
      <c r="C61">
        <v>0</v>
      </c>
      <c r="D61">
        <v>52</v>
      </c>
      <c r="E61">
        <v>1</v>
      </c>
      <c r="F61">
        <v>4</v>
      </c>
      <c r="G61">
        <v>35</v>
      </c>
      <c r="H61">
        <v>5</v>
      </c>
      <c r="I61">
        <v>0.5</v>
      </c>
      <c r="J61">
        <v>2</v>
      </c>
      <c r="K61">
        <v>90</v>
      </c>
      <c r="L61">
        <v>5</v>
      </c>
      <c r="M61">
        <v>0</v>
      </c>
      <c r="N61">
        <v>4</v>
      </c>
      <c r="O61">
        <v>650</v>
      </c>
      <c r="P61">
        <v>0</v>
      </c>
      <c r="Q61">
        <v>0</v>
      </c>
      <c r="R61">
        <v>0</v>
      </c>
      <c r="S61">
        <v>0</v>
      </c>
      <c r="T61">
        <v>0</v>
      </c>
      <c r="U61">
        <v>57600</v>
      </c>
      <c r="V61">
        <v>84</v>
      </c>
      <c r="W61">
        <v>144000</v>
      </c>
      <c r="X61">
        <v>0.55555555555555558</v>
      </c>
      <c r="Z61">
        <v>11760</v>
      </c>
      <c r="AA61">
        <v>6110</v>
      </c>
      <c r="AB61">
        <v>0</v>
      </c>
      <c r="AC61">
        <v>0</v>
      </c>
      <c r="AD61">
        <v>2400</v>
      </c>
      <c r="AE61">
        <v>0</v>
      </c>
      <c r="AJ61">
        <v>3</v>
      </c>
      <c r="AK61">
        <v>3</v>
      </c>
      <c r="AL61">
        <v>0</v>
      </c>
      <c r="AM61">
        <v>0</v>
      </c>
      <c r="AN61">
        <v>1</v>
      </c>
      <c r="AO61">
        <v>2</v>
      </c>
      <c r="AP61">
        <v>42</v>
      </c>
      <c r="AQ61">
        <v>72000</v>
      </c>
    </row>
    <row r="62" spans="1:43">
      <c r="A62">
        <v>144</v>
      </c>
      <c r="B62" t="s">
        <v>40</v>
      </c>
      <c r="C62">
        <v>0</v>
      </c>
      <c r="D62">
        <v>41</v>
      </c>
      <c r="E62">
        <v>1</v>
      </c>
      <c r="F62">
        <v>6</v>
      </c>
      <c r="G62">
        <v>3</v>
      </c>
      <c r="H62">
        <v>9</v>
      </c>
      <c r="I62">
        <v>0.6</v>
      </c>
      <c r="J62">
        <v>2</v>
      </c>
      <c r="K62">
        <v>90</v>
      </c>
      <c r="L62">
        <v>10</v>
      </c>
      <c r="M62">
        <v>0</v>
      </c>
      <c r="N62">
        <v>1</v>
      </c>
      <c r="O62">
        <v>600</v>
      </c>
      <c r="P62">
        <v>0</v>
      </c>
      <c r="Q62">
        <v>0</v>
      </c>
      <c r="R62">
        <v>0</v>
      </c>
      <c r="S62">
        <v>0</v>
      </c>
      <c r="T62">
        <v>0</v>
      </c>
      <c r="U62">
        <v>678000</v>
      </c>
      <c r="V62">
        <v>58.333333333333336</v>
      </c>
      <c r="W62">
        <v>112500</v>
      </c>
      <c r="X62">
        <v>9.0543259557344061E-2</v>
      </c>
      <c r="Z62">
        <v>2500</v>
      </c>
      <c r="AA62">
        <v>5640</v>
      </c>
      <c r="AB62">
        <v>0</v>
      </c>
      <c r="AC62">
        <v>0</v>
      </c>
      <c r="AD62">
        <v>1000</v>
      </c>
      <c r="AE62">
        <v>0</v>
      </c>
      <c r="AJ62">
        <v>4</v>
      </c>
      <c r="AK62">
        <v>3</v>
      </c>
      <c r="AL62">
        <v>0</v>
      </c>
      <c r="AM62">
        <v>0</v>
      </c>
      <c r="AN62">
        <v>1</v>
      </c>
      <c r="AO62">
        <v>3</v>
      </c>
      <c r="AP62">
        <v>35</v>
      </c>
      <c r="AQ62">
        <v>67500</v>
      </c>
    </row>
    <row r="63" spans="1:43">
      <c r="A63">
        <v>145</v>
      </c>
      <c r="B63" t="s">
        <v>40</v>
      </c>
      <c r="C63">
        <v>0</v>
      </c>
      <c r="D63">
        <v>67</v>
      </c>
      <c r="E63">
        <v>0</v>
      </c>
      <c r="F63">
        <v>2</v>
      </c>
      <c r="G63">
        <v>30</v>
      </c>
      <c r="H63">
        <v>5</v>
      </c>
      <c r="I63">
        <v>0.25</v>
      </c>
      <c r="J63">
        <v>1</v>
      </c>
      <c r="K63">
        <v>90</v>
      </c>
      <c r="L63">
        <v>13</v>
      </c>
      <c r="M63">
        <v>1</v>
      </c>
      <c r="N63">
        <v>2</v>
      </c>
      <c r="O63">
        <v>500</v>
      </c>
      <c r="P63">
        <v>0</v>
      </c>
      <c r="Q63">
        <v>0</v>
      </c>
      <c r="R63">
        <v>0</v>
      </c>
      <c r="S63">
        <v>0</v>
      </c>
      <c r="T63">
        <v>0</v>
      </c>
      <c r="U63">
        <v>180000</v>
      </c>
      <c r="V63">
        <v>64</v>
      </c>
      <c r="W63">
        <v>108000</v>
      </c>
      <c r="X63">
        <v>0.13043478260869565</v>
      </c>
      <c r="Z63">
        <v>8680</v>
      </c>
      <c r="AA63">
        <v>4700</v>
      </c>
      <c r="AB63">
        <v>0</v>
      </c>
      <c r="AC63">
        <v>0</v>
      </c>
      <c r="AD63">
        <v>1200</v>
      </c>
      <c r="AE63">
        <v>1375</v>
      </c>
      <c r="AJ63">
        <v>4</v>
      </c>
      <c r="AK63">
        <v>3</v>
      </c>
      <c r="AL63">
        <v>0</v>
      </c>
      <c r="AM63">
        <v>0</v>
      </c>
      <c r="AN63">
        <v>1</v>
      </c>
      <c r="AO63">
        <v>2</v>
      </c>
      <c r="AP63">
        <v>16</v>
      </c>
      <c r="AQ63">
        <v>27000</v>
      </c>
    </row>
    <row r="64" spans="1:43">
      <c r="A64">
        <v>148</v>
      </c>
      <c r="B64" t="s">
        <v>40</v>
      </c>
      <c r="C64">
        <v>0</v>
      </c>
      <c r="D64">
        <v>65</v>
      </c>
      <c r="E64">
        <v>0</v>
      </c>
      <c r="F64">
        <v>3</v>
      </c>
      <c r="G64">
        <v>38</v>
      </c>
      <c r="H64">
        <v>6</v>
      </c>
      <c r="I64">
        <v>1.8</v>
      </c>
      <c r="J64">
        <v>2</v>
      </c>
      <c r="K64">
        <v>193</v>
      </c>
      <c r="L64">
        <v>13</v>
      </c>
      <c r="M64">
        <v>8</v>
      </c>
      <c r="N64">
        <v>1.5</v>
      </c>
      <c r="O64">
        <v>1500</v>
      </c>
      <c r="P64">
        <v>0</v>
      </c>
      <c r="Q64">
        <v>0</v>
      </c>
      <c r="R64">
        <v>0</v>
      </c>
      <c r="S64">
        <v>1</v>
      </c>
      <c r="T64">
        <v>0</v>
      </c>
      <c r="U64">
        <v>351936</v>
      </c>
      <c r="V64">
        <v>50</v>
      </c>
      <c r="W64">
        <v>85555.555555555547</v>
      </c>
      <c r="X64">
        <v>0.3043863255431517</v>
      </c>
      <c r="Z64">
        <v>33700</v>
      </c>
      <c r="AA64">
        <v>16125</v>
      </c>
      <c r="AB64">
        <v>0</v>
      </c>
      <c r="AC64">
        <v>0</v>
      </c>
      <c r="AD64">
        <v>900</v>
      </c>
      <c r="AE64">
        <v>17400</v>
      </c>
      <c r="AJ64">
        <v>0</v>
      </c>
      <c r="AK64">
        <v>3</v>
      </c>
      <c r="AL64">
        <v>0</v>
      </c>
      <c r="AM64">
        <v>0</v>
      </c>
      <c r="AN64">
        <v>1</v>
      </c>
      <c r="AO64">
        <v>2</v>
      </c>
      <c r="AP64">
        <v>90</v>
      </c>
      <c r="AQ64">
        <v>154000</v>
      </c>
    </row>
    <row r="65" spans="1:43">
      <c r="A65">
        <v>150</v>
      </c>
      <c r="B65" t="s">
        <v>40</v>
      </c>
      <c r="C65">
        <v>0</v>
      </c>
      <c r="D65">
        <v>64</v>
      </c>
      <c r="E65">
        <v>0</v>
      </c>
      <c r="F65">
        <v>2</v>
      </c>
      <c r="G65">
        <v>45</v>
      </c>
      <c r="H65">
        <v>4</v>
      </c>
      <c r="I65">
        <v>0.25</v>
      </c>
      <c r="J65">
        <v>1</v>
      </c>
      <c r="K65">
        <v>57</v>
      </c>
      <c r="L65">
        <v>2</v>
      </c>
      <c r="M65">
        <v>2</v>
      </c>
      <c r="N65">
        <v>0</v>
      </c>
      <c r="O65">
        <v>300</v>
      </c>
      <c r="P65">
        <v>0</v>
      </c>
      <c r="Q65">
        <v>0</v>
      </c>
      <c r="R65">
        <v>0</v>
      </c>
      <c r="S65">
        <v>1</v>
      </c>
      <c r="T65">
        <v>1</v>
      </c>
      <c r="U65">
        <v>132000</v>
      </c>
      <c r="V65">
        <v>72</v>
      </c>
      <c r="W65">
        <v>112000</v>
      </c>
      <c r="X65">
        <v>0.17499999999999999</v>
      </c>
      <c r="Z65">
        <v>5040</v>
      </c>
      <c r="AA65">
        <v>2820</v>
      </c>
      <c r="AB65">
        <v>0</v>
      </c>
      <c r="AC65">
        <v>0</v>
      </c>
      <c r="AD65">
        <v>0</v>
      </c>
      <c r="AE65">
        <v>2880</v>
      </c>
      <c r="AJ65">
        <v>1</v>
      </c>
      <c r="AK65">
        <v>3</v>
      </c>
      <c r="AL65">
        <v>0</v>
      </c>
      <c r="AM65">
        <v>0</v>
      </c>
      <c r="AN65">
        <v>1</v>
      </c>
      <c r="AO65">
        <v>1</v>
      </c>
      <c r="AP65">
        <v>18</v>
      </c>
      <c r="AQ65">
        <v>28000</v>
      </c>
    </row>
    <row r="66" spans="1:43">
      <c r="A66">
        <v>151</v>
      </c>
      <c r="B66" t="s">
        <v>40</v>
      </c>
      <c r="C66">
        <v>0</v>
      </c>
      <c r="D66">
        <v>80</v>
      </c>
      <c r="E66">
        <v>0</v>
      </c>
      <c r="F66">
        <v>1</v>
      </c>
      <c r="G66">
        <v>62</v>
      </c>
      <c r="H66">
        <v>4</v>
      </c>
      <c r="I66">
        <v>0.25</v>
      </c>
      <c r="J66">
        <v>1</v>
      </c>
      <c r="K66">
        <v>18.375</v>
      </c>
      <c r="L66">
        <v>4</v>
      </c>
      <c r="M66">
        <v>3</v>
      </c>
      <c r="N66">
        <v>1</v>
      </c>
      <c r="O66">
        <v>750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200</v>
      </c>
      <c r="W66">
        <v>330400</v>
      </c>
      <c r="X66">
        <v>1</v>
      </c>
      <c r="Z66">
        <v>17600</v>
      </c>
      <c r="AA66">
        <v>6900</v>
      </c>
      <c r="AB66">
        <v>0</v>
      </c>
      <c r="AC66">
        <v>0</v>
      </c>
      <c r="AD66">
        <v>400</v>
      </c>
      <c r="AE66">
        <v>11000</v>
      </c>
      <c r="AJ66">
        <v>3</v>
      </c>
      <c r="AK66">
        <v>3</v>
      </c>
      <c r="AL66">
        <v>0</v>
      </c>
      <c r="AM66">
        <v>0</v>
      </c>
      <c r="AN66">
        <v>1</v>
      </c>
      <c r="AO66">
        <v>1</v>
      </c>
      <c r="AP66">
        <v>50</v>
      </c>
      <c r="AQ66">
        <v>82600</v>
      </c>
    </row>
    <row r="67" spans="1:43">
      <c r="A67">
        <v>152</v>
      </c>
      <c r="B67" t="s">
        <v>40</v>
      </c>
      <c r="C67">
        <v>0</v>
      </c>
      <c r="D67">
        <v>55</v>
      </c>
      <c r="E67">
        <v>0</v>
      </c>
      <c r="F67">
        <v>3</v>
      </c>
      <c r="G67">
        <v>38</v>
      </c>
      <c r="H67">
        <v>8</v>
      </c>
      <c r="I67">
        <v>0.25</v>
      </c>
      <c r="J67">
        <v>1</v>
      </c>
      <c r="K67">
        <v>95.5</v>
      </c>
      <c r="L67">
        <v>2</v>
      </c>
      <c r="M67">
        <v>2</v>
      </c>
      <c r="N67">
        <v>1</v>
      </c>
      <c r="O67">
        <v>250</v>
      </c>
      <c r="P67">
        <v>0</v>
      </c>
      <c r="Q67">
        <v>0</v>
      </c>
      <c r="R67">
        <v>0</v>
      </c>
      <c r="S67">
        <v>0</v>
      </c>
      <c r="T67">
        <v>0</v>
      </c>
      <c r="U67">
        <v>273000</v>
      </c>
      <c r="V67">
        <v>28</v>
      </c>
      <c r="W67">
        <v>132000</v>
      </c>
      <c r="X67">
        <v>0.10784313725490197</v>
      </c>
      <c r="Z67">
        <v>1960</v>
      </c>
      <c r="AA67">
        <v>2350</v>
      </c>
      <c r="AB67">
        <v>0</v>
      </c>
      <c r="AC67">
        <v>0</v>
      </c>
      <c r="AD67">
        <v>600</v>
      </c>
      <c r="AE67">
        <v>1120</v>
      </c>
      <c r="AJ67">
        <v>1</v>
      </c>
      <c r="AK67">
        <v>3</v>
      </c>
      <c r="AL67">
        <v>0</v>
      </c>
      <c r="AM67">
        <v>0</v>
      </c>
      <c r="AN67">
        <v>1</v>
      </c>
      <c r="AO67">
        <v>1</v>
      </c>
      <c r="AP67">
        <v>7</v>
      </c>
      <c r="AQ67">
        <v>33000</v>
      </c>
    </row>
    <row r="68" spans="1:43">
      <c r="A68">
        <v>153</v>
      </c>
      <c r="B68" t="s">
        <v>40</v>
      </c>
      <c r="C68">
        <v>0</v>
      </c>
      <c r="D68">
        <v>73</v>
      </c>
      <c r="E68">
        <v>1</v>
      </c>
      <c r="F68">
        <v>3</v>
      </c>
      <c r="G68">
        <v>59</v>
      </c>
      <c r="H68">
        <v>5</v>
      </c>
      <c r="I68">
        <v>1.24</v>
      </c>
      <c r="J68">
        <v>1</v>
      </c>
      <c r="K68">
        <v>97.5</v>
      </c>
      <c r="L68">
        <v>0</v>
      </c>
      <c r="M68">
        <v>1</v>
      </c>
      <c r="N68">
        <v>2</v>
      </c>
      <c r="O68">
        <v>1250</v>
      </c>
      <c r="P68">
        <v>0</v>
      </c>
      <c r="Q68">
        <v>0</v>
      </c>
      <c r="R68">
        <v>1</v>
      </c>
      <c r="S68">
        <v>1</v>
      </c>
      <c r="T68">
        <v>0</v>
      </c>
      <c r="U68">
        <v>36000</v>
      </c>
      <c r="V68">
        <v>48.387096774193552</v>
      </c>
      <c r="W68">
        <v>80161.290322580651</v>
      </c>
      <c r="X68">
        <v>0.73412112259970463</v>
      </c>
      <c r="Z68">
        <v>0</v>
      </c>
      <c r="AA68">
        <v>12000</v>
      </c>
      <c r="AB68">
        <v>0</v>
      </c>
      <c r="AC68">
        <v>0</v>
      </c>
      <c r="AD68">
        <v>1200</v>
      </c>
      <c r="AE68">
        <v>3000</v>
      </c>
      <c r="AJ68">
        <v>3</v>
      </c>
      <c r="AK68">
        <v>3</v>
      </c>
      <c r="AL68">
        <v>0</v>
      </c>
      <c r="AM68">
        <v>0</v>
      </c>
      <c r="AN68">
        <v>1</v>
      </c>
      <c r="AO68">
        <v>1</v>
      </c>
      <c r="AP68">
        <v>60</v>
      </c>
      <c r="AQ68">
        <v>99400</v>
      </c>
    </row>
    <row r="69" spans="1:43">
      <c r="A69">
        <v>155</v>
      </c>
      <c r="B69" t="s">
        <v>40</v>
      </c>
      <c r="C69">
        <v>0</v>
      </c>
      <c r="D69">
        <v>72</v>
      </c>
      <c r="E69">
        <v>1</v>
      </c>
      <c r="F69">
        <v>2</v>
      </c>
      <c r="G69">
        <v>60</v>
      </c>
      <c r="H69">
        <v>7</v>
      </c>
      <c r="I69">
        <v>2.4</v>
      </c>
      <c r="J69">
        <v>3</v>
      </c>
      <c r="K69">
        <v>18</v>
      </c>
      <c r="L69">
        <v>15</v>
      </c>
      <c r="M69">
        <v>0.5</v>
      </c>
      <c r="N69">
        <v>5</v>
      </c>
      <c r="O69">
        <v>2500</v>
      </c>
      <c r="P69">
        <v>0</v>
      </c>
      <c r="Q69">
        <v>0</v>
      </c>
      <c r="R69">
        <v>0</v>
      </c>
      <c r="S69">
        <v>0</v>
      </c>
      <c r="T69">
        <v>0</v>
      </c>
      <c r="U69">
        <v>206000</v>
      </c>
      <c r="V69">
        <v>50</v>
      </c>
      <c r="W69">
        <v>70000</v>
      </c>
      <c r="X69">
        <v>0.44919786096256686</v>
      </c>
      <c r="Z69">
        <v>37500</v>
      </c>
      <c r="AA69">
        <v>37500</v>
      </c>
      <c r="AB69">
        <v>0</v>
      </c>
      <c r="AC69">
        <v>0</v>
      </c>
      <c r="AD69">
        <v>3000</v>
      </c>
      <c r="AE69">
        <v>1320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2</v>
      </c>
      <c r="AP69">
        <v>120</v>
      </c>
      <c r="AQ69">
        <v>168000</v>
      </c>
    </row>
    <row r="70" spans="1:43">
      <c r="D70">
        <f t="shared" ref="D70:X70" si="0">AVERAGE(D2:D69)</f>
        <v>63.764705882352942</v>
      </c>
      <c r="E70">
        <f t="shared" si="0"/>
        <v>0.63235294117647056</v>
      </c>
      <c r="F70">
        <f t="shared" si="0"/>
        <v>2.6176470588235294</v>
      </c>
      <c r="G70">
        <f t="shared" si="0"/>
        <v>41.014705882352942</v>
      </c>
      <c r="H70">
        <f t="shared" si="0"/>
        <v>4.8088235294117645</v>
      </c>
      <c r="I70">
        <f t="shared" si="0"/>
        <v>1.1924999999999997</v>
      </c>
      <c r="J70">
        <f t="shared" si="0"/>
        <v>1.4264705882352942</v>
      </c>
      <c r="K70">
        <f t="shared" si="0"/>
        <v>53.748161764705884</v>
      </c>
      <c r="L70">
        <f t="shared" si="0"/>
        <v>34.985294117647058</v>
      </c>
      <c r="M70">
        <f t="shared" si="0"/>
        <v>0.83823529411764708</v>
      </c>
      <c r="N70">
        <f t="shared" si="0"/>
        <v>4.3661764705882353</v>
      </c>
      <c r="O70">
        <f t="shared" si="0"/>
        <v>1318.75</v>
      </c>
      <c r="P70">
        <f t="shared" si="0"/>
        <v>1.5441176470588236</v>
      </c>
      <c r="Q70">
        <f t="shared" si="0"/>
        <v>0.16176470588235295</v>
      </c>
      <c r="R70">
        <f t="shared" si="0"/>
        <v>1.4705882352941176E-2</v>
      </c>
      <c r="S70">
        <f t="shared" si="0"/>
        <v>0.38235294117647056</v>
      </c>
      <c r="T70">
        <f t="shared" si="0"/>
        <v>5.8823529411764705E-2</v>
      </c>
      <c r="U70">
        <f t="shared" si="0"/>
        <v>141262.58823529413</v>
      </c>
      <c r="V70">
        <f t="shared" si="0"/>
        <v>57.900969316367807</v>
      </c>
      <c r="W70">
        <f t="shared" si="0"/>
        <v>89250.85126885552</v>
      </c>
      <c r="X70">
        <f t="shared" si="0"/>
        <v>0.52580354134688467</v>
      </c>
      <c r="Z70">
        <f t="shared" ref="Z70:AE70" si="1">AVERAGE(Z2:Z69)</f>
        <v>25568.529411764706</v>
      </c>
      <c r="AA70">
        <f t="shared" si="1"/>
        <v>12654.411764705883</v>
      </c>
      <c r="AB70">
        <f t="shared" si="1"/>
        <v>320.29411764705884</v>
      </c>
      <c r="AC70">
        <f t="shared" si="1"/>
        <v>71.32352941176471</v>
      </c>
      <c r="AD70">
        <f t="shared" si="1"/>
        <v>1809.5588235294117</v>
      </c>
      <c r="AE70">
        <f t="shared" si="1"/>
        <v>4868.3661764705885</v>
      </c>
    </row>
    <row r="71" spans="1:43">
      <c r="D71">
        <v>63.594202898550698</v>
      </c>
      <c r="E71">
        <v>0.6376811594202898</v>
      </c>
      <c r="F71">
        <v>2.63768115942029</v>
      </c>
      <c r="G71">
        <v>40.855072463768117</v>
      </c>
      <c r="H71">
        <v>4.8405797101449277</v>
      </c>
      <c r="I71">
        <v>1.3201449275362318</v>
      </c>
      <c r="J71">
        <v>1.463768115942029</v>
      </c>
      <c r="K71">
        <v>55.57789855072464</v>
      </c>
      <c r="L71">
        <v>34.869565217391305</v>
      </c>
      <c r="M71">
        <v>0.97101449275362317</v>
      </c>
      <c r="N71">
        <v>4.3028985507246373</v>
      </c>
      <c r="O71">
        <v>1517.0289855072465</v>
      </c>
      <c r="P71">
        <v>1.5942028985507246</v>
      </c>
      <c r="Q71">
        <v>0.15942028985507245</v>
      </c>
      <c r="R71">
        <v>1.4492753623188406E-2</v>
      </c>
      <c r="S71">
        <v>0.39130434782608697</v>
      </c>
      <c r="T71">
        <v>7.2463768115942032E-2</v>
      </c>
      <c r="U71">
        <v>149650.08695652173</v>
      </c>
      <c r="V71">
        <v>57.713998746565373</v>
      </c>
      <c r="W71">
        <v>89008.085308437338</v>
      </c>
      <c r="X71">
        <v>0.52545465094774468</v>
      </c>
      <c r="Z71">
        <f t="shared" ref="Z71:AE71" si="2">STDEV(Z2:Z69)</f>
        <v>18725.073003839585</v>
      </c>
      <c r="AA71">
        <f t="shared" si="2"/>
        <v>10005.35381047044</v>
      </c>
      <c r="AB71">
        <f t="shared" si="2"/>
        <v>1733.7062108778762</v>
      </c>
      <c r="AC71">
        <f t="shared" si="2"/>
        <v>420.84812878021103</v>
      </c>
      <c r="AD71">
        <f t="shared" si="2"/>
        <v>2222.363562169407</v>
      </c>
      <c r="AE71">
        <f t="shared" si="2"/>
        <v>8766.9725633624148</v>
      </c>
    </row>
    <row r="72" spans="1:43">
      <c r="D72">
        <f>STDEV(D2:D69)</f>
        <v>10.767720759750642</v>
      </c>
      <c r="E72">
        <f t="shared" ref="E72:X72" si="3">STDEV(E2:E69)</f>
        <v>0.48574951362942237</v>
      </c>
      <c r="F72">
        <f t="shared" si="3"/>
        <v>1.3825070431356141</v>
      </c>
      <c r="G72">
        <f t="shared" si="3"/>
        <v>17.246667553566645</v>
      </c>
      <c r="H72">
        <f t="shared" si="3"/>
        <v>1.9794266691500801</v>
      </c>
      <c r="I72">
        <f t="shared" si="3"/>
        <v>0.8313383832487754</v>
      </c>
      <c r="J72">
        <f t="shared" si="3"/>
        <v>0.73942649156996643</v>
      </c>
      <c r="K72">
        <f t="shared" si="3"/>
        <v>54.618685351085709</v>
      </c>
      <c r="L72">
        <f t="shared" si="3"/>
        <v>40.20386208783772</v>
      </c>
      <c r="M72">
        <f t="shared" si="3"/>
        <v>1.3056741167053287</v>
      </c>
      <c r="N72">
        <f t="shared" si="3"/>
        <v>9.3739016915912465</v>
      </c>
      <c r="O72">
        <f t="shared" si="3"/>
        <v>1257.3172028201407</v>
      </c>
      <c r="P72">
        <f t="shared" si="3"/>
        <v>8.1101260154175527</v>
      </c>
      <c r="Q72">
        <f t="shared" si="3"/>
        <v>1.0310159330767499</v>
      </c>
      <c r="R72">
        <f t="shared" si="3"/>
        <v>0.1212678125181665</v>
      </c>
      <c r="S72">
        <f t="shared" si="3"/>
        <v>0.48957525802965418</v>
      </c>
      <c r="T72">
        <f t="shared" si="3"/>
        <v>0.2370435403783839</v>
      </c>
      <c r="U72">
        <f t="shared" si="3"/>
        <v>164563.21181682652</v>
      </c>
      <c r="V72">
        <f t="shared" si="3"/>
        <v>27.369530643370286</v>
      </c>
      <c r="W72">
        <f t="shared" si="3"/>
        <v>44892.544473257825</v>
      </c>
      <c r="X72">
        <f t="shared" si="3"/>
        <v>0.31418968572708794</v>
      </c>
      <c r="Z72">
        <v>29089.27536231884</v>
      </c>
      <c r="AA72">
        <v>15340.579710144928</v>
      </c>
      <c r="AB72">
        <v>327.97101449275362</v>
      </c>
      <c r="AC72">
        <v>70.289855072463766</v>
      </c>
      <c r="AD72">
        <v>1783.3333333333333</v>
      </c>
      <c r="AE72">
        <v>7116.6507246376814</v>
      </c>
    </row>
    <row r="73" spans="1:43">
      <c r="D73">
        <v>10.7816822333881</v>
      </c>
      <c r="E73">
        <v>0.48419170039153681</v>
      </c>
      <c r="F73">
        <v>1.3823574758228574</v>
      </c>
      <c r="G73">
        <v>17.170661848149457</v>
      </c>
      <c r="H73">
        <v>1.9824464120477738</v>
      </c>
      <c r="I73">
        <v>1.3435745702215234</v>
      </c>
      <c r="J73">
        <v>0.79667895491455709</v>
      </c>
      <c r="K73">
        <v>56.305753012966655</v>
      </c>
      <c r="L73">
        <v>39.918727376964554</v>
      </c>
      <c r="M73">
        <v>1.7018244059274743</v>
      </c>
      <c r="N73">
        <v>9.3195551997887556</v>
      </c>
      <c r="O73">
        <v>2066.4711891575148</v>
      </c>
      <c r="P73">
        <v>8.0610151903716964</v>
      </c>
      <c r="Q73">
        <v>1.0235921235846928</v>
      </c>
      <c r="R73">
        <v>0.1203858530857692</v>
      </c>
      <c r="S73">
        <v>0.49161771686915634</v>
      </c>
      <c r="T73">
        <v>0.26115358224785395</v>
      </c>
      <c r="U73">
        <v>177586.4838303513</v>
      </c>
      <c r="V73">
        <v>27.211895598273149</v>
      </c>
      <c r="W73">
        <v>44606.834955650709</v>
      </c>
      <c r="X73">
        <v>0.31188437617078685</v>
      </c>
      <c r="Z73">
        <v>34652.157954992734</v>
      </c>
      <c r="AA73">
        <v>24423.437913445669</v>
      </c>
      <c r="AB73">
        <v>1722.0922463764357</v>
      </c>
      <c r="AC73">
        <v>417.83042934865881</v>
      </c>
      <c r="AD73">
        <v>2216.6924663101281</v>
      </c>
      <c r="AE73">
        <v>20603.6300658662</v>
      </c>
    </row>
    <row r="74" spans="1:43">
      <c r="A74" t="s">
        <v>42</v>
      </c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12</v>
      </c>
      <c r="J74" t="s">
        <v>13</v>
      </c>
      <c r="K74" t="s">
        <v>17</v>
      </c>
      <c r="L74" t="s">
        <v>18</v>
      </c>
      <c r="M74" t="s">
        <v>20</v>
      </c>
      <c r="N74" t="s">
        <v>22</v>
      </c>
      <c r="O74" t="s">
        <v>24</v>
      </c>
      <c r="P74" t="s">
        <v>26</v>
      </c>
      <c r="Q74" t="s">
        <v>28</v>
      </c>
      <c r="R74" t="s">
        <v>30</v>
      </c>
      <c r="S74" t="s">
        <v>31</v>
      </c>
      <c r="T74" t="s">
        <v>32</v>
      </c>
      <c r="U74" t="s">
        <v>33</v>
      </c>
      <c r="V74" t="s">
        <v>43</v>
      </c>
      <c r="W74" t="s">
        <v>44</v>
      </c>
      <c r="X74" t="s">
        <v>41</v>
      </c>
      <c r="Z74" t="s">
        <v>19</v>
      </c>
      <c r="AA74" t="s">
        <v>25</v>
      </c>
      <c r="AB74" t="s">
        <v>27</v>
      </c>
      <c r="AC74" t="s">
        <v>29</v>
      </c>
      <c r="AD74" t="s">
        <v>23</v>
      </c>
      <c r="AE74" t="s">
        <v>21</v>
      </c>
      <c r="AJ74" t="s">
        <v>7</v>
      </c>
      <c r="AK74" t="s">
        <v>8</v>
      </c>
      <c r="AL74" t="s">
        <v>9</v>
      </c>
      <c r="AM74" t="s">
        <v>10</v>
      </c>
      <c r="AN74" t="s">
        <v>45</v>
      </c>
      <c r="AO74" t="s">
        <v>16</v>
      </c>
      <c r="AP74" t="s">
        <v>14</v>
      </c>
      <c r="AQ74" t="s">
        <v>15</v>
      </c>
    </row>
    <row r="75" spans="1:43">
      <c r="D75">
        <v>60.864583333333336</v>
      </c>
      <c r="E75">
        <v>0.46875</v>
      </c>
      <c r="F75">
        <v>3.1354166666666665</v>
      </c>
      <c r="G75">
        <v>36.489583333333336</v>
      </c>
      <c r="H75">
        <v>4.291666666666667</v>
      </c>
      <c r="I75">
        <v>56.440117332980101</v>
      </c>
      <c r="K75">
        <v>99352.020505686713</v>
      </c>
      <c r="L75">
        <v>1.1059979166666667</v>
      </c>
      <c r="M75">
        <v>1.3125</v>
      </c>
      <c r="N75">
        <v>70.30520833333334</v>
      </c>
      <c r="O75">
        <v>36.927083333333336</v>
      </c>
      <c r="P75">
        <v>0.90364583333333337</v>
      </c>
      <c r="Q75">
        <v>3.328125</v>
      </c>
      <c r="R75">
        <v>1267.7083333333333</v>
      </c>
      <c r="S75">
        <v>0.57291666666666663</v>
      </c>
      <c r="T75">
        <v>1.0416666666666667</v>
      </c>
      <c r="U75">
        <v>3.125E-2</v>
      </c>
      <c r="V75">
        <v>0.5</v>
      </c>
      <c r="W75">
        <v>0.16666666666666666</v>
      </c>
      <c r="X75">
        <v>179671.58333333334</v>
      </c>
      <c r="Y75">
        <v>0.54529062975588682</v>
      </c>
      <c r="AH75" t="e">
        <f>STDEV(#REF!)</f>
        <v>#REF!</v>
      </c>
      <c r="AI75" t="e">
        <f t="shared" ref="AI75" si="4">STDEV(#REF!)</f>
        <v>#REF!</v>
      </c>
      <c r="AJ75" t="e">
        <f t="shared" ref="AJ75" si="5">STDEV(#REF!)</f>
        <v>#REF!</v>
      </c>
      <c r="AK75" t="e">
        <f t="shared" ref="AK75" si="6">STDEV(#REF!)</f>
        <v>#REF!</v>
      </c>
      <c r="AL75" t="e">
        <f t="shared" ref="AL75" si="7">STDEV(#REF!)</f>
        <v>#REF!</v>
      </c>
      <c r="AM75" t="e">
        <f t="shared" ref="AM75" si="8">STDEV(#REF!)</f>
        <v>#REF!</v>
      </c>
    </row>
    <row r="76" spans="1:43">
      <c r="I76">
        <v>1.1000000000000001</v>
      </c>
    </row>
    <row r="77" spans="1:43">
      <c r="A77" t="s">
        <v>42</v>
      </c>
      <c r="B77" t="s">
        <v>0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  <c r="H77" t="s">
        <v>6</v>
      </c>
      <c r="I77" t="s">
        <v>43</v>
      </c>
      <c r="J77" t="s">
        <v>48</v>
      </c>
      <c r="K77" t="s">
        <v>44</v>
      </c>
      <c r="L77" t="s">
        <v>12</v>
      </c>
      <c r="M77" t="s">
        <v>13</v>
      </c>
      <c r="N77" t="s">
        <v>17</v>
      </c>
      <c r="O77" t="s">
        <v>18</v>
      </c>
      <c r="P77" t="s">
        <v>20</v>
      </c>
      <c r="Q77" t="s">
        <v>22</v>
      </c>
      <c r="R77" t="s">
        <v>24</v>
      </c>
      <c r="S77" t="s">
        <v>26</v>
      </c>
      <c r="T77" t="s">
        <v>28</v>
      </c>
      <c r="U77" t="s">
        <v>30</v>
      </c>
      <c r="V77" t="s">
        <v>31</v>
      </c>
      <c r="W77" t="s">
        <v>32</v>
      </c>
      <c r="X77" t="s">
        <v>33</v>
      </c>
      <c r="Y77" t="s">
        <v>41</v>
      </c>
      <c r="Z77" t="s">
        <v>7</v>
      </c>
      <c r="AA77" t="s">
        <v>8</v>
      </c>
      <c r="AB77" t="s">
        <v>9</v>
      </c>
      <c r="AC77" t="s">
        <v>10</v>
      </c>
      <c r="AD77" t="s">
        <v>11</v>
      </c>
      <c r="AE77" t="s">
        <v>14</v>
      </c>
      <c r="AF77" t="s">
        <v>15</v>
      </c>
      <c r="AG77" t="s">
        <v>16</v>
      </c>
      <c r="AH77" t="s">
        <v>19</v>
      </c>
      <c r="AI77" t="s">
        <v>21</v>
      </c>
      <c r="AJ77" t="s">
        <v>23</v>
      </c>
      <c r="AK77" t="s">
        <v>25</v>
      </c>
      <c r="AL77" t="s">
        <v>27</v>
      </c>
      <c r="AM77" t="s">
        <v>46</v>
      </c>
      <c r="AN77" t="s">
        <v>57</v>
      </c>
      <c r="AO77" t="s">
        <v>58</v>
      </c>
    </row>
    <row r="78" spans="1:43">
      <c r="D78">
        <f>D75-D70</f>
        <v>-2.9001225490196063</v>
      </c>
      <c r="E78">
        <f t="shared" ref="E78:AE78" si="9">E75-E70</f>
        <v>-0.16360294117647056</v>
      </c>
      <c r="F78">
        <f t="shared" si="9"/>
        <v>0.51776960784313708</v>
      </c>
      <c r="G78">
        <f t="shared" si="9"/>
        <v>-4.5251225490196063</v>
      </c>
      <c r="H78">
        <f t="shared" si="9"/>
        <v>-0.51715686274509753</v>
      </c>
      <c r="I78">
        <f t="shared" si="9"/>
        <v>55.247617332980099</v>
      </c>
      <c r="J78">
        <f t="shared" si="9"/>
        <v>-1.4264705882352942</v>
      </c>
      <c r="K78">
        <f t="shared" si="9"/>
        <v>99298.272343922014</v>
      </c>
      <c r="L78">
        <f t="shared" si="9"/>
        <v>-33.879296200980392</v>
      </c>
      <c r="M78">
        <f t="shared" si="9"/>
        <v>0.47426470588235292</v>
      </c>
      <c r="N78">
        <f t="shared" si="9"/>
        <v>65.939031862745111</v>
      </c>
      <c r="O78">
        <f t="shared" si="9"/>
        <v>-1281.8229166666667</v>
      </c>
      <c r="P78">
        <f t="shared" si="9"/>
        <v>-0.64047181372549022</v>
      </c>
      <c r="Q78">
        <f t="shared" si="9"/>
        <v>3.1663602941176472</v>
      </c>
      <c r="R78">
        <f t="shared" si="9"/>
        <v>1267.6936274509803</v>
      </c>
      <c r="S78">
        <f t="shared" si="9"/>
        <v>0.19056372549019607</v>
      </c>
      <c r="T78">
        <f t="shared" si="9"/>
        <v>0.98284313725490202</v>
      </c>
      <c r="U78">
        <f t="shared" si="9"/>
        <v>-141262.55698529413</v>
      </c>
      <c r="V78">
        <f t="shared" si="9"/>
        <v>-57.400969316367807</v>
      </c>
      <c r="W78">
        <f t="shared" si="9"/>
        <v>-89250.684602188849</v>
      </c>
      <c r="X78">
        <f t="shared" si="9"/>
        <v>179671.05752979199</v>
      </c>
      <c r="Y78">
        <f t="shared" si="9"/>
        <v>0.54529062975588682</v>
      </c>
      <c r="Z78">
        <f t="shared" si="9"/>
        <v>-25568.529411764706</v>
      </c>
      <c r="AA78">
        <f t="shared" si="9"/>
        <v>-12654.411764705883</v>
      </c>
      <c r="AB78">
        <f t="shared" si="9"/>
        <v>-320.29411764705884</v>
      </c>
      <c r="AC78">
        <f t="shared" si="9"/>
        <v>-71.32352941176471</v>
      </c>
      <c r="AD78">
        <f t="shared" si="9"/>
        <v>-1809.5588235294117</v>
      </c>
      <c r="AE78">
        <f t="shared" si="9"/>
        <v>-4868.3661764705885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all data</vt:lpstr>
      <vt:lpstr>edited data</vt:lpstr>
      <vt:lpstr>enrollees</vt:lpstr>
      <vt:lpstr>dis-enrollees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松浦正典</dc:creator>
  <cp:lastModifiedBy>松浦正典</cp:lastModifiedBy>
  <dcterms:created xsi:type="dcterms:W3CDTF">2019-09-09T11:12:22Z</dcterms:created>
  <dcterms:modified xsi:type="dcterms:W3CDTF">2020-07-11T09:43:41Z</dcterms:modified>
</cp:coreProperties>
</file>