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9468_uni_au_dk/Documents/Skrivebord/PycharmProjects/AO3 MRP/"/>
    </mc:Choice>
  </mc:AlternateContent>
  <xr:revisionPtr revIDLastSave="522" documentId="13_ncr:1_{60A8CC2C-DF10-40B7-96A5-310354FAD34B}" xr6:coauthVersionLast="47" xr6:coauthVersionMax="47" xr10:uidLastSave="{05A303EB-B0E6-4173-8ECD-0E8CF886BEEF}"/>
  <bookViews>
    <workbookView xWindow="-120" yWindow="-120" windowWidth="28110" windowHeight="16440" activeTab="3" xr2:uid="{00000000-000D-0000-FFFF-FFFF00000000}"/>
  </bookViews>
  <sheets>
    <sheet name="MRP data 1-10" sheetId="2" r:id="rId1"/>
    <sheet name="MRP data 1-12" sheetId="3" r:id="rId2"/>
    <sheet name="Dataudsnip" sheetId="6" r:id="rId3"/>
    <sheet name="Verificering" sheetId="5" r:id="rId4"/>
    <sheet name="Sammenligning prod." sheetId="7" r:id="rId5"/>
    <sheet name="Sammenligning lag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8" l="1"/>
  <c r="K5" i="8"/>
  <c r="K8" i="8"/>
  <c r="K9" i="8"/>
  <c r="K12" i="8"/>
  <c r="K13" i="8"/>
  <c r="K16" i="8"/>
  <c r="K17" i="8"/>
  <c r="K20" i="8"/>
  <c r="K21" i="8"/>
  <c r="K4" i="7"/>
  <c r="K5" i="7"/>
  <c r="K8" i="7"/>
  <c r="K9" i="7"/>
  <c r="K12" i="7"/>
  <c r="K13" i="7"/>
  <c r="K16" i="7"/>
  <c r="K17" i="7"/>
  <c r="K20" i="7"/>
  <c r="K21" i="7"/>
  <c r="J20" i="8"/>
  <c r="I20" i="8"/>
  <c r="H20" i="8"/>
  <c r="G20" i="8"/>
  <c r="F20" i="8"/>
  <c r="E20" i="8"/>
  <c r="D20" i="8"/>
  <c r="J16" i="8"/>
  <c r="I16" i="8"/>
  <c r="H16" i="8"/>
  <c r="G16" i="8"/>
  <c r="F16" i="8"/>
  <c r="E16" i="8"/>
  <c r="D16" i="8"/>
  <c r="J12" i="8"/>
  <c r="I12" i="8"/>
  <c r="H12" i="8"/>
  <c r="G12" i="8"/>
  <c r="F12" i="8"/>
  <c r="E12" i="8"/>
  <c r="D12" i="8"/>
  <c r="J8" i="8"/>
  <c r="I8" i="8"/>
  <c r="H8" i="8"/>
  <c r="G8" i="8"/>
  <c r="F8" i="8"/>
  <c r="E8" i="8"/>
  <c r="D8" i="8"/>
  <c r="J4" i="8"/>
  <c r="I4" i="8"/>
  <c r="H4" i="8"/>
  <c r="G4" i="8"/>
  <c r="F4" i="8"/>
  <c r="E4" i="8"/>
  <c r="D4" i="8"/>
  <c r="D5" i="8"/>
  <c r="E5" i="8"/>
  <c r="F5" i="8"/>
  <c r="G5" i="8"/>
  <c r="H5" i="8"/>
  <c r="I5" i="8"/>
  <c r="J5" i="8"/>
  <c r="J20" i="7"/>
  <c r="I20" i="7"/>
  <c r="H20" i="7"/>
  <c r="G20" i="7"/>
  <c r="F20" i="7"/>
  <c r="E20" i="7"/>
  <c r="D20" i="7"/>
  <c r="J16" i="7"/>
  <c r="I16" i="7"/>
  <c r="H16" i="7"/>
  <c r="G16" i="7"/>
  <c r="F16" i="7"/>
  <c r="E16" i="7"/>
  <c r="D16" i="7"/>
  <c r="J12" i="7"/>
  <c r="I12" i="7"/>
  <c r="H12" i="7"/>
  <c r="G12" i="7"/>
  <c r="F12" i="7"/>
  <c r="E12" i="7"/>
  <c r="D12" i="7"/>
  <c r="J8" i="7"/>
  <c r="I8" i="7"/>
  <c r="H8" i="7"/>
  <c r="G8" i="7"/>
  <c r="F8" i="7"/>
  <c r="E8" i="7"/>
  <c r="D8" i="7"/>
  <c r="F4" i="7"/>
  <c r="G4" i="7"/>
  <c r="H4" i="7"/>
  <c r="I4" i="7"/>
  <c r="J4" i="7"/>
  <c r="E4" i="7"/>
  <c r="D4" i="7"/>
  <c r="J21" i="7"/>
  <c r="I21" i="7"/>
  <c r="H21" i="7"/>
  <c r="G21" i="7"/>
  <c r="F21" i="7"/>
  <c r="E21" i="7"/>
  <c r="D21" i="7"/>
  <c r="J17" i="7"/>
  <c r="I17" i="7"/>
  <c r="H17" i="7"/>
  <c r="G17" i="7"/>
  <c r="F17" i="7"/>
  <c r="E17" i="7"/>
  <c r="D17" i="7"/>
  <c r="J13" i="7"/>
  <c r="I13" i="7"/>
  <c r="H13" i="7"/>
  <c r="G13" i="7"/>
  <c r="F13" i="7"/>
  <c r="E13" i="7"/>
  <c r="D13" i="7"/>
  <c r="J9" i="7"/>
  <c r="I9" i="7"/>
  <c r="H9" i="7"/>
  <c r="G9" i="7"/>
  <c r="F9" i="7"/>
  <c r="E9" i="7"/>
  <c r="D9" i="7"/>
  <c r="J5" i="7"/>
  <c r="I5" i="7"/>
  <c r="H5" i="7"/>
  <c r="G5" i="7"/>
  <c r="F5" i="7"/>
  <c r="E5" i="7"/>
  <c r="D5" i="7"/>
  <c r="J21" i="8"/>
  <c r="I21" i="8"/>
  <c r="H21" i="8"/>
  <c r="G21" i="8"/>
  <c r="F21" i="8"/>
  <c r="E21" i="8"/>
  <c r="D21" i="8"/>
  <c r="J17" i="8"/>
  <c r="I17" i="8"/>
  <c r="H17" i="8"/>
  <c r="G17" i="8"/>
  <c r="F17" i="8"/>
  <c r="E17" i="8"/>
  <c r="D17" i="8"/>
  <c r="J13" i="8"/>
  <c r="I13" i="8"/>
  <c r="H13" i="8"/>
  <c r="G13" i="8"/>
  <c r="F13" i="8"/>
  <c r="E13" i="8"/>
  <c r="D13" i="8"/>
  <c r="J9" i="8"/>
  <c r="I9" i="8"/>
  <c r="H9" i="8"/>
  <c r="G9" i="8"/>
  <c r="F9" i="8"/>
  <c r="E9" i="8"/>
  <c r="D9" i="8"/>
  <c r="E1" i="8"/>
  <c r="F1" i="8" s="1"/>
  <c r="G1" i="8" s="1"/>
  <c r="H1" i="8" s="1"/>
  <c r="I1" i="8" s="1"/>
  <c r="J1" i="8" s="1"/>
  <c r="K1" i="8" s="1"/>
  <c r="E1" i="7"/>
  <c r="F1" i="7" s="1"/>
  <c r="G1" i="7" s="1"/>
  <c r="H1" i="7" s="1"/>
  <c r="I1" i="7" s="1"/>
  <c r="J1" i="7" s="1"/>
  <c r="K1" i="7" s="1"/>
  <c r="A22" i="3" a="1"/>
  <c r="A22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D35" i="5"/>
  <c r="E35" i="5" s="1"/>
  <c r="F35" i="5" s="1"/>
  <c r="G35" i="5" s="1"/>
  <c r="H35" i="5" s="1"/>
  <c r="I35" i="5" s="1"/>
  <c r="J35" i="5" s="1"/>
  <c r="K35" i="5" s="1"/>
  <c r="L35" i="5" s="1"/>
  <c r="C37" i="5"/>
  <c r="D37" i="5" s="1"/>
  <c r="E37" i="5" s="1"/>
  <c r="F37" i="5" s="1"/>
  <c r="G37" i="5" s="1"/>
  <c r="H37" i="5" s="1"/>
  <c r="I37" i="5" s="1"/>
  <c r="J37" i="5" s="1"/>
  <c r="K37" i="5" s="1"/>
  <c r="L37" i="5" s="1"/>
  <c r="C36" i="5"/>
  <c r="D36" i="5" s="1"/>
  <c r="E36" i="5" s="1"/>
  <c r="F36" i="5" s="1"/>
  <c r="G36" i="5" s="1"/>
  <c r="H36" i="5" s="1"/>
  <c r="I36" i="5" s="1"/>
  <c r="J36" i="5" s="1"/>
  <c r="K36" i="5" s="1"/>
  <c r="L36" i="5" s="1"/>
  <c r="C32" i="5"/>
  <c r="K22" i="5"/>
  <c r="K27" i="5" s="1"/>
  <c r="H23" i="5"/>
  <c r="H22" i="5"/>
  <c r="F22" i="5"/>
  <c r="F27" i="5" s="1"/>
  <c r="D23" i="5"/>
  <c r="D22" i="5"/>
  <c r="C23" i="5"/>
  <c r="C22" i="5"/>
  <c r="L27" i="5"/>
  <c r="J27" i="5"/>
  <c r="I27" i="5"/>
  <c r="G27" i="5"/>
  <c r="E27" i="5"/>
  <c r="D21" i="5"/>
  <c r="E21" i="5" s="1"/>
  <c r="F21" i="5" s="1"/>
  <c r="G21" i="5" s="1"/>
  <c r="H21" i="5" s="1"/>
  <c r="I21" i="5" s="1"/>
  <c r="J21" i="5" s="1"/>
  <c r="K21" i="5" s="1"/>
  <c r="L21" i="5" s="1"/>
  <c r="L33" i="5"/>
  <c r="J33" i="5"/>
  <c r="I33" i="5"/>
  <c r="G33" i="5"/>
  <c r="E33" i="5"/>
  <c r="H29" i="5"/>
  <c r="D29" i="5"/>
  <c r="C29" i="5"/>
  <c r="K28" i="5"/>
  <c r="K33" i="5" s="1"/>
  <c r="H28" i="5"/>
  <c r="F28" i="5"/>
  <c r="F33" i="5" s="1"/>
  <c r="D28" i="5"/>
  <c r="C28" i="5"/>
  <c r="L18" i="5"/>
  <c r="K18" i="5"/>
  <c r="J18" i="5"/>
  <c r="I18" i="5"/>
  <c r="H18" i="5"/>
  <c r="G18" i="5"/>
  <c r="F18" i="5"/>
  <c r="E18" i="5"/>
  <c r="D18" i="5"/>
  <c r="C18" i="5"/>
  <c r="L17" i="5"/>
  <c r="K17" i="5"/>
  <c r="J17" i="5"/>
  <c r="I17" i="5"/>
  <c r="H17" i="5"/>
  <c r="G17" i="5"/>
  <c r="F17" i="5"/>
  <c r="E17" i="5"/>
  <c r="D17" i="5"/>
  <c r="C17" i="5"/>
  <c r="L16" i="5"/>
  <c r="K16" i="5"/>
  <c r="J16" i="5"/>
  <c r="I16" i="5"/>
  <c r="H16" i="5"/>
  <c r="G16" i="5"/>
  <c r="F16" i="5"/>
  <c r="E16" i="5"/>
  <c r="D16" i="5"/>
  <c r="C16" i="5"/>
  <c r="L15" i="5"/>
  <c r="K15" i="5"/>
  <c r="J15" i="5"/>
  <c r="I15" i="5"/>
  <c r="H15" i="5"/>
  <c r="G15" i="5"/>
  <c r="F15" i="5"/>
  <c r="E15" i="5"/>
  <c r="D15" i="5"/>
  <c r="C15" i="5"/>
  <c r="L14" i="5"/>
  <c r="K14" i="5"/>
  <c r="J14" i="5"/>
  <c r="I14" i="5"/>
  <c r="H14" i="5"/>
  <c r="G14" i="5"/>
  <c r="F14" i="5"/>
  <c r="E14" i="5"/>
  <c r="D14" i="5"/>
  <c r="C14" i="5"/>
  <c r="D13" i="5"/>
  <c r="E13" i="5" s="1"/>
  <c r="F13" i="5" s="1"/>
  <c r="G13" i="5" s="1"/>
  <c r="H13" i="5" s="1"/>
  <c r="I13" i="5" s="1"/>
  <c r="J13" i="5" s="1"/>
  <c r="K13" i="5" s="1"/>
  <c r="L13" i="5" s="1"/>
  <c r="D1" i="5"/>
  <c r="E1" i="5" s="1"/>
  <c r="F1" i="5" s="1"/>
  <c r="G1" i="5" s="1"/>
  <c r="H1" i="5" s="1"/>
  <c r="I1" i="5" s="1"/>
  <c r="J1" i="5" s="1"/>
  <c r="K1" i="5" s="1"/>
  <c r="L1" i="5" s="1"/>
  <c r="C33" i="5" l="1"/>
  <c r="D27" i="5"/>
  <c r="E19" i="5"/>
  <c r="C27" i="5"/>
  <c r="F19" i="5"/>
  <c r="H27" i="5"/>
  <c r="D19" i="5"/>
  <c r="G19" i="5"/>
  <c r="H19" i="5"/>
  <c r="I19" i="5"/>
  <c r="K19" i="5"/>
  <c r="D33" i="5"/>
  <c r="J19" i="5"/>
  <c r="H33" i="5"/>
  <c r="L19" i="5"/>
  <c r="C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<sst xmlns="http://schemas.openxmlformats.org/spreadsheetml/2006/main" count="229" uniqueCount="55">
  <si>
    <t>Ensym 1</t>
  </si>
  <si>
    <t>Ensym 2</t>
  </si>
  <si>
    <t>Skummetmælk</t>
  </si>
  <si>
    <t>Letmælk</t>
  </si>
  <si>
    <t>Tykmælk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</si>
  <si>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</si>
  <si>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</si>
  <si>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</si>
  <si>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</si>
  <si>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</si>
  <si>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</si>
  <si>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</si>
  <si>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</si>
  <si>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Produkter</t>
  </si>
  <si>
    <t xml:space="preserve">Letmælk </t>
  </si>
  <si>
    <t>Ingredientser</t>
  </si>
  <si>
    <t>Perioder</t>
  </si>
  <si>
    <t>Uge 1</t>
  </si>
  <si>
    <t>Uge 10</t>
  </si>
  <si>
    <t>Ekstern efterspørgsel (i liter)</t>
  </si>
  <si>
    <t>Startup omkostninger</t>
  </si>
  <si>
    <t>Maksimal produktion</t>
  </si>
  <si>
    <t>liter/uge</t>
  </si>
  <si>
    <t>Maksimal lagerkapacitet</t>
  </si>
  <si>
    <r>
      <t>r^</t>
    </r>
    <r>
      <rPr>
        <sz val="12"/>
        <color theme="1"/>
        <rFont val="Calibri (Body)"/>
      </rPr>
      <t>lk</t>
    </r>
  </si>
  <si>
    <t>Produktionsomkostninger/enhed</t>
  </si>
  <si>
    <t>Lageromkostning
per enhed ensym</t>
  </si>
  <si>
    <t>Lageromkostning
per liter mælk</t>
  </si>
  <si>
    <t>Leadtime</t>
  </si>
  <si>
    <t>Batch størrelser</t>
  </si>
  <si>
    <t>r^lk</t>
  </si>
  <si>
    <t>Uge 11</t>
  </si>
  <si>
    <t>Uge 12</t>
  </si>
  <si>
    <t>Lagerforbrug
per enhed</t>
  </si>
  <si>
    <t>Produktionskap.
Forb. Per enh.</t>
  </si>
  <si>
    <t>Primo
lager</t>
  </si>
  <si>
    <t>Enzym 1</t>
  </si>
  <si>
    <t>Enzym 2</t>
  </si>
  <si>
    <t>Total:</t>
  </si>
  <si>
    <t>Uge:</t>
  </si>
  <si>
    <t>Produktion</t>
  </si>
  <si>
    <t>Produktions/lagerkapacitetsforbrug pr. enhed:
Max: 220.000</t>
  </si>
  <si>
    <t>Løbende vægtede lagerniveauer:
Max: 110.000</t>
  </si>
  <si>
    <t>Enzymer nok til produktion?</t>
  </si>
  <si>
    <t>Enzym 1:</t>
  </si>
  <si>
    <t>Enzym 2:</t>
  </si>
  <si>
    <t>Efterspørgsel:</t>
  </si>
  <si>
    <t>Enzymer nok til produkt / Løbende lagerniveauer:</t>
  </si>
  <si>
    <t>variable omkostninger:</t>
  </si>
  <si>
    <t>Sammenligning af produktionsniveauer</t>
  </si>
  <si>
    <t>Opg 1:</t>
  </si>
  <si>
    <t>Opg 4:</t>
  </si>
  <si>
    <t>%-ændring:</t>
  </si>
  <si>
    <t>#-ændring:</t>
  </si>
  <si>
    <t>Sammenligning af lagerniveauer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</si>
</sst>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8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/>
    <xf numFmtId="0" fontId="0" fillId="2" borderId="14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2" fontId="0" fillId="3" borderId="4" xfId="0" applyNumberFormat="1" applyFill="1" applyBorder="1"/>
    <xf numFmtId="1" fontId="0" fillId="3" borderId="4" xfId="0" applyNumberFormat="1" applyFill="1" applyBorder="1"/>
    <xf numFmtId="2" fontId="0" fillId="3" borderId="5" xfId="0" applyNumberFormat="1" applyFill="1" applyBorder="1"/>
    <xf numFmtId="2" fontId="0" fillId="3" borderId="7" xfId="0" applyNumberFormat="1" applyFill="1" applyBorder="1"/>
    <xf numFmtId="2" fontId="0" fillId="3" borderId="9" xfId="0" applyNumberFormat="1" applyFill="1" applyBorder="1"/>
    <xf numFmtId="1" fontId="0" fillId="3" borderId="9" xfId="0" applyNumberFormat="1" applyFill="1" applyBorder="1"/>
    <xf numFmtId="2" fontId="0" fillId="3" borderId="10" xfId="0" applyNumberFormat="1" applyFill="1" applyBorder="1"/>
    <xf numFmtId="2" fontId="0" fillId="3" borderId="3" xfId="0" applyNumberFormat="1" applyFill="1" applyBorder="1"/>
    <xf numFmtId="2" fontId="0" fillId="3" borderId="6" xfId="0" applyNumberFormat="1" applyFill="1" applyBorder="1"/>
    <xf numFmtId="2" fontId="0" fillId="3" borderId="8" xfId="0" applyNumberFormat="1" applyFill="1" applyBorder="1"/>
    <xf numFmtId="0" fontId="0" fillId="2" borderId="2" xfId="0" applyFill="1" applyBorder="1" applyAlignment="1">
      <alignment wrapText="1"/>
    </xf>
    <xf numFmtId="0" fontId="1" fillId="2" borderId="14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5" borderId="14" xfId="0" applyFont="1" applyFill="1" applyBorder="1"/>
    <xf numFmtId="0" fontId="4" fillId="5" borderId="17" xfId="0" applyFont="1" applyFill="1" applyBorder="1"/>
    <xf numFmtId="0" fontId="4" fillId="4" borderId="16" xfId="0" applyFont="1" applyFill="1" applyBorder="1"/>
    <xf numFmtId="0" fontId="4" fillId="4" borderId="18" xfId="0" applyFont="1" applyFill="1" applyBorder="1"/>
    <xf numFmtId="0" fontId="0" fillId="3" borderId="19" xfId="0" applyFill="1" applyBorder="1"/>
    <xf numFmtId="0" fontId="0" fillId="3" borderId="16" xfId="0" applyFill="1" applyBorder="1"/>
    <xf numFmtId="0" fontId="0" fillId="3" borderId="20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1" fillId="2" borderId="16" xfId="0" applyFont="1" applyFill="1" applyBorder="1" applyAlignment="1">
      <alignment wrapText="1"/>
    </xf>
    <xf numFmtId="0" fontId="0" fillId="6" borderId="0" xfId="0" applyFill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0" xfId="0" applyFill="1" applyBorder="1"/>
    <xf numFmtId="0" fontId="0" fillId="6" borderId="28" xfId="0" applyFill="1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5" xfId="0" applyFill="1" applyBorder="1" applyAlignment="1">
      <alignment textRotation="255"/>
    </xf>
    <xf numFmtId="0" fontId="1" fillId="6" borderId="23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1" fillId="6" borderId="24" xfId="0" applyFont="1" applyFill="1" applyBorder="1"/>
    <xf numFmtId="0" fontId="0" fillId="6" borderId="0" xfId="0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1" fillId="2" borderId="0" xfId="0" applyFont="1" applyFill="1" applyBorder="1"/>
    <xf numFmtId="2" fontId="0" fillId="3" borderId="0" xfId="0" applyNumberFormat="1" applyFill="1" applyBorder="1"/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0" fillId="6" borderId="35" xfId="0" applyFont="1" applyFill="1" applyBorder="1" applyAlignment="1">
      <alignment vertical="center"/>
    </xf>
    <xf numFmtId="0" fontId="0" fillId="6" borderId="37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0" fillId="6" borderId="28" xfId="0" applyFill="1" applyBorder="1" applyAlignment="1">
      <alignment horizontal="right"/>
    </xf>
    <xf numFmtId="9" fontId="1" fillId="6" borderId="29" xfId="1" applyFont="1" applyFill="1" applyBorder="1" applyAlignment="1">
      <alignment horizontal="right"/>
    </xf>
    <xf numFmtId="9" fontId="1" fillId="6" borderId="30" xfId="1" applyFont="1" applyFill="1" applyBorder="1" applyAlignment="1">
      <alignment horizontal="right"/>
    </xf>
    <xf numFmtId="9" fontId="1" fillId="6" borderId="31" xfId="1" applyFont="1" applyFill="1" applyBorder="1" applyAlignment="1">
      <alignment horizontal="right"/>
    </xf>
    <xf numFmtId="0" fontId="1" fillId="6" borderId="0" xfId="0" applyFont="1" applyFill="1" applyBorder="1"/>
    <xf numFmtId="0" fontId="1" fillId="6" borderId="28" xfId="0" applyFont="1" applyFill="1" applyBorder="1"/>
    <xf numFmtId="0" fontId="0" fillId="6" borderId="26" xfId="0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6" borderId="28" xfId="0" applyFont="1" applyFill="1" applyBorder="1" applyAlignment="1">
      <alignment horizontal="right"/>
    </xf>
    <xf numFmtId="9" fontId="1" fillId="6" borderId="0" xfId="1" applyFont="1" applyFill="1" applyBorder="1" applyAlignment="1">
      <alignment horizontal="right"/>
    </xf>
    <xf numFmtId="0" fontId="1" fillId="6" borderId="25" xfId="0" applyFont="1" applyFill="1" applyBorder="1"/>
    <xf numFmtId="0" fontId="0" fillId="6" borderId="25" xfId="0" applyFill="1" applyBorder="1" applyAlignment="1">
      <alignment horizontal="right"/>
    </xf>
    <xf numFmtId="2" fontId="4" fillId="4" borderId="1" xfId="0" applyNumberFormat="1" applyFont="1" applyFill="1" applyBorder="1"/>
    <xf numFmtId="2" fontId="4" fillId="4" borderId="2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6" borderId="37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wrapText="1"/>
    </xf>
    <xf numFmtId="0" fontId="1" fillId="6" borderId="29" xfId="0" applyFont="1" applyFill="1" applyBorder="1" applyAlignment="1">
      <alignment horizontal="center" wrapText="1"/>
    </xf>
    <xf numFmtId="0" fontId="1" fillId="6" borderId="37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right"/>
    </xf>
    <xf numFmtId="0" fontId="0" fillId="6" borderId="33" xfId="0" applyFill="1" applyBorder="1" applyAlignment="1">
      <alignment horizontal="right"/>
    </xf>
    <xf numFmtId="0" fontId="0" fillId="6" borderId="27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1" fillId="6" borderId="37" xfId="0" applyFont="1" applyFill="1" applyBorder="1" applyAlignment="1">
      <alignment horizontal="center" vertical="center" textRotation="180"/>
    </xf>
    <xf numFmtId="0" fontId="1" fillId="6" borderId="35" xfId="0" applyFont="1" applyFill="1" applyBorder="1" applyAlignment="1">
      <alignment horizontal="center" vertical="center" textRotation="180"/>
    </xf>
    <xf numFmtId="0" fontId="1" fillId="6" borderId="36" xfId="0" applyFont="1" applyFill="1" applyBorder="1" applyAlignment="1">
      <alignment horizontal="center" vertical="center" textRotation="180"/>
    </xf>
  </cellXfs>
  <cellStyles count="2">
    <cellStyle name="Normal" xfId="0" builtinId="0"/>
    <cellStyle name="Procent" xfId="1" builtinId="5"/>
  </cellStyles>
  <dxfs count="3">
    <dxf>
      <font>
        <b/>
        <i val="0"/>
      </font>
      <fill>
        <patternFill>
          <bgColor theme="5" tint="-0.24994659260841701"/>
        </patternFill>
      </fill>
    </dxf>
    <dxf>
      <font>
        <b/>
        <i val="0"/>
      </font>
      <fill>
        <patternFill>
          <bgColor theme="5" tint="-0.24994659260841701"/>
        </patternFill>
      </fill>
    </dxf>
    <dxf>
      <font>
        <b/>
        <i val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647700</xdr:colOff>
      <xdr:row>3</xdr:row>
      <xdr:rowOff>139700</xdr:rowOff>
    </xdr:from>
    <xdr:to>
      <xdr:col>21</xdr:col>
      <xdr:colOff>139700</xdr:colOff>
      <xdr:row>8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FAC4040-03C5-884A-A7B5-132C200FD92B}"/>
            </a:ext>
          </a:extLst>
        </xdr:cNvPr>
        <xdr:cNvSpPr/>
      </xdr:nvSpPr>
      <xdr:spPr>
        <a:xfrm>
          <a:off x="134366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19</xdr:col>
      <xdr:colOff>304800</xdr:colOff>
      <xdr:row>15</xdr:row>
      <xdr:rowOff>76200</xdr:rowOff>
    </xdr:from>
    <xdr:to>
      <xdr:col>21</xdr:col>
      <xdr:colOff>482600</xdr:colOff>
      <xdr:row>20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C3C17D-0402-3D41-A6D1-AC227F9B1923}"/>
            </a:ext>
          </a:extLst>
        </xdr:cNvPr>
        <xdr:cNvSpPr/>
      </xdr:nvSpPr>
      <xdr:spPr>
        <a:xfrm>
          <a:off x="130937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Skummetmælk</a:t>
          </a:r>
        </a:p>
      </xdr:txBody>
    </xdr:sp>
    <xdr:clientData/>
  </xdr:twoCellAnchor>
  <xdr:twoCellAnchor>
    <xdr:from>
      <xdr:col>20</xdr:col>
      <xdr:colOff>393700</xdr:colOff>
      <xdr:row>8</xdr:row>
      <xdr:rowOff>38100</xdr:rowOff>
    </xdr:from>
    <xdr:to>
      <xdr:col>20</xdr:col>
      <xdr:colOff>393700</xdr:colOff>
      <xdr:row>15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C855585-3FB7-4442-864C-2CE4521EC872}"/>
            </a:ext>
          </a:extLst>
        </xdr:cNvPr>
        <xdr:cNvCxnSpPr>
          <a:stCxn id="2" idx="4"/>
          <a:endCxn id="3" idx="0"/>
        </xdr:cNvCxnSpPr>
      </xdr:nvCxnSpPr>
      <xdr:spPr>
        <a:xfrm>
          <a:off x="140081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3</xdr:row>
      <xdr:rowOff>139700</xdr:rowOff>
    </xdr:from>
    <xdr:to>
      <xdr:col>24</xdr:col>
      <xdr:colOff>431800</xdr:colOff>
      <xdr:row>8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238F9C2-D708-704B-9CD6-3E53EDA4953E}"/>
            </a:ext>
          </a:extLst>
        </xdr:cNvPr>
        <xdr:cNvSpPr/>
      </xdr:nvSpPr>
      <xdr:spPr>
        <a:xfrm>
          <a:off x="162052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22</xdr:col>
      <xdr:colOff>596900</xdr:colOff>
      <xdr:row>15</xdr:row>
      <xdr:rowOff>76200</xdr:rowOff>
    </xdr:from>
    <xdr:to>
      <xdr:col>24</xdr:col>
      <xdr:colOff>774700</xdr:colOff>
      <xdr:row>20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8E760F-20A3-A748-BAB5-5F6601D01F3A}"/>
            </a:ext>
          </a:extLst>
        </xdr:cNvPr>
        <xdr:cNvSpPr/>
      </xdr:nvSpPr>
      <xdr:spPr>
        <a:xfrm>
          <a:off x="158623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23</xdr:col>
      <xdr:colOff>685800</xdr:colOff>
      <xdr:row>8</xdr:row>
      <xdr:rowOff>38100</xdr:rowOff>
    </xdr:from>
    <xdr:to>
      <xdr:col>23</xdr:col>
      <xdr:colOff>685800</xdr:colOff>
      <xdr:row>15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F992B0-14A8-F645-8F58-CE17F99F3D69}"/>
            </a:ext>
          </a:extLst>
        </xdr:cNvPr>
        <xdr:cNvCxnSpPr>
          <a:stCxn id="8" idx="4"/>
          <a:endCxn id="9" idx="0"/>
        </xdr:cNvCxnSpPr>
      </xdr:nvCxnSpPr>
      <xdr:spPr>
        <a:xfrm>
          <a:off x="167767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3</xdr:row>
      <xdr:rowOff>63500</xdr:rowOff>
    </xdr:from>
    <xdr:to>
      <xdr:col>27</xdr:col>
      <xdr:colOff>355600</xdr:colOff>
      <xdr:row>7</xdr:row>
      <xdr:rowOff>165100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39A134-1E7D-5445-98E9-1D2D823A0B0F}"/>
            </a:ext>
          </a:extLst>
        </xdr:cNvPr>
        <xdr:cNvSpPr/>
      </xdr:nvSpPr>
      <xdr:spPr>
        <a:xfrm>
          <a:off x="186055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2</a:t>
          </a:r>
        </a:p>
      </xdr:txBody>
    </xdr:sp>
    <xdr:clientData/>
  </xdr:twoCellAnchor>
  <xdr:twoCellAnchor>
    <xdr:from>
      <xdr:col>26</xdr:col>
      <xdr:colOff>736600</xdr:colOff>
      <xdr:row>15</xdr:row>
      <xdr:rowOff>190500</xdr:rowOff>
    </xdr:from>
    <xdr:to>
      <xdr:col>29</xdr:col>
      <xdr:colOff>88900</xdr:colOff>
      <xdr:row>20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9A8E57A4-D186-C344-A719-8B7723F4918F}"/>
            </a:ext>
          </a:extLst>
        </xdr:cNvPr>
        <xdr:cNvSpPr/>
      </xdr:nvSpPr>
      <xdr:spPr>
        <a:xfrm>
          <a:off x="19304000" y="34671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Tykmælk</a:t>
          </a:r>
        </a:p>
      </xdr:txBody>
    </xdr:sp>
    <xdr:clientData/>
  </xdr:twoCellAnchor>
  <xdr:twoCellAnchor>
    <xdr:from>
      <xdr:col>26</xdr:col>
      <xdr:colOff>609600</xdr:colOff>
      <xdr:row>7</xdr:row>
      <xdr:rowOff>165100</xdr:rowOff>
    </xdr:from>
    <xdr:to>
      <xdr:col>28</xdr:col>
      <xdr:colOff>0</xdr:colOff>
      <xdr:row>15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814EA5-775B-3C43-A6D8-5CF1E0EF8710}"/>
            </a:ext>
          </a:extLst>
        </xdr:cNvPr>
        <xdr:cNvCxnSpPr>
          <a:stCxn id="11" idx="4"/>
          <a:endCxn id="12" idx="0"/>
        </xdr:cNvCxnSpPr>
      </xdr:nvCxnSpPr>
      <xdr:spPr>
        <a:xfrm>
          <a:off x="19177000" y="1816100"/>
          <a:ext cx="10414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558800</xdr:colOff>
      <xdr:row>3</xdr:row>
      <xdr:rowOff>63500</xdr:rowOff>
    </xdr:from>
    <xdr:to>
      <xdr:col>30</xdr:col>
      <xdr:colOff>50800</xdr:colOff>
      <xdr:row>7</xdr:row>
      <xdr:rowOff>165100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4A30A1E-8C1F-0D43-B7CB-5351183B8C91}"/>
            </a:ext>
          </a:extLst>
        </xdr:cNvPr>
        <xdr:cNvSpPr/>
      </xdr:nvSpPr>
      <xdr:spPr>
        <a:xfrm>
          <a:off x="207772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28</xdr:col>
      <xdr:colOff>0</xdr:colOff>
      <xdr:row>7</xdr:row>
      <xdr:rowOff>165100</xdr:rowOff>
    </xdr:from>
    <xdr:to>
      <xdr:col>29</xdr:col>
      <xdr:colOff>304800</xdr:colOff>
      <xdr:row>15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2DDEB82-7D0D-C24F-BD35-388BC5B5B457}"/>
            </a:ext>
          </a:extLst>
        </xdr:cNvPr>
        <xdr:cNvCxnSpPr>
          <a:stCxn id="15" idx="4"/>
          <a:endCxn id="12" idx="0"/>
        </xdr:cNvCxnSpPr>
      </xdr:nvCxnSpPr>
      <xdr:spPr>
        <a:xfrm flipH="1">
          <a:off x="20218400" y="1816100"/>
          <a:ext cx="11303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opLeftCell="A4" workbookViewId="0">
      <selection activeCell="G8" sqref="G8:G17"/>
    </sheetView>
  </sheetViews>
  <sheetFormatPr defaultColWidth="11" defaultRowHeight="15.75"/>
  <cols>
    <col min="1" max="1" width="21.625" bestFit="1" customWidth="1"/>
    <col min="2" max="2" width="12" bestFit="1" customWidth="1"/>
    <col min="3" max="3" width="13.625" bestFit="1" customWidth="1"/>
    <col min="4" max="4" width="14" bestFit="1" customWidth="1"/>
    <col min="5" max="5" width="13.5" bestFit="1" customWidth="1"/>
    <col min="6" max="6" width="14.625" customWidth="1"/>
    <col min="7" max="7" width="10.5" bestFit="1" customWidth="1"/>
    <col min="8" max="9" width="8.125" bestFit="1" customWidth="1"/>
    <col min="10" max="10" width="8.375" bestFit="1" customWidth="1"/>
    <col min="11" max="11" width="13.625" bestFit="1" customWidth="1"/>
    <col min="12" max="12" width="8.625" bestFit="1" customWidth="1"/>
    <col min="13" max="14" width="8.125" bestFit="1" customWidth="1"/>
    <col min="15" max="16" width="15.375" bestFit="1" customWidth="1"/>
  </cols>
  <sheetData>
    <row r="1" spans="1:24">
      <c r="A1" s="17" t="s">
        <v>13</v>
      </c>
      <c r="B1" s="17" t="s">
        <v>15</v>
      </c>
    </row>
    <row r="2" spans="1:24">
      <c r="A2" s="3" t="s">
        <v>14</v>
      </c>
      <c r="B2" s="3" t="s">
        <v>0</v>
      </c>
    </row>
    <row r="3" spans="1:24">
      <c r="A3" s="3" t="s">
        <v>2</v>
      </c>
      <c r="B3" s="3" t="s">
        <v>1</v>
      </c>
    </row>
    <row r="4" spans="1:24">
      <c r="A4" s="3" t="s">
        <v>4</v>
      </c>
      <c r="B4" s="3"/>
    </row>
    <row r="6" spans="1:24">
      <c r="A6" s="17"/>
      <c r="B6" s="97" t="s">
        <v>19</v>
      </c>
      <c r="C6" s="97"/>
      <c r="D6" s="97"/>
      <c r="E6" s="97" t="s">
        <v>25</v>
      </c>
      <c r="F6" s="97"/>
      <c r="G6" s="97"/>
      <c r="H6" s="97"/>
      <c r="I6" s="97"/>
      <c r="J6" s="98" t="s">
        <v>20</v>
      </c>
      <c r="K6" s="99"/>
      <c r="L6" s="99"/>
      <c r="M6" s="99"/>
      <c r="N6" s="100"/>
      <c r="O6" s="19"/>
      <c r="P6" s="17"/>
    </row>
    <row r="7" spans="1:24" ht="63.75" thickBot="1">
      <c r="A7" s="17" t="s">
        <v>16</v>
      </c>
      <c r="B7" s="22" t="s">
        <v>3</v>
      </c>
      <c r="C7" s="22" t="s">
        <v>2</v>
      </c>
      <c r="D7" s="22" t="s">
        <v>4</v>
      </c>
      <c r="E7" s="22" t="s">
        <v>3</v>
      </c>
      <c r="F7" s="22" t="s">
        <v>2</v>
      </c>
      <c r="G7" s="22" t="s">
        <v>4</v>
      </c>
      <c r="H7" s="22" t="s">
        <v>0</v>
      </c>
      <c r="I7" s="22" t="s">
        <v>1</v>
      </c>
      <c r="J7" s="22" t="s">
        <v>3</v>
      </c>
      <c r="K7" s="22" t="s">
        <v>2</v>
      </c>
      <c r="L7" s="22" t="s">
        <v>4</v>
      </c>
      <c r="M7" s="22" t="s">
        <v>0</v>
      </c>
      <c r="N7" s="22" t="s">
        <v>1</v>
      </c>
      <c r="O7" s="23" t="s">
        <v>26</v>
      </c>
      <c r="P7" s="23" t="s">
        <v>27</v>
      </c>
    </row>
    <row r="8" spans="1:24">
      <c r="A8" s="21" t="s">
        <v>17</v>
      </c>
      <c r="B8" s="14">
        <v>51989</v>
      </c>
      <c r="C8" s="6">
        <v>48011</v>
      </c>
      <c r="D8" s="6">
        <v>10487</v>
      </c>
      <c r="E8" s="24">
        <v>2.33</v>
      </c>
      <c r="F8" s="24">
        <v>5.67</v>
      </c>
      <c r="G8" s="24">
        <v>6.9691900989945568</v>
      </c>
      <c r="H8" s="6">
        <v>0.2</v>
      </c>
      <c r="I8" s="6">
        <v>0.3</v>
      </c>
      <c r="J8" s="25">
        <v>45000</v>
      </c>
      <c r="K8" s="25">
        <v>55000</v>
      </c>
      <c r="L8" s="25">
        <v>70000</v>
      </c>
      <c r="M8" s="25">
        <v>500</v>
      </c>
      <c r="N8" s="25">
        <v>500</v>
      </c>
      <c r="O8" s="24">
        <v>0.05</v>
      </c>
      <c r="P8" s="26">
        <v>0.1</v>
      </c>
      <c r="Q8" s="1"/>
      <c r="R8" s="1"/>
      <c r="S8" s="1"/>
      <c r="T8" s="1"/>
      <c r="U8" s="1"/>
      <c r="V8" s="1"/>
      <c r="W8" s="1"/>
      <c r="X8" s="1"/>
    </row>
    <row r="9" spans="1:24">
      <c r="A9" s="21" t="s">
        <v>5</v>
      </c>
      <c r="B9" s="15">
        <v>58678</v>
      </c>
      <c r="C9" s="3">
        <v>41623</v>
      </c>
      <c r="D9" s="3">
        <v>16836</v>
      </c>
      <c r="E9" s="4">
        <v>4.12</v>
      </c>
      <c r="F9" s="4">
        <v>3.92</v>
      </c>
      <c r="G9" s="4">
        <v>7.3885508949388425</v>
      </c>
      <c r="H9" s="3">
        <v>0.2</v>
      </c>
      <c r="I9" s="3">
        <v>0.3</v>
      </c>
      <c r="J9" s="20">
        <v>45000</v>
      </c>
      <c r="K9" s="20">
        <v>55000</v>
      </c>
      <c r="L9" s="20">
        <v>70000</v>
      </c>
      <c r="M9" s="20">
        <v>500</v>
      </c>
      <c r="N9" s="20">
        <v>500</v>
      </c>
      <c r="O9" s="4">
        <v>0.05</v>
      </c>
      <c r="P9" s="27">
        <v>0.1</v>
      </c>
      <c r="Q9" s="1"/>
      <c r="R9" s="1"/>
      <c r="S9" s="1"/>
      <c r="T9" s="1"/>
      <c r="U9" s="1"/>
      <c r="V9" s="1"/>
      <c r="W9" s="1"/>
      <c r="X9" s="1"/>
    </row>
    <row r="10" spans="1:24">
      <c r="A10" s="21" t="s">
        <v>6</v>
      </c>
      <c r="B10" s="15">
        <v>69351</v>
      </c>
      <c r="C10" s="3">
        <v>30843</v>
      </c>
      <c r="D10" s="3">
        <v>6996</v>
      </c>
      <c r="E10" s="4">
        <v>4.68</v>
      </c>
      <c r="F10" s="4">
        <v>3.18</v>
      </c>
      <c r="G10" s="4">
        <v>5.9891016872437799</v>
      </c>
      <c r="H10" s="3">
        <v>0.2</v>
      </c>
      <c r="I10" s="3">
        <v>0.3</v>
      </c>
      <c r="J10" s="20">
        <v>45000</v>
      </c>
      <c r="K10" s="20">
        <v>55000</v>
      </c>
      <c r="L10" s="20">
        <v>70000</v>
      </c>
      <c r="M10" s="20">
        <v>500</v>
      </c>
      <c r="N10" s="20">
        <v>500</v>
      </c>
      <c r="O10" s="4">
        <v>0.05</v>
      </c>
      <c r="P10" s="27">
        <v>0.1</v>
      </c>
      <c r="Q10" s="1"/>
      <c r="R10" s="1"/>
      <c r="S10" s="1"/>
      <c r="T10" s="1"/>
      <c r="U10" s="1"/>
      <c r="V10" s="1"/>
      <c r="W10" s="1"/>
      <c r="X10" s="1"/>
    </row>
    <row r="11" spans="1:24">
      <c r="A11" s="21" t="s">
        <v>7</v>
      </c>
      <c r="B11" s="15">
        <v>50036</v>
      </c>
      <c r="C11" s="3">
        <v>50561</v>
      </c>
      <c r="D11" s="3">
        <v>6654</v>
      </c>
      <c r="E11" s="4">
        <v>4.46</v>
      </c>
      <c r="F11" s="4">
        <v>3.51</v>
      </c>
      <c r="G11" s="4">
        <v>6.5000398125948449</v>
      </c>
      <c r="H11" s="3">
        <v>0.2</v>
      </c>
      <c r="I11" s="3">
        <v>0.3</v>
      </c>
      <c r="J11" s="20">
        <v>45000</v>
      </c>
      <c r="K11" s="20">
        <v>55000</v>
      </c>
      <c r="L11" s="20">
        <v>70000</v>
      </c>
      <c r="M11" s="20">
        <v>500</v>
      </c>
      <c r="N11" s="20">
        <v>500</v>
      </c>
      <c r="O11" s="4">
        <v>0.05</v>
      </c>
      <c r="P11" s="27">
        <v>0.1</v>
      </c>
      <c r="Q11" s="1"/>
      <c r="R11" s="1"/>
      <c r="S11" s="1"/>
      <c r="T11" s="1"/>
      <c r="U11" s="1"/>
      <c r="V11" s="1"/>
      <c r="W11" s="1"/>
      <c r="X11" s="1"/>
    </row>
    <row r="12" spans="1:24">
      <c r="A12" s="21" t="s">
        <v>8</v>
      </c>
      <c r="B12" s="15">
        <v>38533</v>
      </c>
      <c r="C12" s="3">
        <v>61924</v>
      </c>
      <c r="D12" s="3">
        <v>5697</v>
      </c>
      <c r="E12" s="4">
        <v>3.78</v>
      </c>
      <c r="F12" s="4">
        <v>4.13</v>
      </c>
      <c r="G12" s="4">
        <v>5.9997335039161719</v>
      </c>
      <c r="H12" s="3">
        <v>0.2</v>
      </c>
      <c r="I12" s="3">
        <v>0.5</v>
      </c>
      <c r="J12" s="20">
        <v>45000</v>
      </c>
      <c r="K12" s="20">
        <v>55000</v>
      </c>
      <c r="L12" s="20">
        <v>70000</v>
      </c>
      <c r="M12" s="20">
        <v>500</v>
      </c>
      <c r="N12" s="20">
        <v>500</v>
      </c>
      <c r="O12" s="4">
        <v>0.05</v>
      </c>
      <c r="P12" s="27">
        <v>0.1</v>
      </c>
      <c r="Q12" s="1"/>
      <c r="R12" s="1"/>
      <c r="S12" s="1"/>
      <c r="T12" s="1"/>
      <c r="U12" s="1"/>
      <c r="V12" s="1"/>
      <c r="W12" s="1"/>
      <c r="X12" s="1"/>
    </row>
    <row r="13" spans="1:24">
      <c r="A13" s="21" t="s">
        <v>9</v>
      </c>
      <c r="B13" s="15">
        <v>67617</v>
      </c>
      <c r="C13" s="3">
        <v>32537</v>
      </c>
      <c r="D13" s="3">
        <v>10602</v>
      </c>
      <c r="E13" s="4">
        <v>3.68</v>
      </c>
      <c r="F13" s="4">
        <v>4.1900000000000004</v>
      </c>
      <c r="G13" s="4">
        <v>8.1752685119593504</v>
      </c>
      <c r="H13" s="3">
        <v>0.1</v>
      </c>
      <c r="I13" s="3">
        <v>0.5</v>
      </c>
      <c r="J13" s="20">
        <v>45000</v>
      </c>
      <c r="K13" s="20">
        <v>55000</v>
      </c>
      <c r="L13" s="20">
        <v>70000</v>
      </c>
      <c r="M13" s="20">
        <v>500</v>
      </c>
      <c r="N13" s="20">
        <v>500</v>
      </c>
      <c r="O13" s="4">
        <v>0.05</v>
      </c>
      <c r="P13" s="27">
        <v>0.1</v>
      </c>
      <c r="Q13" s="1"/>
      <c r="R13" s="1"/>
      <c r="S13" s="1"/>
      <c r="T13" s="1"/>
      <c r="U13" s="1"/>
      <c r="V13" s="1"/>
      <c r="W13" s="1"/>
      <c r="X13" s="1"/>
    </row>
    <row r="14" spans="1:24">
      <c r="A14" s="21" t="s">
        <v>10</v>
      </c>
      <c r="B14" s="15">
        <v>62777</v>
      </c>
      <c r="C14" s="3">
        <v>36922</v>
      </c>
      <c r="D14" s="3">
        <v>7566</v>
      </c>
      <c r="E14" s="4">
        <v>5.75</v>
      </c>
      <c r="F14" s="4">
        <v>2.0499999999999998</v>
      </c>
      <c r="G14" s="4">
        <v>2.1201503777424584</v>
      </c>
      <c r="H14" s="3">
        <v>0.1</v>
      </c>
      <c r="I14" s="3">
        <v>0.5</v>
      </c>
      <c r="J14" s="20">
        <v>45000</v>
      </c>
      <c r="K14" s="20">
        <v>55000</v>
      </c>
      <c r="L14" s="20">
        <v>70000</v>
      </c>
      <c r="M14" s="20">
        <v>500</v>
      </c>
      <c r="N14" s="20">
        <v>500</v>
      </c>
      <c r="O14" s="4">
        <v>0.05</v>
      </c>
      <c r="P14" s="27">
        <v>0.6</v>
      </c>
      <c r="Q14" s="1"/>
      <c r="R14" s="1"/>
      <c r="S14" s="1"/>
      <c r="T14" s="1"/>
      <c r="U14" s="1"/>
      <c r="V14" s="1"/>
      <c r="W14" s="1"/>
      <c r="X14" s="1"/>
    </row>
    <row r="15" spans="1:24">
      <c r="A15" s="21" t="s">
        <v>11</v>
      </c>
      <c r="B15" s="15">
        <v>38909</v>
      </c>
      <c r="C15" s="3">
        <v>60629</v>
      </c>
      <c r="D15" s="3">
        <v>7156</v>
      </c>
      <c r="E15" s="4">
        <v>5.23</v>
      </c>
      <c r="F15" s="4">
        <v>2.4900000000000002</v>
      </c>
      <c r="G15" s="4">
        <v>2.8946890474964895</v>
      </c>
      <c r="H15" s="3">
        <v>0.1</v>
      </c>
      <c r="I15" s="3">
        <v>0.5</v>
      </c>
      <c r="J15" s="20">
        <v>45000</v>
      </c>
      <c r="K15" s="20">
        <v>55000</v>
      </c>
      <c r="L15" s="20">
        <v>70000</v>
      </c>
      <c r="M15" s="20">
        <v>500</v>
      </c>
      <c r="N15" s="20">
        <v>500</v>
      </c>
      <c r="O15" s="4">
        <v>0.05</v>
      </c>
      <c r="P15" s="27">
        <v>0.6</v>
      </c>
      <c r="Q15" s="1"/>
      <c r="R15" s="1"/>
      <c r="S15" s="1"/>
      <c r="T15" s="1"/>
      <c r="U15" s="1"/>
      <c r="V15" s="1"/>
      <c r="W15" s="1"/>
      <c r="X15" s="1"/>
    </row>
    <row r="16" spans="1:24">
      <c r="A16" s="21" t="s">
        <v>12</v>
      </c>
      <c r="B16" s="15">
        <v>41393</v>
      </c>
      <c r="C16" s="3">
        <v>58160</v>
      </c>
      <c r="D16" s="3">
        <v>4962</v>
      </c>
      <c r="E16" s="4">
        <v>2.6</v>
      </c>
      <c r="F16" s="4">
        <v>4.93</v>
      </c>
      <c r="G16" s="4">
        <v>5.4285908352185901</v>
      </c>
      <c r="H16" s="3">
        <v>0.1</v>
      </c>
      <c r="I16" s="3">
        <v>0.5</v>
      </c>
      <c r="J16" s="20">
        <v>45000</v>
      </c>
      <c r="K16" s="20">
        <v>55000</v>
      </c>
      <c r="L16" s="20">
        <v>70000</v>
      </c>
      <c r="M16" s="20">
        <v>500</v>
      </c>
      <c r="N16" s="20">
        <v>500</v>
      </c>
      <c r="O16" s="4">
        <v>0.05</v>
      </c>
      <c r="P16" s="27">
        <v>0.6</v>
      </c>
      <c r="Q16" s="1"/>
      <c r="R16" s="1"/>
      <c r="S16" s="1"/>
      <c r="T16" s="1"/>
      <c r="U16" s="1"/>
      <c r="V16" s="1"/>
      <c r="W16" s="1"/>
      <c r="X16" s="1"/>
    </row>
    <row r="17" spans="1:24" ht="16.5" thickBot="1">
      <c r="A17" s="21" t="s">
        <v>18</v>
      </c>
      <c r="B17" s="16">
        <v>31850</v>
      </c>
      <c r="C17" s="9">
        <v>67854</v>
      </c>
      <c r="D17" s="9">
        <v>3555</v>
      </c>
      <c r="E17" s="28">
        <v>3.27</v>
      </c>
      <c r="F17" s="28">
        <v>3.39</v>
      </c>
      <c r="G17" s="28">
        <v>3.916720249939794</v>
      </c>
      <c r="H17" s="9">
        <v>0.1</v>
      </c>
      <c r="I17" s="9">
        <v>0.5</v>
      </c>
      <c r="J17" s="29">
        <v>45000</v>
      </c>
      <c r="K17" s="29">
        <v>55000</v>
      </c>
      <c r="L17" s="29">
        <v>70000</v>
      </c>
      <c r="M17" s="29">
        <v>500</v>
      </c>
      <c r="N17" s="29">
        <v>500</v>
      </c>
      <c r="O17" s="28">
        <v>0.05</v>
      </c>
      <c r="P17" s="30">
        <v>0.6</v>
      </c>
      <c r="Q17" s="1"/>
      <c r="R17" s="1"/>
      <c r="S17" s="1"/>
      <c r="T17" s="1"/>
      <c r="U17" s="1"/>
      <c r="V17" s="1"/>
      <c r="W17" s="1"/>
      <c r="X17" s="1"/>
    </row>
    <row r="19" spans="1:24">
      <c r="A19" s="2" t="s">
        <v>21</v>
      </c>
      <c r="B19" s="3">
        <v>220000</v>
      </c>
      <c r="C19" s="3" t="s">
        <v>22</v>
      </c>
    </row>
    <row r="20" spans="1:24">
      <c r="A20" s="2" t="s">
        <v>23</v>
      </c>
      <c r="B20" s="3">
        <v>100000</v>
      </c>
      <c r="C20" s="3" t="s">
        <v>22</v>
      </c>
    </row>
    <row r="22" spans="1:24" ht="16.5" thickBot="1">
      <c r="A22" s="2" t="s">
        <v>24</v>
      </c>
      <c r="B22" s="5" t="s">
        <v>0</v>
      </c>
      <c r="C22" s="5" t="s">
        <v>1</v>
      </c>
      <c r="D22" s="5" t="s">
        <v>3</v>
      </c>
      <c r="E22" s="5" t="s">
        <v>2</v>
      </c>
      <c r="F22" s="5" t="s">
        <v>4</v>
      </c>
    </row>
    <row r="23" spans="1:24">
      <c r="A23" s="21" t="s">
        <v>0</v>
      </c>
      <c r="B23" s="31">
        <v>0</v>
      </c>
      <c r="C23" s="24">
        <v>0</v>
      </c>
      <c r="D23" s="24">
        <v>0</v>
      </c>
      <c r="E23" s="24">
        <v>0</v>
      </c>
      <c r="F23" s="26">
        <v>0</v>
      </c>
    </row>
    <row r="24" spans="1:24">
      <c r="A24" s="21" t="s">
        <v>1</v>
      </c>
      <c r="B24" s="32">
        <v>0</v>
      </c>
      <c r="C24" s="4">
        <v>0</v>
      </c>
      <c r="D24" s="4">
        <v>0</v>
      </c>
      <c r="E24" s="4">
        <v>0</v>
      </c>
      <c r="F24" s="27">
        <v>0</v>
      </c>
    </row>
    <row r="25" spans="1:24">
      <c r="A25" s="21" t="s">
        <v>3</v>
      </c>
      <c r="B25" s="32">
        <v>0.11</v>
      </c>
      <c r="C25" s="4">
        <v>0</v>
      </c>
      <c r="D25" s="4">
        <v>0</v>
      </c>
      <c r="E25" s="4">
        <v>0</v>
      </c>
      <c r="F25" s="27">
        <v>0</v>
      </c>
    </row>
    <row r="26" spans="1:24">
      <c r="A26" s="21" t="s">
        <v>2</v>
      </c>
      <c r="B26" s="32">
        <v>0.1</v>
      </c>
      <c r="C26" s="4">
        <v>0</v>
      </c>
      <c r="D26" s="4">
        <v>0</v>
      </c>
      <c r="E26" s="4">
        <v>0</v>
      </c>
      <c r="F26" s="27">
        <v>0</v>
      </c>
    </row>
    <row r="27" spans="1:24" ht="16.5" thickBot="1">
      <c r="A27" s="21" t="s">
        <v>4</v>
      </c>
      <c r="B27" s="33">
        <v>0</v>
      </c>
      <c r="C27" s="28">
        <v>0.15</v>
      </c>
      <c r="D27" s="28">
        <v>0.1</v>
      </c>
      <c r="E27" s="28">
        <v>0</v>
      </c>
      <c r="F27" s="30">
        <v>0</v>
      </c>
    </row>
    <row r="29" spans="1:24" ht="32.25" thickBot="1">
      <c r="A29" s="2"/>
      <c r="B29" s="5" t="s">
        <v>35</v>
      </c>
      <c r="C29" s="5" t="s">
        <v>28</v>
      </c>
      <c r="D29" s="5" t="s">
        <v>29</v>
      </c>
      <c r="E29" s="34" t="s">
        <v>33</v>
      </c>
      <c r="F29" s="34" t="s">
        <v>34</v>
      </c>
    </row>
    <row r="30" spans="1:24">
      <c r="A30" s="21" t="s">
        <v>0</v>
      </c>
      <c r="B30" s="26">
        <v>25000</v>
      </c>
      <c r="C30" s="6">
        <v>2</v>
      </c>
      <c r="D30" s="6">
        <v>1</v>
      </c>
      <c r="E30" s="24">
        <v>0</v>
      </c>
      <c r="F30" s="24">
        <v>0</v>
      </c>
    </row>
    <row r="31" spans="1:24">
      <c r="A31" s="21" t="s">
        <v>1</v>
      </c>
      <c r="B31" s="27">
        <v>2000</v>
      </c>
      <c r="C31" s="3">
        <v>2</v>
      </c>
      <c r="D31" s="3">
        <v>1</v>
      </c>
      <c r="E31" s="4">
        <v>0</v>
      </c>
      <c r="F31" s="4">
        <v>0</v>
      </c>
    </row>
    <row r="32" spans="1:24">
      <c r="A32" s="21" t="s">
        <v>3</v>
      </c>
      <c r="B32" s="27">
        <v>33333</v>
      </c>
      <c r="C32" s="3">
        <v>0</v>
      </c>
      <c r="D32" s="3">
        <v>100</v>
      </c>
      <c r="E32" s="4">
        <v>1</v>
      </c>
      <c r="F32" s="4">
        <v>1</v>
      </c>
    </row>
    <row r="33" spans="1:6">
      <c r="A33" s="21" t="s">
        <v>2</v>
      </c>
      <c r="B33" s="27">
        <v>37037</v>
      </c>
      <c r="C33" s="3">
        <v>0</v>
      </c>
      <c r="D33" s="3">
        <v>100</v>
      </c>
      <c r="E33" s="4">
        <v>1</v>
      </c>
      <c r="F33" s="4">
        <v>1</v>
      </c>
    </row>
    <row r="34" spans="1:6" ht="16.5" thickBot="1">
      <c r="A34" s="21" t="s">
        <v>4</v>
      </c>
      <c r="B34" s="30">
        <v>29630</v>
      </c>
      <c r="C34" s="9">
        <v>0</v>
      </c>
      <c r="D34" s="9">
        <v>100</v>
      </c>
      <c r="E34" s="28">
        <v>1</v>
      </c>
      <c r="F34" s="28">
        <v>1</v>
      </c>
    </row>
  </sheetData>
  <mergeCells count="3">
    <mergeCell ref="B6:D6"/>
    <mergeCell ref="E6:I6"/>
    <mergeCell ref="J6:N6"/>
  </mergeCells>
  <phoneticPr fontId="2" type="noConversion"/>
  <conditionalFormatting sqref="B23:F27 E30:F30 F31">
    <cfRule type="cellIs" dxfId="2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8588-86DB-524A-B367-2EF29CA7657E}">
  <dimension ref="A1:P66"/>
  <sheetViews>
    <sheetView topLeftCell="A2" workbookViewId="0">
      <selection activeCell="G8" sqref="G8:G19"/>
    </sheetView>
  </sheetViews>
  <sheetFormatPr defaultColWidth="11" defaultRowHeight="15.75"/>
  <cols>
    <col min="1" max="1" width="21.625" bestFit="1" customWidth="1"/>
    <col min="2" max="2" width="12" bestFit="1" customWidth="1"/>
    <col min="3" max="3" width="13.5" bestFit="1" customWidth="1"/>
    <col min="4" max="4" width="14" bestFit="1" customWidth="1"/>
    <col min="5" max="5" width="13.5" bestFit="1" customWidth="1"/>
    <col min="6" max="6" width="14" bestFit="1" customWidth="1"/>
    <col min="7" max="7" width="12.125" bestFit="1" customWidth="1"/>
    <col min="8" max="9" width="8" bestFit="1" customWidth="1"/>
    <col min="10" max="10" width="8.125" bestFit="1" customWidth="1"/>
    <col min="11" max="11" width="13.5" bestFit="1" customWidth="1"/>
    <col min="12" max="12" width="8.5" bestFit="1" customWidth="1"/>
    <col min="13" max="14" width="8" bestFit="1" customWidth="1"/>
    <col min="15" max="16" width="15.125" bestFit="1" customWidth="1"/>
  </cols>
  <sheetData>
    <row r="1" spans="1:16">
      <c r="A1" s="17" t="s">
        <v>13</v>
      </c>
      <c r="B1" s="17" t="s">
        <v>15</v>
      </c>
    </row>
    <row r="2" spans="1:16">
      <c r="A2" s="3" t="s">
        <v>14</v>
      </c>
      <c r="B2" s="3" t="s">
        <v>0</v>
      </c>
    </row>
    <row r="3" spans="1:16">
      <c r="A3" s="3" t="s">
        <v>2</v>
      </c>
      <c r="B3" s="3" t="s">
        <v>1</v>
      </c>
    </row>
    <row r="4" spans="1:16">
      <c r="A4" s="3" t="s">
        <v>4</v>
      </c>
      <c r="B4" s="3"/>
    </row>
    <row r="5" spans="1:16">
      <c r="E5" s="102" t="s">
        <v>48</v>
      </c>
      <c r="F5" s="102"/>
      <c r="G5" s="102"/>
      <c r="H5" s="102"/>
      <c r="I5" s="102"/>
    </row>
    <row r="6" spans="1:16" ht="16.5" thickBot="1">
      <c r="A6" s="17"/>
      <c r="B6" s="101" t="s">
        <v>19</v>
      </c>
      <c r="C6" s="101"/>
      <c r="D6" s="101"/>
      <c r="E6" s="101" t="s">
        <v>25</v>
      </c>
      <c r="F6" s="101"/>
      <c r="G6" s="101"/>
      <c r="H6" s="101"/>
      <c r="I6" s="101"/>
      <c r="J6" s="101" t="s">
        <v>20</v>
      </c>
      <c r="K6" s="101"/>
      <c r="L6" s="101"/>
      <c r="M6" s="101"/>
      <c r="N6" s="101"/>
      <c r="O6" s="17"/>
      <c r="P6" s="17"/>
    </row>
    <row r="7" spans="1:16" ht="33.950000000000003" customHeight="1">
      <c r="A7" s="35" t="s">
        <v>16</v>
      </c>
      <c r="B7" s="45" t="s">
        <v>3</v>
      </c>
      <c r="C7" s="46" t="s">
        <v>2</v>
      </c>
      <c r="D7" s="47" t="s">
        <v>4</v>
      </c>
      <c r="E7" s="45" t="s">
        <v>3</v>
      </c>
      <c r="F7" s="46" t="s">
        <v>2</v>
      </c>
      <c r="G7" s="46" t="s">
        <v>4</v>
      </c>
      <c r="H7" s="46" t="s">
        <v>0</v>
      </c>
      <c r="I7" s="47" t="s">
        <v>1</v>
      </c>
      <c r="J7" s="45" t="s">
        <v>3</v>
      </c>
      <c r="K7" s="46" t="s">
        <v>2</v>
      </c>
      <c r="L7" s="46" t="s">
        <v>4</v>
      </c>
      <c r="M7" s="46" t="s">
        <v>0</v>
      </c>
      <c r="N7" s="47" t="s">
        <v>1</v>
      </c>
      <c r="O7" s="52" t="s">
        <v>26</v>
      </c>
      <c r="P7" s="18" t="s">
        <v>27</v>
      </c>
    </row>
    <row r="8" spans="1:16">
      <c r="A8" s="38" t="s">
        <v>17</v>
      </c>
      <c r="B8" s="48">
        <v>51989</v>
      </c>
      <c r="C8" s="36">
        <v>48011</v>
      </c>
      <c r="D8" s="49">
        <v>10487</v>
      </c>
      <c r="E8" s="48">
        <v>2.33</v>
      </c>
      <c r="F8" s="36">
        <v>5.67</v>
      </c>
      <c r="G8" s="95">
        <v>6.9691900989945568</v>
      </c>
      <c r="H8" s="36">
        <v>0.2</v>
      </c>
      <c r="I8" s="49">
        <v>0.3</v>
      </c>
      <c r="J8" s="48">
        <v>45000</v>
      </c>
      <c r="K8" s="36">
        <v>55000</v>
      </c>
      <c r="L8" s="36">
        <v>70000</v>
      </c>
      <c r="M8" s="36">
        <v>500</v>
      </c>
      <c r="N8" s="49">
        <v>500</v>
      </c>
      <c r="O8" s="40">
        <v>0.05</v>
      </c>
      <c r="P8" s="36">
        <v>0.1</v>
      </c>
    </row>
    <row r="9" spans="1:16" ht="16.5" thickBot="1">
      <c r="A9" s="39" t="s">
        <v>5</v>
      </c>
      <c r="B9" s="50">
        <v>58678</v>
      </c>
      <c r="C9" s="37">
        <v>41623</v>
      </c>
      <c r="D9" s="51">
        <v>16836</v>
      </c>
      <c r="E9" s="50">
        <v>4.12</v>
      </c>
      <c r="F9" s="37">
        <v>3.92</v>
      </c>
      <c r="G9" s="96">
        <v>7.3885508949388425</v>
      </c>
      <c r="H9" s="37">
        <v>0.2</v>
      </c>
      <c r="I9" s="51">
        <v>0.3</v>
      </c>
      <c r="J9" s="50">
        <v>45000</v>
      </c>
      <c r="K9" s="37">
        <v>55000</v>
      </c>
      <c r="L9" s="37">
        <v>70000</v>
      </c>
      <c r="M9" s="37">
        <v>500</v>
      </c>
      <c r="N9" s="51">
        <v>500</v>
      </c>
      <c r="O9" s="41">
        <v>0.05</v>
      </c>
      <c r="P9" s="37">
        <v>0.1</v>
      </c>
    </row>
    <row r="10" spans="1:16">
      <c r="A10" s="11" t="s">
        <v>6</v>
      </c>
      <c r="B10" s="14">
        <v>69351</v>
      </c>
      <c r="C10" s="6">
        <v>30843</v>
      </c>
      <c r="D10" s="7">
        <v>6996</v>
      </c>
      <c r="E10" s="14">
        <v>4.68</v>
      </c>
      <c r="F10" s="6">
        <v>3.18</v>
      </c>
      <c r="G10" s="24">
        <v>5.9891016872437799</v>
      </c>
      <c r="H10" s="6">
        <v>0.2</v>
      </c>
      <c r="I10" s="7">
        <v>0.3</v>
      </c>
      <c r="J10" s="14">
        <v>45000</v>
      </c>
      <c r="K10" s="6">
        <v>55000</v>
      </c>
      <c r="L10" s="6">
        <v>70000</v>
      </c>
      <c r="M10" s="6">
        <v>500</v>
      </c>
      <c r="N10" s="7">
        <v>500</v>
      </c>
      <c r="O10" s="42">
        <v>0.05</v>
      </c>
      <c r="P10" s="7">
        <v>0.1</v>
      </c>
    </row>
    <row r="11" spans="1:16">
      <c r="A11" s="12" t="s">
        <v>7</v>
      </c>
      <c r="B11" s="15">
        <v>49787</v>
      </c>
      <c r="C11" s="3">
        <v>48169</v>
      </c>
      <c r="D11" s="8">
        <v>6706</v>
      </c>
      <c r="E11" s="15">
        <v>4.46</v>
      </c>
      <c r="F11" s="3">
        <v>3.51</v>
      </c>
      <c r="G11" s="4">
        <v>6.5000398125948449</v>
      </c>
      <c r="H11" s="3">
        <v>0.2</v>
      </c>
      <c r="I11" s="8">
        <v>0.3</v>
      </c>
      <c r="J11" s="15">
        <v>45000</v>
      </c>
      <c r="K11" s="3">
        <v>55000</v>
      </c>
      <c r="L11" s="3">
        <v>70000</v>
      </c>
      <c r="M11" s="3">
        <v>500</v>
      </c>
      <c r="N11" s="8">
        <v>500</v>
      </c>
      <c r="O11" s="43">
        <v>0.05</v>
      </c>
      <c r="P11" s="8">
        <v>0.1</v>
      </c>
    </row>
    <row r="12" spans="1:16">
      <c r="A12" s="12" t="s">
        <v>8</v>
      </c>
      <c r="B12" s="15">
        <v>38029</v>
      </c>
      <c r="C12" s="3">
        <v>62537</v>
      </c>
      <c r="D12" s="8">
        <v>5964</v>
      </c>
      <c r="E12" s="15">
        <v>3.78</v>
      </c>
      <c r="F12" s="3">
        <v>4.13</v>
      </c>
      <c r="G12" s="4">
        <v>5.9997335039161719</v>
      </c>
      <c r="H12" s="3">
        <v>0.2</v>
      </c>
      <c r="I12" s="8">
        <v>0.5</v>
      </c>
      <c r="J12" s="15">
        <v>45000</v>
      </c>
      <c r="K12" s="3">
        <v>55000</v>
      </c>
      <c r="L12" s="3">
        <v>70000</v>
      </c>
      <c r="M12" s="3">
        <v>500</v>
      </c>
      <c r="N12" s="8">
        <v>500</v>
      </c>
      <c r="O12" s="43">
        <v>0.05</v>
      </c>
      <c r="P12" s="8">
        <v>0.1</v>
      </c>
    </row>
    <row r="13" spans="1:16">
      <c r="A13" s="12" t="s">
        <v>9</v>
      </c>
      <c r="B13" s="15">
        <v>67202</v>
      </c>
      <c r="C13" s="3">
        <v>33902</v>
      </c>
      <c r="D13" s="8">
        <v>11026</v>
      </c>
      <c r="E13" s="15">
        <v>3.68</v>
      </c>
      <c r="F13" s="3">
        <v>4.1900000000000004</v>
      </c>
      <c r="G13" s="4">
        <v>8.1752685119593504</v>
      </c>
      <c r="H13" s="3">
        <v>0.1</v>
      </c>
      <c r="I13" s="8">
        <v>0.5</v>
      </c>
      <c r="J13" s="15">
        <v>45000</v>
      </c>
      <c r="K13" s="3">
        <v>55000</v>
      </c>
      <c r="L13" s="3">
        <v>70000</v>
      </c>
      <c r="M13" s="3">
        <v>500</v>
      </c>
      <c r="N13" s="8">
        <v>500</v>
      </c>
      <c r="O13" s="43">
        <v>0.05</v>
      </c>
      <c r="P13" s="8">
        <v>0.1</v>
      </c>
    </row>
    <row r="14" spans="1:16">
      <c r="A14" s="12" t="s">
        <v>10</v>
      </c>
      <c r="B14" s="15">
        <v>64832</v>
      </c>
      <c r="C14" s="3">
        <v>38351</v>
      </c>
      <c r="D14" s="8">
        <v>7772</v>
      </c>
      <c r="E14" s="15">
        <v>5.75</v>
      </c>
      <c r="F14" s="3">
        <v>2.0499999999999998</v>
      </c>
      <c r="G14" s="4">
        <v>2.1201503777424584</v>
      </c>
      <c r="H14" s="3">
        <v>0.1</v>
      </c>
      <c r="I14" s="8">
        <v>0.5</v>
      </c>
      <c r="J14" s="15">
        <v>45000</v>
      </c>
      <c r="K14" s="3">
        <v>55000</v>
      </c>
      <c r="L14" s="3">
        <v>70000</v>
      </c>
      <c r="M14" s="3">
        <v>500</v>
      </c>
      <c r="N14" s="8">
        <v>500</v>
      </c>
      <c r="O14" s="43">
        <v>0.05</v>
      </c>
      <c r="P14" s="8">
        <v>0.6</v>
      </c>
    </row>
    <row r="15" spans="1:16">
      <c r="A15" s="12" t="s">
        <v>11</v>
      </c>
      <c r="B15" s="15">
        <v>38083</v>
      </c>
      <c r="C15" s="3">
        <v>58125</v>
      </c>
      <c r="D15" s="8">
        <v>7117</v>
      </c>
      <c r="E15" s="15">
        <v>5.23</v>
      </c>
      <c r="F15" s="3">
        <v>2.4900000000000002</v>
      </c>
      <c r="G15" s="4">
        <v>2.8946890474964895</v>
      </c>
      <c r="H15" s="3">
        <v>0.1</v>
      </c>
      <c r="I15" s="8">
        <v>0.5</v>
      </c>
      <c r="J15" s="15">
        <v>45000</v>
      </c>
      <c r="K15" s="3">
        <v>55000</v>
      </c>
      <c r="L15" s="3">
        <v>70000</v>
      </c>
      <c r="M15" s="3">
        <v>500</v>
      </c>
      <c r="N15" s="8">
        <v>500</v>
      </c>
      <c r="O15" s="43">
        <v>0.05</v>
      </c>
      <c r="P15" s="8">
        <v>0.6</v>
      </c>
    </row>
    <row r="16" spans="1:16">
      <c r="A16" s="12" t="s">
        <v>12</v>
      </c>
      <c r="B16" s="15">
        <v>41580</v>
      </c>
      <c r="C16" s="3">
        <v>58384</v>
      </c>
      <c r="D16" s="8">
        <v>4840</v>
      </c>
      <c r="E16" s="15">
        <v>2.6</v>
      </c>
      <c r="F16" s="3">
        <v>4.93</v>
      </c>
      <c r="G16" s="4">
        <v>5.4285908352185901</v>
      </c>
      <c r="H16" s="3">
        <v>0.1</v>
      </c>
      <c r="I16" s="8">
        <v>0.5</v>
      </c>
      <c r="J16" s="15">
        <v>45000</v>
      </c>
      <c r="K16" s="3">
        <v>55000</v>
      </c>
      <c r="L16" s="3">
        <v>70000</v>
      </c>
      <c r="M16" s="3">
        <v>500</v>
      </c>
      <c r="N16" s="8">
        <v>500</v>
      </c>
      <c r="O16" s="43">
        <v>0.05</v>
      </c>
      <c r="P16" s="8">
        <v>0.6</v>
      </c>
    </row>
    <row r="17" spans="1:16">
      <c r="A17" s="12" t="s">
        <v>18</v>
      </c>
      <c r="B17" s="15">
        <v>30372</v>
      </c>
      <c r="C17" s="3">
        <v>70460</v>
      </c>
      <c r="D17" s="8">
        <v>3505</v>
      </c>
      <c r="E17" s="15">
        <v>3.27</v>
      </c>
      <c r="F17" s="3">
        <v>3.39</v>
      </c>
      <c r="G17" s="4">
        <v>3.916720249939794</v>
      </c>
      <c r="H17" s="3">
        <v>0.1</v>
      </c>
      <c r="I17" s="8">
        <v>0.5</v>
      </c>
      <c r="J17" s="15">
        <v>45000</v>
      </c>
      <c r="K17" s="3">
        <v>55000</v>
      </c>
      <c r="L17" s="3">
        <v>70000</v>
      </c>
      <c r="M17" s="3">
        <v>500</v>
      </c>
      <c r="N17" s="8">
        <v>500</v>
      </c>
      <c r="O17" s="43">
        <v>0.05</v>
      </c>
      <c r="P17" s="8">
        <v>0.6</v>
      </c>
    </row>
    <row r="18" spans="1:16">
      <c r="A18" s="12" t="s">
        <v>31</v>
      </c>
      <c r="B18" s="15">
        <v>35664</v>
      </c>
      <c r="C18" s="3">
        <v>75293</v>
      </c>
      <c r="D18" s="8">
        <v>8650</v>
      </c>
      <c r="E18" s="15">
        <v>3.57</v>
      </c>
      <c r="F18" s="3">
        <v>4.01</v>
      </c>
      <c r="G18" s="4">
        <v>5.7183683077894552</v>
      </c>
      <c r="H18" s="3">
        <v>0.1</v>
      </c>
      <c r="I18" s="8">
        <v>0.5</v>
      </c>
      <c r="J18" s="15">
        <v>45000</v>
      </c>
      <c r="K18" s="3">
        <v>55000</v>
      </c>
      <c r="L18" s="3">
        <v>70000</v>
      </c>
      <c r="M18" s="3">
        <v>500</v>
      </c>
      <c r="N18" s="8">
        <v>500</v>
      </c>
      <c r="O18" s="43">
        <v>0.05</v>
      </c>
      <c r="P18" s="8">
        <v>0.6</v>
      </c>
    </row>
    <row r="19" spans="1:16" ht="16.5" thickBot="1">
      <c r="A19" s="13" t="s">
        <v>32</v>
      </c>
      <c r="B19" s="16">
        <v>41007</v>
      </c>
      <c r="C19" s="9">
        <v>80477</v>
      </c>
      <c r="D19" s="10">
        <v>14017</v>
      </c>
      <c r="E19" s="16">
        <v>4.78</v>
      </c>
      <c r="F19" s="9">
        <v>3.54</v>
      </c>
      <c r="G19" s="28">
        <v>5.3792049912278141</v>
      </c>
      <c r="H19" s="9">
        <v>0.1</v>
      </c>
      <c r="I19" s="10">
        <v>0.5</v>
      </c>
      <c r="J19" s="16">
        <v>45000</v>
      </c>
      <c r="K19" s="9">
        <v>55000</v>
      </c>
      <c r="L19" s="9">
        <v>70000</v>
      </c>
      <c r="M19" s="9">
        <v>500</v>
      </c>
      <c r="N19" s="10">
        <v>500</v>
      </c>
      <c r="O19" s="44">
        <v>0.05</v>
      </c>
      <c r="P19" s="10">
        <v>0.6</v>
      </c>
    </row>
    <row r="20" spans="1:16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1" spans="1:16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2" spans="1:16">
      <c r="A22" s="74" t="str" cm="1">
        <f t="array" ref="A22:A36">TRANSPOSE(B7:P7)</f>
        <v>Letmælk</v>
      </c>
      <c r="B22" s="75" cm="1">
        <f t="array" ref="B22:K22">TRANSPOSE(B10:B19)</f>
        <v>69351</v>
      </c>
      <c r="C22" s="75">
        <v>49787</v>
      </c>
      <c r="D22" s="75">
        <v>38029</v>
      </c>
      <c r="E22" s="75">
        <v>67202</v>
      </c>
      <c r="F22" s="75">
        <v>64832</v>
      </c>
      <c r="G22" s="75">
        <v>38083</v>
      </c>
      <c r="H22" s="75">
        <v>41580</v>
      </c>
      <c r="I22" s="75">
        <v>30372</v>
      </c>
      <c r="J22" s="75">
        <v>35664</v>
      </c>
      <c r="K22" s="75">
        <v>41007</v>
      </c>
      <c r="L22" s="75"/>
      <c r="M22" s="75"/>
      <c r="N22" s="75"/>
      <c r="O22" s="75"/>
      <c r="P22" s="75"/>
    </row>
    <row r="23" spans="1:16">
      <c r="A23" s="74" t="str">
        <v>Skummetmælk</v>
      </c>
      <c r="B23" s="75" cm="1">
        <f t="array" ref="B23:K23">TRANSPOSE(C10:C19)</f>
        <v>30843</v>
      </c>
      <c r="C23" s="75">
        <v>48169</v>
      </c>
      <c r="D23" s="75">
        <v>62537</v>
      </c>
      <c r="E23" s="75">
        <v>33902</v>
      </c>
      <c r="F23" s="75">
        <v>38351</v>
      </c>
      <c r="G23" s="75">
        <v>58125</v>
      </c>
      <c r="H23" s="75">
        <v>58384</v>
      </c>
      <c r="I23" s="75">
        <v>70460</v>
      </c>
      <c r="J23" s="75">
        <v>75293</v>
      </c>
      <c r="K23" s="75">
        <v>80477</v>
      </c>
      <c r="L23" s="75"/>
      <c r="M23" s="75"/>
      <c r="N23" s="75"/>
      <c r="O23" s="75"/>
      <c r="P23" s="75"/>
    </row>
    <row r="24" spans="1:16">
      <c r="A24" s="74" t="str">
        <v>Tykmælk</v>
      </c>
      <c r="B24" s="75" cm="1">
        <f t="array" ref="B24:K24">TRANSPOSE(D10:D19)</f>
        <v>6996</v>
      </c>
      <c r="C24" s="75">
        <v>6706</v>
      </c>
      <c r="D24" s="75">
        <v>5964</v>
      </c>
      <c r="E24" s="75">
        <v>11026</v>
      </c>
      <c r="F24" s="75">
        <v>7772</v>
      </c>
      <c r="G24" s="75">
        <v>7117</v>
      </c>
      <c r="H24" s="75">
        <v>4840</v>
      </c>
      <c r="I24" s="75">
        <v>3505</v>
      </c>
      <c r="J24" s="75">
        <v>8650</v>
      </c>
      <c r="K24" s="75">
        <v>14017</v>
      </c>
      <c r="L24" s="75"/>
      <c r="M24" s="75"/>
      <c r="N24" s="75"/>
      <c r="O24" s="75"/>
      <c r="P24" s="75"/>
    </row>
    <row r="25" spans="1:16">
      <c r="A25" s="74" t="str">
        <v>Letmælk</v>
      </c>
      <c r="B25" s="75" cm="1">
        <f t="array" ref="B25:K25">TRANSPOSE(E10:E19)</f>
        <v>4.68</v>
      </c>
      <c r="C25" s="75">
        <v>4.46</v>
      </c>
      <c r="D25" s="75">
        <v>3.78</v>
      </c>
      <c r="E25" s="75">
        <v>3.68</v>
      </c>
      <c r="F25" s="75">
        <v>5.75</v>
      </c>
      <c r="G25" s="75">
        <v>5.23</v>
      </c>
      <c r="H25" s="75">
        <v>2.6</v>
      </c>
      <c r="I25" s="75">
        <v>3.27</v>
      </c>
      <c r="J25" s="75">
        <v>3.57</v>
      </c>
      <c r="K25" s="75">
        <v>4.78</v>
      </c>
      <c r="L25" s="75"/>
      <c r="M25" s="75"/>
      <c r="N25" s="75"/>
      <c r="O25" s="75"/>
      <c r="P25" s="75"/>
    </row>
    <row r="26" spans="1:16">
      <c r="A26" s="74" t="str">
        <v>Skummetmælk</v>
      </c>
      <c r="B26" s="75" cm="1">
        <f t="array" ref="B26:K26">TRANSPOSE(F10:F19)</f>
        <v>3.18</v>
      </c>
      <c r="C26" s="75">
        <v>3.51</v>
      </c>
      <c r="D26" s="75">
        <v>4.13</v>
      </c>
      <c r="E26" s="75">
        <v>4.1900000000000004</v>
      </c>
      <c r="F26" s="75">
        <v>2.0499999999999998</v>
      </c>
      <c r="G26" s="75">
        <v>2.4900000000000002</v>
      </c>
      <c r="H26" s="75">
        <v>4.93</v>
      </c>
      <c r="I26" s="75">
        <v>3.39</v>
      </c>
      <c r="J26" s="75">
        <v>4.01</v>
      </c>
      <c r="K26" s="75">
        <v>3.54</v>
      </c>
      <c r="L26" s="75"/>
      <c r="M26" s="75"/>
      <c r="N26" s="75"/>
      <c r="O26" s="75"/>
      <c r="P26" s="75"/>
    </row>
    <row r="27" spans="1:16">
      <c r="A27" s="74" t="str">
        <v>Tykmælk</v>
      </c>
      <c r="B27" s="75" cm="1">
        <f t="array" ref="B27:K27">TRANSPOSE(G10:G19)</f>
        <v>5.9891016872437799</v>
      </c>
      <c r="C27" s="75">
        <v>6.5000398125948449</v>
      </c>
      <c r="D27" s="75">
        <v>5.9997335039161719</v>
      </c>
      <c r="E27" s="75">
        <v>8.1752685119593504</v>
      </c>
      <c r="F27" s="75">
        <v>2.1201503777424584</v>
      </c>
      <c r="G27" s="75">
        <v>2.8946890474964895</v>
      </c>
      <c r="H27" s="75">
        <v>5.4285908352185901</v>
      </c>
      <c r="I27" s="75">
        <v>3.916720249939794</v>
      </c>
      <c r="J27" s="75">
        <v>5.7183683077894552</v>
      </c>
      <c r="K27" s="75">
        <v>5.3792049912278141</v>
      </c>
      <c r="L27" s="75"/>
      <c r="M27" s="75"/>
      <c r="N27" s="75"/>
      <c r="O27" s="75"/>
      <c r="P27" s="75"/>
    </row>
    <row r="28" spans="1:16">
      <c r="A28" s="74" t="str">
        <v>Ensym 1</v>
      </c>
      <c r="B28" s="75" cm="1">
        <f t="array" ref="B28:K28">TRANSPOSE(H10:H19)</f>
        <v>0.2</v>
      </c>
      <c r="C28" s="75">
        <v>0.2</v>
      </c>
      <c r="D28" s="75">
        <v>0.2</v>
      </c>
      <c r="E28" s="75">
        <v>0.1</v>
      </c>
      <c r="F28" s="75">
        <v>0.1</v>
      </c>
      <c r="G28" s="75">
        <v>0.1</v>
      </c>
      <c r="H28" s="75">
        <v>0.1</v>
      </c>
      <c r="I28" s="75">
        <v>0.1</v>
      </c>
      <c r="J28" s="75">
        <v>0.1</v>
      </c>
      <c r="K28" s="75">
        <v>0.1</v>
      </c>
      <c r="L28" s="75"/>
      <c r="M28" s="75"/>
      <c r="N28" s="75"/>
      <c r="O28" s="75"/>
      <c r="P28" s="75"/>
    </row>
    <row r="29" spans="1:16">
      <c r="A29" s="74" t="str">
        <v>Ensym 2</v>
      </c>
      <c r="B29" s="75" cm="1">
        <f t="array" ref="B29:K29">TRANSPOSE(I10:I19)</f>
        <v>0.3</v>
      </c>
      <c r="C29" s="75">
        <v>0.3</v>
      </c>
      <c r="D29" s="75">
        <v>0.5</v>
      </c>
      <c r="E29" s="75">
        <v>0.5</v>
      </c>
      <c r="F29" s="75">
        <v>0.5</v>
      </c>
      <c r="G29" s="75">
        <v>0.5</v>
      </c>
      <c r="H29" s="75">
        <v>0.5</v>
      </c>
      <c r="I29" s="75">
        <v>0.5</v>
      </c>
      <c r="J29" s="75">
        <v>0.5</v>
      </c>
      <c r="K29" s="75">
        <v>0.5</v>
      </c>
      <c r="L29" s="75"/>
      <c r="M29" s="75"/>
      <c r="N29" s="75"/>
      <c r="O29" s="75"/>
      <c r="P29" s="75"/>
    </row>
    <row r="30" spans="1:16">
      <c r="A30" s="74" t="str">
        <v>Letmælk</v>
      </c>
      <c r="B30" s="75" cm="1">
        <f t="array" ref="B30:K30">TRANSPOSE(J10:J19)</f>
        <v>45000</v>
      </c>
      <c r="C30" s="75">
        <v>45000</v>
      </c>
      <c r="D30" s="75">
        <v>45000</v>
      </c>
      <c r="E30" s="75">
        <v>45000</v>
      </c>
      <c r="F30" s="75">
        <v>45000</v>
      </c>
      <c r="G30" s="75">
        <v>45000</v>
      </c>
      <c r="H30" s="75">
        <v>45000</v>
      </c>
      <c r="I30" s="75">
        <v>45000</v>
      </c>
      <c r="J30" s="75">
        <v>45000</v>
      </c>
      <c r="K30" s="75">
        <v>45000</v>
      </c>
      <c r="L30" s="75"/>
      <c r="M30" s="75"/>
      <c r="N30" s="75"/>
      <c r="O30" s="75"/>
      <c r="P30" s="75"/>
    </row>
    <row r="31" spans="1:16">
      <c r="A31" s="74" t="str">
        <v>Skummetmælk</v>
      </c>
      <c r="B31" s="75" cm="1">
        <f t="array" ref="B31:K31">TRANSPOSE(K10:K19)</f>
        <v>55000</v>
      </c>
      <c r="C31" s="75">
        <v>55000</v>
      </c>
      <c r="D31" s="75">
        <v>55000</v>
      </c>
      <c r="E31" s="75">
        <v>55000</v>
      </c>
      <c r="F31" s="75">
        <v>55000</v>
      </c>
      <c r="G31" s="75">
        <v>55000</v>
      </c>
      <c r="H31" s="75">
        <v>55000</v>
      </c>
      <c r="I31" s="75">
        <v>55000</v>
      </c>
      <c r="J31" s="75">
        <v>55000</v>
      </c>
      <c r="K31" s="75">
        <v>55000</v>
      </c>
      <c r="L31" s="75"/>
      <c r="M31" s="75"/>
      <c r="N31" s="75"/>
      <c r="O31" s="75"/>
      <c r="P31" s="75"/>
    </row>
    <row r="32" spans="1:16">
      <c r="A32" s="74" t="str">
        <v>Tykmælk</v>
      </c>
      <c r="B32" s="75" cm="1">
        <f t="array" ref="B32:K32">TRANSPOSE(L10:L19)</f>
        <v>70000</v>
      </c>
      <c r="C32" s="75">
        <v>70000</v>
      </c>
      <c r="D32" s="75">
        <v>70000</v>
      </c>
      <c r="E32" s="75">
        <v>70000</v>
      </c>
      <c r="F32" s="75">
        <v>70000</v>
      </c>
      <c r="G32" s="75">
        <v>70000</v>
      </c>
      <c r="H32" s="75">
        <v>70000</v>
      </c>
      <c r="I32" s="75">
        <v>70000</v>
      </c>
      <c r="J32" s="75">
        <v>70000</v>
      </c>
      <c r="K32" s="75">
        <v>70000</v>
      </c>
      <c r="L32" s="75"/>
      <c r="M32" s="75"/>
      <c r="N32" s="75"/>
      <c r="O32" s="75"/>
      <c r="P32" s="75"/>
    </row>
    <row r="33" spans="1:16">
      <c r="A33" s="74" t="str">
        <v>Ensym 1</v>
      </c>
      <c r="B33" s="75" cm="1">
        <f t="array" ref="B33:K33">TRANSPOSE(M10:M19)</f>
        <v>500</v>
      </c>
      <c r="C33" s="75">
        <v>500</v>
      </c>
      <c r="D33" s="75">
        <v>500</v>
      </c>
      <c r="E33" s="75">
        <v>500</v>
      </c>
      <c r="F33" s="75">
        <v>500</v>
      </c>
      <c r="G33" s="75">
        <v>500</v>
      </c>
      <c r="H33" s="75">
        <v>500</v>
      </c>
      <c r="I33" s="75">
        <v>500</v>
      </c>
      <c r="J33" s="75">
        <v>500</v>
      </c>
      <c r="K33" s="75">
        <v>500</v>
      </c>
      <c r="L33" s="75"/>
      <c r="M33" s="75"/>
      <c r="N33" s="75"/>
      <c r="O33" s="75"/>
      <c r="P33" s="75"/>
    </row>
    <row r="34" spans="1:16">
      <c r="A34" s="74" t="str">
        <v>Ensym 2</v>
      </c>
      <c r="B34" s="75" cm="1">
        <f t="array" ref="B34:K34">TRANSPOSE(N10:N19)</f>
        <v>500</v>
      </c>
      <c r="C34" s="75">
        <v>500</v>
      </c>
      <c r="D34" s="75">
        <v>500</v>
      </c>
      <c r="E34" s="75">
        <v>500</v>
      </c>
      <c r="F34" s="75">
        <v>500</v>
      </c>
      <c r="G34" s="75">
        <v>500</v>
      </c>
      <c r="H34" s="75">
        <v>500</v>
      </c>
      <c r="I34" s="75">
        <v>500</v>
      </c>
      <c r="J34" s="75">
        <v>500</v>
      </c>
      <c r="K34" s="75">
        <v>500</v>
      </c>
      <c r="L34" s="75"/>
      <c r="M34" s="75"/>
      <c r="N34" s="75"/>
      <c r="O34" s="75"/>
      <c r="P34" s="75"/>
    </row>
    <row r="35" spans="1:16">
      <c r="A35" s="74" t="str">
        <v>Lageromkostning
per enhed ensym</v>
      </c>
      <c r="B35" s="75" cm="1">
        <f t="array" ref="B35:K35">TRANSPOSE(O10:O19)</f>
        <v>0.05</v>
      </c>
      <c r="C35" s="75">
        <v>0.05</v>
      </c>
      <c r="D35" s="75">
        <v>0.05</v>
      </c>
      <c r="E35" s="75">
        <v>0.05</v>
      </c>
      <c r="F35" s="75">
        <v>0.05</v>
      </c>
      <c r="G35" s="75">
        <v>0.05</v>
      </c>
      <c r="H35" s="75">
        <v>0.05</v>
      </c>
      <c r="I35" s="75">
        <v>0.05</v>
      </c>
      <c r="J35" s="75">
        <v>0.05</v>
      </c>
      <c r="K35" s="75">
        <v>0.05</v>
      </c>
      <c r="L35" s="75"/>
      <c r="M35" s="75"/>
      <c r="N35" s="75"/>
      <c r="O35" s="75"/>
      <c r="P35" s="75"/>
    </row>
    <row r="36" spans="1:16">
      <c r="A36" s="74" t="str">
        <v>Lageromkostning
per liter mælk</v>
      </c>
      <c r="B36" s="75" cm="1">
        <f t="array" ref="B36:K36">TRANSPOSE(P10:P19)</f>
        <v>0.1</v>
      </c>
      <c r="C36" s="75">
        <v>0.1</v>
      </c>
      <c r="D36" s="75">
        <v>0.1</v>
      </c>
      <c r="E36" s="75">
        <v>0.1</v>
      </c>
      <c r="F36" s="75">
        <v>0.6</v>
      </c>
      <c r="G36" s="75">
        <v>0.6</v>
      </c>
      <c r="H36" s="75">
        <v>0.6</v>
      </c>
      <c r="I36" s="75">
        <v>0.6</v>
      </c>
      <c r="J36" s="75">
        <v>0.6</v>
      </c>
      <c r="K36" s="75">
        <v>0.6</v>
      </c>
      <c r="L36" s="75"/>
      <c r="M36" s="75"/>
      <c r="N36" s="75"/>
      <c r="O36" s="75"/>
      <c r="P36" s="75"/>
    </row>
    <row r="37" spans="1:16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spans="1:16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40" spans="1:16">
      <c r="A40" s="17" t="s">
        <v>21</v>
      </c>
      <c r="B40" s="3">
        <v>220000</v>
      </c>
      <c r="C40" s="3" t="s">
        <v>22</v>
      </c>
    </row>
    <row r="41" spans="1:16">
      <c r="A41" s="17" t="s">
        <v>23</v>
      </c>
      <c r="B41" s="3">
        <v>100000</v>
      </c>
      <c r="C41" s="3" t="s">
        <v>22</v>
      </c>
    </row>
    <row r="42" spans="1:16" ht="18" customHeight="1"/>
    <row r="43" spans="1:16" ht="16.5" thickBot="1">
      <c r="A43" s="17" t="s">
        <v>30</v>
      </c>
      <c r="B43" s="22" t="s">
        <v>0</v>
      </c>
      <c r="C43" s="22" t="s">
        <v>1</v>
      </c>
      <c r="D43" s="22" t="s">
        <v>3</v>
      </c>
      <c r="E43" s="22" t="s">
        <v>2</v>
      </c>
      <c r="F43" s="22" t="s">
        <v>4</v>
      </c>
    </row>
    <row r="44" spans="1:16">
      <c r="A44" s="35" t="s">
        <v>0</v>
      </c>
      <c r="B44" s="31">
        <v>0</v>
      </c>
      <c r="C44" s="24">
        <v>0</v>
      </c>
      <c r="D44" s="24">
        <v>0</v>
      </c>
      <c r="E44" s="24">
        <v>0</v>
      </c>
      <c r="F44" s="26">
        <v>0</v>
      </c>
    </row>
    <row r="45" spans="1:16">
      <c r="A45" s="35" t="s">
        <v>1</v>
      </c>
      <c r="B45" s="32">
        <v>0</v>
      </c>
      <c r="C45" s="4">
        <v>0</v>
      </c>
      <c r="D45" s="4">
        <v>0</v>
      </c>
      <c r="E45" s="4">
        <v>0</v>
      </c>
      <c r="F45" s="27">
        <v>0</v>
      </c>
    </row>
    <row r="46" spans="1:16">
      <c r="A46" s="35" t="s">
        <v>3</v>
      </c>
      <c r="B46" s="32">
        <v>0.11</v>
      </c>
      <c r="C46" s="4">
        <v>0</v>
      </c>
      <c r="D46" s="4">
        <v>0</v>
      </c>
      <c r="E46" s="4">
        <v>0</v>
      </c>
      <c r="F46" s="27">
        <v>0</v>
      </c>
    </row>
    <row r="47" spans="1:16">
      <c r="A47" s="35" t="s">
        <v>2</v>
      </c>
      <c r="B47" s="32">
        <v>0.1</v>
      </c>
      <c r="C47" s="4">
        <v>0</v>
      </c>
      <c r="D47" s="4">
        <v>0</v>
      </c>
      <c r="E47" s="4">
        <v>0</v>
      </c>
      <c r="F47" s="27">
        <v>0</v>
      </c>
    </row>
    <row r="48" spans="1:16" ht="16.5" thickBot="1">
      <c r="A48" s="35" t="s">
        <v>4</v>
      </c>
      <c r="B48" s="33">
        <v>0</v>
      </c>
      <c r="C48" s="28">
        <v>0.15</v>
      </c>
      <c r="D48" s="28">
        <v>0.1</v>
      </c>
      <c r="E48" s="28">
        <v>0</v>
      </c>
      <c r="F48" s="30">
        <v>0</v>
      </c>
    </row>
    <row r="49" spans="1:6">
      <c r="A49" s="76"/>
      <c r="B49" s="77"/>
      <c r="C49" s="77"/>
      <c r="D49" s="77"/>
      <c r="E49" s="77"/>
      <c r="F49" s="77"/>
    </row>
    <row r="50" spans="1:6">
      <c r="A50" s="76"/>
      <c r="B50" s="77"/>
      <c r="C50" s="77"/>
      <c r="D50" s="77"/>
      <c r="E50" s="77"/>
      <c r="F50" s="77"/>
    </row>
    <row r="51" spans="1:6">
      <c r="A51" s="76"/>
      <c r="B51" s="77"/>
      <c r="C51" s="77"/>
      <c r="D51" s="77"/>
      <c r="E51" s="77"/>
      <c r="F51" s="77"/>
    </row>
    <row r="52" spans="1:6">
      <c r="A52" s="76"/>
      <c r="B52" s="77"/>
      <c r="C52" s="77"/>
      <c r="D52" s="77"/>
      <c r="E52" s="77"/>
      <c r="F52" s="77"/>
    </row>
    <row r="53" spans="1:6">
      <c r="A53" s="76"/>
      <c r="B53" s="77"/>
      <c r="C53" s="77"/>
      <c r="D53" s="77"/>
      <c r="E53" s="77"/>
      <c r="F53" s="77"/>
    </row>
    <row r="54" spans="1:6">
      <c r="A54" s="76"/>
      <c r="B54" s="77"/>
      <c r="C54" s="77"/>
      <c r="D54" s="77"/>
      <c r="E54" s="77"/>
      <c r="F54" s="77"/>
    </row>
    <row r="55" spans="1:6">
      <c r="A55" s="76"/>
      <c r="B55" s="77"/>
      <c r="C55" s="77"/>
      <c r="D55" s="77"/>
      <c r="E55" s="77"/>
      <c r="F55" s="77"/>
    </row>
    <row r="56" spans="1:6">
      <c r="A56" s="76"/>
      <c r="B56" s="77"/>
      <c r="C56" s="77"/>
      <c r="D56" s="77"/>
      <c r="E56" s="77"/>
      <c r="F56" s="77"/>
    </row>
    <row r="57" spans="1:6">
      <c r="A57" s="76"/>
      <c r="B57" s="77"/>
      <c r="C57" s="77"/>
      <c r="D57" s="77"/>
      <c r="E57" s="77"/>
      <c r="F57" s="77"/>
    </row>
    <row r="58" spans="1:6">
      <c r="A58" s="76"/>
      <c r="B58" s="77"/>
      <c r="C58" s="77"/>
      <c r="D58" s="77"/>
      <c r="E58" s="77"/>
      <c r="F58" s="77"/>
    </row>
    <row r="59" spans="1:6">
      <c r="A59" s="76"/>
      <c r="B59" s="77"/>
      <c r="C59" s="77"/>
      <c r="D59" s="77"/>
      <c r="E59" s="77"/>
      <c r="F59" s="77"/>
    </row>
    <row r="61" spans="1:6" ht="32.25" thickBot="1">
      <c r="A61" s="2"/>
      <c r="B61" s="5" t="s">
        <v>35</v>
      </c>
      <c r="C61" s="5" t="s">
        <v>28</v>
      </c>
      <c r="D61" s="5" t="s">
        <v>29</v>
      </c>
      <c r="E61" s="34" t="s">
        <v>33</v>
      </c>
      <c r="F61" s="34" t="s">
        <v>34</v>
      </c>
    </row>
    <row r="62" spans="1:6">
      <c r="A62" s="21" t="s">
        <v>0</v>
      </c>
      <c r="B62" s="31">
        <v>25000</v>
      </c>
      <c r="C62" s="6">
        <v>2</v>
      </c>
      <c r="D62" s="6">
        <v>1</v>
      </c>
      <c r="E62" s="24">
        <v>0</v>
      </c>
      <c r="F62" s="26">
        <v>0</v>
      </c>
    </row>
    <row r="63" spans="1:6">
      <c r="A63" s="21" t="s">
        <v>1</v>
      </c>
      <c r="B63" s="32">
        <v>2000</v>
      </c>
      <c r="C63" s="3">
        <v>2</v>
      </c>
      <c r="D63" s="3">
        <v>1</v>
      </c>
      <c r="E63" s="4">
        <v>0</v>
      </c>
      <c r="F63" s="27">
        <v>0</v>
      </c>
    </row>
    <row r="64" spans="1:6">
      <c r="A64" s="21" t="s">
        <v>3</v>
      </c>
      <c r="B64" s="32">
        <v>33333</v>
      </c>
      <c r="C64" s="3">
        <v>0</v>
      </c>
      <c r="D64" s="3">
        <v>100</v>
      </c>
      <c r="E64" s="4">
        <v>1</v>
      </c>
      <c r="F64" s="27">
        <v>1</v>
      </c>
    </row>
    <row r="65" spans="1:6">
      <c r="A65" s="21" t="s">
        <v>2</v>
      </c>
      <c r="B65" s="32">
        <v>37037</v>
      </c>
      <c r="C65" s="3">
        <v>0</v>
      </c>
      <c r="D65" s="3">
        <v>100</v>
      </c>
      <c r="E65" s="4">
        <v>1</v>
      </c>
      <c r="F65" s="27">
        <v>1</v>
      </c>
    </row>
    <row r="66" spans="1:6" ht="16.5" thickBot="1">
      <c r="A66" s="21" t="s">
        <v>4</v>
      </c>
      <c r="B66" s="33">
        <v>29630</v>
      </c>
      <c r="C66" s="9">
        <v>0</v>
      </c>
      <c r="D66" s="9">
        <v>100</v>
      </c>
      <c r="E66" s="28">
        <v>1</v>
      </c>
      <c r="F66" s="30">
        <v>1</v>
      </c>
    </row>
  </sheetData>
  <mergeCells count="4">
    <mergeCell ref="B6:D6"/>
    <mergeCell ref="E6:I6"/>
    <mergeCell ref="J6:N6"/>
    <mergeCell ref="E5:I5"/>
  </mergeCells>
  <conditionalFormatting sqref="E62:F62 F63">
    <cfRule type="cellIs" dxfId="1" priority="3" operator="greaterThan">
      <formula>0</formula>
    </cfRule>
  </conditionalFormatting>
  <conditionalFormatting sqref="B44:F5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2FFA-97F6-43D9-A8C6-B456621516B8}">
  <dimension ref="A1:K15"/>
  <sheetViews>
    <sheetView workbookViewId="0">
      <selection activeCell="D8" sqref="D8"/>
    </sheetView>
  </sheetViews>
  <sheetFormatPr defaultRowHeight="15.75"/>
  <cols>
    <col min="1" max="1" width="30.25" bestFit="1" customWidth="1"/>
    <col min="2" max="8" width="11.875" bestFit="1" customWidth="1"/>
    <col min="9" max="9" width="10.875" bestFit="1" customWidth="1"/>
    <col min="10" max="11" width="11.875" bestFit="1" customWidth="1"/>
  </cols>
  <sheetData>
    <row r="1" spans="1:11">
      <c r="A1" t="s">
        <v>3</v>
      </c>
      <c r="B1" s="1">
        <v>69351</v>
      </c>
      <c r="C1" s="1">
        <v>49787</v>
      </c>
      <c r="D1" s="1">
        <v>38029</v>
      </c>
      <c r="E1" s="1">
        <v>67202</v>
      </c>
      <c r="F1" s="1">
        <v>64832</v>
      </c>
      <c r="G1" s="1">
        <v>38083</v>
      </c>
      <c r="H1" s="1">
        <v>41580</v>
      </c>
      <c r="I1" s="1">
        <v>30372</v>
      </c>
      <c r="J1" s="1">
        <v>35664</v>
      </c>
      <c r="K1" s="1">
        <v>41007</v>
      </c>
    </row>
    <row r="2" spans="1:11">
      <c r="A2" t="s">
        <v>2</v>
      </c>
      <c r="B2" s="1">
        <v>30843</v>
      </c>
      <c r="C2" s="1">
        <v>48169</v>
      </c>
      <c r="D2" s="1">
        <v>62537</v>
      </c>
      <c r="E2" s="1">
        <v>33902</v>
      </c>
      <c r="F2" s="1">
        <v>38351</v>
      </c>
      <c r="G2" s="1">
        <v>58125</v>
      </c>
      <c r="H2" s="1">
        <v>58384</v>
      </c>
      <c r="I2" s="1">
        <v>70460</v>
      </c>
      <c r="J2" s="1">
        <v>75293</v>
      </c>
      <c r="K2" s="1">
        <v>80477</v>
      </c>
    </row>
    <row r="3" spans="1:11">
      <c r="A3" t="s">
        <v>4</v>
      </c>
      <c r="B3" s="1">
        <v>6996</v>
      </c>
      <c r="C3" s="1">
        <v>6706</v>
      </c>
      <c r="D3" s="1">
        <v>5964</v>
      </c>
      <c r="E3" s="1">
        <v>11026</v>
      </c>
      <c r="F3" s="1">
        <v>7772</v>
      </c>
      <c r="G3" s="1">
        <v>7117</v>
      </c>
      <c r="H3" s="1">
        <v>4840</v>
      </c>
      <c r="I3" s="1">
        <v>3505</v>
      </c>
      <c r="J3" s="1">
        <v>8650</v>
      </c>
      <c r="K3" s="1">
        <v>14017</v>
      </c>
    </row>
    <row r="4" spans="1:11">
      <c r="A4" t="s">
        <v>3</v>
      </c>
      <c r="B4" s="1">
        <v>4.68</v>
      </c>
      <c r="C4" s="1">
        <v>4.46</v>
      </c>
      <c r="D4" s="1">
        <v>3.78</v>
      </c>
      <c r="E4" s="1">
        <v>3.68</v>
      </c>
      <c r="F4" s="1">
        <v>5.75</v>
      </c>
      <c r="G4" s="1">
        <v>5.23</v>
      </c>
      <c r="H4" s="1">
        <v>2.6</v>
      </c>
      <c r="I4" s="1">
        <v>3.27</v>
      </c>
      <c r="J4" s="1">
        <v>3.57</v>
      </c>
      <c r="K4" s="1">
        <v>4.78</v>
      </c>
    </row>
    <row r="5" spans="1:11">
      <c r="A5" t="s">
        <v>2</v>
      </c>
      <c r="B5" s="1">
        <v>3.18</v>
      </c>
      <c r="C5" s="1">
        <v>3.51</v>
      </c>
      <c r="D5" s="1">
        <v>4.13</v>
      </c>
      <c r="E5" s="1">
        <v>4.1900000000000004</v>
      </c>
      <c r="F5" s="1">
        <v>2.0499999999999998</v>
      </c>
      <c r="G5" s="1">
        <v>2.4900000000000002</v>
      </c>
      <c r="H5" s="1">
        <v>4.93</v>
      </c>
      <c r="I5" s="1">
        <v>3.39</v>
      </c>
      <c r="J5" s="1">
        <v>4.01</v>
      </c>
      <c r="K5" s="1">
        <v>3.54</v>
      </c>
    </row>
    <row r="6" spans="1:11">
      <c r="A6" t="s">
        <v>4</v>
      </c>
      <c r="B6" s="1">
        <v>5.9891016872437799</v>
      </c>
      <c r="C6" s="1">
        <v>6.5000398125948449</v>
      </c>
      <c r="D6" s="1">
        <v>5.9997335039161719</v>
      </c>
      <c r="E6" s="1">
        <v>8.1752685119593504</v>
      </c>
      <c r="F6" s="1">
        <v>2.1201503777424584</v>
      </c>
      <c r="G6" s="1">
        <v>2.8946890474964895</v>
      </c>
      <c r="H6" s="1">
        <v>5.4285908352185901</v>
      </c>
      <c r="I6" s="1">
        <v>3.916720249939794</v>
      </c>
      <c r="J6" s="1">
        <v>5.7183683077894552</v>
      </c>
      <c r="K6" s="1">
        <v>5.3792049912278141</v>
      </c>
    </row>
    <row r="7" spans="1:11">
      <c r="A7" t="s">
        <v>0</v>
      </c>
      <c r="B7" s="1">
        <v>0.2</v>
      </c>
      <c r="C7" s="1">
        <v>0.2</v>
      </c>
      <c r="D7" s="1">
        <v>0.2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0.1</v>
      </c>
      <c r="K7" s="1">
        <v>0.1</v>
      </c>
    </row>
    <row r="8" spans="1:11">
      <c r="A8" t="s">
        <v>1</v>
      </c>
      <c r="B8" s="1">
        <v>0.3</v>
      </c>
      <c r="C8" s="1">
        <v>0.3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</row>
    <row r="9" spans="1:11">
      <c r="A9" t="s">
        <v>3</v>
      </c>
      <c r="B9" s="1">
        <v>45000</v>
      </c>
      <c r="C9" s="1">
        <v>45000</v>
      </c>
      <c r="D9" s="1">
        <v>45000</v>
      </c>
      <c r="E9" s="1">
        <v>45000</v>
      </c>
      <c r="F9" s="1">
        <v>45000</v>
      </c>
      <c r="G9" s="1">
        <v>45000</v>
      </c>
      <c r="H9" s="1">
        <v>45000</v>
      </c>
      <c r="I9" s="1">
        <v>45000</v>
      </c>
      <c r="J9" s="1">
        <v>45000</v>
      </c>
      <c r="K9" s="1">
        <v>45000</v>
      </c>
    </row>
    <row r="10" spans="1:11">
      <c r="A10" t="s">
        <v>2</v>
      </c>
      <c r="B10" s="1">
        <v>55000</v>
      </c>
      <c r="C10" s="1">
        <v>55000</v>
      </c>
      <c r="D10" s="1">
        <v>55000</v>
      </c>
      <c r="E10" s="1">
        <v>55000</v>
      </c>
      <c r="F10" s="1">
        <v>55000</v>
      </c>
      <c r="G10" s="1">
        <v>55000</v>
      </c>
      <c r="H10" s="1">
        <v>55000</v>
      </c>
      <c r="I10" s="1">
        <v>55000</v>
      </c>
      <c r="J10" s="1">
        <v>55000</v>
      </c>
      <c r="K10" s="1">
        <v>55000</v>
      </c>
    </row>
    <row r="11" spans="1:11">
      <c r="A11" t="s">
        <v>4</v>
      </c>
      <c r="B11" s="1">
        <v>70000</v>
      </c>
      <c r="C11" s="1">
        <v>70000</v>
      </c>
      <c r="D11" s="1">
        <v>70000</v>
      </c>
      <c r="E11" s="1">
        <v>70000</v>
      </c>
      <c r="F11" s="1">
        <v>70000</v>
      </c>
      <c r="G11" s="1">
        <v>70000</v>
      </c>
      <c r="H11" s="1">
        <v>70000</v>
      </c>
      <c r="I11" s="1">
        <v>70000</v>
      </c>
      <c r="J11" s="1">
        <v>70000</v>
      </c>
      <c r="K11" s="1">
        <v>70000</v>
      </c>
    </row>
    <row r="12" spans="1:11">
      <c r="A12" t="s">
        <v>0</v>
      </c>
      <c r="B12" s="1">
        <v>500</v>
      </c>
      <c r="C12" s="1">
        <v>500</v>
      </c>
      <c r="D12" s="1">
        <v>500</v>
      </c>
      <c r="E12" s="1">
        <v>500</v>
      </c>
      <c r="F12" s="1">
        <v>500</v>
      </c>
      <c r="G12" s="1">
        <v>500</v>
      </c>
      <c r="H12" s="1">
        <v>500</v>
      </c>
      <c r="I12" s="1">
        <v>500</v>
      </c>
      <c r="J12" s="1">
        <v>500</v>
      </c>
      <c r="K12" s="1">
        <v>500</v>
      </c>
    </row>
    <row r="13" spans="1:11">
      <c r="A13" t="s">
        <v>1</v>
      </c>
      <c r="B13" s="1">
        <v>500</v>
      </c>
      <c r="C13" s="1">
        <v>500</v>
      </c>
      <c r="D13" s="1">
        <v>500</v>
      </c>
      <c r="E13" s="1">
        <v>500</v>
      </c>
      <c r="F13" s="1">
        <v>500</v>
      </c>
      <c r="G13" s="1">
        <v>500</v>
      </c>
      <c r="H13" s="1">
        <v>500</v>
      </c>
      <c r="I13" s="1">
        <v>500</v>
      </c>
      <c r="J13" s="1">
        <v>500</v>
      </c>
      <c r="K13" s="1">
        <v>500</v>
      </c>
    </row>
    <row r="14" spans="1:11">
      <c r="A14" t="s">
        <v>26</v>
      </c>
      <c r="B14" s="1">
        <v>0.05</v>
      </c>
      <c r="C14" s="1">
        <v>0.05</v>
      </c>
      <c r="D14" s="1">
        <v>0.05</v>
      </c>
      <c r="E14" s="1">
        <v>0.05</v>
      </c>
      <c r="F14" s="1">
        <v>0.05</v>
      </c>
      <c r="G14" s="1">
        <v>0.05</v>
      </c>
      <c r="H14" s="1">
        <v>0.05</v>
      </c>
      <c r="I14" s="1">
        <v>0.05</v>
      </c>
      <c r="J14" s="1">
        <v>0.05</v>
      </c>
      <c r="K14" s="1">
        <v>0.05</v>
      </c>
    </row>
    <row r="15" spans="1:11">
      <c r="A15" t="s">
        <v>27</v>
      </c>
      <c r="B15" s="1">
        <v>0.1</v>
      </c>
      <c r="C15" s="1">
        <v>0.1</v>
      </c>
      <c r="D15" s="1">
        <v>0.1</v>
      </c>
      <c r="E15" s="1">
        <v>0.1</v>
      </c>
      <c r="F15" s="1">
        <v>0.6</v>
      </c>
      <c r="G15" s="1">
        <v>0.6</v>
      </c>
      <c r="H15" s="1">
        <v>0.6</v>
      </c>
      <c r="I15" s="1">
        <v>0.6</v>
      </c>
      <c r="J15" s="1">
        <v>0.6</v>
      </c>
      <c r="K15" s="1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A61D-795E-407C-8646-658F50C88817}">
  <dimension ref="A1:L37"/>
  <sheetViews>
    <sheetView tabSelected="1" workbookViewId="0">
      <selection activeCell="O15" sqref="O15"/>
    </sheetView>
  </sheetViews>
  <sheetFormatPr defaultRowHeight="15.75"/>
  <cols>
    <col min="1" max="1" width="20.125" style="53" customWidth="1"/>
    <col min="2" max="2" width="12.625" style="53" bestFit="1" customWidth="1"/>
    <col min="3" max="16384" width="9" style="53"/>
  </cols>
  <sheetData>
    <row r="1" spans="1:12">
      <c r="A1" s="54"/>
      <c r="B1" s="69" t="s">
        <v>39</v>
      </c>
      <c r="C1" s="70">
        <v>1</v>
      </c>
      <c r="D1" s="70">
        <f t="shared" ref="D1:L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1">
        <f t="shared" si="0"/>
        <v>10</v>
      </c>
    </row>
    <row r="2" spans="1:12">
      <c r="A2" s="108" t="s">
        <v>40</v>
      </c>
      <c r="B2" s="66" t="s">
        <v>36</v>
      </c>
      <c r="C2" s="57">
        <v>7475</v>
      </c>
      <c r="D2" s="57">
        <v>16566</v>
      </c>
      <c r="E2" s="57">
        <v>0</v>
      </c>
      <c r="F2" s="57">
        <v>22104</v>
      </c>
      <c r="G2" s="57">
        <v>0</v>
      </c>
      <c r="H2" s="57">
        <v>12342</v>
      </c>
      <c r="I2" s="57">
        <v>14842</v>
      </c>
      <c r="J2" s="57">
        <v>0</v>
      </c>
      <c r="K2" s="57">
        <v>0</v>
      </c>
      <c r="L2" s="58">
        <v>0</v>
      </c>
    </row>
    <row r="3" spans="1:12">
      <c r="A3" s="109"/>
      <c r="B3" s="66" t="s">
        <v>37</v>
      </c>
      <c r="C3" s="57">
        <v>2155</v>
      </c>
      <c r="D3" s="57">
        <v>0</v>
      </c>
      <c r="E3" s="57">
        <v>0</v>
      </c>
      <c r="F3" s="57">
        <v>3480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</row>
    <row r="4" spans="1:12">
      <c r="A4" s="109"/>
      <c r="B4" s="66" t="s">
        <v>3</v>
      </c>
      <c r="C4" s="57">
        <v>99400</v>
      </c>
      <c r="D4" s="57">
        <v>50100</v>
      </c>
      <c r="E4" s="57">
        <v>0</v>
      </c>
      <c r="F4" s="57">
        <v>88600</v>
      </c>
      <c r="G4" s="57">
        <v>0</v>
      </c>
      <c r="H4" s="57">
        <v>167400</v>
      </c>
      <c r="I4" s="57">
        <v>0</v>
      </c>
      <c r="J4" s="57">
        <v>4200</v>
      </c>
      <c r="K4" s="57">
        <v>73200</v>
      </c>
      <c r="L4" s="58">
        <v>0</v>
      </c>
    </row>
    <row r="5" spans="1:12">
      <c r="A5" s="109"/>
      <c r="B5" s="66" t="s">
        <v>2</v>
      </c>
      <c r="C5" s="57">
        <v>11000</v>
      </c>
      <c r="D5" s="57">
        <v>41600</v>
      </c>
      <c r="E5" s="57">
        <v>107700</v>
      </c>
      <c r="F5" s="57">
        <v>0</v>
      </c>
      <c r="G5" s="57">
        <v>68200</v>
      </c>
      <c r="H5" s="57">
        <v>0</v>
      </c>
      <c r="I5" s="57">
        <v>36900</v>
      </c>
      <c r="J5" s="57">
        <v>118800</v>
      </c>
      <c r="K5" s="57">
        <v>0</v>
      </c>
      <c r="L5" s="58">
        <v>67900</v>
      </c>
    </row>
    <row r="6" spans="1:12">
      <c r="A6" s="110"/>
      <c r="B6" s="67" t="s">
        <v>4</v>
      </c>
      <c r="C6" s="61">
        <v>0</v>
      </c>
      <c r="D6" s="61">
        <v>0</v>
      </c>
      <c r="E6" s="61">
        <v>27700</v>
      </c>
      <c r="F6" s="61">
        <v>0</v>
      </c>
      <c r="G6" s="61">
        <v>0</v>
      </c>
      <c r="H6" s="61">
        <v>0</v>
      </c>
      <c r="I6" s="61">
        <v>23200</v>
      </c>
      <c r="J6" s="61">
        <v>0</v>
      </c>
      <c r="K6" s="61">
        <v>0</v>
      </c>
      <c r="L6" s="62">
        <v>0</v>
      </c>
    </row>
    <row r="7" spans="1:12">
      <c r="A7" s="108" t="s">
        <v>46</v>
      </c>
      <c r="B7" s="66" t="s">
        <v>36</v>
      </c>
      <c r="C7" s="57">
        <v>1569.75</v>
      </c>
      <c r="D7" s="57">
        <v>3478.86</v>
      </c>
      <c r="E7" s="57">
        <v>0</v>
      </c>
      <c r="F7" s="57">
        <v>4641.84</v>
      </c>
      <c r="G7" s="57">
        <v>0</v>
      </c>
      <c r="H7" s="57">
        <v>2591.8200000000002</v>
      </c>
      <c r="I7" s="57">
        <v>3116.82</v>
      </c>
      <c r="J7" s="57">
        <v>0</v>
      </c>
      <c r="K7" s="57">
        <v>0</v>
      </c>
      <c r="L7" s="58">
        <v>0</v>
      </c>
    </row>
    <row r="8" spans="1:12">
      <c r="A8" s="109"/>
      <c r="B8" s="66" t="s">
        <v>37</v>
      </c>
      <c r="C8" s="57">
        <v>323.25</v>
      </c>
      <c r="D8" s="57">
        <v>0</v>
      </c>
      <c r="E8" s="57">
        <v>0</v>
      </c>
      <c r="F8" s="57">
        <v>522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</row>
    <row r="9" spans="1:12">
      <c r="A9" s="109"/>
      <c r="B9" s="66" t="s">
        <v>3</v>
      </c>
      <c r="C9" s="57">
        <v>61929</v>
      </c>
      <c r="D9" s="57">
        <v>63688</v>
      </c>
      <c r="E9" s="57">
        <v>69351</v>
      </c>
      <c r="F9" s="57">
        <v>58896</v>
      </c>
      <c r="G9" s="57">
        <v>38533</v>
      </c>
      <c r="H9" s="57">
        <v>84357</v>
      </c>
      <c r="I9" s="57">
        <v>62777</v>
      </c>
      <c r="J9" s="57">
        <v>39329</v>
      </c>
      <c r="K9" s="57">
        <v>48713</v>
      </c>
      <c r="L9" s="58">
        <v>31850</v>
      </c>
    </row>
    <row r="10" spans="1:12">
      <c r="A10" s="109"/>
      <c r="B10" s="66" t="s">
        <v>2</v>
      </c>
      <c r="C10" s="57">
        <v>48011</v>
      </c>
      <c r="D10" s="57">
        <v>41623</v>
      </c>
      <c r="E10" s="57">
        <v>30843</v>
      </c>
      <c r="F10" s="57">
        <v>50561</v>
      </c>
      <c r="G10" s="57">
        <v>61924</v>
      </c>
      <c r="H10" s="57">
        <v>32537</v>
      </c>
      <c r="I10" s="57">
        <v>36922</v>
      </c>
      <c r="J10" s="57">
        <v>60629</v>
      </c>
      <c r="K10" s="57">
        <v>58160</v>
      </c>
      <c r="L10" s="58">
        <v>67854</v>
      </c>
    </row>
    <row r="11" spans="1:12">
      <c r="A11" s="110"/>
      <c r="B11" s="67" t="s">
        <v>4</v>
      </c>
      <c r="C11" s="61">
        <v>10487</v>
      </c>
      <c r="D11" s="61">
        <v>16836</v>
      </c>
      <c r="E11" s="61">
        <v>6996</v>
      </c>
      <c r="F11" s="61">
        <v>6654</v>
      </c>
      <c r="G11" s="61">
        <v>5697</v>
      </c>
      <c r="H11" s="61">
        <v>10602</v>
      </c>
      <c r="I11" s="61">
        <v>7566</v>
      </c>
      <c r="J11" s="61">
        <v>7156</v>
      </c>
      <c r="K11" s="61">
        <v>4962</v>
      </c>
      <c r="L11" s="62">
        <v>3555</v>
      </c>
    </row>
    <row r="12" spans="1:12">
      <c r="A12" s="111"/>
      <c r="B12" s="112"/>
      <c r="C12" s="57"/>
      <c r="D12" s="57"/>
      <c r="E12" s="57"/>
      <c r="F12" s="57"/>
      <c r="G12" s="57"/>
      <c r="H12" s="57"/>
      <c r="I12" s="57"/>
      <c r="J12" s="57"/>
      <c r="K12" s="57"/>
      <c r="L12" s="58"/>
    </row>
    <row r="13" spans="1:12">
      <c r="A13" s="72"/>
      <c r="B13" s="69" t="s">
        <v>39</v>
      </c>
      <c r="C13" s="70">
        <v>1</v>
      </c>
      <c r="D13" s="70">
        <f t="shared" ref="D13:L13" si="1">C13+1</f>
        <v>2</v>
      </c>
      <c r="E13" s="70">
        <f t="shared" si="1"/>
        <v>3</v>
      </c>
      <c r="F13" s="70">
        <f t="shared" si="1"/>
        <v>4</v>
      </c>
      <c r="G13" s="70">
        <f t="shared" si="1"/>
        <v>5</v>
      </c>
      <c r="H13" s="70">
        <f t="shared" si="1"/>
        <v>6</v>
      </c>
      <c r="I13" s="70">
        <f t="shared" si="1"/>
        <v>7</v>
      </c>
      <c r="J13" s="70">
        <f t="shared" si="1"/>
        <v>8</v>
      </c>
      <c r="K13" s="70">
        <f t="shared" si="1"/>
        <v>9</v>
      </c>
      <c r="L13" s="71">
        <f t="shared" si="1"/>
        <v>10</v>
      </c>
    </row>
    <row r="14" spans="1:12" ht="15.75" customHeight="1">
      <c r="A14" s="103" t="s">
        <v>41</v>
      </c>
      <c r="B14" s="68">
        <v>0</v>
      </c>
      <c r="C14" s="57">
        <f t="shared" ref="C14:L14" si="2">$B14*C2</f>
        <v>0</v>
      </c>
      <c r="D14" s="57">
        <f t="shared" si="2"/>
        <v>0</v>
      </c>
      <c r="E14" s="57">
        <f t="shared" si="2"/>
        <v>0</v>
      </c>
      <c r="F14" s="57">
        <f t="shared" si="2"/>
        <v>0</v>
      </c>
      <c r="G14" s="57">
        <f t="shared" si="2"/>
        <v>0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8">
        <f t="shared" si="2"/>
        <v>0</v>
      </c>
    </row>
    <row r="15" spans="1:12" ht="17.25">
      <c r="A15" s="104"/>
      <c r="B15" s="68">
        <v>0</v>
      </c>
      <c r="C15" s="57">
        <f t="shared" ref="C15:L15" si="3">$B15*C3</f>
        <v>0</v>
      </c>
      <c r="D15" s="57">
        <f t="shared" si="3"/>
        <v>0</v>
      </c>
      <c r="E15" s="57">
        <f t="shared" si="3"/>
        <v>0</v>
      </c>
      <c r="F15" s="57">
        <f t="shared" si="3"/>
        <v>0</v>
      </c>
      <c r="G15" s="57">
        <f t="shared" si="3"/>
        <v>0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8">
        <f t="shared" si="3"/>
        <v>0</v>
      </c>
    </row>
    <row r="16" spans="1:12" ht="17.25">
      <c r="A16" s="104"/>
      <c r="B16" s="68">
        <v>1</v>
      </c>
      <c r="C16" s="57">
        <f t="shared" ref="C16:L16" si="4">$B16*C4</f>
        <v>99400</v>
      </c>
      <c r="D16" s="57">
        <f t="shared" si="4"/>
        <v>50100</v>
      </c>
      <c r="E16" s="57">
        <f t="shared" si="4"/>
        <v>0</v>
      </c>
      <c r="F16" s="57">
        <f t="shared" si="4"/>
        <v>88600</v>
      </c>
      <c r="G16" s="57">
        <f t="shared" si="4"/>
        <v>0</v>
      </c>
      <c r="H16" s="57">
        <f t="shared" si="4"/>
        <v>167400</v>
      </c>
      <c r="I16" s="57">
        <f t="shared" si="4"/>
        <v>0</v>
      </c>
      <c r="J16" s="57">
        <f t="shared" si="4"/>
        <v>4200</v>
      </c>
      <c r="K16" s="57">
        <f t="shared" si="4"/>
        <v>73200</v>
      </c>
      <c r="L16" s="58">
        <f t="shared" si="4"/>
        <v>0</v>
      </c>
    </row>
    <row r="17" spans="1:12" ht="17.25">
      <c r="A17" s="104"/>
      <c r="B17" s="68">
        <v>1</v>
      </c>
      <c r="C17" s="57">
        <f t="shared" ref="C17:L17" si="5">$B17*C5</f>
        <v>11000</v>
      </c>
      <c r="D17" s="57">
        <f t="shared" si="5"/>
        <v>41600</v>
      </c>
      <c r="E17" s="57">
        <f t="shared" si="5"/>
        <v>107700</v>
      </c>
      <c r="F17" s="57">
        <f t="shared" si="5"/>
        <v>0</v>
      </c>
      <c r="G17" s="57">
        <f t="shared" si="5"/>
        <v>68200</v>
      </c>
      <c r="H17" s="57">
        <f t="shared" si="5"/>
        <v>0</v>
      </c>
      <c r="I17" s="57">
        <f t="shared" si="5"/>
        <v>36900</v>
      </c>
      <c r="J17" s="57">
        <f t="shared" si="5"/>
        <v>118800</v>
      </c>
      <c r="K17" s="57">
        <f t="shared" si="5"/>
        <v>0</v>
      </c>
      <c r="L17" s="58">
        <f t="shared" si="5"/>
        <v>67900</v>
      </c>
    </row>
    <row r="18" spans="1:12" ht="17.25">
      <c r="A18" s="105"/>
      <c r="B18" s="68">
        <v>1</v>
      </c>
      <c r="C18" s="57">
        <f t="shared" ref="C18:L18" si="6">$B18*C6</f>
        <v>0</v>
      </c>
      <c r="D18" s="57">
        <f t="shared" si="6"/>
        <v>0</v>
      </c>
      <c r="E18" s="57">
        <f t="shared" si="6"/>
        <v>27700</v>
      </c>
      <c r="F18" s="57">
        <f t="shared" si="6"/>
        <v>0</v>
      </c>
      <c r="G18" s="57">
        <f t="shared" si="6"/>
        <v>0</v>
      </c>
      <c r="H18" s="57">
        <f t="shared" si="6"/>
        <v>0</v>
      </c>
      <c r="I18" s="57">
        <f t="shared" si="6"/>
        <v>23200</v>
      </c>
      <c r="J18" s="57">
        <f t="shared" si="6"/>
        <v>0</v>
      </c>
      <c r="K18" s="57">
        <f t="shared" si="6"/>
        <v>0</v>
      </c>
      <c r="L18" s="58">
        <f t="shared" si="6"/>
        <v>0</v>
      </c>
    </row>
    <row r="19" spans="1:12">
      <c r="A19" s="60"/>
      <c r="B19" s="65" t="s">
        <v>38</v>
      </c>
      <c r="C19" s="63">
        <f>SUM(C14:C18)</f>
        <v>110400</v>
      </c>
      <c r="D19" s="63">
        <f t="shared" ref="D19:L19" si="7">SUM(D14:D18)</f>
        <v>91700</v>
      </c>
      <c r="E19" s="63">
        <f t="shared" si="7"/>
        <v>135400</v>
      </c>
      <c r="F19" s="63">
        <f t="shared" si="7"/>
        <v>88600</v>
      </c>
      <c r="G19" s="63">
        <f t="shared" si="7"/>
        <v>68200</v>
      </c>
      <c r="H19" s="63">
        <f t="shared" si="7"/>
        <v>167400</v>
      </c>
      <c r="I19" s="63">
        <f t="shared" si="7"/>
        <v>60100</v>
      </c>
      <c r="J19" s="63">
        <f t="shared" si="7"/>
        <v>123000</v>
      </c>
      <c r="K19" s="63">
        <f t="shared" si="7"/>
        <v>73200</v>
      </c>
      <c r="L19" s="64">
        <f t="shared" si="7"/>
        <v>67900</v>
      </c>
    </row>
    <row r="20" spans="1:12" ht="17.25" customHeight="1">
      <c r="A20" s="113"/>
      <c r="B20" s="114"/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1:12">
      <c r="A21" s="72"/>
      <c r="B21" s="69" t="s">
        <v>39</v>
      </c>
      <c r="C21" s="70">
        <v>1</v>
      </c>
      <c r="D21" s="70">
        <f t="shared" ref="D21:L21" si="8">C21+1</f>
        <v>2</v>
      </c>
      <c r="E21" s="70">
        <f t="shared" si="8"/>
        <v>3</v>
      </c>
      <c r="F21" s="70">
        <f t="shared" si="8"/>
        <v>4</v>
      </c>
      <c r="G21" s="70">
        <f t="shared" si="8"/>
        <v>5</v>
      </c>
      <c r="H21" s="70">
        <f t="shared" si="8"/>
        <v>6</v>
      </c>
      <c r="I21" s="70">
        <f t="shared" si="8"/>
        <v>7</v>
      </c>
      <c r="J21" s="70">
        <f t="shared" si="8"/>
        <v>8</v>
      </c>
      <c r="K21" s="70">
        <f t="shared" si="8"/>
        <v>9</v>
      </c>
      <c r="L21" s="71">
        <f t="shared" si="8"/>
        <v>10</v>
      </c>
    </row>
    <row r="22" spans="1:12">
      <c r="A22" s="103" t="s">
        <v>47</v>
      </c>
      <c r="B22" s="66" t="s">
        <v>36</v>
      </c>
      <c r="C22" s="57">
        <f>12966</f>
        <v>12966</v>
      </c>
      <c r="D22" s="57">
        <f>3295</f>
        <v>3295</v>
      </c>
      <c r="E22" s="57">
        <v>0</v>
      </c>
      <c r="F22" s="57">
        <f>6820</f>
        <v>6820</v>
      </c>
      <c r="G22" s="57">
        <v>0</v>
      </c>
      <c r="H22" s="57">
        <f>3690</f>
        <v>3690</v>
      </c>
      <c r="I22" s="57">
        <v>0</v>
      </c>
      <c r="J22" s="57">
        <v>0</v>
      </c>
      <c r="K22" s="57">
        <f>6790</f>
        <v>6790</v>
      </c>
      <c r="L22" s="58">
        <v>0</v>
      </c>
    </row>
    <row r="23" spans="1:12">
      <c r="A23" s="104"/>
      <c r="B23" s="66" t="s">
        <v>37</v>
      </c>
      <c r="C23" s="57">
        <f>2000</f>
        <v>2000</v>
      </c>
      <c r="D23" s="57">
        <f>2000</f>
        <v>2000</v>
      </c>
      <c r="E23" s="57">
        <v>0</v>
      </c>
      <c r="F23" s="57">
        <v>0</v>
      </c>
      <c r="G23" s="57">
        <v>0</v>
      </c>
      <c r="H23" s="57">
        <f>3480</f>
        <v>3480</v>
      </c>
      <c r="I23" s="57">
        <v>0</v>
      </c>
      <c r="J23" s="57">
        <v>0</v>
      </c>
      <c r="K23" s="57">
        <v>0</v>
      </c>
      <c r="L23" s="58">
        <v>0</v>
      </c>
    </row>
    <row r="24" spans="1:12">
      <c r="A24" s="104"/>
      <c r="B24" s="66" t="s">
        <v>3</v>
      </c>
      <c r="C24" s="57">
        <v>80744</v>
      </c>
      <c r="D24" s="57">
        <v>72166</v>
      </c>
      <c r="E24" s="57">
        <v>45</v>
      </c>
      <c r="F24" s="57">
        <v>38609</v>
      </c>
      <c r="G24" s="57">
        <v>76</v>
      </c>
      <c r="H24" s="57">
        <v>99859</v>
      </c>
      <c r="I24" s="57">
        <v>34762</v>
      </c>
      <c r="J24" s="57">
        <v>53</v>
      </c>
      <c r="K24" s="57">
        <v>31860</v>
      </c>
      <c r="L24" s="58">
        <v>10</v>
      </c>
    </row>
    <row r="25" spans="1:12">
      <c r="A25" s="104"/>
      <c r="B25" s="66" t="s">
        <v>2</v>
      </c>
      <c r="C25" s="57">
        <v>26</v>
      </c>
      <c r="D25" s="57">
        <v>3</v>
      </c>
      <c r="E25" s="57">
        <v>76860</v>
      </c>
      <c r="F25" s="57">
        <v>26299</v>
      </c>
      <c r="G25" s="57">
        <v>32575</v>
      </c>
      <c r="H25" s="57">
        <v>38</v>
      </c>
      <c r="I25" s="57">
        <v>16</v>
      </c>
      <c r="J25" s="57">
        <v>58187</v>
      </c>
      <c r="K25" s="57">
        <v>27</v>
      </c>
      <c r="L25" s="58">
        <v>73</v>
      </c>
    </row>
    <row r="26" spans="1:12">
      <c r="A26" s="105"/>
      <c r="B26" s="67" t="s">
        <v>4</v>
      </c>
      <c r="C26" s="61">
        <v>19143</v>
      </c>
      <c r="D26" s="61">
        <v>2307</v>
      </c>
      <c r="E26" s="61">
        <v>23011</v>
      </c>
      <c r="F26" s="61">
        <v>16357</v>
      </c>
      <c r="G26" s="61">
        <v>10660</v>
      </c>
      <c r="H26" s="61">
        <v>58</v>
      </c>
      <c r="I26" s="61">
        <v>15692</v>
      </c>
      <c r="J26" s="61">
        <v>8536</v>
      </c>
      <c r="K26" s="61">
        <v>3574</v>
      </c>
      <c r="L26" s="62">
        <v>19</v>
      </c>
    </row>
    <row r="27" spans="1:12">
      <c r="A27" s="59"/>
      <c r="B27" s="65" t="s">
        <v>38</v>
      </c>
      <c r="C27" s="63">
        <f>SUM(C22:C26)</f>
        <v>114879</v>
      </c>
      <c r="D27" s="63">
        <f t="shared" ref="D27:L27" si="9">SUM(D22:D26)</f>
        <v>79771</v>
      </c>
      <c r="E27" s="63">
        <f t="shared" si="9"/>
        <v>99916</v>
      </c>
      <c r="F27" s="63">
        <f t="shared" si="9"/>
        <v>88085</v>
      </c>
      <c r="G27" s="63">
        <f t="shared" si="9"/>
        <v>43311</v>
      </c>
      <c r="H27" s="63">
        <f t="shared" si="9"/>
        <v>107125</v>
      </c>
      <c r="I27" s="63">
        <f t="shared" si="9"/>
        <v>50470</v>
      </c>
      <c r="J27" s="63">
        <f t="shared" si="9"/>
        <v>66776</v>
      </c>
      <c r="K27" s="63">
        <f t="shared" si="9"/>
        <v>42251</v>
      </c>
      <c r="L27" s="64">
        <f t="shared" si="9"/>
        <v>102</v>
      </c>
    </row>
    <row r="28" spans="1:12">
      <c r="A28" s="103" t="s">
        <v>42</v>
      </c>
      <c r="B28" s="66" t="s">
        <v>36</v>
      </c>
      <c r="C28" s="57">
        <f>12966*$B$14</f>
        <v>0</v>
      </c>
      <c r="D28" s="57">
        <f>3295*B14</f>
        <v>0</v>
      </c>
      <c r="E28" s="57">
        <v>0</v>
      </c>
      <c r="F28" s="57">
        <f>6820*B14</f>
        <v>0</v>
      </c>
      <c r="G28" s="57">
        <v>0</v>
      </c>
      <c r="H28" s="57">
        <f>3690*B14</f>
        <v>0</v>
      </c>
      <c r="I28" s="57">
        <v>0</v>
      </c>
      <c r="J28" s="57">
        <v>0</v>
      </c>
      <c r="K28" s="57">
        <f>6790*B14</f>
        <v>0</v>
      </c>
      <c r="L28" s="58">
        <v>0</v>
      </c>
    </row>
    <row r="29" spans="1:12">
      <c r="A29" s="104"/>
      <c r="B29" s="66" t="s">
        <v>37</v>
      </c>
      <c r="C29" s="57">
        <f>2000*B15</f>
        <v>0</v>
      </c>
      <c r="D29" s="57">
        <f>2000*B15</f>
        <v>0</v>
      </c>
      <c r="E29" s="57">
        <v>0</v>
      </c>
      <c r="F29" s="57">
        <v>0</v>
      </c>
      <c r="G29" s="57">
        <v>0</v>
      </c>
      <c r="H29" s="57">
        <f>3480*B15</f>
        <v>0</v>
      </c>
      <c r="I29" s="57">
        <v>0</v>
      </c>
      <c r="J29" s="57">
        <v>0</v>
      </c>
      <c r="K29" s="57">
        <v>0</v>
      </c>
      <c r="L29" s="58">
        <v>0</v>
      </c>
    </row>
    <row r="30" spans="1:12">
      <c r="A30" s="104"/>
      <c r="B30" s="66" t="s">
        <v>3</v>
      </c>
      <c r="C30" s="57">
        <v>80744</v>
      </c>
      <c r="D30" s="57">
        <v>72166</v>
      </c>
      <c r="E30" s="57">
        <v>45</v>
      </c>
      <c r="F30" s="57">
        <v>38609</v>
      </c>
      <c r="G30" s="57">
        <v>76</v>
      </c>
      <c r="H30" s="57">
        <v>99859</v>
      </c>
      <c r="I30" s="57">
        <v>34762</v>
      </c>
      <c r="J30" s="57">
        <v>53</v>
      </c>
      <c r="K30" s="57">
        <v>31860</v>
      </c>
      <c r="L30" s="58">
        <v>10</v>
      </c>
    </row>
    <row r="31" spans="1:12">
      <c r="A31" s="104"/>
      <c r="B31" s="66" t="s">
        <v>2</v>
      </c>
      <c r="C31" s="57">
        <v>26</v>
      </c>
      <c r="D31" s="57">
        <v>3</v>
      </c>
      <c r="E31" s="57">
        <v>76860</v>
      </c>
      <c r="F31" s="57">
        <v>26299</v>
      </c>
      <c r="G31" s="57">
        <v>32575</v>
      </c>
      <c r="H31" s="57">
        <v>38</v>
      </c>
      <c r="I31" s="57">
        <v>16</v>
      </c>
      <c r="J31" s="57">
        <v>58187</v>
      </c>
      <c r="K31" s="57">
        <v>27</v>
      </c>
      <c r="L31" s="58">
        <v>73</v>
      </c>
    </row>
    <row r="32" spans="1:12">
      <c r="A32" s="105"/>
      <c r="B32" s="67" t="s">
        <v>4</v>
      </c>
      <c r="C32" s="61">
        <f>29630-C11+C6</f>
        <v>19143</v>
      </c>
      <c r="D32" s="61">
        <v>2307</v>
      </c>
      <c r="E32" s="61">
        <v>23011</v>
      </c>
      <c r="F32" s="61">
        <v>16357</v>
      </c>
      <c r="G32" s="61">
        <v>10660</v>
      </c>
      <c r="H32" s="61">
        <v>58</v>
      </c>
      <c r="I32" s="61">
        <v>15692</v>
      </c>
      <c r="J32" s="61">
        <v>8536</v>
      </c>
      <c r="K32" s="61">
        <v>3574</v>
      </c>
      <c r="L32" s="62">
        <v>19</v>
      </c>
    </row>
    <row r="33" spans="1:12">
      <c r="A33" s="60"/>
      <c r="B33" s="65" t="s">
        <v>38</v>
      </c>
      <c r="C33" s="63">
        <f>SUM(C28:C32)</f>
        <v>99913</v>
      </c>
      <c r="D33" s="63">
        <f t="shared" ref="D33:L33" si="10">SUM(D28:D32)</f>
        <v>74476</v>
      </c>
      <c r="E33" s="63">
        <f t="shared" si="10"/>
        <v>99916</v>
      </c>
      <c r="F33" s="63">
        <f t="shared" si="10"/>
        <v>81265</v>
      </c>
      <c r="G33" s="63">
        <f t="shared" si="10"/>
        <v>43311</v>
      </c>
      <c r="H33" s="63">
        <f t="shared" si="10"/>
        <v>99955</v>
      </c>
      <c r="I33" s="63">
        <f t="shared" si="10"/>
        <v>50470</v>
      </c>
      <c r="J33" s="63">
        <f t="shared" si="10"/>
        <v>66776</v>
      </c>
      <c r="K33" s="63">
        <f t="shared" si="10"/>
        <v>35461</v>
      </c>
      <c r="L33" s="64">
        <f t="shared" si="10"/>
        <v>102</v>
      </c>
    </row>
    <row r="34" spans="1:1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>
      <c r="A35" s="72"/>
      <c r="B35" s="69" t="s">
        <v>39</v>
      </c>
      <c r="C35" s="70">
        <v>1</v>
      </c>
      <c r="D35" s="70">
        <f t="shared" ref="D35:L35" si="11">C35+1</f>
        <v>2</v>
      </c>
      <c r="E35" s="70">
        <f t="shared" si="11"/>
        <v>3</v>
      </c>
      <c r="F35" s="70">
        <f t="shared" si="11"/>
        <v>4</v>
      </c>
      <c r="G35" s="70">
        <f t="shared" si="11"/>
        <v>5</v>
      </c>
      <c r="H35" s="70">
        <f t="shared" si="11"/>
        <v>6</v>
      </c>
      <c r="I35" s="70">
        <f t="shared" si="11"/>
        <v>7</v>
      </c>
      <c r="J35" s="70">
        <f t="shared" si="11"/>
        <v>8</v>
      </c>
      <c r="K35" s="70">
        <f t="shared" si="11"/>
        <v>9</v>
      </c>
      <c r="L35" s="71">
        <f t="shared" si="11"/>
        <v>10</v>
      </c>
    </row>
    <row r="36" spans="1:12">
      <c r="A36" s="106" t="s">
        <v>43</v>
      </c>
      <c r="B36" s="55" t="s">
        <v>44</v>
      </c>
      <c r="C36" s="55">
        <f>25000-C4*0.11-C5*0.1</f>
        <v>12966</v>
      </c>
      <c r="D36" s="55">
        <f>C36-D4*0.11-D5*0.1</f>
        <v>3295</v>
      </c>
      <c r="E36" s="55">
        <f>D36-E4*0.11-E5*0.1+C2</f>
        <v>0</v>
      </c>
      <c r="F36" s="55">
        <f t="shared" ref="F36:L36" si="12">E36-F4*0.11-F5*0.1+D2</f>
        <v>6820</v>
      </c>
      <c r="G36" s="55">
        <f t="shared" si="12"/>
        <v>0</v>
      </c>
      <c r="H36" s="55">
        <f t="shared" si="12"/>
        <v>3690</v>
      </c>
      <c r="I36" s="55">
        <f t="shared" si="12"/>
        <v>0</v>
      </c>
      <c r="J36" s="55">
        <f t="shared" si="12"/>
        <v>0</v>
      </c>
      <c r="K36" s="55">
        <f t="shared" si="12"/>
        <v>6790</v>
      </c>
      <c r="L36" s="56">
        <f t="shared" si="12"/>
        <v>0</v>
      </c>
    </row>
    <row r="37" spans="1:12">
      <c r="A37" s="107"/>
      <c r="B37" s="61" t="s">
        <v>45</v>
      </c>
      <c r="C37" s="61">
        <f>2000-C6*0.15</f>
        <v>2000</v>
      </c>
      <c r="D37" s="61">
        <f>C37-D6*0.15</f>
        <v>2000</v>
      </c>
      <c r="E37" s="61">
        <f>D37-E6*0.15+C3</f>
        <v>0</v>
      </c>
      <c r="F37" s="61">
        <f t="shared" ref="F37:L37" si="13">E37-F6*0.15+D3</f>
        <v>0</v>
      </c>
      <c r="G37" s="61">
        <f t="shared" si="13"/>
        <v>0</v>
      </c>
      <c r="H37" s="61">
        <f t="shared" si="13"/>
        <v>3480</v>
      </c>
      <c r="I37" s="61">
        <f t="shared" si="13"/>
        <v>0</v>
      </c>
      <c r="J37" s="61">
        <f t="shared" si="13"/>
        <v>0</v>
      </c>
      <c r="K37" s="61">
        <f t="shared" si="13"/>
        <v>0</v>
      </c>
      <c r="L37" s="62">
        <f t="shared" si="13"/>
        <v>0</v>
      </c>
    </row>
  </sheetData>
  <mergeCells count="8">
    <mergeCell ref="A28:A32"/>
    <mergeCell ref="A22:A26"/>
    <mergeCell ref="A36:A37"/>
    <mergeCell ref="A2:A6"/>
    <mergeCell ref="A7:A11"/>
    <mergeCell ref="A12:B12"/>
    <mergeCell ref="A14:A18"/>
    <mergeCell ref="A20:B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492-C54D-4FDC-84FD-EE9B30D05BB3}">
  <dimension ref="A1:K21"/>
  <sheetViews>
    <sheetView workbookViewId="0">
      <selection activeCell="M24" sqref="M24"/>
    </sheetView>
  </sheetViews>
  <sheetFormatPr defaultRowHeight="15.75"/>
  <cols>
    <col min="1" max="2" width="20.125" style="53" customWidth="1"/>
    <col min="3" max="3" width="12.625" style="53" bestFit="1" customWidth="1"/>
    <col min="4" max="16384" width="9" style="53"/>
  </cols>
  <sheetData>
    <row r="1" spans="1:11">
      <c r="A1" s="54"/>
      <c r="B1" s="54"/>
      <c r="C1" s="69" t="s">
        <v>39</v>
      </c>
      <c r="D1" s="70">
        <v>3</v>
      </c>
      <c r="E1" s="70">
        <f t="shared" ref="E1:K1" si="0">D1+1</f>
        <v>4</v>
      </c>
      <c r="F1" s="70">
        <f t="shared" si="0"/>
        <v>5</v>
      </c>
      <c r="G1" s="70">
        <f t="shared" si="0"/>
        <v>6</v>
      </c>
      <c r="H1" s="70">
        <f t="shared" si="0"/>
        <v>7</v>
      </c>
      <c r="I1" s="70">
        <f t="shared" si="0"/>
        <v>8</v>
      </c>
      <c r="J1" s="70">
        <f t="shared" si="0"/>
        <v>9</v>
      </c>
      <c r="K1" s="71">
        <f t="shared" si="0"/>
        <v>10</v>
      </c>
    </row>
    <row r="2" spans="1:11" ht="15.75" customHeight="1">
      <c r="A2" s="115" t="s">
        <v>49</v>
      </c>
      <c r="B2" s="108" t="s">
        <v>36</v>
      </c>
      <c r="C2" s="81" t="s">
        <v>50</v>
      </c>
      <c r="D2" s="57">
        <v>0</v>
      </c>
      <c r="E2" s="57">
        <v>22104</v>
      </c>
      <c r="F2" s="57">
        <v>0</v>
      </c>
      <c r="G2" s="57">
        <v>12342</v>
      </c>
      <c r="H2" s="57">
        <v>14842</v>
      </c>
      <c r="I2" s="57">
        <v>0</v>
      </c>
      <c r="J2" s="57">
        <v>0</v>
      </c>
      <c r="K2" s="58">
        <v>0</v>
      </c>
    </row>
    <row r="3" spans="1:11">
      <c r="A3" s="116"/>
      <c r="B3" s="109"/>
      <c r="C3" s="80" t="s">
        <v>51</v>
      </c>
      <c r="D3" s="57">
        <v>0</v>
      </c>
      <c r="E3" s="57">
        <v>18767</v>
      </c>
      <c r="F3" s="57">
        <v>0</v>
      </c>
      <c r="G3" s="57">
        <v>20417</v>
      </c>
      <c r="H3" s="57">
        <v>0</v>
      </c>
      <c r="I3" s="57">
        <v>23017</v>
      </c>
      <c r="J3" s="57">
        <v>0</v>
      </c>
      <c r="K3" s="58">
        <v>8040</v>
      </c>
    </row>
    <row r="4" spans="1:11">
      <c r="A4" s="116"/>
      <c r="B4" s="109"/>
      <c r="C4" s="78" t="s">
        <v>53</v>
      </c>
      <c r="D4" s="87">
        <f>D2-D3</f>
        <v>0</v>
      </c>
      <c r="E4" s="87">
        <f>E2-E3</f>
        <v>3337</v>
      </c>
      <c r="F4" s="87">
        <f t="shared" ref="F4:K4" si="1">F2-F3</f>
        <v>0</v>
      </c>
      <c r="G4" s="87">
        <f t="shared" si="1"/>
        <v>-8075</v>
      </c>
      <c r="H4" s="87">
        <f t="shared" si="1"/>
        <v>14842</v>
      </c>
      <c r="I4" s="87">
        <f t="shared" si="1"/>
        <v>-23017</v>
      </c>
      <c r="J4" s="87">
        <f t="shared" si="1"/>
        <v>0</v>
      </c>
      <c r="K4" s="88">
        <f t="shared" si="1"/>
        <v>-8040</v>
      </c>
    </row>
    <row r="5" spans="1:11">
      <c r="A5" s="116"/>
      <c r="B5" s="110"/>
      <c r="C5" s="79" t="s">
        <v>52</v>
      </c>
      <c r="D5" s="84" t="str">
        <f>IF(D2=0,"NA",IF(D3=0,"NA",IFERROR(D3/D2,0)))</f>
        <v>NA</v>
      </c>
      <c r="E5" s="85">
        <f>IF(E2=0,"NA",IF(E3=0,"NA",IFERROR(E3/E2,0)))</f>
        <v>0.84903184943901555</v>
      </c>
      <c r="F5" s="85" t="str">
        <f t="shared" ref="F5:K5" si="2">IF(F2=0,"NA",IF(F3=0,"NA",IFERROR(F3/F2,0)))</f>
        <v>NA</v>
      </c>
      <c r="G5" s="85">
        <f t="shared" si="2"/>
        <v>1.6542699724517906</v>
      </c>
      <c r="H5" s="85" t="str">
        <f t="shared" si="2"/>
        <v>NA</v>
      </c>
      <c r="I5" s="85" t="str">
        <f t="shared" si="2"/>
        <v>NA</v>
      </c>
      <c r="J5" s="85" t="str">
        <f t="shared" si="2"/>
        <v>NA</v>
      </c>
      <c r="K5" s="86" t="str">
        <f t="shared" si="2"/>
        <v>NA</v>
      </c>
    </row>
    <row r="6" spans="1:11">
      <c r="A6" s="116"/>
      <c r="B6" s="108" t="s">
        <v>37</v>
      </c>
      <c r="C6" s="81" t="s">
        <v>50</v>
      </c>
      <c r="D6" s="57">
        <v>0</v>
      </c>
      <c r="E6" s="57">
        <v>3480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8">
        <v>0</v>
      </c>
    </row>
    <row r="7" spans="1:11">
      <c r="A7" s="116"/>
      <c r="B7" s="109"/>
      <c r="C7" s="80" t="s">
        <v>51</v>
      </c>
      <c r="D7" s="57">
        <v>8095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8">
        <v>0</v>
      </c>
    </row>
    <row r="8" spans="1:11">
      <c r="A8" s="116"/>
      <c r="B8" s="109"/>
      <c r="C8" s="78" t="s">
        <v>53</v>
      </c>
      <c r="D8" s="87">
        <f>D6-D7</f>
        <v>-8095</v>
      </c>
      <c r="E8" s="87">
        <f>E6-E7</f>
        <v>3480</v>
      </c>
      <c r="F8" s="87">
        <f t="shared" ref="F8" si="3">F6-F7</f>
        <v>0</v>
      </c>
      <c r="G8" s="87">
        <f t="shared" ref="G8" si="4">G6-G7</f>
        <v>0</v>
      </c>
      <c r="H8" s="87">
        <f t="shared" ref="H8" si="5">H6-H7</f>
        <v>0</v>
      </c>
      <c r="I8" s="87">
        <f t="shared" ref="I8" si="6">I6-I7</f>
        <v>0</v>
      </c>
      <c r="J8" s="87">
        <f t="shared" ref="J8" si="7">J6-J7</f>
        <v>0</v>
      </c>
      <c r="K8" s="88">
        <f t="shared" ref="K8" si="8">K6-K7</f>
        <v>0</v>
      </c>
    </row>
    <row r="9" spans="1:11">
      <c r="A9" s="116"/>
      <c r="B9" s="110"/>
      <c r="C9" s="79" t="s">
        <v>52</v>
      </c>
      <c r="D9" s="84" t="str">
        <f>IF(D6=0,"NA",IF(D7=0,"NA",IFERROR(D7/D6,0)))</f>
        <v>NA</v>
      </c>
      <c r="E9" s="85" t="str">
        <f>IF(E6=0,"NA",IF(E7=0,"NA",IFERROR(E7/E6,0)))</f>
        <v>NA</v>
      </c>
      <c r="F9" s="85" t="str">
        <f t="shared" ref="F9:K9" si="9">IF(F6=0,"NA",IF(F7=0,"NA",IFERROR(F7/F6,0)))</f>
        <v>NA</v>
      </c>
      <c r="G9" s="85" t="str">
        <f t="shared" si="9"/>
        <v>NA</v>
      </c>
      <c r="H9" s="85" t="str">
        <f t="shared" si="9"/>
        <v>NA</v>
      </c>
      <c r="I9" s="85" t="str">
        <f t="shared" si="9"/>
        <v>NA</v>
      </c>
      <c r="J9" s="85" t="str">
        <f t="shared" si="9"/>
        <v>NA</v>
      </c>
      <c r="K9" s="86" t="str">
        <f t="shared" si="9"/>
        <v>NA</v>
      </c>
    </row>
    <row r="10" spans="1:11">
      <c r="A10" s="116"/>
      <c r="B10" s="108" t="s">
        <v>3</v>
      </c>
      <c r="C10" s="81" t="s">
        <v>50</v>
      </c>
      <c r="D10" s="57">
        <v>0</v>
      </c>
      <c r="E10" s="57">
        <v>88600</v>
      </c>
      <c r="F10" s="57">
        <v>0</v>
      </c>
      <c r="G10" s="57">
        <v>167400</v>
      </c>
      <c r="H10" s="57">
        <v>0</v>
      </c>
      <c r="I10" s="57">
        <v>4200</v>
      </c>
      <c r="J10" s="57">
        <v>73200</v>
      </c>
      <c r="K10" s="58">
        <v>0</v>
      </c>
    </row>
    <row r="11" spans="1:11">
      <c r="A11" s="116"/>
      <c r="B11" s="109"/>
      <c r="C11" s="80" t="s">
        <v>51</v>
      </c>
      <c r="D11" s="57">
        <v>38000</v>
      </c>
      <c r="E11" s="57">
        <v>0</v>
      </c>
      <c r="F11" s="57">
        <v>17800</v>
      </c>
      <c r="G11" s="57">
        <v>167000</v>
      </c>
      <c r="H11" s="57">
        <v>0</v>
      </c>
      <c r="I11" s="57">
        <v>7700</v>
      </c>
      <c r="J11" s="57">
        <v>72000</v>
      </c>
      <c r="K11" s="58">
        <v>0</v>
      </c>
    </row>
    <row r="12" spans="1:11">
      <c r="A12" s="116"/>
      <c r="B12" s="109"/>
      <c r="C12" s="78" t="s">
        <v>53</v>
      </c>
      <c r="D12" s="87">
        <f>D10-D11</f>
        <v>-38000</v>
      </c>
      <c r="E12" s="87">
        <f>E10-E11</f>
        <v>88600</v>
      </c>
      <c r="F12" s="87">
        <f t="shared" ref="F12" si="10">F10-F11</f>
        <v>-17800</v>
      </c>
      <c r="G12" s="87">
        <f t="shared" ref="G12" si="11">G10-G11</f>
        <v>400</v>
      </c>
      <c r="H12" s="87">
        <f t="shared" ref="H12" si="12">H10-H11</f>
        <v>0</v>
      </c>
      <c r="I12" s="87">
        <f t="shared" ref="I12" si="13">I10-I11</f>
        <v>-3500</v>
      </c>
      <c r="J12" s="87">
        <f t="shared" ref="J12" si="14">J10-J11</f>
        <v>1200</v>
      </c>
      <c r="K12" s="88">
        <f t="shared" ref="K12" si="15">K10-K11</f>
        <v>0</v>
      </c>
    </row>
    <row r="13" spans="1:11">
      <c r="A13" s="116"/>
      <c r="B13" s="110"/>
      <c r="C13" s="79" t="s">
        <v>52</v>
      </c>
      <c r="D13" s="84" t="str">
        <f>IF(D10=0,"NA",IF(D11=0,"NA",IFERROR(D11/D10,0)))</f>
        <v>NA</v>
      </c>
      <c r="E13" s="85" t="str">
        <f>IF(E10=0,"NA",IF(E11=0,"NA",IFERROR(E11/E10,0)))</f>
        <v>NA</v>
      </c>
      <c r="F13" s="85" t="str">
        <f t="shared" ref="F13:K13" si="16">IF(F10=0,"NA",IF(F11=0,"NA",IFERROR(F11/F10,0)))</f>
        <v>NA</v>
      </c>
      <c r="G13" s="85">
        <f t="shared" si="16"/>
        <v>0.99761051373954601</v>
      </c>
      <c r="H13" s="85" t="str">
        <f t="shared" si="16"/>
        <v>NA</v>
      </c>
      <c r="I13" s="85">
        <f t="shared" si="16"/>
        <v>1.8333333333333333</v>
      </c>
      <c r="J13" s="85">
        <f t="shared" si="16"/>
        <v>0.98360655737704916</v>
      </c>
      <c r="K13" s="86" t="str">
        <f t="shared" si="16"/>
        <v>NA</v>
      </c>
    </row>
    <row r="14" spans="1:11">
      <c r="A14" s="116"/>
      <c r="B14" s="108" t="s">
        <v>2</v>
      </c>
      <c r="C14" s="81" t="s">
        <v>50</v>
      </c>
      <c r="D14" s="57">
        <v>107700</v>
      </c>
      <c r="E14" s="57">
        <v>0</v>
      </c>
      <c r="F14" s="57">
        <v>68200</v>
      </c>
      <c r="G14" s="57">
        <v>0</v>
      </c>
      <c r="H14" s="57">
        <v>36900</v>
      </c>
      <c r="I14" s="57">
        <v>118800</v>
      </c>
      <c r="J14" s="57">
        <v>0</v>
      </c>
      <c r="K14" s="58">
        <v>67900</v>
      </c>
    </row>
    <row r="15" spans="1:11">
      <c r="A15" s="116"/>
      <c r="B15" s="109"/>
      <c r="C15" s="80" t="s">
        <v>51</v>
      </c>
      <c r="D15" s="59">
        <v>0</v>
      </c>
      <c r="E15" s="57">
        <v>126200</v>
      </c>
      <c r="F15" s="57">
        <v>0</v>
      </c>
      <c r="G15" s="57">
        <v>18500</v>
      </c>
      <c r="H15" s="57">
        <v>38300</v>
      </c>
      <c r="I15" s="57">
        <v>116500</v>
      </c>
      <c r="J15" s="57">
        <v>0</v>
      </c>
      <c r="K15" s="58">
        <v>145800</v>
      </c>
    </row>
    <row r="16" spans="1:11">
      <c r="A16" s="116"/>
      <c r="B16" s="109"/>
      <c r="C16" s="78" t="s">
        <v>53</v>
      </c>
      <c r="D16" s="87">
        <f>D14-D15</f>
        <v>107700</v>
      </c>
      <c r="E16" s="87">
        <f>E14-E15</f>
        <v>-126200</v>
      </c>
      <c r="F16" s="87">
        <f t="shared" ref="F16" si="17">F14-F15</f>
        <v>68200</v>
      </c>
      <c r="G16" s="87">
        <f t="shared" ref="G16" si="18">G14-G15</f>
        <v>-18500</v>
      </c>
      <c r="H16" s="87">
        <f t="shared" ref="H16" si="19">H14-H15</f>
        <v>-1400</v>
      </c>
      <c r="I16" s="87">
        <f t="shared" ref="I16" si="20">I14-I15</f>
        <v>2300</v>
      </c>
      <c r="J16" s="87">
        <f t="shared" ref="J16" si="21">J14-J15</f>
        <v>0</v>
      </c>
      <c r="K16" s="88">
        <f t="shared" ref="K16" si="22">K14-K15</f>
        <v>-77900</v>
      </c>
    </row>
    <row r="17" spans="1:11">
      <c r="A17" s="116"/>
      <c r="B17" s="110"/>
      <c r="C17" s="79" t="s">
        <v>52</v>
      </c>
      <c r="D17" s="84" t="str">
        <f>IF(D14=0,"NA",IF(D15=0,"NA",IFERROR(D15/D14,0)))</f>
        <v>NA</v>
      </c>
      <c r="E17" s="85" t="str">
        <f>IF(E14=0,"NA",IF(E15=0,"NA",IFERROR(E15/E14,0)))</f>
        <v>NA</v>
      </c>
      <c r="F17" s="85" t="str">
        <f t="shared" ref="F17:K17" si="23">IF(F14=0,"NA",IF(F15=0,"NA",IFERROR(F15/F14,0)))</f>
        <v>NA</v>
      </c>
      <c r="G17" s="85" t="str">
        <f t="shared" si="23"/>
        <v>NA</v>
      </c>
      <c r="H17" s="85">
        <f t="shared" si="23"/>
        <v>1.037940379403794</v>
      </c>
      <c r="I17" s="85">
        <f t="shared" si="23"/>
        <v>0.98063973063973064</v>
      </c>
      <c r="J17" s="85" t="str">
        <f t="shared" si="23"/>
        <v>NA</v>
      </c>
      <c r="K17" s="86">
        <f t="shared" si="23"/>
        <v>2.1472754050073637</v>
      </c>
    </row>
    <row r="18" spans="1:11">
      <c r="A18" s="116"/>
      <c r="B18" s="108" t="s">
        <v>4</v>
      </c>
      <c r="C18" s="81" t="s">
        <v>50</v>
      </c>
      <c r="D18" s="57">
        <v>27700</v>
      </c>
      <c r="E18" s="57">
        <v>0</v>
      </c>
      <c r="F18" s="57">
        <v>0</v>
      </c>
      <c r="G18" s="57">
        <v>0</v>
      </c>
      <c r="H18" s="57">
        <v>23200</v>
      </c>
      <c r="I18" s="57">
        <v>0</v>
      </c>
      <c r="J18" s="57">
        <v>0</v>
      </c>
      <c r="K18" s="58">
        <v>0</v>
      </c>
    </row>
    <row r="19" spans="1:11">
      <c r="A19" s="116"/>
      <c r="B19" s="109"/>
      <c r="C19" s="80" t="s">
        <v>51</v>
      </c>
      <c r="D19" s="59">
        <v>1100</v>
      </c>
      <c r="E19" s="57">
        <v>4400</v>
      </c>
      <c r="F19" s="57">
        <v>17000</v>
      </c>
      <c r="G19" s="57">
        <v>45900</v>
      </c>
      <c r="H19" s="57">
        <v>0</v>
      </c>
      <c r="I19" s="57">
        <v>0</v>
      </c>
      <c r="J19" s="57">
        <v>0</v>
      </c>
      <c r="K19" s="58">
        <v>0</v>
      </c>
    </row>
    <row r="20" spans="1:11">
      <c r="A20" s="116"/>
      <c r="B20" s="109"/>
      <c r="C20" s="78" t="s">
        <v>53</v>
      </c>
      <c r="D20" s="87">
        <f>D18-D19</f>
        <v>26600</v>
      </c>
      <c r="E20" s="87">
        <f>E18-E19</f>
        <v>-4400</v>
      </c>
      <c r="F20" s="87">
        <f t="shared" ref="F20" si="24">F18-F19</f>
        <v>-17000</v>
      </c>
      <c r="G20" s="87">
        <f t="shared" ref="G20" si="25">G18-G19</f>
        <v>-45900</v>
      </c>
      <c r="H20" s="87">
        <f t="shared" ref="H20" si="26">H18-H19</f>
        <v>23200</v>
      </c>
      <c r="I20" s="87">
        <f t="shared" ref="I20" si="27">I18-I19</f>
        <v>0</v>
      </c>
      <c r="J20" s="87">
        <f t="shared" ref="J20" si="28">J18-J19</f>
        <v>0</v>
      </c>
      <c r="K20" s="88">
        <f t="shared" ref="K20" si="29">K18-K19</f>
        <v>0</v>
      </c>
    </row>
    <row r="21" spans="1:11">
      <c r="A21" s="117"/>
      <c r="B21" s="110"/>
      <c r="C21" s="79" t="s">
        <v>52</v>
      </c>
      <c r="D21" s="84">
        <f>IF(D18=0,"NA",IF(D19=0,"NA",IFERROR(D19/D18,0)))</f>
        <v>3.9711191335740074E-2</v>
      </c>
      <c r="E21" s="85" t="str">
        <f>IF(E18=0,"NA",IF(E19=0,"NA",IFERROR(E19/E18,0)))</f>
        <v>NA</v>
      </c>
      <c r="F21" s="85" t="str">
        <f t="shared" ref="F21:K21" si="30">IF(F18=0,"NA",IF(F19=0,"NA",IFERROR(F19/F18,0)))</f>
        <v>NA</v>
      </c>
      <c r="G21" s="85" t="str">
        <f t="shared" si="30"/>
        <v>NA</v>
      </c>
      <c r="H21" s="85" t="str">
        <f t="shared" si="30"/>
        <v>NA</v>
      </c>
      <c r="I21" s="85" t="str">
        <f t="shared" si="30"/>
        <v>NA</v>
      </c>
      <c r="J21" s="85" t="str">
        <f t="shared" si="30"/>
        <v>NA</v>
      </c>
      <c r="K21" s="86" t="str">
        <f t="shared" si="30"/>
        <v>NA</v>
      </c>
    </row>
  </sheetData>
  <mergeCells count="6"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43EE-1136-4E11-B469-4E339B0C5EFE}">
  <dimension ref="A1:K21"/>
  <sheetViews>
    <sheetView workbookViewId="0">
      <selection activeCell="M23" sqref="M23"/>
    </sheetView>
  </sheetViews>
  <sheetFormatPr defaultRowHeight="15.75"/>
  <cols>
    <col min="1" max="2" width="20.125" style="53" customWidth="1"/>
    <col min="3" max="3" width="12.625" style="53" bestFit="1" customWidth="1"/>
    <col min="4" max="4" width="9" style="53"/>
    <col min="5" max="5" width="9.375" style="53" bestFit="1" customWidth="1"/>
    <col min="6" max="16384" width="9" style="53"/>
  </cols>
  <sheetData>
    <row r="1" spans="1:11">
      <c r="A1" s="54"/>
      <c r="B1" s="54"/>
      <c r="C1" s="69" t="s">
        <v>39</v>
      </c>
      <c r="D1" s="70">
        <v>3</v>
      </c>
      <c r="E1" s="70">
        <f t="shared" ref="E1:K1" si="0">D1+1</f>
        <v>4</v>
      </c>
      <c r="F1" s="70">
        <f t="shared" si="0"/>
        <v>5</v>
      </c>
      <c r="G1" s="70">
        <f t="shared" si="0"/>
        <v>6</v>
      </c>
      <c r="H1" s="93">
        <f t="shared" si="0"/>
        <v>7</v>
      </c>
      <c r="I1" s="70">
        <f t="shared" si="0"/>
        <v>8</v>
      </c>
      <c r="J1" s="70">
        <f t="shared" si="0"/>
        <v>9</v>
      </c>
      <c r="K1" s="71">
        <f t="shared" si="0"/>
        <v>10</v>
      </c>
    </row>
    <row r="2" spans="1:11" ht="15.75" customHeight="1">
      <c r="A2" s="115" t="s">
        <v>54</v>
      </c>
      <c r="B2" s="108" t="s">
        <v>36</v>
      </c>
      <c r="C2" s="81" t="s">
        <v>50</v>
      </c>
      <c r="D2" s="82">
        <v>3690</v>
      </c>
      <c r="E2" s="82">
        <v>0</v>
      </c>
      <c r="F2" s="82">
        <v>0</v>
      </c>
      <c r="G2" s="82">
        <v>6790</v>
      </c>
      <c r="H2" s="94">
        <v>0</v>
      </c>
      <c r="I2" s="82">
        <v>0</v>
      </c>
      <c r="J2" s="82">
        <v>6790</v>
      </c>
      <c r="K2" s="89">
        <v>0</v>
      </c>
    </row>
    <row r="3" spans="1:11">
      <c r="A3" s="116"/>
      <c r="B3" s="109"/>
      <c r="C3" s="80" t="s">
        <v>51</v>
      </c>
      <c r="D3" s="73">
        <v>3295</v>
      </c>
      <c r="E3" s="73">
        <v>7241</v>
      </c>
      <c r="F3" s="73">
        <v>5283</v>
      </c>
      <c r="G3" s="73">
        <v>3829</v>
      </c>
      <c r="H3" s="73">
        <v>0</v>
      </c>
      <c r="I3" s="73">
        <v>7920</v>
      </c>
      <c r="J3" s="73">
        <v>0</v>
      </c>
      <c r="K3" s="83">
        <v>8437</v>
      </c>
    </row>
    <row r="4" spans="1:11">
      <c r="A4" s="116"/>
      <c r="B4" s="109"/>
      <c r="C4" s="78" t="s">
        <v>53</v>
      </c>
      <c r="D4" s="90">
        <f t="shared" ref="D4:K4" si="1">D2-D3</f>
        <v>395</v>
      </c>
      <c r="E4" s="90">
        <f t="shared" si="1"/>
        <v>-7241</v>
      </c>
      <c r="F4" s="90">
        <f t="shared" si="1"/>
        <v>-5283</v>
      </c>
      <c r="G4" s="90">
        <f t="shared" si="1"/>
        <v>2961</v>
      </c>
      <c r="H4" s="90">
        <f t="shared" si="1"/>
        <v>0</v>
      </c>
      <c r="I4" s="90">
        <f t="shared" si="1"/>
        <v>-7920</v>
      </c>
      <c r="J4" s="90">
        <f t="shared" si="1"/>
        <v>6790</v>
      </c>
      <c r="K4" s="91">
        <f t="shared" si="1"/>
        <v>-8437</v>
      </c>
    </row>
    <row r="5" spans="1:11">
      <c r="A5" s="116"/>
      <c r="B5" s="110"/>
      <c r="C5" s="79" t="s">
        <v>52</v>
      </c>
      <c r="D5" s="85">
        <f t="shared" ref="D5:K5" si="2">IF(D2=0,"NA",IF(D3=0,"NA",IFERROR(D3/D2,0)))</f>
        <v>0.89295392953929542</v>
      </c>
      <c r="E5" s="85" t="str">
        <f t="shared" si="2"/>
        <v>NA</v>
      </c>
      <c r="F5" s="85" t="str">
        <f t="shared" si="2"/>
        <v>NA</v>
      </c>
      <c r="G5" s="85">
        <f t="shared" si="2"/>
        <v>0.56391752577319587</v>
      </c>
      <c r="H5" s="92" t="str">
        <f t="shared" si="2"/>
        <v>NA</v>
      </c>
      <c r="I5" s="85" t="str">
        <f t="shared" si="2"/>
        <v>NA</v>
      </c>
      <c r="J5" s="85" t="str">
        <f t="shared" si="2"/>
        <v>NA</v>
      </c>
      <c r="K5" s="86" t="str">
        <f t="shared" si="2"/>
        <v>NA</v>
      </c>
    </row>
    <row r="6" spans="1:11">
      <c r="A6" s="116"/>
      <c r="B6" s="108" t="s">
        <v>37</v>
      </c>
      <c r="C6" s="81" t="s">
        <v>50</v>
      </c>
      <c r="D6" s="82">
        <v>3480</v>
      </c>
      <c r="E6" s="82">
        <v>0</v>
      </c>
      <c r="F6" s="82">
        <v>0</v>
      </c>
      <c r="G6" s="82">
        <v>0</v>
      </c>
      <c r="H6" s="94">
        <v>0</v>
      </c>
      <c r="I6" s="82">
        <v>0</v>
      </c>
      <c r="J6" s="82">
        <v>0</v>
      </c>
      <c r="K6" s="83">
        <v>0</v>
      </c>
    </row>
    <row r="7" spans="1:11">
      <c r="A7" s="116"/>
      <c r="B7" s="109"/>
      <c r="C7" s="80" t="s">
        <v>51</v>
      </c>
      <c r="D7" s="73">
        <v>2000</v>
      </c>
      <c r="E7" s="73">
        <v>1340</v>
      </c>
      <c r="F7" s="73">
        <v>6885</v>
      </c>
      <c r="G7" s="73">
        <v>6885</v>
      </c>
      <c r="H7" s="73">
        <v>0</v>
      </c>
      <c r="I7" s="73">
        <v>0</v>
      </c>
      <c r="J7" s="73">
        <v>0</v>
      </c>
      <c r="K7" s="83">
        <v>0</v>
      </c>
    </row>
    <row r="8" spans="1:11">
      <c r="A8" s="116"/>
      <c r="B8" s="109"/>
      <c r="C8" s="78" t="s">
        <v>53</v>
      </c>
      <c r="D8" s="90">
        <f t="shared" ref="D8:K8" si="3">D6-D7</f>
        <v>1480</v>
      </c>
      <c r="E8" s="90">
        <f t="shared" si="3"/>
        <v>-1340</v>
      </c>
      <c r="F8" s="90">
        <f t="shared" si="3"/>
        <v>-6885</v>
      </c>
      <c r="G8" s="90">
        <f t="shared" si="3"/>
        <v>-6885</v>
      </c>
      <c r="H8" s="90">
        <f t="shared" si="3"/>
        <v>0</v>
      </c>
      <c r="I8" s="90">
        <f t="shared" si="3"/>
        <v>0</v>
      </c>
      <c r="J8" s="90">
        <f t="shared" si="3"/>
        <v>0</v>
      </c>
      <c r="K8" s="91">
        <f t="shared" si="3"/>
        <v>0</v>
      </c>
    </row>
    <row r="9" spans="1:11">
      <c r="A9" s="116"/>
      <c r="B9" s="110"/>
      <c r="C9" s="79" t="s">
        <v>52</v>
      </c>
      <c r="D9" s="85">
        <f>IF(D6=0,"NA",IF(D7=0,"NA",IFERROR(D7/D6,0)))</f>
        <v>0.57471264367816088</v>
      </c>
      <c r="E9" s="85" t="str">
        <f>IF(E6=0,"NA",IF(E7=0,"NA",IFERROR(E7/E6,0)))</f>
        <v>NA</v>
      </c>
      <c r="F9" s="85" t="str">
        <f t="shared" ref="F9" si="4">IF(F6=0,"NA",IF(F7=0,"NA",IFERROR(F7/F6,0)))</f>
        <v>NA</v>
      </c>
      <c r="G9" s="85" t="str">
        <f t="shared" ref="G9" si="5">IF(G6=0,"NA",IF(G7=0,"NA",IFERROR(G7/G6,0)))</f>
        <v>NA</v>
      </c>
      <c r="H9" s="92" t="str">
        <f t="shared" ref="H9" si="6">IF(H6=0,"NA",IF(H7=0,"NA",IFERROR(H7/H6,0)))</f>
        <v>NA</v>
      </c>
      <c r="I9" s="85" t="str">
        <f t="shared" ref="I9" si="7">IF(I6=0,"NA",IF(I7=0,"NA",IFERROR(I7/I6,0)))</f>
        <v>NA</v>
      </c>
      <c r="J9" s="85" t="str">
        <f t="shared" ref="J9" si="8">IF(J6=0,"NA",IF(J7=0,"NA",IFERROR(J7/J6,0)))</f>
        <v>NA</v>
      </c>
      <c r="K9" s="86" t="str">
        <f t="shared" ref="K9" si="9">IF(K6=0,"NA",IF(K7=0,"NA",IFERROR(K7/K6,0)))</f>
        <v>NA</v>
      </c>
    </row>
    <row r="10" spans="1:11">
      <c r="A10" s="116"/>
      <c r="B10" s="108" t="s">
        <v>3</v>
      </c>
      <c r="C10" s="81" t="s">
        <v>50</v>
      </c>
      <c r="D10" s="82">
        <v>99859</v>
      </c>
      <c r="E10" s="82">
        <v>34762</v>
      </c>
      <c r="F10" s="82">
        <v>53</v>
      </c>
      <c r="G10" s="82">
        <v>31860</v>
      </c>
      <c r="H10" s="94">
        <v>10</v>
      </c>
      <c r="I10" s="82">
        <v>53</v>
      </c>
      <c r="J10" s="82">
        <v>31860</v>
      </c>
      <c r="K10" s="83">
        <v>10</v>
      </c>
    </row>
    <row r="11" spans="1:11">
      <c r="A11" s="116"/>
      <c r="B11" s="109"/>
      <c r="C11" s="80" t="s">
        <v>51</v>
      </c>
      <c r="D11" s="73">
        <v>72166</v>
      </c>
      <c r="E11" s="73">
        <v>21939</v>
      </c>
      <c r="F11" s="73">
        <v>10</v>
      </c>
      <c r="G11" s="73">
        <v>99808</v>
      </c>
      <c r="H11" s="73">
        <v>30386</v>
      </c>
      <c r="I11" s="73">
        <v>3</v>
      </c>
      <c r="J11" s="73">
        <v>30423</v>
      </c>
      <c r="K11" s="83">
        <v>51</v>
      </c>
    </row>
    <row r="12" spans="1:11">
      <c r="A12" s="116"/>
      <c r="B12" s="109"/>
      <c r="C12" s="78" t="s">
        <v>53</v>
      </c>
      <c r="D12" s="90">
        <f t="shared" ref="D12:K12" si="10">D10-D11</f>
        <v>27693</v>
      </c>
      <c r="E12" s="90">
        <f t="shared" si="10"/>
        <v>12823</v>
      </c>
      <c r="F12" s="90">
        <f t="shared" si="10"/>
        <v>43</v>
      </c>
      <c r="G12" s="90">
        <f t="shared" si="10"/>
        <v>-67948</v>
      </c>
      <c r="H12" s="90">
        <f t="shared" si="10"/>
        <v>-30376</v>
      </c>
      <c r="I12" s="90">
        <f t="shared" si="10"/>
        <v>50</v>
      </c>
      <c r="J12" s="90">
        <f t="shared" si="10"/>
        <v>1437</v>
      </c>
      <c r="K12" s="91">
        <f t="shared" si="10"/>
        <v>-41</v>
      </c>
    </row>
    <row r="13" spans="1:11">
      <c r="A13" s="116"/>
      <c r="B13" s="110"/>
      <c r="C13" s="79" t="s">
        <v>52</v>
      </c>
      <c r="D13" s="85">
        <f>IF(D10=0,"NA",IF(D11=0,"NA",IFERROR(D11/D10,0)))</f>
        <v>0.72267897735807485</v>
      </c>
      <c r="E13" s="85">
        <f>IF(E10=0,"NA",IF(E11=0,"NA",IFERROR(E11/E10,0)))</f>
        <v>0.63112018871181175</v>
      </c>
      <c r="F13" s="85">
        <f t="shared" ref="F13" si="11">IF(F10=0,"NA",IF(F11=0,"NA",IFERROR(F11/F10,0)))</f>
        <v>0.18867924528301888</v>
      </c>
      <c r="G13" s="85">
        <f t="shared" ref="G13" si="12">IF(G10=0,"NA",IF(G11=0,"NA",IFERROR(G11/G10,0)))</f>
        <v>3.1327055869428753</v>
      </c>
      <c r="H13" s="85">
        <f t="shared" ref="H13" si="13">IF(H10=0,"NA",IF(H11=0,"NA",IFERROR(H11/H10,0)))</f>
        <v>3038.6</v>
      </c>
      <c r="I13" s="85">
        <f t="shared" ref="I13" si="14">IF(I10=0,"NA",IF(I11=0,"NA",IFERROR(I11/I10,0)))</f>
        <v>5.6603773584905662E-2</v>
      </c>
      <c r="J13" s="85">
        <f t="shared" ref="J13" si="15">IF(J10=0,"NA",IF(J11=0,"NA",IFERROR(J11/J10,0)))</f>
        <v>0.95489642184557444</v>
      </c>
      <c r="K13" s="86">
        <f t="shared" ref="K13" si="16">IF(K10=0,"NA",IF(K11=0,"NA",IFERROR(K11/K10,0)))</f>
        <v>5.0999999999999996</v>
      </c>
    </row>
    <row r="14" spans="1:11">
      <c r="A14" s="116"/>
      <c r="B14" s="108" t="s">
        <v>2</v>
      </c>
      <c r="C14" s="81" t="s">
        <v>50</v>
      </c>
      <c r="D14" s="82"/>
      <c r="E14" s="82">
        <v>26299</v>
      </c>
      <c r="F14" s="82">
        <v>32575</v>
      </c>
      <c r="G14" s="82">
        <v>38</v>
      </c>
      <c r="H14" s="82">
        <v>16</v>
      </c>
      <c r="I14" s="82">
        <v>58187</v>
      </c>
      <c r="J14" s="82">
        <v>27</v>
      </c>
      <c r="K14" s="83">
        <v>73</v>
      </c>
    </row>
    <row r="15" spans="1:11">
      <c r="A15" s="116"/>
      <c r="B15" s="109"/>
      <c r="C15" s="80" t="s">
        <v>51</v>
      </c>
      <c r="D15" s="73">
        <v>3</v>
      </c>
      <c r="E15" s="73">
        <v>78034</v>
      </c>
      <c r="F15" s="73">
        <v>15497</v>
      </c>
      <c r="G15" s="73">
        <v>95</v>
      </c>
      <c r="H15" s="73">
        <v>44</v>
      </c>
      <c r="I15" s="73">
        <v>58419</v>
      </c>
      <c r="J15" s="73">
        <v>35</v>
      </c>
      <c r="K15" s="83">
        <v>75375</v>
      </c>
    </row>
    <row r="16" spans="1:11">
      <c r="A16" s="116"/>
      <c r="B16" s="109"/>
      <c r="C16" s="78" t="s">
        <v>53</v>
      </c>
      <c r="D16" s="90">
        <f t="shared" ref="D16:K16" si="17">D14-D15</f>
        <v>-3</v>
      </c>
      <c r="E16" s="90">
        <f t="shared" si="17"/>
        <v>-51735</v>
      </c>
      <c r="F16" s="90">
        <f t="shared" si="17"/>
        <v>17078</v>
      </c>
      <c r="G16" s="90">
        <f t="shared" si="17"/>
        <v>-57</v>
      </c>
      <c r="H16" s="90">
        <f t="shared" si="17"/>
        <v>-28</v>
      </c>
      <c r="I16" s="90">
        <f t="shared" si="17"/>
        <v>-232</v>
      </c>
      <c r="J16" s="90">
        <f t="shared" si="17"/>
        <v>-8</v>
      </c>
      <c r="K16" s="91">
        <f t="shared" si="17"/>
        <v>-75302</v>
      </c>
    </row>
    <row r="17" spans="1:11">
      <c r="A17" s="116"/>
      <c r="B17" s="110"/>
      <c r="C17" s="79" t="s">
        <v>52</v>
      </c>
      <c r="D17" s="85" t="str">
        <f t="shared" ref="D17:K17" si="18">IF(D14=0,"NA",IF(D15=0,"NA",IFERROR(D15/D14,0)))</f>
        <v>NA</v>
      </c>
      <c r="E17" s="85">
        <f t="shared" si="18"/>
        <v>2.9671850640708772</v>
      </c>
      <c r="F17" s="85">
        <f t="shared" si="18"/>
        <v>0.47573292402148887</v>
      </c>
      <c r="G17" s="85">
        <f t="shared" si="18"/>
        <v>2.5</v>
      </c>
      <c r="H17" s="92">
        <f t="shared" si="18"/>
        <v>2.75</v>
      </c>
      <c r="I17" s="85">
        <f t="shared" si="18"/>
        <v>1.0039871448949078</v>
      </c>
      <c r="J17" s="85">
        <f t="shared" si="18"/>
        <v>1.2962962962962963</v>
      </c>
      <c r="K17" s="86">
        <f t="shared" si="18"/>
        <v>1032.5342465753424</v>
      </c>
    </row>
    <row r="18" spans="1:11">
      <c r="A18" s="116"/>
      <c r="B18" s="108" t="s">
        <v>4</v>
      </c>
      <c r="C18" s="81" t="s">
        <v>50</v>
      </c>
      <c r="D18" s="82">
        <v>58</v>
      </c>
      <c r="E18" s="82">
        <v>15692</v>
      </c>
      <c r="F18" s="82">
        <v>8536</v>
      </c>
      <c r="G18" s="82">
        <v>3574</v>
      </c>
      <c r="H18" s="94">
        <v>19</v>
      </c>
      <c r="I18" s="82">
        <v>8536</v>
      </c>
      <c r="J18" s="82">
        <v>3574</v>
      </c>
      <c r="K18" s="83">
        <v>19</v>
      </c>
    </row>
    <row r="19" spans="1:11">
      <c r="A19" s="116"/>
      <c r="B19" s="109"/>
      <c r="C19" s="80" t="s">
        <v>51</v>
      </c>
      <c r="D19" s="73">
        <v>2307</v>
      </c>
      <c r="E19" s="73">
        <v>1</v>
      </c>
      <c r="F19" s="73">
        <v>11037</v>
      </c>
      <c r="G19" s="73">
        <v>11</v>
      </c>
      <c r="H19" s="73">
        <v>38139</v>
      </c>
      <c r="I19" s="73">
        <v>31022</v>
      </c>
      <c r="J19" s="73">
        <v>26182</v>
      </c>
      <c r="K19" s="83">
        <v>22677</v>
      </c>
    </row>
    <row r="20" spans="1:11">
      <c r="A20" s="116"/>
      <c r="B20" s="109"/>
      <c r="C20" s="78" t="s">
        <v>53</v>
      </c>
      <c r="D20" s="90">
        <f t="shared" ref="D20:K20" si="19">D18-D19</f>
        <v>-2249</v>
      </c>
      <c r="E20" s="90">
        <f t="shared" si="19"/>
        <v>15691</v>
      </c>
      <c r="F20" s="90">
        <f t="shared" si="19"/>
        <v>-2501</v>
      </c>
      <c r="G20" s="90">
        <f t="shared" si="19"/>
        <v>3563</v>
      </c>
      <c r="H20" s="90">
        <f t="shared" si="19"/>
        <v>-38120</v>
      </c>
      <c r="I20" s="90">
        <f t="shared" si="19"/>
        <v>-22486</v>
      </c>
      <c r="J20" s="90">
        <f t="shared" si="19"/>
        <v>-22608</v>
      </c>
      <c r="K20" s="91">
        <f t="shared" si="19"/>
        <v>-22658</v>
      </c>
    </row>
    <row r="21" spans="1:11">
      <c r="A21" s="117"/>
      <c r="B21" s="110"/>
      <c r="C21" s="79" t="s">
        <v>52</v>
      </c>
      <c r="D21" s="85">
        <f t="shared" ref="D21:K21" si="20">IF(D18=0,"NA",IF(D19=0,"NA",IFERROR(D19/D18,0)))</f>
        <v>39.775862068965516</v>
      </c>
      <c r="E21" s="85">
        <f t="shared" si="20"/>
        <v>6.3726739739994906E-5</v>
      </c>
      <c r="F21" s="85">
        <f t="shared" si="20"/>
        <v>1.2929943767572634</v>
      </c>
      <c r="G21" s="85">
        <f t="shared" si="20"/>
        <v>3.0777839955232235E-3</v>
      </c>
      <c r="H21" s="85">
        <f t="shared" si="20"/>
        <v>2007.3157894736842</v>
      </c>
      <c r="I21" s="85">
        <f t="shared" si="20"/>
        <v>3.6342549203373946</v>
      </c>
      <c r="J21" s="85">
        <f t="shared" si="20"/>
        <v>7.3256855064353665</v>
      </c>
      <c r="K21" s="86">
        <f t="shared" si="20"/>
        <v>1193.5263157894738</v>
      </c>
    </row>
  </sheetData>
  <mergeCells count="6">
    <mergeCell ref="A2:A21"/>
    <mergeCell ref="B2:B5"/>
    <mergeCell ref="B6:B9"/>
    <mergeCell ref="B10:B13"/>
    <mergeCell ref="B14:B17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MRP data 1-10</vt:lpstr>
      <vt:lpstr>MRP data 1-12</vt:lpstr>
      <vt:lpstr>Dataudsnip</vt:lpstr>
      <vt:lpstr>Verificering</vt:lpstr>
      <vt:lpstr>Sammenligning prod.</vt:lpstr>
      <vt:lpstr>Sammenligning lager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Strarup</cp:lastModifiedBy>
  <dcterms:created xsi:type="dcterms:W3CDTF">2021-10-14T06:14:01Z</dcterms:created>
  <dcterms:modified xsi:type="dcterms:W3CDTF">2022-11-01T07:13:02Z</dcterms:modified>
</cp:coreProperties>
</file>