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soodzafar/Documents/IT Hustle/Tax Advisor/"/>
    </mc:Choice>
  </mc:AlternateContent>
  <xr:revisionPtr revIDLastSave="0" documentId="13_ncr:1_{0A8551B5-F41B-6B40-BC5C-C1BE7A8A9DA2}" xr6:coauthVersionLast="47" xr6:coauthVersionMax="47" xr10:uidLastSave="{00000000-0000-0000-0000-000000000000}"/>
  <bookViews>
    <workbookView xWindow="0" yWindow="680" windowWidth="30240" windowHeight="17740" activeTab="3" xr2:uid="{3856283A-F92C-496F-B00B-AC85A330AD90}"/>
  </bookViews>
  <sheets>
    <sheet name="Taxpayer profile" sheetId="1" r:id="rId1"/>
    <sheet name="Income" sheetId="2" r:id="rId2"/>
    <sheet name="Adjustable Tax" sheetId="7" r:id="rId3"/>
    <sheet name="Income with Final Min tax" sheetId="8" r:id="rId4"/>
    <sheet name="Capital Gain" sheetId="13" r:id="rId5"/>
    <sheet name="Tax Computation" sheetId="9" r:id="rId6"/>
    <sheet name="Tax Reduction, Credit &amp; deduct " sheetId="5" r:id="rId7"/>
    <sheet name="Detail of Expenses" sheetId="10" r:id="rId8"/>
    <sheet name="Wealth Statement" sheetId="11" r:id="rId9"/>
    <sheet name="Wealth Recon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2" l="1"/>
  <c r="B10" i="12"/>
  <c r="B11" i="12"/>
  <c r="D16" i="5"/>
  <c r="D9" i="5"/>
  <c r="B9" i="7"/>
  <c r="B33" i="2"/>
  <c r="B8" i="9" s="1"/>
  <c r="B23" i="9"/>
  <c r="B22" i="2"/>
  <c r="B23" i="2"/>
  <c r="B28" i="2"/>
  <c r="B7" i="9" s="1"/>
  <c r="B15" i="2"/>
  <c r="C18" i="7"/>
  <c r="B8" i="7"/>
  <c r="C8" i="7" s="1"/>
  <c r="B7" i="7"/>
  <c r="C7" i="7" s="1"/>
  <c r="B6" i="7"/>
  <c r="C6" i="7" s="1"/>
  <c r="C9" i="8"/>
  <c r="D7" i="8" l="1"/>
  <c r="D16" i="8"/>
  <c r="B14" i="12"/>
  <c r="C17" i="7"/>
  <c r="C15" i="7"/>
  <c r="C12" i="7"/>
  <c r="E4" i="13"/>
  <c r="B18" i="8"/>
  <c r="E9" i="13"/>
  <c r="E8" i="13"/>
  <c r="E7" i="13"/>
  <c r="E6" i="13"/>
  <c r="E19" i="13" s="1"/>
  <c r="E5" i="13"/>
  <c r="B7" i="2"/>
  <c r="C21" i="11"/>
  <c r="C7" i="11"/>
  <c r="B6" i="2"/>
  <c r="B16" i="2" s="1"/>
  <c r="B6" i="9" s="1"/>
  <c r="B9" i="9" l="1"/>
  <c r="D12" i="8"/>
  <c r="D6" i="5"/>
  <c r="C29" i="11"/>
  <c r="B29" i="11"/>
  <c r="C26" i="11"/>
  <c r="B26" i="11"/>
  <c r="C23" i="11"/>
  <c r="C27" i="11" s="1"/>
  <c r="C30" i="11" s="1"/>
  <c r="B5" i="12" s="1"/>
  <c r="B23" i="11"/>
  <c r="C18" i="8"/>
  <c r="D17" i="8"/>
  <c r="B27" i="11" l="1"/>
  <c r="B30" i="11" s="1"/>
  <c r="B6" i="12" s="1"/>
  <c r="B7" i="12" s="1"/>
  <c r="F19" i="13"/>
  <c r="C19" i="8" s="1"/>
  <c r="C20" i="8" s="1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D13" i="8"/>
  <c r="D14" i="8"/>
  <c r="D15" i="8"/>
  <c r="D11" i="8"/>
  <c r="D10" i="8"/>
  <c r="D9" i="8"/>
  <c r="D8" i="8"/>
  <c r="D6" i="8"/>
  <c r="D5" i="8"/>
  <c r="D4" i="8"/>
  <c r="D3" i="8"/>
  <c r="C32" i="7"/>
  <c r="B28" i="9" l="1"/>
  <c r="B30" i="9" s="1"/>
  <c r="G19" i="13"/>
  <c r="D19" i="8" s="1"/>
  <c r="B19" i="8"/>
  <c r="B20" i="8" s="1"/>
  <c r="B13" i="12" s="1"/>
  <c r="B12" i="9"/>
  <c r="D18" i="8"/>
  <c r="B5" i="7"/>
  <c r="B32" i="7" s="1"/>
  <c r="C19" i="5" l="1"/>
  <c r="C22" i="5" s="1"/>
  <c r="B10" i="9" s="1"/>
  <c r="B11" i="9" s="1"/>
  <c r="B18" i="9"/>
  <c r="B9" i="10"/>
  <c r="D20" i="8"/>
  <c r="B21" i="12"/>
  <c r="B22" i="10" l="1"/>
  <c r="B23" i="10" s="1"/>
  <c r="B25" i="10" s="1"/>
  <c r="B23" i="12" s="1"/>
  <c r="B27" i="12" s="1"/>
  <c r="B29" i="12" s="1"/>
  <c r="B31" i="12" s="1"/>
  <c r="B13" i="9"/>
  <c r="B16" i="9"/>
  <c r="B17" i="9" l="1"/>
  <c r="B19" i="9" s="1"/>
  <c r="D15" i="5" s="1"/>
  <c r="D5" i="5"/>
  <c r="B20" i="9" s="1"/>
  <c r="D14" i="5" l="1"/>
  <c r="D13" i="5"/>
  <c r="D12" i="5"/>
  <c r="B21" i="9" l="1"/>
  <c r="B22" i="9" s="1"/>
  <c r="B24" i="9" s="1"/>
  <c r="B25" i="9" l="1"/>
  <c r="B32" i="9" s="1"/>
</calcChain>
</file>

<file path=xl/sharedStrings.xml><?xml version="1.0" encoding="utf-8"?>
<sst xmlns="http://schemas.openxmlformats.org/spreadsheetml/2006/main" count="341" uniqueCount="265">
  <si>
    <t>Name</t>
  </si>
  <si>
    <t>Mobile Phone Number/Service provider</t>
  </si>
  <si>
    <t>NIC</t>
  </si>
  <si>
    <t>Email</t>
  </si>
  <si>
    <t>Major Source of Income</t>
  </si>
  <si>
    <t>Salary</t>
  </si>
  <si>
    <t>Mr. X</t>
  </si>
  <si>
    <t>------@com</t>
  </si>
  <si>
    <t>Jazz</t>
  </si>
  <si>
    <t>Y/N</t>
  </si>
  <si>
    <t>Taxable value of Car provided by employer</t>
  </si>
  <si>
    <t>Electricity</t>
  </si>
  <si>
    <t>Description</t>
  </si>
  <si>
    <t>422010000000</t>
  </si>
  <si>
    <t>00923001234567</t>
  </si>
  <si>
    <t>Payments By Employer</t>
  </si>
  <si>
    <t>Tax Reduction for Full Time Teacher / Researcher (Except teachers of medical professions who derive income from private medical practice)</t>
  </si>
  <si>
    <t>Tax Reduction on Tax Charged on Behbood Certificates / Pensioner's Benefit Account in excess of applicable rate</t>
  </si>
  <si>
    <t>Tax Reduction on Capital Gain on Immovable Property under clause (9A), Part III, Second Schedule for Ex-Servicemen and serving personnel of Armed Forces and ex-employees and serving personnel of Federal &amp; Provincial Government @50%</t>
  </si>
  <si>
    <t>Tax Reduction on Capital Gain on Immovable Property under clause (9A), Part III, Second Schedule for Ex-Servicemen and serving personnel of Armed Forces and ex-employees and serving personnel of Federal &amp; Provincial Government @75%</t>
  </si>
  <si>
    <t>Tax Reductions</t>
  </si>
  <si>
    <r>
      <t>Special straight deduction is available for </t>
    </r>
    <r>
      <rPr>
        <i/>
        <sz val="8"/>
        <color rgb="FF464646"/>
        <rFont val="PwC Helvetica Neue"/>
      </rPr>
      <t>Zakat</t>
    </r>
    <r>
      <rPr>
        <sz val="8"/>
        <color rgb="FF464646"/>
        <rFont val="PwC Helvetica Neue"/>
      </rPr>
      <t> paid under the Zakat and Usher Ordinance.</t>
    </r>
  </si>
  <si>
    <t>A rebate at the average rate of tax is allowed on donations made to any approved non-profit organisation on the lower of donation value and 30% of the individual’s taxable income. In case of donations made by an individual to an associate, the amount of donations qualifying for tax credit would be restricted to 15% of the individual’s taxable income.</t>
  </si>
  <si>
    <t>Donations to certain approved institutes that were earlier eligible for direct deduction from income have now been transposed into the tax credit regime. As a result, the overall upper limit for tax break for the donors, in respect of charitable donations, has been reduced.</t>
  </si>
  <si>
    <t>Deductible Allowances</t>
  </si>
  <si>
    <t>No. of Children for whom tuition fee is paid</t>
  </si>
  <si>
    <t>Deductible Allowance</t>
  </si>
  <si>
    <t>Educational expense of children (U/S 60D) available to taxpayer with taxable income not exceeding Rs 1.5m per year (5% of the amount paid OR 25% of taxable income OR Rs 60k per child whichever is lower)</t>
  </si>
  <si>
    <t>Tax Credit for Contribution to Approved Pension Fund u/s 63</t>
  </si>
  <si>
    <t>Surrender of Tax Credit on Investments in Shares disposed off before time limit</t>
  </si>
  <si>
    <t>Tax Credit for Charitable Donations u/s 61</t>
  </si>
  <si>
    <t>30% of the taxable income</t>
  </si>
  <si>
    <t>15% of the taxable income</t>
  </si>
  <si>
    <t>Tax Credit for Charitable Donations u/s 61 where donation is made to associate</t>
  </si>
  <si>
    <t>20% of the taxable income (2% per year for above 40 years if he joined at or above 41 years of age)</t>
  </si>
  <si>
    <t>Salary of Employees u/s 149</t>
  </si>
  <si>
    <t>Directorship Fee u/s 149(3)</t>
  </si>
  <si>
    <t>Advance tax on cash withdrawal u/s 231AB</t>
  </si>
  <si>
    <t>Motor Vehicle Registration Fee u/s 231B(1)</t>
  </si>
  <si>
    <t>Motor Vehicle Transfer Fee u/s 231B(2)</t>
  </si>
  <si>
    <t>Motor Vehicle Sale u/s 231B(3)</t>
  </si>
  <si>
    <t>Motor Vehicle Leasing u/s 231B(1A) (Non-ATL) @4%</t>
  </si>
  <si>
    <t>Electricity Bill of Domestic Consumer u/s 235</t>
  </si>
  <si>
    <t>Telephone Bill u/s 236(1)(a)</t>
  </si>
  <si>
    <t>Cellphone Bill u/s 236(1)(a)</t>
  </si>
  <si>
    <t>Prepaid Telephone Card u/s 236(1)(b)</t>
  </si>
  <si>
    <t>Phone Unit u/s 236(1)(c)</t>
  </si>
  <si>
    <t>Internet Bill u/s 236(1)(d)</t>
  </si>
  <si>
    <t>Prepaid Internet Card u/s 236(1)(e)</t>
  </si>
  <si>
    <t>Sale / Transfer of Immovable Property u/s 236C</t>
  </si>
  <si>
    <t>Tax Deducted u/s 236C where Property Purchased &amp; Sold within Tax Year</t>
  </si>
  <si>
    <t>Tax Deducted u/s 236C where Property Purchased Prior to current Tax Year</t>
  </si>
  <si>
    <t>Functions / Gatherings Charges u/s 236CB (ATL @ 10% / Non-ATL @ 20%)</t>
  </si>
  <si>
    <t>Purchase / Transfer of Immovable Property u/s 236K</t>
  </si>
  <si>
    <t>Advance Tax on Withdrawal of Balance under Pension Fund u/c 23A of Part I of Second Schedule</t>
  </si>
  <si>
    <t>Persons remitting amount abroad through credit / debits / prepaid cards u/s 236Y</t>
  </si>
  <si>
    <t>Advance tax on foreign domestic workers u/s 231C</t>
  </si>
  <si>
    <t>Withholding tax on Sale Considerations u/s 37(6) @ 10% of the value of shares</t>
  </si>
  <si>
    <t>Advance tax on Motor Vehicle u/s 231B(2A)</t>
  </si>
  <si>
    <t>Tax Chargeable</t>
  </si>
  <si>
    <t>Return on Investment in Sukuks u/s 151(1A) @ 25%</t>
  </si>
  <si>
    <t>Bonus shares issued by companies u/s 236Z</t>
  </si>
  <si>
    <t>Capital Gains on Immovable Property u/s 37(1A) where holding period does not exceed 1 year</t>
  </si>
  <si>
    <t>Capital Gains on Immovable Property u/s 37(1A) where holding period exceeds 1 year but does not exceed 2 years</t>
  </si>
  <si>
    <t>Capital Gains on Immovable Property u/s 37(1A) where holding period exceeds 2 years but does not exceed 3 years</t>
  </si>
  <si>
    <t>Capital Gains on Immovable Property u/s 37(1A) where holding period exceeds 3 years but does not exceed 4 years</t>
  </si>
  <si>
    <t>Capital Gains on Immovable Property u/s 37(1A) where holding period exceeds 4 years but does not exceed 5 years</t>
  </si>
  <si>
    <t>Capital Gains on Immovable Property u/s 37(1A) where holding period exceeds 5 years but does not exceed 6 years</t>
  </si>
  <si>
    <t>Capital Gains on Immovable Property u/s 37(1A) where holding period exceeds 6 years</t>
  </si>
  <si>
    <t>Capital Gains on Securities u/s 37A @5% (PMEX/Cash Settled Securities)</t>
  </si>
  <si>
    <t>Capital Gains on Securities u/s 37A @7.5%</t>
  </si>
  <si>
    <t>Capital Gains on Securities / Mutual Funds / Collective Schemes / REIT u/s 37A @10%</t>
  </si>
  <si>
    <t>Capital Gains on Securities / Mutual Funds / Collective Schemes / REIT (For stock funds) u/s 37A @12.5%</t>
  </si>
  <si>
    <t>Capital Gains on Securities / Mutual Funds / Collective Schemes / REIT (Other than stock funds) u/s 37A @25%</t>
  </si>
  <si>
    <t>Capital Gains on Securities u/s 37A @12.5% (securities acquired before July 01, 2022 regardless of holding period)</t>
  </si>
  <si>
    <t>Capital Gains on Securities u/s 37A @15%</t>
  </si>
  <si>
    <t>Profit on Debt on National Savings Certificates including Defence Saving pertaining to pervious years u/s 39(4A)</t>
  </si>
  <si>
    <t>Average Rate of tax for Calculation of salary arrears (0% To 100%)</t>
  </si>
  <si>
    <t>Salary Arrears u/s 12(7) Chargeable to Tax at Relevant Rate</t>
  </si>
  <si>
    <t>Amount</t>
  </si>
  <si>
    <t>Tax Cargeable</t>
  </si>
  <si>
    <t>Amount/Receipt</t>
  </si>
  <si>
    <t>Tax Deducted</t>
  </si>
  <si>
    <t>Dividend u/s 150 @35% share of profit from other SPV</t>
  </si>
  <si>
    <t>Dividend u/s 150 @0% share of profit from REIT SPV</t>
  </si>
  <si>
    <t>Dividend u/s 150 @7.5% IPP Shares</t>
  </si>
  <si>
    <t>Prize on Raffle/Lottery/Quiz/Sale promotion u/s 156</t>
  </si>
  <si>
    <t>Prize on Prize Bond/Cross workd puzzle u/s 156</t>
  </si>
  <si>
    <t>Value received is the day-end price on the first day of closure of
books in the case of listed company and the value as prescribed in case of other
companies</t>
  </si>
  <si>
    <t>Capital Gains on Securities u/s 37A @0% acquired before 1-Jul-2013</t>
  </si>
  <si>
    <t>Plot</t>
  </si>
  <si>
    <t>Constructed proporty</t>
  </si>
  <si>
    <t>Flat</t>
  </si>
  <si>
    <t>Total Amount</t>
  </si>
  <si>
    <t>Income from Salary</t>
  </si>
  <si>
    <t>Gains / (Loss) from Capital Assets</t>
  </si>
  <si>
    <t>Income / (Loss) from Other Sources</t>
  </si>
  <si>
    <t>Total Income</t>
  </si>
  <si>
    <t>Normal Income Tax</t>
  </si>
  <si>
    <t>Final / Fixed / Minimum / Average / Relevant / Reduced Income Tax</t>
  </si>
  <si>
    <t>Tax Credits</t>
  </si>
  <si>
    <t>Refund Adjustment of Other Year(s) against Demand of this Year</t>
  </si>
  <si>
    <t>Withholding Income Tax</t>
  </si>
  <si>
    <t>Rent</t>
  </si>
  <si>
    <t>Rates / Taxes / Charge / Cess</t>
  </si>
  <si>
    <t>Vehicle Running / Maintenence</t>
  </si>
  <si>
    <t>Travelling</t>
  </si>
  <si>
    <t>Water</t>
  </si>
  <si>
    <t>Gas</t>
  </si>
  <si>
    <t>Telephone</t>
  </si>
  <si>
    <t>Asset Insurance / Security</t>
  </si>
  <si>
    <t>Medical</t>
  </si>
  <si>
    <t>Educational</t>
  </si>
  <si>
    <t>Club</t>
  </si>
  <si>
    <t>Functions / Gatherings</t>
  </si>
  <si>
    <t>Donation, Zakat, Annuity, Profit on Debt, Life Insurance Premium, etc.</t>
  </si>
  <si>
    <t>Other Personal / Household Expenses</t>
  </si>
  <si>
    <t>Contribution in Expenses by Family Members</t>
  </si>
  <si>
    <t>Agricultural Property</t>
  </si>
  <si>
    <t>Commercial, Industrial, Residential Property (Non-Business)</t>
  </si>
  <si>
    <t>Equipment (Non-Business)</t>
  </si>
  <si>
    <t>Animal (Non-Business)</t>
  </si>
  <si>
    <t>Investment (Non-Business) (Account / Annuity / Bond / Certificate / Debenture / Deposit / Fund / Instrument / Policy / Share / Stock / Unit, etc.)</t>
  </si>
  <si>
    <t>Debt (Non-Business) (Advance / Debt / Deposit / Prepayment / Receivable / Security)</t>
  </si>
  <si>
    <t>Motor Vehicle (Non-Business)</t>
  </si>
  <si>
    <t>Household Effect</t>
  </si>
  <si>
    <t>Personal Item</t>
  </si>
  <si>
    <t>Cash (Non-Business)</t>
  </si>
  <si>
    <t>Any Other Asset</t>
  </si>
  <si>
    <t>Any Other Asset - -Accumulated P.F balance</t>
  </si>
  <si>
    <t>Any Other Asset - -LISTED COMPANIES SHARES</t>
  </si>
  <si>
    <t>Assets in Others' Name</t>
  </si>
  <si>
    <t>Total Assets inside Pakistan</t>
  </si>
  <si>
    <t>Assets held outside Pakistan</t>
  </si>
  <si>
    <t>Capital or voting rights in foreign company</t>
  </si>
  <si>
    <t>Total Assets</t>
  </si>
  <si>
    <t>Total Liabilities</t>
  </si>
  <si>
    <t>Net Assets Current Year</t>
  </si>
  <si>
    <t>Net Assets Previous Year</t>
  </si>
  <si>
    <t>Inflows</t>
  </si>
  <si>
    <t>Income Declared as per Return for the year subject to Normal Tax</t>
  </si>
  <si>
    <t>Income Declared as per Return for the year Exempt from Tax</t>
  </si>
  <si>
    <t>Adjustments in Inflows</t>
  </si>
  <si>
    <t>Foreign Remittance</t>
  </si>
  <si>
    <t>Inheritance</t>
  </si>
  <si>
    <t>Gift</t>
  </si>
  <si>
    <t>Others</t>
  </si>
  <si>
    <t>Outflows</t>
  </si>
  <si>
    <t>Personal Expenses</t>
  </si>
  <si>
    <t>Adjustments in Outflows</t>
  </si>
  <si>
    <t>Loss on Disposal of Assets</t>
  </si>
  <si>
    <t>Chargeable to tax at rate prevailing in the relevant year</t>
  </si>
  <si>
    <t>Income Subject to Final / Fixed / Minimum / Average / Relevant / Reduced Tax</t>
  </si>
  <si>
    <t>Capital Gain</t>
  </si>
  <si>
    <t>Taxable Amount/Receipt</t>
  </si>
  <si>
    <t>Total Gapital Gain</t>
  </si>
  <si>
    <t>Subtotal</t>
  </si>
  <si>
    <t>Grand Total</t>
  </si>
  <si>
    <t>Tax Collected</t>
  </si>
  <si>
    <t>Value as per Withholding Certificate</t>
  </si>
  <si>
    <t xml:space="preserve">Gross Receipt </t>
  </si>
  <si>
    <t>Adjustable Tax</t>
  </si>
  <si>
    <t>Total</t>
  </si>
  <si>
    <t>25% of tax payable on his income from salary</t>
  </si>
  <si>
    <t>Tax Reduction</t>
  </si>
  <si>
    <t>Tax shall not exceed 5% of such profit</t>
  </si>
  <si>
    <t>50% of the normal tax on capital gain</t>
  </si>
  <si>
    <t>Zakat paid under Zakat and Usher Ordinance</t>
  </si>
  <si>
    <t>Total Tax Reduction</t>
  </si>
  <si>
    <t>Total Deduction from Income</t>
  </si>
  <si>
    <t>Limits/Remarks</t>
  </si>
  <si>
    <t>Notes:</t>
  </si>
  <si>
    <t>Input 1</t>
  </si>
  <si>
    <t>Input 2</t>
  </si>
  <si>
    <t>Tax Reduction, Credit and Deductible Allowances</t>
  </si>
  <si>
    <t>Y</t>
  </si>
  <si>
    <t>Total Tax Credit</t>
  </si>
  <si>
    <t>Income Tax Demanded /(Refundable)</t>
  </si>
  <si>
    <t>Tax Computation</t>
  </si>
  <si>
    <t>Amount PKR</t>
  </si>
  <si>
    <t>Amount in PKR</t>
  </si>
  <si>
    <t>Income Tax Paid</t>
  </si>
  <si>
    <t>Investment (Non-Business) (Account / Annuity / Bond / Certificate / Debenture / Deposit / Fund / Instrument / Policy / Share / Stock / Unit, etc.) - Act Number 20610--------Habib Metropolitan Bank Limited Gulshan E Iqbal Karachi</t>
  </si>
  <si>
    <t>Closing Balance Current year 30 Jun 2025</t>
  </si>
  <si>
    <t>Closing Balance Last year 30 Jun 2024</t>
  </si>
  <si>
    <t>All assets shall be reported at acquisition/historical costs</t>
  </si>
  <si>
    <t>Note:</t>
  </si>
  <si>
    <t>Gift (Value declard in gift deed)</t>
  </si>
  <si>
    <t>Net Increase/(Decrease) in in Assets</t>
  </si>
  <si>
    <t>Unreconciled difference</t>
  </si>
  <si>
    <t>Increase / (Decrease) in Assets</t>
  </si>
  <si>
    <t>Wealth Reconciliation</t>
  </si>
  <si>
    <t>Net Assets at end of Tax Year</t>
  </si>
  <si>
    <t>Gain/(Loss) on Disposal of Assets (Excluding capital gain)</t>
  </si>
  <si>
    <t>Wealth Statement</t>
  </si>
  <si>
    <t>Commercial, Industrial, Residential Property (Non-Business) Defense/Bahria,</t>
  </si>
  <si>
    <t>Precious Possession (Jewelry etc.)</t>
  </si>
  <si>
    <t>Total Assets held outside Pakistan</t>
  </si>
  <si>
    <t>Income</t>
  </si>
  <si>
    <t>Applicable rate</t>
  </si>
  <si>
    <t>75% of the normal tax on capital gain</t>
  </si>
  <si>
    <t>Total education Expense</t>
  </si>
  <si>
    <t>Normal Income Tax after Tax Reduction/Credit</t>
  </si>
  <si>
    <t>Surcharge (10% of Income Tax where income exceed Rs 10m)</t>
  </si>
  <si>
    <t>Taxable Income including capital gains/(loss)</t>
  </si>
  <si>
    <t>Taxable Income excluding capital gains/(loss)</t>
  </si>
  <si>
    <t>Normal Income Tax including Surcharge and CGT</t>
  </si>
  <si>
    <t>Capital Gain Tax (CGT)</t>
  </si>
  <si>
    <t>Taxes Paid/Adjusted</t>
  </si>
  <si>
    <t>Totlal Tax Chargeable</t>
  </si>
  <si>
    <t>Total Taxes Paid/Adjusted</t>
  </si>
  <si>
    <t>Income Attributable to Receipts, etc. Declared as per Return for the year subject to Final / Fixed Tax and CGT</t>
  </si>
  <si>
    <t>Total Expensespaid by taxpayer</t>
  </si>
  <si>
    <t>Investment (Non-Business) (Account / Annuity / Bond / Certificate / Debenture / Deposit / Fund / Instrument / Policy / Share / Stock / Unit, etc.) - Investment in Bahbood</t>
  </si>
  <si>
    <t>Credit (Non-Business) (Advance / Borrowing / Credit / Deposit / Loan / Mortgage / Overdraft / Payable) Bank Loan</t>
  </si>
  <si>
    <t>Detail of Income Subject to Normal Taxation</t>
  </si>
  <si>
    <t>Annual Salary and Wages</t>
  </si>
  <si>
    <t>Bonus</t>
  </si>
  <si>
    <t>Medical allowance (Where medical facility not provided by employer)</t>
  </si>
  <si>
    <t>Pension received from ex-employer</t>
  </si>
  <si>
    <t>Employer Contribution to Approved Provident Funds</t>
  </si>
  <si>
    <t>Allowances (excluding bonus and medical allowance)</t>
  </si>
  <si>
    <t>Non cash benefits</t>
  </si>
  <si>
    <t>Other taxable subsidies and non cash benefits</t>
  </si>
  <si>
    <t>Total non cash benefits</t>
  </si>
  <si>
    <t>Annual Value in PKR</t>
  </si>
  <si>
    <t>Other cash benefits (LFA, Children education, etc.)</t>
  </si>
  <si>
    <t>Employment Termination payment (Section 12 (2) e iii)</t>
  </si>
  <si>
    <t>Income Exempt from tax</t>
  </si>
  <si>
    <t>Non cash expenses</t>
  </si>
  <si>
    <t>Balancing figure</t>
  </si>
  <si>
    <t>Remarks</t>
  </si>
  <si>
    <t>Input cell</t>
  </si>
  <si>
    <t>sum of above</t>
  </si>
  <si>
    <t>Sum of all above</t>
  </si>
  <si>
    <t>Green cells are input cells (Tax chargeable is computed based on TY2025 rates)</t>
  </si>
  <si>
    <t>Linked with Capital gain sheet</t>
  </si>
  <si>
    <t>Reduction as per second schedule</t>
  </si>
  <si>
    <t>Certificate amount and applicable tax to be input in green cells</t>
  </si>
  <si>
    <t>Green cells are to be filled in</t>
  </si>
  <si>
    <t>Green cells are to be filled in and tax credit is computed as per TY2025 rates</t>
  </si>
  <si>
    <t>Input cell (the value used in computation of taxable income</t>
  </si>
  <si>
    <t>Green cells are input cells. Tax chargeable computed based on TY2025 rates</t>
  </si>
  <si>
    <t>Amount received on retirement from approved funds (Provident, pension, gratuity)</t>
  </si>
  <si>
    <t>Dividend u/s 150 @25% (From Companies not paying tax due to BF losses or Mutual funds with 50% and above profit on debt)</t>
  </si>
  <si>
    <t>Dividend u/s 150 @15% (Dividend in kind or Mutual funds with less than 50% profit on debt)</t>
  </si>
  <si>
    <t>Return on Investment in Sukuks u/s 151(1A) @ 10% Up to Rs 1m</t>
  </si>
  <si>
    <t>Return on Investment in Sukuks u/s 151(1A) @ 12.5% From Rs 1m to Rs 5m</t>
  </si>
  <si>
    <t>Profit on Debt u/s 151 @ 15% (Profit on debt Exceeding Rs 5m)</t>
  </si>
  <si>
    <t>Profit on Debt u/s 151A @ 12.5% (Sukook Exceeding Rs 5m)</t>
  </si>
  <si>
    <t>Annual Basic Salary</t>
  </si>
  <si>
    <t>Gross receipt linked with Income sheet and tax collected is Input cell</t>
  </si>
  <si>
    <r>
      <t xml:space="preserve">Interest Income - Profit on debt u/s 7B </t>
    </r>
    <r>
      <rPr>
        <b/>
        <sz val="10"/>
        <color rgb="FF4F4F4F"/>
        <rFont val="Calibri"/>
        <family val="2"/>
      </rPr>
      <t xml:space="preserve">(Profit up to 5m taxable at 15%) </t>
    </r>
  </si>
  <si>
    <t>Profit on Debt u/c 5(A)/5AA/5AB of Part II, Second Schedule (@10%) - Debt instrument via FCVA/SCRA for non resident or resident Pakistani with foreign bank accounts declared under SBP Scheme</t>
  </si>
  <si>
    <t>Other Income</t>
  </si>
  <si>
    <t>Other Income (Subject to minimum tax)</t>
  </si>
  <si>
    <t>Other Income (Not Subject to minimum tax)</t>
  </si>
  <si>
    <t>Other Income subject to minimum tax</t>
  </si>
  <si>
    <t>Non cash benefit exempt from tax</t>
  </si>
  <si>
    <t>Applicable tax credit rate based on age</t>
  </si>
  <si>
    <t>Other income subject to minimum tax</t>
  </si>
  <si>
    <t>Other taxable income - Rent income</t>
  </si>
  <si>
    <t>Tax deducted on Rent received (Section 155)</t>
  </si>
  <si>
    <t>Other taxable income - Others</t>
  </si>
  <si>
    <t>Other taxable income -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</si>
</sst>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_(* #,##0_);_(* \(#,##0\);_(* &quot;-&quot;??_);_(@_)"/>
    <numFmt numFmtId="165" formatCode="0.000%"/>
  </numFmts>
  <fonts count="3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Aptos"/>
      <family val="2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7"/>
      <color theme="1"/>
      <name val="Aptos Narrow"/>
      <family val="2"/>
      <scheme val="minor"/>
    </font>
    <font>
      <sz val="7"/>
      <color rgb="FF4F4F4F"/>
      <name val="Arial"/>
      <family val="2"/>
    </font>
    <font>
      <sz val="8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rgb="FF4F4F4F"/>
      <name val="Arial"/>
      <family val="2"/>
    </font>
    <font>
      <sz val="8"/>
      <color rgb="FF464646"/>
      <name val="PwC Helvetica Neue"/>
    </font>
    <font>
      <i/>
      <sz val="8"/>
      <color rgb="FF464646"/>
      <name val="PwC Helvetica Neue"/>
    </font>
    <font>
      <b/>
      <sz val="11"/>
      <color rgb="FFFFFFFF"/>
      <name val="Aptos Narrow"/>
      <family val="2"/>
      <scheme val="minor"/>
    </font>
    <font>
      <b/>
      <sz val="10"/>
      <color rgb="FF4F4F4F"/>
      <name val="Calibri"/>
      <family val="2"/>
    </font>
    <font>
      <sz val="10"/>
      <color theme="1"/>
      <name val="Calibri"/>
      <family val="2"/>
    </font>
    <font>
      <sz val="10"/>
      <color rgb="FF4F4F4F"/>
      <name val="Calibri"/>
      <family val="2"/>
    </font>
    <font>
      <b/>
      <sz val="10"/>
      <color theme="0"/>
      <name val="Calibri"/>
      <family val="2"/>
    </font>
    <font>
      <b/>
      <sz val="16"/>
      <color rgb="FF4F4F4F"/>
      <name val="Calibri"/>
      <family val="2"/>
    </font>
    <font>
      <b/>
      <sz val="10"/>
      <color theme="1"/>
      <name val="Calibri"/>
      <family val="2"/>
    </font>
    <font>
      <b/>
      <sz val="14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6"/>
      <name val="Aptos Narrow"/>
      <family val="2"/>
      <scheme val="minor"/>
    </font>
    <font>
      <sz val="12"/>
      <color rgb="FF4F4F4F"/>
      <name val="Arial"/>
      <family val="2"/>
    </font>
    <font>
      <b/>
      <sz val="16"/>
      <color theme="1"/>
      <name val="Aptos Narrow"/>
      <family val="2"/>
      <scheme val="minor"/>
    </font>
    <font>
      <i/>
      <sz val="12"/>
      <color rgb="FF4F4F4F"/>
      <name val="Arial"/>
      <family val="2"/>
    </font>
    <font>
      <b/>
      <sz val="12"/>
      <color rgb="FF4F4F4F"/>
      <name val="Arial"/>
      <family val="2"/>
    </font>
    <font>
      <b/>
      <sz val="14"/>
      <color theme="1"/>
      <name val="Arial"/>
      <family val="2"/>
    </font>
    <font>
      <sz val="11"/>
      <color rgb="FF4F4F4F"/>
      <name val="Arial"/>
      <family val="2"/>
    </font>
    <font>
      <strike/>
      <sz val="10"/>
      <color rgb="FF4F4F4F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2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164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/>
    <xf numFmtId="164" fontId="4" fillId="0" borderId="1" xfId="1" applyNumberFormat="1" applyFont="1" applyBorder="1"/>
    <xf numFmtId="0" fontId="4" fillId="0" borderId="1" xfId="0" applyFont="1" applyBorder="1"/>
    <xf numFmtId="49" fontId="0" fillId="0" borderId="1" xfId="1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164" fontId="0" fillId="2" borderId="1" xfId="1" applyNumberFormat="1" applyFont="1" applyFill="1" applyBorder="1"/>
    <xf numFmtId="0" fontId="0" fillId="2" borderId="1" xfId="0" applyFill="1" applyBorder="1"/>
    <xf numFmtId="0" fontId="4" fillId="0" borderId="1" xfId="0" applyFont="1" applyBorder="1" applyAlignment="1">
      <alignment vertical="center"/>
    </xf>
    <xf numFmtId="0" fontId="4" fillId="3" borderId="1" xfId="0" applyFont="1" applyFill="1" applyBorder="1"/>
    <xf numFmtId="0" fontId="0" fillId="3" borderId="1" xfId="0" applyFill="1" applyBorder="1"/>
    <xf numFmtId="0" fontId="7" fillId="0" borderId="0" xfId="0" applyFont="1" applyAlignment="1">
      <alignment horizontal="left" vertical="center" wrapText="1" indent="1"/>
    </xf>
    <xf numFmtId="0" fontId="8" fillId="0" borderId="0" xfId="0" applyFont="1"/>
    <xf numFmtId="0" fontId="13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left" vertical="center" wrapText="1" indent="1"/>
    </xf>
    <xf numFmtId="0" fontId="0" fillId="0" borderId="1" xfId="0" applyBorder="1" applyAlignment="1">
      <alignment wrapText="1"/>
    </xf>
    <xf numFmtId="0" fontId="14" fillId="0" borderId="0" xfId="0" applyFont="1" applyAlignment="1">
      <alignment vertical="center" wrapText="1"/>
    </xf>
    <xf numFmtId="0" fontId="15" fillId="0" borderId="0" xfId="0" applyFont="1"/>
    <xf numFmtId="0" fontId="16" fillId="4" borderId="1" xfId="0" applyFont="1" applyFill="1" applyBorder="1" applyAlignment="1">
      <alignment horizontal="left" vertical="center" wrapText="1" indent="1"/>
    </xf>
    <xf numFmtId="0" fontId="16" fillId="0" borderId="1" xfId="0" applyFont="1" applyBorder="1" applyAlignment="1">
      <alignment horizontal="left" vertical="center" wrapText="1" indent="1"/>
    </xf>
    <xf numFmtId="164" fontId="15" fillId="0" borderId="1" xfId="0" applyNumberFormat="1" applyFont="1" applyBorder="1"/>
    <xf numFmtId="0" fontId="17" fillId="5" borderId="1" xfId="0" applyFont="1" applyFill="1" applyBorder="1"/>
    <xf numFmtId="0" fontId="16" fillId="6" borderId="1" xfId="0" applyFont="1" applyFill="1" applyBorder="1" applyAlignment="1">
      <alignment horizontal="left" vertical="center" wrapText="1" indent="1"/>
    </xf>
    <xf numFmtId="0" fontId="16" fillId="7" borderId="1" xfId="0" applyFont="1" applyFill="1" applyBorder="1" applyAlignment="1">
      <alignment horizontal="left" vertical="center" wrapText="1" indent="1"/>
    </xf>
    <xf numFmtId="0" fontId="18" fillId="0" borderId="1" xfId="0" applyFont="1" applyBorder="1" applyAlignment="1">
      <alignment horizontal="left" vertical="center" wrapText="1" indent="1"/>
    </xf>
    <xf numFmtId="0" fontId="7" fillId="7" borderId="1" xfId="0" applyFont="1" applyFill="1" applyBorder="1" applyAlignment="1">
      <alignment horizontal="center" vertical="center" wrapText="1"/>
    </xf>
    <xf numFmtId="0" fontId="19" fillId="8" borderId="1" xfId="0" applyFont="1" applyFill="1" applyBorder="1"/>
    <xf numFmtId="164" fontId="19" fillId="8" borderId="1" xfId="1" applyNumberFormat="1" applyFont="1" applyFill="1" applyBorder="1"/>
    <xf numFmtId="0" fontId="15" fillId="8" borderId="1" xfId="0" applyFont="1" applyFill="1" applyBorder="1"/>
    <xf numFmtId="164" fontId="15" fillId="8" borderId="1" xfId="1" applyNumberFormat="1" applyFont="1" applyFill="1" applyBorder="1"/>
    <xf numFmtId="0" fontId="15" fillId="9" borderId="1" xfId="0" applyFont="1" applyFill="1" applyBorder="1"/>
    <xf numFmtId="0" fontId="4" fillId="0" borderId="0" xfId="0" applyFont="1"/>
    <xf numFmtId="0" fontId="14" fillId="3" borderId="1" xfId="0" applyFont="1" applyFill="1" applyBorder="1" applyAlignment="1">
      <alignment horizontal="left" vertical="center" wrapText="1" indent="1"/>
    </xf>
    <xf numFmtId="0" fontId="20" fillId="0" borderId="0" xfId="0" applyFont="1" applyAlignment="1">
      <alignment vertical="center"/>
    </xf>
    <xf numFmtId="0" fontId="9" fillId="0" borderId="1" xfId="0" applyFont="1" applyBorder="1" applyAlignment="1">
      <alignment horizontal="left" vertical="center" wrapText="1" indent="1"/>
    </xf>
    <xf numFmtId="0" fontId="10" fillId="0" borderId="1" xfId="0" applyFont="1" applyBorder="1" applyAlignment="1">
      <alignment horizontal="left" vertical="center" wrapText="1" indent="1"/>
    </xf>
    <xf numFmtId="0" fontId="6" fillId="0" borderId="1" xfId="0" applyFont="1" applyBorder="1" applyAlignment="1">
      <alignment vertical="center" wrapText="1"/>
    </xf>
    <xf numFmtId="0" fontId="5" fillId="10" borderId="1" xfId="0" applyFont="1" applyFill="1" applyBorder="1" applyAlignment="1">
      <alignment horizontal="left" vertical="center" wrapText="1" indent="1"/>
    </xf>
    <xf numFmtId="0" fontId="4" fillId="11" borderId="1" xfId="0" applyFont="1" applyFill="1" applyBorder="1"/>
    <xf numFmtId="0" fontId="9" fillId="0" borderId="0" xfId="0" applyFont="1" applyAlignment="1">
      <alignment horizontal="left" vertical="center" wrapText="1" indent="1"/>
    </xf>
    <xf numFmtId="0" fontId="10" fillId="0" borderId="0" xfId="0" applyFont="1" applyAlignment="1">
      <alignment horizontal="left" vertical="center" wrapText="1" indent="1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22" fillId="0" borderId="0" xfId="0" applyFont="1"/>
    <xf numFmtId="164" fontId="7" fillId="9" borderId="1" xfId="1" applyNumberFormat="1" applyFont="1" applyFill="1" applyBorder="1" applyAlignment="1">
      <alignment horizontal="left" vertical="center" wrapText="1" indent="1"/>
    </xf>
    <xf numFmtId="9" fontId="0" fillId="9" borderId="1" xfId="2" applyFont="1" applyFill="1" applyBorder="1"/>
    <xf numFmtId="0" fontId="4" fillId="0" borderId="0" xfId="0" applyFont="1" applyAlignment="1">
      <alignment vertical="center"/>
    </xf>
    <xf numFmtId="164" fontId="0" fillId="0" borderId="0" xfId="1" applyNumberFormat="1" applyFont="1" applyFill="1" applyBorder="1"/>
    <xf numFmtId="0" fontId="4" fillId="0" borderId="9" xfId="0" applyFont="1" applyBorder="1" applyAlignment="1">
      <alignment vertical="center"/>
    </xf>
    <xf numFmtId="164" fontId="0" fillId="0" borderId="10" xfId="1" applyNumberFormat="1" applyFont="1" applyBorder="1"/>
    <xf numFmtId="0" fontId="4" fillId="0" borderId="11" xfId="0" applyFont="1" applyBorder="1" applyAlignment="1">
      <alignment vertical="center"/>
    </xf>
    <xf numFmtId="164" fontId="0" fillId="0" borderId="12" xfId="1" applyNumberFormat="1" applyFont="1" applyBorder="1"/>
    <xf numFmtId="0" fontId="4" fillId="10" borderId="11" xfId="0" applyFont="1" applyFill="1" applyBorder="1" applyAlignment="1">
      <alignment vertical="center"/>
    </xf>
    <xf numFmtId="164" fontId="0" fillId="10" borderId="12" xfId="1" applyNumberFormat="1" applyFont="1" applyFill="1" applyBorder="1"/>
    <xf numFmtId="0" fontId="4" fillId="10" borderId="13" xfId="0" applyFont="1" applyFill="1" applyBorder="1" applyAlignment="1">
      <alignment vertical="center"/>
    </xf>
    <xf numFmtId="164" fontId="0" fillId="10" borderId="14" xfId="1" applyNumberFormat="1" applyFont="1" applyFill="1" applyBorder="1"/>
    <xf numFmtId="164" fontId="0" fillId="0" borderId="15" xfId="1" applyNumberFormat="1" applyFont="1" applyBorder="1"/>
    <xf numFmtId="164" fontId="0" fillId="0" borderId="16" xfId="1" applyNumberFormat="1" applyFont="1" applyBorder="1"/>
    <xf numFmtId="0" fontId="4" fillId="0" borderId="13" xfId="0" applyFont="1" applyBorder="1" applyAlignment="1">
      <alignment vertical="center"/>
    </xf>
    <xf numFmtId="164" fontId="0" fillId="0" borderId="0" xfId="1" applyNumberFormat="1" applyFont="1" applyBorder="1"/>
    <xf numFmtId="0" fontId="21" fillId="6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/>
    </xf>
    <xf numFmtId="0" fontId="21" fillId="0" borderId="0" xfId="0" applyFont="1" applyAlignment="1">
      <alignment horizontal="left" vertical="center"/>
    </xf>
    <xf numFmtId="0" fontId="20" fillId="11" borderId="17" xfId="0" applyFont="1" applyFill="1" applyBorder="1" applyAlignment="1">
      <alignment vertical="center"/>
    </xf>
    <xf numFmtId="164" fontId="25" fillId="11" borderId="18" xfId="1" applyNumberFormat="1" applyFont="1" applyFill="1" applyBorder="1"/>
    <xf numFmtId="0" fontId="26" fillId="0" borderId="0" xfId="0" applyFont="1" applyAlignment="1">
      <alignment vertical="center"/>
    </xf>
    <xf numFmtId="9" fontId="0" fillId="13" borderId="0" xfId="0" applyNumberFormat="1" applyFill="1"/>
    <xf numFmtId="0" fontId="9" fillId="13" borderId="1" xfId="0" applyFont="1" applyFill="1" applyBorder="1" applyAlignment="1">
      <alignment horizontal="left" vertical="center" wrapText="1" indent="1"/>
    </xf>
    <xf numFmtId="0" fontId="10" fillId="13" borderId="1" xfId="0" applyFont="1" applyFill="1" applyBorder="1" applyAlignment="1">
      <alignment horizontal="left" vertical="center" wrapText="1" indent="1"/>
    </xf>
    <xf numFmtId="164" fontId="4" fillId="10" borderId="1" xfId="1" applyNumberFormat="1" applyFont="1" applyFill="1" applyBorder="1"/>
    <xf numFmtId="164" fontId="0" fillId="3" borderId="1" xfId="1" applyNumberFormat="1" applyFont="1" applyFill="1" applyBorder="1"/>
    <xf numFmtId="164" fontId="0" fillId="0" borderId="1" xfId="1" applyNumberFormat="1" applyFont="1" applyFill="1" applyBorder="1"/>
    <xf numFmtId="49" fontId="0" fillId="13" borderId="0" xfId="0" applyNumberFormat="1" applyFill="1"/>
    <xf numFmtId="0" fontId="3" fillId="13" borderId="0" xfId="3" quotePrefix="1" applyFill="1"/>
    <xf numFmtId="0" fontId="0" fillId="13" borderId="0" xfId="0" quotePrefix="1" applyFill="1"/>
    <xf numFmtId="0" fontId="0" fillId="13" borderId="0" xfId="0" applyFill="1"/>
    <xf numFmtId="164" fontId="0" fillId="12" borderId="1" xfId="1" applyNumberFormat="1" applyFont="1" applyFill="1" applyBorder="1"/>
    <xf numFmtId="164" fontId="4" fillId="3" borderId="1" xfId="1" applyNumberFormat="1" applyFont="1" applyFill="1" applyBorder="1"/>
    <xf numFmtId="0" fontId="24" fillId="0" borderId="0" xfId="0" applyFont="1"/>
    <xf numFmtId="0" fontId="24" fillId="0" borderId="1" xfId="0" applyFont="1" applyBorder="1"/>
    <xf numFmtId="164" fontId="24" fillId="0" borderId="1" xfId="1" applyNumberFormat="1" applyFont="1" applyBorder="1"/>
    <xf numFmtId="0" fontId="24" fillId="0" borderId="1" xfId="0" applyFont="1" applyBorder="1" applyAlignment="1">
      <alignment horizontal="left" vertical="center" indent="1"/>
    </xf>
    <xf numFmtId="164" fontId="24" fillId="13" borderId="1" xfId="1" applyNumberFormat="1" applyFont="1" applyFill="1" applyBorder="1"/>
    <xf numFmtId="0" fontId="27" fillId="0" borderId="1" xfId="0" applyFont="1" applyBorder="1" applyAlignment="1">
      <alignment horizontal="left" vertical="center" wrapText="1" indent="1"/>
    </xf>
    <xf numFmtId="0" fontId="28" fillId="0" borderId="0" xfId="0" applyFont="1" applyAlignment="1">
      <alignment vertical="center"/>
    </xf>
    <xf numFmtId="0" fontId="23" fillId="14" borderId="1" xfId="0" applyFont="1" applyFill="1" applyBorder="1"/>
    <xf numFmtId="164" fontId="23" fillId="10" borderId="1" xfId="1" applyNumberFormat="1" applyFont="1" applyFill="1" applyBorder="1"/>
    <xf numFmtId="0" fontId="23" fillId="10" borderId="1" xfId="0" applyFont="1" applyFill="1" applyBorder="1" applyAlignment="1">
      <alignment horizontal="left" vertical="center" indent="1"/>
    </xf>
    <xf numFmtId="0" fontId="29" fillId="0" borderId="1" xfId="0" applyFont="1" applyBorder="1" applyAlignment="1">
      <alignment horizontal="left" vertical="center" wrapText="1" indent="3"/>
    </xf>
    <xf numFmtId="0" fontId="30" fillId="0" borderId="1" xfId="0" applyFont="1" applyBorder="1" applyAlignment="1">
      <alignment vertical="center" wrapText="1"/>
    </xf>
    <xf numFmtId="0" fontId="30" fillId="0" borderId="0" xfId="0" applyFont="1" applyAlignment="1">
      <alignment vertical="center" wrapText="1"/>
    </xf>
    <xf numFmtId="0" fontId="27" fillId="0" borderId="0" xfId="0" applyFont="1" applyAlignment="1">
      <alignment horizontal="left" vertical="center" wrapText="1" indent="1"/>
    </xf>
    <xf numFmtId="0" fontId="31" fillId="2" borderId="1" xfId="0" applyFont="1" applyFill="1" applyBorder="1"/>
    <xf numFmtId="164" fontId="24" fillId="0" borderId="0" xfId="1" applyNumberFormat="1" applyFont="1"/>
    <xf numFmtId="164" fontId="23" fillId="6" borderId="8" xfId="1" applyNumberFormat="1" applyFont="1" applyFill="1" applyBorder="1"/>
    <xf numFmtId="164" fontId="24" fillId="0" borderId="5" xfId="1" applyNumberFormat="1" applyFont="1" applyBorder="1"/>
    <xf numFmtId="164" fontId="24" fillId="0" borderId="6" xfId="1" applyNumberFormat="1" applyFont="1" applyBorder="1"/>
    <xf numFmtId="164" fontId="24" fillId="6" borderId="8" xfId="1" applyNumberFormat="1" applyFont="1" applyFill="1" applyBorder="1"/>
    <xf numFmtId="164" fontId="24" fillId="0" borderId="8" xfId="1" applyNumberFormat="1" applyFont="1" applyBorder="1"/>
    <xf numFmtId="164" fontId="24" fillId="2" borderId="6" xfId="1" applyNumberFormat="1" applyFont="1" applyFill="1" applyBorder="1"/>
    <xf numFmtId="164" fontId="24" fillId="2" borderId="7" xfId="1" applyNumberFormat="1" applyFont="1" applyFill="1" applyBorder="1"/>
    <xf numFmtId="0" fontId="20" fillId="0" borderId="0" xfId="0" applyFont="1"/>
    <xf numFmtId="49" fontId="4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left" vertical="center" indent="1"/>
    </xf>
    <xf numFmtId="0" fontId="32" fillId="0" borderId="1" xfId="0" applyFont="1" applyBorder="1" applyAlignment="1">
      <alignment horizontal="left" vertical="center" wrapText="1" indent="1"/>
    </xf>
    <xf numFmtId="0" fontId="4" fillId="0" borderId="1" xfId="0" applyFont="1" applyBorder="1" applyAlignment="1">
      <alignment horizontal="left" vertical="center" indent="1"/>
    </xf>
    <xf numFmtId="0" fontId="23" fillId="3" borderId="1" xfId="0" applyFont="1" applyFill="1" applyBorder="1" applyAlignment="1">
      <alignment horizontal="center" vertical="center"/>
    </xf>
    <xf numFmtId="164" fontId="15" fillId="9" borderId="1" xfId="1" applyNumberFormat="1" applyFont="1" applyFill="1" applyBorder="1"/>
    <xf numFmtId="164" fontId="15" fillId="4" borderId="1" xfId="1" applyNumberFormat="1" applyFont="1" applyFill="1" applyBorder="1"/>
    <xf numFmtId="164" fontId="15" fillId="6" borderId="1" xfId="1" applyNumberFormat="1" applyFont="1" applyFill="1" applyBorder="1"/>
    <xf numFmtId="164" fontId="15" fillId="9" borderId="1" xfId="1" applyNumberFormat="1" applyFont="1" applyFill="1" applyBorder="1" applyAlignment="1">
      <alignment wrapText="1"/>
    </xf>
    <xf numFmtId="164" fontId="15" fillId="7" borderId="1" xfId="1" applyNumberFormat="1" applyFont="1" applyFill="1" applyBorder="1"/>
    <xf numFmtId="164" fontId="15" fillId="0" borderId="1" xfId="1" applyNumberFormat="1" applyFont="1" applyBorder="1"/>
    <xf numFmtId="49" fontId="4" fillId="0" borderId="1" xfId="1" applyNumberFormat="1" applyFont="1" applyBorder="1" applyAlignment="1">
      <alignment horizontal="left" vertical="center"/>
    </xf>
    <xf numFmtId="0" fontId="18" fillId="0" borderId="0" xfId="0" applyFont="1" applyAlignment="1">
      <alignment horizontal="left" vertical="center" wrapText="1" indent="1"/>
    </xf>
    <xf numFmtId="164" fontId="15" fillId="9" borderId="1" xfId="0" applyNumberFormat="1" applyFont="1" applyFill="1" applyBorder="1"/>
    <xf numFmtId="0" fontId="16" fillId="15" borderId="1" xfId="0" applyFont="1" applyFill="1" applyBorder="1" applyAlignment="1">
      <alignment horizontal="left" vertical="center" wrapText="1" indent="1"/>
    </xf>
    <xf numFmtId="164" fontId="4" fillId="3" borderId="1" xfId="0" applyNumberFormat="1" applyFont="1" applyFill="1" applyBorder="1"/>
    <xf numFmtId="0" fontId="4" fillId="3" borderId="11" xfId="0" applyFont="1" applyFill="1" applyBorder="1" applyAlignment="1">
      <alignment vertical="center"/>
    </xf>
    <xf numFmtId="164" fontId="4" fillId="3" borderId="16" xfId="1" applyNumberFormat="1" applyFont="1" applyFill="1" applyBorder="1"/>
    <xf numFmtId="164" fontId="0" fillId="3" borderId="16" xfId="1" applyNumberFormat="1" applyFont="1" applyFill="1" applyBorder="1"/>
    <xf numFmtId="9" fontId="0" fillId="0" borderId="0" xfId="0" applyNumberFormat="1"/>
    <xf numFmtId="165" fontId="0" fillId="0" borderId="0" xfId="2" applyNumberFormat="1" applyFont="1"/>
    <xf numFmtId="164" fontId="24" fillId="16" borderId="1" xfId="1" applyNumberFormat="1" applyFont="1" applyFill="1" applyBorder="1"/>
    <xf numFmtId="49" fontId="0" fillId="17" borderId="1" xfId="0" applyNumberFormat="1" applyFill="1" applyBorder="1" applyAlignment="1">
      <alignment horizontal="left" vertical="center"/>
    </xf>
    <xf numFmtId="164" fontId="0" fillId="17" borderId="1" xfId="1" applyNumberFormat="1" applyFont="1" applyFill="1" applyBorder="1"/>
    <xf numFmtId="164" fontId="15" fillId="17" borderId="1" xfId="1" applyNumberFormat="1" applyFont="1" applyFill="1" applyBorder="1"/>
    <xf numFmtId="0" fontId="16" fillId="17" borderId="1" xfId="0" applyFont="1" applyFill="1" applyBorder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indent="1"/>
    </xf>
    <xf numFmtId="0" fontId="33" fillId="6" borderId="1" xfId="0" applyFont="1" applyFill="1" applyBorder="1" applyAlignment="1">
      <alignment horizontal="left" vertical="center" wrapText="1" indent="1"/>
    </xf>
    <xf numFmtId="164" fontId="4" fillId="17" borderId="1" xfId="1" applyNumberFormat="1" applyFont="1" applyFill="1" applyBorder="1"/>
    <xf numFmtId="0" fontId="4" fillId="0" borderId="19" xfId="0" applyFont="1" applyBorder="1" applyAlignment="1">
      <alignment vertical="center"/>
    </xf>
    <xf numFmtId="164" fontId="0" fillId="0" borderId="20" xfId="1" applyNumberFormat="1" applyFont="1" applyBorder="1"/>
    <xf numFmtId="10" fontId="0" fillId="0" borderId="0" xfId="2" applyNumberFormat="1" applyFont="1"/>
    <xf numFmtId="0" fontId="4" fillId="8" borderId="11" xfId="0" applyFont="1" applyFill="1" applyBorder="1" applyAlignment="1">
      <alignment vertical="center"/>
    </xf>
    <xf numFmtId="164" fontId="0" fillId="8" borderId="12" xfId="1" applyNumberFormat="1" applyFont="1" applyFill="1" applyBorder="1"/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164" fontId="0" fillId="2" borderId="2" xfId="1" applyNumberFormat="1" applyFont="1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center"/>
    </xf>
    <xf numFmtId="0" fontId="4" fillId="13" borderId="2" xfId="0" applyFont="1" applyFill="1" applyBorder="1" applyAlignment="1">
      <alignment horizontal="center" vertical="center"/>
    </xf>
    <xf numFmtId="0" fontId="4" fillId="13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4">
    <cellStyle name="Comma" xfId="1" builtinId="3"/>
    <cellStyle name="Normal" xfId="0" builtinId="0"/>
    <cellStyle name="Per cent" xfId="2" builtinId="5"/>
    <cellStyle name="Warning Text" xfId="3" builtinId="11"/>
  </cellStyles>
  <dxfs count="1">
    <dxf>
      <fill>
        <patternFill patternType="solid">
          <fgColor indexed="64"/>
          <bgColor theme="6" tint="0.79998168889431442"/>
        </patternFill>
      </fill>
    </dxf>
  </dxfs>
  <tableStyles count="1" defaultTableStyle="TableStyleMedium2" defaultPivotStyle="PivotStyleLight16">
    <tableStyle name="Table Style 1" pivot="0" count="0" xr9:uid="{5F9EE4CC-70C7-4009-BA84-6FF7561B7C1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633958</xdr:colOff>
      <xdr:row>0</xdr:row>
      <xdr:rowOff>93277</xdr:rowOff>
    </xdr:from>
    <xdr:to>
      <xdr:col>12</xdr:col>
      <xdr:colOff>413942</xdr:colOff>
      <xdr:row>22</xdr:row>
      <xdr:rowOff>169477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19DE5C-D983-0220-71C8-5AD6A5F6E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50625" y="93277"/>
          <a:ext cx="3826763" cy="527817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326A7D-B72F-4C79-AE25-A8A77F346250}" name="Table2" displayName="Table2" ref="A2:C7" totalsRowShown="0">
  <autoFilter ref="A2:C7" xr:uid="{05326A7D-B72F-4C79-AE25-A8A77F346250}"/>
  <tableColumns count="3">
    <tableColumn id="1" xr3:uid="{3893AA3D-0BE1-4252-9360-522F9334FD4D}" name="Description"/>
    <tableColumn id="2" xr3:uid="{8D67B6AD-FC88-4EBA-BB65-CB4A777E27BF}" name="Input 1" dataDxfId="0"/>
    <tableColumn id="3" xr3:uid="{88603088-9917-4FA4-9014-816314C6C2B7}" name="Input 2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911F2-BA1F-4748-8238-71526A2C5C86}">
  <dimension ref="A2:C8"/>
  <sheetViews>
    <sheetView topLeftCell="A3" zoomScale="170" workbookViewId="0">
      <selection activeCell="B12" sqref="B12"/>
    </sheetView>
  </sheetViews>
  <sheetFormatPr baseColWidth="10" defaultColWidth="8.83203125" defaultRowHeight="15"/>
  <cols>
    <col min="1" max="1" width="38.5" bestFit="1" customWidth="1"/>
    <col min="2" max="2" width="22.6640625" customWidth="1"/>
    <col min="3" max="3" width="10.1640625" customWidth="1"/>
  </cols>
  <sheetData>
    <row r="2" spans="1:3">
      <c r="A2" t="s">
        <v>12</v>
      </c>
      <c r="B2" t="s">
        <v>172</v>
      </c>
      <c r="C2" t="s">
        <v>173</v>
      </c>
    </row>
    <row r="3" spans="1:3">
      <c r="A3" t="s">
        <v>0</v>
      </c>
      <c r="B3" s="76" t="s">
        <v>6</v>
      </c>
    </row>
    <row r="4" spans="1:3">
      <c r="A4" t="s">
        <v>2</v>
      </c>
      <c r="B4" s="77" t="s">
        <v>13</v>
      </c>
    </row>
    <row r="5" spans="1:3">
      <c r="A5" t="s">
        <v>3</v>
      </c>
      <c r="B5" s="78" t="s">
        <v>7</v>
      </c>
    </row>
    <row r="6" spans="1:3" ht="16">
      <c r="A6" s="2" t="s">
        <v>1</v>
      </c>
      <c r="B6" s="78" t="s">
        <v>14</v>
      </c>
      <c r="C6" s="79" t="s">
        <v>8</v>
      </c>
    </row>
    <row r="7" spans="1:3" ht="16">
      <c r="A7" s="1" t="s">
        <v>4</v>
      </c>
      <c r="B7" s="79" t="s">
        <v>5</v>
      </c>
    </row>
    <row r="8" spans="1:3" ht="16">
      <c r="A8" s="1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54F16-EA01-4B80-A60C-476D218C9521}">
  <dimension ref="A2:B32"/>
  <sheetViews>
    <sheetView workbookViewId="0">
      <selection activeCell="B43" sqref="B43"/>
    </sheetView>
  </sheetViews>
  <sheetFormatPr baseColWidth="10" defaultColWidth="8.83203125" defaultRowHeight="15"/>
  <cols>
    <col min="1" max="1" width="76.83203125" customWidth="1"/>
    <col min="2" max="2" width="19.6640625" bestFit="1" customWidth="1"/>
  </cols>
  <sheetData>
    <row r="2" spans="1:2" ht="24">
      <c r="A2" s="47" t="s">
        <v>191</v>
      </c>
    </row>
    <row r="4" spans="1:2" ht="18">
      <c r="A4" s="96" t="s">
        <v>12</v>
      </c>
      <c r="B4" s="96" t="s">
        <v>180</v>
      </c>
    </row>
    <row r="5" spans="1:2" ht="17">
      <c r="A5" s="94" t="s">
        <v>137</v>
      </c>
      <c r="B5" s="97">
        <f>'Wealth Statement'!C30</f>
        <v>36780000</v>
      </c>
    </row>
    <row r="6" spans="1:2" ht="17">
      <c r="A6" s="94" t="s">
        <v>138</v>
      </c>
      <c r="B6" s="97">
        <f>'Wealth Statement'!B30</f>
        <v>24700000</v>
      </c>
    </row>
    <row r="7" spans="1:2" ht="18" thickBot="1">
      <c r="A7" s="94" t="s">
        <v>190</v>
      </c>
      <c r="B7" s="98">
        <f>B5-B6</f>
        <v>12080000</v>
      </c>
    </row>
    <row r="8" spans="1:2" ht="17" thickTop="1">
      <c r="A8" s="94"/>
      <c r="B8" s="97"/>
    </row>
    <row r="9" spans="1:2" ht="18" thickBot="1">
      <c r="A9" s="94" t="s">
        <v>139</v>
      </c>
      <c r="B9" s="97"/>
    </row>
    <row r="10" spans="1:2" ht="17">
      <c r="A10" s="95" t="s">
        <v>140</v>
      </c>
      <c r="B10" s="99">
        <f>Income!B16-Income!B15</f>
        <v>24060000</v>
      </c>
    </row>
    <row r="11" spans="1:2" ht="17">
      <c r="A11" s="95" t="s">
        <v>141</v>
      </c>
      <c r="B11" s="100">
        <f>Income!B23-Income!B22</f>
        <v>2420000</v>
      </c>
    </row>
    <row r="12" spans="1:2" ht="17">
      <c r="A12" s="95" t="s">
        <v>254</v>
      </c>
      <c r="B12" s="100">
        <f>Income!B28+Income!B33</f>
        <v>2950000</v>
      </c>
    </row>
    <row r="13" spans="1:2" ht="34">
      <c r="A13" s="95" t="s">
        <v>211</v>
      </c>
      <c r="B13" s="100">
        <f>'Income with Final Min tax'!B20</f>
        <v>18900000</v>
      </c>
    </row>
    <row r="14" spans="1:2" ht="17">
      <c r="A14" s="95" t="s">
        <v>229</v>
      </c>
      <c r="B14" s="100">
        <f>-Income!B20-Income!B21</f>
        <v>-1700000</v>
      </c>
    </row>
    <row r="15" spans="1:2" ht="17">
      <c r="A15" s="95" t="s">
        <v>142</v>
      </c>
      <c r="B15" s="103"/>
    </row>
    <row r="16" spans="1:2" ht="17">
      <c r="A16" s="95" t="s">
        <v>143</v>
      </c>
      <c r="B16" s="103">
        <v>5000000</v>
      </c>
    </row>
    <row r="17" spans="1:2" ht="17">
      <c r="A17" s="95" t="s">
        <v>144</v>
      </c>
      <c r="B17" s="103"/>
    </row>
    <row r="18" spans="1:2" ht="17">
      <c r="A18" s="95" t="s">
        <v>187</v>
      </c>
      <c r="B18" s="103"/>
    </row>
    <row r="19" spans="1:2" ht="17">
      <c r="A19" s="95" t="s">
        <v>193</v>
      </c>
      <c r="B19" s="103"/>
    </row>
    <row r="20" spans="1:2" ht="18" thickBot="1">
      <c r="A20" s="95" t="s">
        <v>146</v>
      </c>
      <c r="B20" s="104"/>
    </row>
    <row r="21" spans="1:2" ht="16">
      <c r="A21" s="95"/>
      <c r="B21" s="97">
        <f>SUM(B10:B20)</f>
        <v>51630000</v>
      </c>
    </row>
    <row r="22" spans="1:2" ht="18" thickBot="1">
      <c r="A22" s="94" t="s">
        <v>147</v>
      </c>
      <c r="B22" s="97"/>
    </row>
    <row r="23" spans="1:2" ht="17">
      <c r="A23" s="95" t="s">
        <v>148</v>
      </c>
      <c r="B23" s="99">
        <f>'Detail of Expenses'!B25</f>
        <v>39550000</v>
      </c>
    </row>
    <row r="24" spans="1:2" ht="17">
      <c r="A24" s="95" t="s">
        <v>149</v>
      </c>
      <c r="B24" s="103"/>
    </row>
    <row r="25" spans="1:2" ht="17">
      <c r="A25" s="95" t="s">
        <v>145</v>
      </c>
      <c r="B25" s="103"/>
    </row>
    <row r="26" spans="1:2" ht="18" thickBot="1">
      <c r="A26" s="95" t="s">
        <v>150</v>
      </c>
      <c r="B26" s="104"/>
    </row>
    <row r="27" spans="1:2" ht="16">
      <c r="A27" s="82"/>
      <c r="B27" s="97">
        <f>SUM(B23:B26)</f>
        <v>39550000</v>
      </c>
    </row>
    <row r="28" spans="1:2" ht="16">
      <c r="A28" s="82"/>
      <c r="B28" s="97"/>
    </row>
    <row r="29" spans="1:2" ht="18" thickBot="1">
      <c r="A29" s="95" t="s">
        <v>188</v>
      </c>
      <c r="B29" s="101">
        <f>B21-B27</f>
        <v>12080000</v>
      </c>
    </row>
    <row r="30" spans="1:2" ht="17" thickTop="1">
      <c r="A30" s="82"/>
      <c r="B30" s="97"/>
    </row>
    <row r="31" spans="1:2" ht="17" thickBot="1">
      <c r="A31" s="82" t="s">
        <v>189</v>
      </c>
      <c r="B31" s="102">
        <f>B7-B29</f>
        <v>0</v>
      </c>
    </row>
    <row r="32" spans="1:2" ht="17" thickTop="1">
      <c r="A32" s="82"/>
      <c r="B32" s="8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5846E-41E4-4080-BBEB-711BE0A95205}">
  <dimension ref="A1:E33"/>
  <sheetViews>
    <sheetView topLeftCell="A22" zoomScale="200" workbookViewId="0">
      <selection activeCell="B31" activeCellId="3" sqref="B6:B14 B19:B21 B26:B27 B31:B32"/>
    </sheetView>
  </sheetViews>
  <sheetFormatPr baseColWidth="10" defaultColWidth="8.83203125" defaultRowHeight="15"/>
  <cols>
    <col min="1" max="1" width="61.83203125" customWidth="1"/>
    <col min="2" max="2" width="20.6640625" customWidth="1"/>
    <col min="4" max="4" width="12.6640625" bestFit="1" customWidth="1"/>
  </cols>
  <sheetData>
    <row r="1" spans="1:3" ht="19">
      <c r="A1" s="105" t="s">
        <v>215</v>
      </c>
    </row>
    <row r="2" spans="1:3">
      <c r="A2" s="140" t="s">
        <v>12</v>
      </c>
      <c r="B2" s="140" t="s">
        <v>225</v>
      </c>
    </row>
    <row r="3" spans="1:3">
      <c r="A3" s="141"/>
      <c r="B3" s="141"/>
      <c r="C3" t="s">
        <v>231</v>
      </c>
    </row>
    <row r="4" spans="1:3">
      <c r="A4" s="6" t="s">
        <v>15</v>
      </c>
      <c r="B4" s="5"/>
    </row>
    <row r="5" spans="1:3">
      <c r="A5" s="7" t="s">
        <v>216</v>
      </c>
      <c r="B5" s="5"/>
    </row>
    <row r="6" spans="1:3">
      <c r="A6" s="8" t="s">
        <v>250</v>
      </c>
      <c r="B6" s="10">
        <f>600000*12</f>
        <v>7200000</v>
      </c>
      <c r="C6" t="s">
        <v>232</v>
      </c>
    </row>
    <row r="7" spans="1:3">
      <c r="A7" s="8" t="s">
        <v>221</v>
      </c>
      <c r="B7" s="10">
        <f>500000*12</f>
        <v>6000000</v>
      </c>
      <c r="C7" t="s">
        <v>232</v>
      </c>
    </row>
    <row r="8" spans="1:3">
      <c r="A8" s="9" t="s">
        <v>217</v>
      </c>
      <c r="B8" s="10">
        <v>1500000</v>
      </c>
      <c r="C8" t="s">
        <v>232</v>
      </c>
    </row>
    <row r="9" spans="1:3">
      <c r="A9" s="9" t="s">
        <v>218</v>
      </c>
      <c r="B9" s="10">
        <v>720000</v>
      </c>
      <c r="C9" t="s">
        <v>232</v>
      </c>
    </row>
    <row r="10" spans="1:3">
      <c r="A10" s="9" t="s">
        <v>219</v>
      </c>
      <c r="B10" s="10">
        <v>400000</v>
      </c>
      <c r="C10" t="s">
        <v>232</v>
      </c>
    </row>
    <row r="11" spans="1:3">
      <c r="A11" s="9" t="s">
        <v>227</v>
      </c>
      <c r="B11" s="10">
        <v>2000000</v>
      </c>
      <c r="C11" t="s">
        <v>232</v>
      </c>
    </row>
    <row r="12" spans="1:3">
      <c r="A12" s="128" t="s">
        <v>243</v>
      </c>
      <c r="B12" s="129">
        <v>5000000</v>
      </c>
    </row>
    <row r="13" spans="1:3">
      <c r="A13" s="128" t="s">
        <v>36</v>
      </c>
      <c r="B13" s="129">
        <v>40000</v>
      </c>
    </row>
    <row r="14" spans="1:3">
      <c r="A14" s="9" t="s">
        <v>226</v>
      </c>
      <c r="B14" s="10">
        <v>1200000</v>
      </c>
      <c r="C14" t="s">
        <v>232</v>
      </c>
    </row>
    <row r="15" spans="1:3">
      <c r="A15" s="9" t="s">
        <v>228</v>
      </c>
      <c r="B15" s="80">
        <f>-B12-B11-B9</f>
        <v>-7720000</v>
      </c>
    </row>
    <row r="16" spans="1:3">
      <c r="A16" s="117" t="s">
        <v>216</v>
      </c>
      <c r="B16" s="6">
        <f>SUM(B6:B15)</f>
        <v>16340000</v>
      </c>
      <c r="C16" t="s">
        <v>233</v>
      </c>
    </row>
    <row r="18" spans="1:5">
      <c r="A18" s="106" t="s">
        <v>222</v>
      </c>
      <c r="B18" s="5"/>
    </row>
    <row r="19" spans="1:5">
      <c r="A19" s="9" t="s">
        <v>220</v>
      </c>
      <c r="B19" s="10">
        <v>720000</v>
      </c>
      <c r="C19" t="s">
        <v>232</v>
      </c>
    </row>
    <row r="20" spans="1:5">
      <c r="A20" s="9" t="s">
        <v>10</v>
      </c>
      <c r="B20" s="10">
        <v>1500000</v>
      </c>
      <c r="C20" t="s">
        <v>232</v>
      </c>
    </row>
    <row r="21" spans="1:5">
      <c r="A21" s="9" t="s">
        <v>223</v>
      </c>
      <c r="B21" s="10">
        <v>200000</v>
      </c>
      <c r="C21" t="s">
        <v>232</v>
      </c>
    </row>
    <row r="22" spans="1:5">
      <c r="A22" s="9" t="s">
        <v>258</v>
      </c>
      <c r="B22" s="80">
        <f>-(MIN(B19,150000))</f>
        <v>-150000</v>
      </c>
    </row>
    <row r="23" spans="1:5">
      <c r="A23" s="9" t="s">
        <v>224</v>
      </c>
      <c r="B23" s="6">
        <f>SUM(B19:B22)</f>
        <v>2270000</v>
      </c>
      <c r="C23" t="s">
        <v>233</v>
      </c>
    </row>
    <row r="24" spans="1:5">
      <c r="D24" s="3"/>
    </row>
    <row r="25" spans="1:5">
      <c r="A25" s="117" t="s">
        <v>255</v>
      </c>
      <c r="B25" s="6"/>
      <c r="D25" s="3"/>
      <c r="E25" s="125"/>
    </row>
    <row r="26" spans="1:5">
      <c r="A26" s="128" t="s">
        <v>248</v>
      </c>
      <c r="B26" s="129">
        <v>700000</v>
      </c>
    </row>
    <row r="27" spans="1:5">
      <c r="A27" s="128" t="s">
        <v>249</v>
      </c>
      <c r="B27" s="129">
        <v>1500000</v>
      </c>
    </row>
    <row r="28" spans="1:5">
      <c r="A28" s="128"/>
      <c r="B28" s="134">
        <f>B26+B27</f>
        <v>2200000</v>
      </c>
    </row>
    <row r="30" spans="1:5">
      <c r="A30" s="117" t="s">
        <v>256</v>
      </c>
    </row>
    <row r="31" spans="1:5">
      <c r="A31" s="128" t="s">
        <v>261</v>
      </c>
      <c r="B31" s="134">
        <v>700000</v>
      </c>
    </row>
    <row r="32" spans="1:5">
      <c r="A32" s="128" t="s">
        <v>263</v>
      </c>
      <c r="B32" s="134">
        <v>50000</v>
      </c>
    </row>
    <row r="33" spans="1:2">
      <c r="A33" s="128" t="s">
        <v>264</v>
      </c>
      <c r="B33" s="134">
        <f>B31+B32</f>
        <v>750000</v>
      </c>
    </row>
  </sheetData>
  <mergeCells count="2">
    <mergeCell ref="A2:A3"/>
    <mergeCell ref="B2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208B8-9FB8-4AE8-832B-961112666B73}">
  <dimension ref="A2:D32"/>
  <sheetViews>
    <sheetView topLeftCell="A3" zoomScale="140" workbookViewId="0">
      <selection activeCell="B9" sqref="B9"/>
    </sheetView>
  </sheetViews>
  <sheetFormatPr baseColWidth="10" defaultColWidth="8.83203125" defaultRowHeight="15"/>
  <cols>
    <col min="1" max="1" width="79.33203125" bestFit="1" customWidth="1"/>
    <col min="2" max="2" width="17.5" customWidth="1"/>
    <col min="3" max="3" width="23.5" customWidth="1"/>
  </cols>
  <sheetData>
    <row r="2" spans="1:4" ht="19">
      <c r="A2" s="37" t="s">
        <v>161</v>
      </c>
    </row>
    <row r="3" spans="1:4" ht="16">
      <c r="A3" s="142" t="s">
        <v>12</v>
      </c>
      <c r="B3" s="142" t="s">
        <v>159</v>
      </c>
      <c r="C3" s="142"/>
    </row>
    <row r="4" spans="1:4" ht="16">
      <c r="A4" s="142"/>
      <c r="B4" s="110" t="s">
        <v>160</v>
      </c>
      <c r="C4" s="110" t="s">
        <v>158</v>
      </c>
    </row>
    <row r="5" spans="1:4">
      <c r="A5" s="107" t="s">
        <v>35</v>
      </c>
      <c r="B5" s="80">
        <f>Income!B16</f>
        <v>16340000</v>
      </c>
      <c r="C5" s="10">
        <v>3365000</v>
      </c>
      <c r="D5" t="s">
        <v>251</v>
      </c>
    </row>
    <row r="6" spans="1:4">
      <c r="A6" s="132" t="s">
        <v>36</v>
      </c>
      <c r="B6" s="80">
        <f>Income!B13</f>
        <v>40000</v>
      </c>
      <c r="C6" s="10">
        <f>B6*20%</f>
        <v>8000</v>
      </c>
      <c r="D6" t="s">
        <v>251</v>
      </c>
    </row>
    <row r="7" spans="1:4">
      <c r="A7" s="132" t="s">
        <v>248</v>
      </c>
      <c r="B7" s="80">
        <f>Income!B26</f>
        <v>700000</v>
      </c>
      <c r="C7" s="10">
        <f>B7*15%</f>
        <v>105000</v>
      </c>
      <c r="D7" t="s">
        <v>251</v>
      </c>
    </row>
    <row r="8" spans="1:4">
      <c r="A8" s="132" t="s">
        <v>249</v>
      </c>
      <c r="B8" s="80">
        <f>Income!B27</f>
        <v>1500000</v>
      </c>
      <c r="C8" s="10">
        <f>B8*12.5%</f>
        <v>187500</v>
      </c>
      <c r="D8" t="s">
        <v>251</v>
      </c>
    </row>
    <row r="9" spans="1:4">
      <c r="A9" s="107" t="s">
        <v>262</v>
      </c>
      <c r="B9" s="80">
        <f>Income!B31</f>
        <v>700000</v>
      </c>
      <c r="C9" s="10"/>
      <c r="D9" t="s">
        <v>251</v>
      </c>
    </row>
    <row r="10" spans="1:4">
      <c r="A10" s="107" t="s">
        <v>37</v>
      </c>
      <c r="B10" s="10"/>
      <c r="C10" s="10"/>
      <c r="D10" t="s">
        <v>232</v>
      </c>
    </row>
    <row r="11" spans="1:4">
      <c r="A11" s="107" t="s">
        <v>38</v>
      </c>
      <c r="B11" s="10"/>
      <c r="C11" s="10">
        <v>10000</v>
      </c>
      <c r="D11" t="s">
        <v>232</v>
      </c>
    </row>
    <row r="12" spans="1:4">
      <c r="A12" s="107" t="s">
        <v>39</v>
      </c>
      <c r="B12" s="10">
        <v>6000000</v>
      </c>
      <c r="C12" s="10">
        <f>B12*3%</f>
        <v>180000</v>
      </c>
      <c r="D12" t="s">
        <v>232</v>
      </c>
    </row>
    <row r="13" spans="1:4">
      <c r="A13" s="107" t="s">
        <v>40</v>
      </c>
      <c r="B13" s="10"/>
      <c r="C13" s="10"/>
      <c r="D13" t="s">
        <v>232</v>
      </c>
    </row>
    <row r="14" spans="1:4">
      <c r="A14" s="107" t="s">
        <v>41</v>
      </c>
      <c r="B14" s="10"/>
      <c r="C14" s="10"/>
      <c r="D14" t="s">
        <v>232</v>
      </c>
    </row>
    <row r="15" spans="1:4">
      <c r="A15" s="107" t="s">
        <v>42</v>
      </c>
      <c r="B15" s="10">
        <v>1800000</v>
      </c>
      <c r="C15" s="10">
        <f>B15*7.5%</f>
        <v>135000</v>
      </c>
      <c r="D15" t="s">
        <v>232</v>
      </c>
    </row>
    <row r="16" spans="1:4">
      <c r="A16" s="107" t="s">
        <v>43</v>
      </c>
      <c r="B16" s="10"/>
      <c r="C16" s="10"/>
      <c r="D16" t="s">
        <v>232</v>
      </c>
    </row>
    <row r="17" spans="1:4">
      <c r="A17" s="107" t="s">
        <v>44</v>
      </c>
      <c r="B17" s="10">
        <v>200000</v>
      </c>
      <c r="C17" s="10">
        <f>B17*15%</f>
        <v>30000</v>
      </c>
      <c r="D17" t="s">
        <v>232</v>
      </c>
    </row>
    <row r="18" spans="1:4">
      <c r="A18" s="107" t="s">
        <v>45</v>
      </c>
      <c r="B18" s="10">
        <v>25000</v>
      </c>
      <c r="C18" s="10">
        <f>B18*15%</f>
        <v>3750</v>
      </c>
      <c r="D18" t="s">
        <v>232</v>
      </c>
    </row>
    <row r="19" spans="1:4">
      <c r="A19" s="107" t="s">
        <v>46</v>
      </c>
      <c r="B19" s="10"/>
      <c r="C19" s="10"/>
      <c r="D19" t="s">
        <v>232</v>
      </c>
    </row>
    <row r="20" spans="1:4">
      <c r="A20" s="107" t="s">
        <v>47</v>
      </c>
      <c r="B20" s="10"/>
      <c r="C20" s="10"/>
      <c r="D20" t="s">
        <v>232</v>
      </c>
    </row>
    <row r="21" spans="1:4">
      <c r="A21" s="107" t="s">
        <v>48</v>
      </c>
      <c r="B21" s="10"/>
      <c r="C21" s="10"/>
      <c r="D21" t="s">
        <v>232</v>
      </c>
    </row>
    <row r="22" spans="1:4">
      <c r="A22" s="107" t="s">
        <v>49</v>
      </c>
      <c r="B22" s="10"/>
      <c r="C22" s="10"/>
      <c r="D22" t="s">
        <v>232</v>
      </c>
    </row>
    <row r="23" spans="1:4">
      <c r="A23" s="107" t="s">
        <v>50</v>
      </c>
      <c r="B23" s="10"/>
      <c r="C23" s="10"/>
      <c r="D23" t="s">
        <v>232</v>
      </c>
    </row>
    <row r="24" spans="1:4">
      <c r="A24" s="107" t="s">
        <v>51</v>
      </c>
      <c r="B24" s="10"/>
      <c r="C24" s="10"/>
      <c r="D24" t="s">
        <v>232</v>
      </c>
    </row>
    <row r="25" spans="1:4">
      <c r="A25" s="107" t="s">
        <v>52</v>
      </c>
      <c r="B25" s="10"/>
      <c r="C25" s="10"/>
      <c r="D25" t="s">
        <v>232</v>
      </c>
    </row>
    <row r="26" spans="1:4">
      <c r="A26" s="107" t="s">
        <v>57</v>
      </c>
      <c r="B26" s="10"/>
      <c r="C26" s="10"/>
      <c r="D26" t="s">
        <v>232</v>
      </c>
    </row>
    <row r="27" spans="1:4">
      <c r="A27" s="107" t="s">
        <v>53</v>
      </c>
      <c r="B27" s="10"/>
      <c r="C27" s="10"/>
      <c r="D27" t="s">
        <v>232</v>
      </c>
    </row>
    <row r="28" spans="1:4">
      <c r="A28" s="107" t="s">
        <v>54</v>
      </c>
      <c r="B28" s="10"/>
      <c r="C28" s="10"/>
      <c r="D28" t="s">
        <v>232</v>
      </c>
    </row>
    <row r="29" spans="1:4">
      <c r="A29" s="107" t="s">
        <v>58</v>
      </c>
      <c r="B29" s="10"/>
      <c r="C29" s="10">
        <v>1750</v>
      </c>
      <c r="D29" t="s">
        <v>232</v>
      </c>
    </row>
    <row r="30" spans="1:4">
      <c r="A30" s="107" t="s">
        <v>55</v>
      </c>
      <c r="B30" s="10"/>
      <c r="C30" s="10"/>
      <c r="D30" t="s">
        <v>232</v>
      </c>
    </row>
    <row r="31" spans="1:4">
      <c r="A31" s="108" t="s">
        <v>56</v>
      </c>
      <c r="B31" s="10"/>
      <c r="C31" s="10"/>
      <c r="D31" t="s">
        <v>232</v>
      </c>
    </row>
    <row r="32" spans="1:4">
      <c r="A32" s="109" t="s">
        <v>162</v>
      </c>
      <c r="B32" s="6">
        <f>SUM(B5:B31)</f>
        <v>27305000</v>
      </c>
      <c r="C32" s="6">
        <f>SUM(C5:C31)</f>
        <v>4026000</v>
      </c>
      <c r="D32" t="s">
        <v>234</v>
      </c>
    </row>
  </sheetData>
  <mergeCells count="2">
    <mergeCell ref="B3:C3"/>
    <mergeCell ref="A3:A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06307-2166-4234-B6F7-861A899A2AD8}">
  <dimension ref="A1:G27"/>
  <sheetViews>
    <sheetView tabSelected="1" zoomScale="177" zoomScaleNormal="100" zoomScaleSheetLayoutView="50" workbookViewId="0">
      <selection activeCell="A6" sqref="A6"/>
    </sheetView>
  </sheetViews>
  <sheetFormatPr baseColWidth="10" defaultColWidth="8.83203125" defaultRowHeight="15"/>
  <cols>
    <col min="1" max="1" width="62" customWidth="1"/>
    <col min="2" max="2" width="14" bestFit="1" customWidth="1"/>
    <col min="3" max="3" width="12.83203125" bestFit="1" customWidth="1"/>
    <col min="4" max="4" width="12.1640625" bestFit="1" customWidth="1"/>
    <col min="5" max="5" width="84.6640625" bestFit="1" customWidth="1"/>
  </cols>
  <sheetData>
    <row r="1" spans="1:7">
      <c r="A1" s="20" t="s">
        <v>152</v>
      </c>
      <c r="B1" s="21"/>
      <c r="C1" s="21"/>
      <c r="D1" s="21"/>
    </row>
    <row r="2" spans="1:7">
      <c r="A2" s="25" t="s">
        <v>12</v>
      </c>
      <c r="B2" s="25" t="s">
        <v>81</v>
      </c>
      <c r="C2" s="25" t="s">
        <v>82</v>
      </c>
      <c r="D2" s="25" t="s">
        <v>80</v>
      </c>
    </row>
    <row r="3" spans="1:7">
      <c r="A3" s="22" t="s">
        <v>84</v>
      </c>
      <c r="B3" s="111">
        <v>1000000</v>
      </c>
      <c r="C3" s="111">
        <v>0</v>
      </c>
      <c r="D3" s="112">
        <f>B3*0%</f>
        <v>0</v>
      </c>
      <c r="E3" t="s">
        <v>235</v>
      </c>
    </row>
    <row r="4" spans="1:7">
      <c r="A4" s="22" t="s">
        <v>83</v>
      </c>
      <c r="B4" s="111">
        <v>800000</v>
      </c>
      <c r="C4" s="111">
        <v>280000</v>
      </c>
      <c r="D4" s="112">
        <f>B4*35%</f>
        <v>280000</v>
      </c>
      <c r="E4" t="s">
        <v>235</v>
      </c>
    </row>
    <row r="5" spans="1:7">
      <c r="A5" s="22" t="s">
        <v>85</v>
      </c>
      <c r="B5" s="111">
        <v>50000</v>
      </c>
      <c r="C5" s="111">
        <v>3750</v>
      </c>
      <c r="D5" s="112">
        <f>B5*7.5%</f>
        <v>3750</v>
      </c>
      <c r="E5" t="s">
        <v>235</v>
      </c>
    </row>
    <row r="6" spans="1:7" ht="30">
      <c r="A6" s="131" t="s">
        <v>245</v>
      </c>
      <c r="B6" s="130">
        <v>1000000</v>
      </c>
      <c r="C6" s="130">
        <v>150000</v>
      </c>
      <c r="D6" s="130">
        <f>B6*15%</f>
        <v>150000</v>
      </c>
      <c r="E6" t="s">
        <v>235</v>
      </c>
    </row>
    <row r="7" spans="1:7" ht="30">
      <c r="A7" s="131" t="s">
        <v>244</v>
      </c>
      <c r="B7" s="130">
        <v>500000</v>
      </c>
      <c r="C7" s="130">
        <v>125000</v>
      </c>
      <c r="D7" s="130">
        <f>B7*25%</f>
        <v>125000</v>
      </c>
    </row>
    <row r="8" spans="1:7">
      <c r="A8" s="133" t="s">
        <v>60</v>
      </c>
      <c r="B8" s="111"/>
      <c r="C8" s="111"/>
      <c r="D8" s="113">
        <f>B8*25%</f>
        <v>0</v>
      </c>
      <c r="E8" t="s">
        <v>235</v>
      </c>
    </row>
    <row r="9" spans="1:7">
      <c r="A9" s="131" t="s">
        <v>247</v>
      </c>
      <c r="B9" s="111">
        <v>4000000</v>
      </c>
      <c r="C9" s="111">
        <f>B9*12.5%</f>
        <v>500000</v>
      </c>
      <c r="D9" s="113">
        <f>B9*12.5%</f>
        <v>500000</v>
      </c>
      <c r="E9" t="s">
        <v>235</v>
      </c>
    </row>
    <row r="10" spans="1:7">
      <c r="A10" s="131" t="s">
        <v>246</v>
      </c>
      <c r="B10" s="111">
        <v>1000000</v>
      </c>
      <c r="C10" s="111">
        <v>100000</v>
      </c>
      <c r="D10" s="113">
        <f>B10*10%</f>
        <v>100000</v>
      </c>
      <c r="E10" t="s">
        <v>235</v>
      </c>
    </row>
    <row r="11" spans="1:7" ht="45">
      <c r="A11" s="131" t="s">
        <v>253</v>
      </c>
      <c r="B11" s="111">
        <v>1000000</v>
      </c>
      <c r="C11" s="111">
        <v>100000</v>
      </c>
      <c r="D11" s="113">
        <f>B11*0.1</f>
        <v>100000</v>
      </c>
      <c r="E11" t="s">
        <v>235</v>
      </c>
    </row>
    <row r="12" spans="1:7" ht="30">
      <c r="A12" s="26" t="s">
        <v>76</v>
      </c>
      <c r="B12" s="111">
        <v>500000</v>
      </c>
      <c r="C12" s="111">
        <v>40000</v>
      </c>
      <c r="D12" s="113">
        <f>B12*F12</f>
        <v>40000</v>
      </c>
      <c r="E12" t="s">
        <v>151</v>
      </c>
      <c r="F12" s="49">
        <v>0.08</v>
      </c>
      <c r="G12" t="s">
        <v>232</v>
      </c>
    </row>
    <row r="13" spans="1:7" ht="15" customHeight="1">
      <c r="A13" s="26" t="s">
        <v>252</v>
      </c>
      <c r="B13" s="111">
        <v>5000000</v>
      </c>
      <c r="C13" s="111">
        <v>750000</v>
      </c>
      <c r="D13" s="113">
        <f>B13*15%</f>
        <v>750000</v>
      </c>
      <c r="E13" t="s">
        <v>235</v>
      </c>
    </row>
    <row r="14" spans="1:7">
      <c r="A14" s="27" t="s">
        <v>87</v>
      </c>
      <c r="B14" s="114">
        <v>550000</v>
      </c>
      <c r="C14" s="111">
        <v>82500</v>
      </c>
      <c r="D14" s="115">
        <f>B14*15%</f>
        <v>82500</v>
      </c>
      <c r="E14" t="s">
        <v>235</v>
      </c>
    </row>
    <row r="15" spans="1:7">
      <c r="A15" s="27" t="s">
        <v>86</v>
      </c>
      <c r="B15" s="114">
        <v>500000</v>
      </c>
      <c r="C15" s="111">
        <v>100000</v>
      </c>
      <c r="D15" s="115">
        <f>B15*20%</f>
        <v>100000</v>
      </c>
      <c r="E15" t="s">
        <v>235</v>
      </c>
    </row>
    <row r="16" spans="1:7">
      <c r="A16" s="23" t="s">
        <v>61</v>
      </c>
      <c r="B16" s="111">
        <v>500000</v>
      </c>
      <c r="C16" s="111">
        <v>50000</v>
      </c>
      <c r="D16" s="116">
        <f>B16*10%</f>
        <v>50000</v>
      </c>
      <c r="E16" s="16" t="s">
        <v>88</v>
      </c>
    </row>
    <row r="17" spans="1:7">
      <c r="A17" s="23" t="s">
        <v>78</v>
      </c>
      <c r="B17" s="111">
        <v>1000000</v>
      </c>
      <c r="C17" s="111">
        <v>290000</v>
      </c>
      <c r="D17" s="116">
        <f>B17*F17</f>
        <v>290000</v>
      </c>
      <c r="E17" s="23" t="s">
        <v>77</v>
      </c>
      <c r="F17" s="49">
        <v>0.28999999999999998</v>
      </c>
      <c r="G17" t="s">
        <v>232</v>
      </c>
    </row>
    <row r="18" spans="1:7">
      <c r="A18" s="30" t="s">
        <v>156</v>
      </c>
      <c r="B18" s="31">
        <f>SUM(B3:B17)</f>
        <v>17400000</v>
      </c>
      <c r="C18" s="31">
        <f>SUM(C3:C17)</f>
        <v>2571250</v>
      </c>
      <c r="D18" s="31">
        <f>SUM(D3:D17)</f>
        <v>2571250</v>
      </c>
      <c r="E18" t="s">
        <v>233</v>
      </c>
    </row>
    <row r="19" spans="1:7">
      <c r="A19" s="32" t="s">
        <v>153</v>
      </c>
      <c r="B19" s="33">
        <f>'Capital Gain'!E19</f>
        <v>1500000</v>
      </c>
      <c r="C19" s="33">
        <f>'Capital Gain'!F19</f>
        <v>175000</v>
      </c>
      <c r="D19" s="33">
        <f>'Capital Gain'!G19</f>
        <v>175000</v>
      </c>
      <c r="E19" t="s">
        <v>236</v>
      </c>
    </row>
    <row r="20" spans="1:7">
      <c r="A20" s="32" t="s">
        <v>157</v>
      </c>
      <c r="B20" s="33">
        <f>B18+B19</f>
        <v>18900000</v>
      </c>
      <c r="C20" s="33">
        <f t="shared" ref="C20:D20" si="0">C18+C19</f>
        <v>2746250</v>
      </c>
      <c r="D20" s="33">
        <f t="shared" si="0"/>
        <v>2746250</v>
      </c>
      <c r="E20" t="s">
        <v>233</v>
      </c>
    </row>
    <row r="21" spans="1:7">
      <c r="B21" s="3"/>
      <c r="C21" s="3"/>
      <c r="D21" s="126"/>
    </row>
    <row r="22" spans="1:7">
      <c r="B22" s="3"/>
      <c r="C22" s="3"/>
      <c r="D22" s="3"/>
    </row>
    <row r="23" spans="1:7">
      <c r="B23" s="3"/>
      <c r="C23" s="3"/>
      <c r="D23" s="3"/>
    </row>
    <row r="24" spans="1:7">
      <c r="B24" s="3"/>
      <c r="C24" s="3"/>
      <c r="D24" s="3"/>
    </row>
    <row r="25" spans="1:7">
      <c r="B25" s="3"/>
      <c r="C25" s="3"/>
      <c r="D25" s="3"/>
    </row>
    <row r="26" spans="1:7">
      <c r="B26" s="3"/>
      <c r="C26" s="3"/>
      <c r="D26" s="3"/>
    </row>
    <row r="27" spans="1:7">
      <c r="B27" s="3"/>
      <c r="C27" s="3"/>
      <c r="D27" s="3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0310F-EC80-466B-A866-7D4348E28C30}">
  <dimension ref="A1:K20"/>
  <sheetViews>
    <sheetView zoomScale="170" workbookViewId="0">
      <selection activeCell="A5" sqref="A5"/>
    </sheetView>
  </sheetViews>
  <sheetFormatPr baseColWidth="10" defaultColWidth="8.83203125" defaultRowHeight="15"/>
  <cols>
    <col min="1" max="1" width="98.33203125" customWidth="1"/>
    <col min="2" max="2" width="9.6640625" customWidth="1"/>
    <col min="3" max="3" width="14.5" customWidth="1"/>
    <col min="4" max="4" width="29.33203125" customWidth="1"/>
    <col min="5" max="5" width="20.6640625" customWidth="1"/>
    <col min="6" max="6" width="10.1640625" bestFit="1" customWidth="1"/>
    <col min="7" max="7" width="11.5" customWidth="1"/>
    <col min="10" max="10" width="13" customWidth="1"/>
  </cols>
  <sheetData>
    <row r="1" spans="1:11" ht="22">
      <c r="A1" s="28" t="s">
        <v>153</v>
      </c>
      <c r="B1" s="118"/>
      <c r="C1" s="118"/>
      <c r="D1" s="118"/>
    </row>
    <row r="3" spans="1:11">
      <c r="A3" s="25" t="s">
        <v>12</v>
      </c>
      <c r="B3" s="29" t="s">
        <v>90</v>
      </c>
      <c r="C3" s="29" t="s">
        <v>91</v>
      </c>
      <c r="D3" s="29" t="s">
        <v>92</v>
      </c>
      <c r="E3" s="25" t="s">
        <v>154</v>
      </c>
      <c r="F3" s="25" t="s">
        <v>82</v>
      </c>
      <c r="G3" s="25" t="s">
        <v>80</v>
      </c>
    </row>
    <row r="4" spans="1:11">
      <c r="A4" s="23" t="s">
        <v>62</v>
      </c>
      <c r="B4" s="48">
        <v>0</v>
      </c>
      <c r="C4" s="48"/>
      <c r="D4" s="48"/>
      <c r="E4" s="119">
        <f>SUM(B4:D4)</f>
        <v>0</v>
      </c>
      <c r="F4" s="34"/>
      <c r="G4" s="24">
        <f>(B4+C4+D4)*15%</f>
        <v>0</v>
      </c>
      <c r="I4" t="s">
        <v>242</v>
      </c>
    </row>
    <row r="5" spans="1:11">
      <c r="A5" s="23" t="s">
        <v>63</v>
      </c>
      <c r="B5" s="48"/>
      <c r="C5" s="48"/>
      <c r="D5" s="48"/>
      <c r="E5" s="119">
        <f t="shared" ref="E5:E9" si="0">SUM(B5:D5)</f>
        <v>0</v>
      </c>
      <c r="F5" s="34"/>
      <c r="G5" s="116">
        <f>(B5*12.5%)+(C5*10%)+(D5*7.5%)</f>
        <v>0</v>
      </c>
    </row>
    <row r="6" spans="1:11">
      <c r="A6" s="23" t="s">
        <v>64</v>
      </c>
      <c r="B6" s="48">
        <v>500000</v>
      </c>
      <c r="C6" s="48"/>
      <c r="D6" s="48"/>
      <c r="E6" s="111">
        <f t="shared" si="0"/>
        <v>500000</v>
      </c>
      <c r="F6" s="111">
        <v>50000</v>
      </c>
      <c r="G6" s="116">
        <f>(B6*10%)+(C6*7.5%)+(D6*0%)</f>
        <v>50000</v>
      </c>
    </row>
    <row r="7" spans="1:11">
      <c r="A7" s="23" t="s">
        <v>65</v>
      </c>
      <c r="B7" s="48"/>
      <c r="C7" s="48"/>
      <c r="D7" s="48"/>
      <c r="E7" s="111">
        <f t="shared" si="0"/>
        <v>0</v>
      </c>
      <c r="F7" s="111"/>
      <c r="G7" s="116">
        <f>(B7*7.5%)+(C7*5%)+(D7*0%)</f>
        <v>0</v>
      </c>
    </row>
    <row r="8" spans="1:11">
      <c r="A8" s="23" t="s">
        <v>66</v>
      </c>
      <c r="B8" s="48"/>
      <c r="C8" s="48"/>
      <c r="D8" s="48"/>
      <c r="E8" s="111">
        <f t="shared" si="0"/>
        <v>0</v>
      </c>
      <c r="F8" s="111"/>
      <c r="G8" s="116">
        <f>(B8*5%)+(C8*0%)+(D8*0%)</f>
        <v>0</v>
      </c>
    </row>
    <row r="9" spans="1:11">
      <c r="A9" s="23" t="s">
        <v>67</v>
      </c>
      <c r="B9" s="48"/>
      <c r="C9" s="48"/>
      <c r="D9" s="48"/>
      <c r="E9" s="111">
        <f t="shared" si="0"/>
        <v>0</v>
      </c>
      <c r="F9" s="111"/>
      <c r="G9" s="116">
        <f>(B9*2.5%)+(C9*0%)+(D9*0%)</f>
        <v>0</v>
      </c>
    </row>
    <row r="10" spans="1:11">
      <c r="A10" s="23" t="s">
        <v>68</v>
      </c>
      <c r="B10" s="120"/>
      <c r="C10" s="120"/>
      <c r="D10" s="120"/>
      <c r="E10" s="111"/>
      <c r="F10" s="111"/>
      <c r="G10" s="116">
        <f>E10*0%</f>
        <v>0</v>
      </c>
      <c r="I10" s="15"/>
      <c r="J10" s="15"/>
      <c r="K10" s="15"/>
    </row>
    <row r="11" spans="1:11">
      <c r="A11" s="23" t="s">
        <v>89</v>
      </c>
      <c r="B11" s="120"/>
      <c r="C11" s="120"/>
      <c r="D11" s="120"/>
      <c r="E11" s="111"/>
      <c r="F11" s="111"/>
      <c r="G11" s="116">
        <f>E11*0%</f>
        <v>0</v>
      </c>
    </row>
    <row r="12" spans="1:11">
      <c r="A12" s="23" t="s">
        <v>69</v>
      </c>
      <c r="B12" s="120"/>
      <c r="C12" s="120"/>
      <c r="D12" s="120"/>
      <c r="E12" s="111"/>
      <c r="F12" s="111"/>
      <c r="G12" s="116">
        <f>E12*5%</f>
        <v>0</v>
      </c>
    </row>
    <row r="13" spans="1:11">
      <c r="A13" s="23" t="s">
        <v>70</v>
      </c>
      <c r="B13" s="120"/>
      <c r="C13" s="120"/>
      <c r="D13" s="120"/>
      <c r="E13" s="111"/>
      <c r="F13" s="111"/>
      <c r="G13" s="116">
        <f>E13*7.5%</f>
        <v>0</v>
      </c>
    </row>
    <row r="14" spans="1:11">
      <c r="A14" s="23" t="s">
        <v>71</v>
      </c>
      <c r="B14" s="120"/>
      <c r="C14" s="120"/>
      <c r="D14" s="120"/>
      <c r="E14" s="111"/>
      <c r="F14" s="111"/>
      <c r="G14" s="116">
        <f>E14*10%</f>
        <v>0</v>
      </c>
    </row>
    <row r="15" spans="1:11">
      <c r="A15" s="23" t="s">
        <v>72</v>
      </c>
      <c r="B15" s="120"/>
      <c r="C15" s="120"/>
      <c r="D15" s="120"/>
      <c r="E15" s="111"/>
      <c r="F15" s="111"/>
      <c r="G15" s="116">
        <f>E15*12.5%</f>
        <v>0</v>
      </c>
    </row>
    <row r="16" spans="1:11">
      <c r="A16" s="23" t="s">
        <v>73</v>
      </c>
      <c r="B16" s="120"/>
      <c r="C16" s="120"/>
      <c r="D16" s="120"/>
      <c r="E16" s="111"/>
      <c r="F16" s="111"/>
      <c r="G16" s="116">
        <f>E16*25%</f>
        <v>0</v>
      </c>
    </row>
    <row r="17" spans="1:7">
      <c r="A17" s="23" t="s">
        <v>74</v>
      </c>
      <c r="B17" s="120"/>
      <c r="C17" s="120"/>
      <c r="D17" s="120"/>
      <c r="E17" s="111">
        <v>1000000</v>
      </c>
      <c r="F17" s="111">
        <v>125000</v>
      </c>
      <c r="G17" s="116">
        <f>E17*12.5%</f>
        <v>125000</v>
      </c>
    </row>
    <row r="18" spans="1:7">
      <c r="A18" s="23" t="s">
        <v>75</v>
      </c>
      <c r="B18" s="120"/>
      <c r="C18" s="120"/>
      <c r="D18" s="120"/>
      <c r="E18" s="34"/>
      <c r="F18" s="111"/>
      <c r="G18" s="116">
        <f>E18*15%</f>
        <v>0</v>
      </c>
    </row>
    <row r="19" spans="1:7">
      <c r="A19" s="36" t="s">
        <v>155</v>
      </c>
      <c r="B19" s="36"/>
      <c r="C19" s="36"/>
      <c r="D19" s="36"/>
      <c r="E19" s="121">
        <f>SUM(E4:E18)</f>
        <v>1500000</v>
      </c>
      <c r="F19" s="81">
        <f>SUM(F4:F18)</f>
        <v>175000</v>
      </c>
      <c r="G19" s="81">
        <f>SUM(G4:G18)</f>
        <v>175000</v>
      </c>
    </row>
    <row r="20" spans="1:7">
      <c r="F20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EEAD9-8BEF-43F5-9EE4-7D73115F5725}">
  <dimension ref="A2:F34"/>
  <sheetViews>
    <sheetView zoomScale="167" workbookViewId="0">
      <selection activeCell="E8" sqref="E8"/>
    </sheetView>
  </sheetViews>
  <sheetFormatPr baseColWidth="10" defaultColWidth="8.83203125" defaultRowHeight="15"/>
  <cols>
    <col min="1" max="1" width="59" bestFit="1" customWidth="1"/>
    <col min="2" max="2" width="15.6640625" customWidth="1"/>
  </cols>
  <sheetData>
    <row r="2" spans="1:2" ht="22">
      <c r="A2" s="69" t="s">
        <v>178</v>
      </c>
    </row>
    <row r="3" spans="1:2">
      <c r="A3" s="17" t="s">
        <v>93</v>
      </c>
    </row>
    <row r="4" spans="1:2">
      <c r="A4" s="64" t="s">
        <v>12</v>
      </c>
      <c r="B4" s="65" t="s">
        <v>179</v>
      </c>
    </row>
    <row r="5" spans="1:2" ht="16" thickBot="1">
      <c r="A5" s="66" t="s">
        <v>198</v>
      </c>
    </row>
    <row r="6" spans="1:2">
      <c r="A6" s="52" t="s">
        <v>94</v>
      </c>
      <c r="B6" s="53">
        <f>Income!B16+Income!B23</f>
        <v>18610000</v>
      </c>
    </row>
    <row r="7" spans="1:2">
      <c r="A7" s="54" t="s">
        <v>257</v>
      </c>
      <c r="B7" s="55">
        <f>Income!B28</f>
        <v>2200000</v>
      </c>
    </row>
    <row r="8" spans="1:2">
      <c r="A8" s="54" t="s">
        <v>96</v>
      </c>
      <c r="B8" s="55">
        <f>Income!B33</f>
        <v>750000</v>
      </c>
    </row>
    <row r="9" spans="1:2">
      <c r="A9" s="138" t="s">
        <v>97</v>
      </c>
      <c r="B9" s="139">
        <f>SUM(B6:B8)</f>
        <v>21560000</v>
      </c>
    </row>
    <row r="10" spans="1:2">
      <c r="A10" s="54" t="s">
        <v>24</v>
      </c>
      <c r="B10" s="55">
        <f>'Tax Reduction, Credit &amp; deduct '!C22</f>
        <v>75000</v>
      </c>
    </row>
    <row r="11" spans="1:2">
      <c r="A11" s="56" t="s">
        <v>205</v>
      </c>
      <c r="B11" s="57">
        <f>B9-B10</f>
        <v>21485000</v>
      </c>
    </row>
    <row r="12" spans="1:2">
      <c r="A12" s="54" t="s">
        <v>95</v>
      </c>
      <c r="B12" s="55">
        <f>'Capital Gain'!E19</f>
        <v>1500000</v>
      </c>
    </row>
    <row r="13" spans="1:2" ht="16" thickBot="1">
      <c r="A13" s="58" t="s">
        <v>204</v>
      </c>
      <c r="B13" s="59">
        <f>B11+B12</f>
        <v>22985000</v>
      </c>
    </row>
    <row r="14" spans="1:2">
      <c r="A14" s="50"/>
      <c r="B14" s="51"/>
    </row>
    <row r="15" spans="1:2" ht="16" thickBot="1">
      <c r="A15" s="50" t="s">
        <v>59</v>
      </c>
      <c r="B15" s="63"/>
    </row>
    <row r="16" spans="1:2">
      <c r="A16" s="52" t="s">
        <v>98</v>
      </c>
      <c r="B16" s="60">
        <f>(IF((AND(B11&gt;600000,B11&lt;1200001)),((B11-600000))*5%,0))+(IF((AND(B11&gt;1200000,B11&lt;2200001)),((B11-1200000)*15%)+30000,0))+(IF((AND(B11&gt;2200000,B11&lt;3200001)),((B11-2200000)*25%)+180000,0))+(IF((AND(B11&gt;3200000,B11&lt;4100001)),((B11-3200000)*30%)+430000,0))+(IF(B11&gt;4100000,((B11-4100000)*35%)+700000,0))</f>
        <v>6784750</v>
      </c>
    </row>
    <row r="17" spans="1:6">
      <c r="A17" s="54" t="s">
        <v>203</v>
      </c>
      <c r="B17" s="61">
        <f>IF(B11&gt;10000000,B16*10%,0)</f>
        <v>678475</v>
      </c>
    </row>
    <row r="18" spans="1:6">
      <c r="A18" s="54" t="s">
        <v>207</v>
      </c>
      <c r="B18" s="61">
        <f>'Capital Gain'!G19</f>
        <v>175000</v>
      </c>
    </row>
    <row r="19" spans="1:6">
      <c r="A19" s="122" t="s">
        <v>206</v>
      </c>
      <c r="B19" s="123">
        <f>SUM(B16:B18)</f>
        <v>7638225</v>
      </c>
    </row>
    <row r="20" spans="1:6">
      <c r="A20" s="54" t="s">
        <v>20</v>
      </c>
      <c r="B20" s="55">
        <f>'Tax Reduction, Credit &amp; deduct '!D9</f>
        <v>1650512.7232142857</v>
      </c>
    </row>
    <row r="21" spans="1:6">
      <c r="A21" s="54" t="s">
        <v>100</v>
      </c>
      <c r="B21" s="55">
        <f>'Tax Reduction, Credit &amp; deduct '!D16</f>
        <v>1727033.0791820751</v>
      </c>
    </row>
    <row r="22" spans="1:6">
      <c r="A22" s="122" t="s">
        <v>202</v>
      </c>
      <c r="B22" s="124">
        <f>B19-B20-B21</f>
        <v>4260679.1976036392</v>
      </c>
      <c r="F22" s="137"/>
    </row>
    <row r="23" spans="1:6">
      <c r="A23" s="54" t="s">
        <v>99</v>
      </c>
      <c r="B23" s="55">
        <f>'Income with Final Min tax'!D20</f>
        <v>2746250</v>
      </c>
    </row>
    <row r="24" spans="1:6">
      <c r="A24" s="135" t="s">
        <v>260</v>
      </c>
      <c r="B24" s="136">
        <f>IF(('Adjustable Tax'!C7+'Adjustable Tax'!C8)-(B7*B22/B13)&gt;0,('Adjustable Tax'!C7+'Adjustable Tax'!C8)-(B7*B22/B13),0)</f>
        <v>0</v>
      </c>
    </row>
    <row r="25" spans="1:6" ht="16" thickBot="1">
      <c r="A25" s="62" t="s">
        <v>209</v>
      </c>
      <c r="B25" s="59">
        <f>B22+B23</f>
        <v>7006929.1976036392</v>
      </c>
    </row>
    <row r="27" spans="1:6" ht="16" thickBot="1">
      <c r="A27" s="50" t="s">
        <v>208</v>
      </c>
    </row>
    <row r="28" spans="1:6">
      <c r="A28" s="52" t="s">
        <v>102</v>
      </c>
      <c r="B28" s="53">
        <f>'Adjustable Tax'!C32+'Income with Final Min tax'!C20</f>
        <v>6772250</v>
      </c>
    </row>
    <row r="29" spans="1:6">
      <c r="A29" s="54" t="s">
        <v>101</v>
      </c>
      <c r="B29" s="55">
        <v>75000</v>
      </c>
    </row>
    <row r="30" spans="1:6" ht="16" thickBot="1">
      <c r="A30" s="62" t="s">
        <v>210</v>
      </c>
      <c r="B30" s="59">
        <f>B28+B29</f>
        <v>6847250</v>
      </c>
    </row>
    <row r="31" spans="1:6" ht="16" thickBot="1">
      <c r="A31" s="50"/>
      <c r="B31" s="51"/>
    </row>
    <row r="32" spans="1:6" ht="20" thickBot="1">
      <c r="A32" s="67" t="s">
        <v>177</v>
      </c>
      <c r="B32" s="68">
        <f>B25-B30</f>
        <v>159679.19760363922</v>
      </c>
    </row>
    <row r="33" spans="2:2">
      <c r="B33" s="3"/>
    </row>
    <row r="34" spans="2:2">
      <c r="B34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59AB2-AD0A-4CF8-9C24-5022ECEDE9A5}">
  <dimension ref="A1:H28"/>
  <sheetViews>
    <sheetView zoomScale="137" workbookViewId="0">
      <selection activeCell="D22" sqref="D22"/>
    </sheetView>
  </sheetViews>
  <sheetFormatPr baseColWidth="10" defaultColWidth="8.83203125" defaultRowHeight="15"/>
  <cols>
    <col min="1" max="1" width="53.1640625" customWidth="1"/>
    <col min="2" max="2" width="6.6640625" customWidth="1"/>
    <col min="3" max="3" width="11.1640625" bestFit="1" customWidth="1"/>
    <col min="4" max="4" width="13.83203125" bestFit="1" customWidth="1"/>
    <col min="5" max="5" width="49.6640625" customWidth="1"/>
  </cols>
  <sheetData>
    <row r="1" spans="1:8">
      <c r="A1" s="35" t="s">
        <v>174</v>
      </c>
      <c r="B1" s="35"/>
    </row>
    <row r="3" spans="1:8">
      <c r="A3" s="42" t="s">
        <v>12</v>
      </c>
      <c r="B3" s="42" t="s">
        <v>9</v>
      </c>
      <c r="C3" s="42" t="s">
        <v>79</v>
      </c>
      <c r="D3" s="42" t="s">
        <v>164</v>
      </c>
      <c r="E3" s="42" t="s">
        <v>170</v>
      </c>
    </row>
    <row r="4" spans="1:8">
      <c r="A4" s="12" t="s">
        <v>20</v>
      </c>
      <c r="B4" s="12"/>
      <c r="C4" s="4"/>
      <c r="D4" s="4"/>
      <c r="E4" s="4"/>
    </row>
    <row r="5" spans="1:8" ht="30">
      <c r="A5" s="38" t="s">
        <v>16</v>
      </c>
      <c r="B5" s="71" t="s">
        <v>175</v>
      </c>
      <c r="C5" s="11"/>
      <c r="D5" s="80">
        <f>IF((ISERROR(IF(B5="Y",(('Tax Computation'!B6*('Tax Computation'!B16+'Tax Computation'!B17)/'Tax Computation'!B9)*25%),0))),0,IF(B5="Y",(('Tax Computation'!B6*('Tax Computation'!B16+'Tax Computation'!B17)/'Tax Computation'!B9)*25%),0))</f>
        <v>1610512.7232142857</v>
      </c>
      <c r="E5" s="4" t="s">
        <v>163</v>
      </c>
      <c r="H5" t="s">
        <v>237</v>
      </c>
    </row>
    <row r="6" spans="1:8" ht="30">
      <c r="A6" s="38" t="s">
        <v>17</v>
      </c>
      <c r="B6" s="71" t="s">
        <v>175</v>
      </c>
      <c r="C6" s="10">
        <v>400000</v>
      </c>
      <c r="D6" s="80">
        <f>(G6-5%)*C6</f>
        <v>40000</v>
      </c>
      <c r="E6" s="19" t="s">
        <v>165</v>
      </c>
      <c r="F6" t="s">
        <v>199</v>
      </c>
      <c r="G6" s="70">
        <v>0.15</v>
      </c>
      <c r="H6" t="s">
        <v>238</v>
      </c>
    </row>
    <row r="7" spans="1:8" ht="60">
      <c r="A7" s="38" t="s">
        <v>18</v>
      </c>
      <c r="B7" s="71"/>
      <c r="C7" s="11"/>
      <c r="D7" s="10"/>
      <c r="E7" s="4" t="s">
        <v>166</v>
      </c>
      <c r="H7" t="s">
        <v>239</v>
      </c>
    </row>
    <row r="8" spans="1:8" ht="56">
      <c r="A8" s="39" t="s">
        <v>19</v>
      </c>
      <c r="B8" s="72"/>
      <c r="C8" s="11"/>
      <c r="D8" s="10"/>
      <c r="E8" s="4" t="s">
        <v>200</v>
      </c>
      <c r="H8" t="s">
        <v>239</v>
      </c>
    </row>
    <row r="9" spans="1:8">
      <c r="A9" s="41" t="s">
        <v>168</v>
      </c>
      <c r="B9" s="39"/>
      <c r="C9" s="14"/>
      <c r="D9" s="74">
        <f>SUM(D5:D8)</f>
        <v>1650512.7232142857</v>
      </c>
      <c r="E9" s="4"/>
    </row>
    <row r="10" spans="1:8">
      <c r="A10" s="44"/>
      <c r="B10" s="44"/>
    </row>
    <row r="11" spans="1:8">
      <c r="A11" s="12" t="s">
        <v>100</v>
      </c>
      <c r="B11" s="12"/>
      <c r="C11" s="12"/>
      <c r="D11" s="12"/>
      <c r="E11" s="4"/>
    </row>
    <row r="12" spans="1:8">
      <c r="A12" s="38" t="s">
        <v>30</v>
      </c>
      <c r="B12" s="71" t="s">
        <v>175</v>
      </c>
      <c r="C12" s="10">
        <v>700000</v>
      </c>
      <c r="D12" s="75">
        <f>IF(ISERROR((MIN(C12,'Tax Computation'!B13*30%))*'Tax Computation'!B19/'Tax Computation'!B13),0,(MIN(C12,'Tax Computation'!B13*30%))*'Tax Computation'!B19/'Tax Computation'!B13)</f>
        <v>232619.42571242116</v>
      </c>
      <c r="E12" s="4" t="s">
        <v>31</v>
      </c>
      <c r="H12" t="s">
        <v>240</v>
      </c>
    </row>
    <row r="13" spans="1:8" ht="30">
      <c r="A13" s="38" t="s">
        <v>33</v>
      </c>
      <c r="B13" s="71"/>
      <c r="C13" s="10">
        <v>0</v>
      </c>
      <c r="D13" s="75">
        <f>IF(ISERROR((MIN(C13,'Tax Computation'!B13*15%))*'Tax Computation'!B19/'Tax Computation'!B13),0,(MIN(C13,'Tax Computation'!B13*15%))*'Tax Computation'!B19/'Tax Computation'!B13)</f>
        <v>0</v>
      </c>
      <c r="E13" s="4" t="s">
        <v>32</v>
      </c>
    </row>
    <row r="14" spans="1:8" ht="32">
      <c r="A14" s="38" t="s">
        <v>28</v>
      </c>
      <c r="B14" s="71" t="s">
        <v>175</v>
      </c>
      <c r="C14" s="10">
        <v>5000000</v>
      </c>
      <c r="D14" s="75">
        <f>IF(ISERROR((MIN(C14,'Tax Computation'!B13*G14))*'Tax Computation'!B19/'Tax Computation'!B13),0,((MIN(C14,'Tax Computation'!B13*G14))*'Tax Computation'!B19/'Tax Computation'!B13))</f>
        <v>1527645</v>
      </c>
      <c r="E14" s="19" t="s">
        <v>34</v>
      </c>
      <c r="F14" t="s">
        <v>259</v>
      </c>
      <c r="G14" s="70">
        <v>0.2</v>
      </c>
    </row>
    <row r="15" spans="1:8" ht="30">
      <c r="A15" s="38" t="s">
        <v>29</v>
      </c>
      <c r="B15" s="71"/>
      <c r="C15" s="10">
        <v>100000</v>
      </c>
      <c r="D15" s="75">
        <f>(IF(ISERROR((C15*'Tax Computation'!B19/'Tax Computation'!B13)),0,((C15*'Tax Computation'!B19/'Tax Computation'!B13))))*-1</f>
        <v>-33231.34653034588</v>
      </c>
      <c r="E15" s="40"/>
    </row>
    <row r="16" spans="1:8">
      <c r="A16" s="41" t="s">
        <v>176</v>
      </c>
      <c r="B16" s="41"/>
      <c r="C16" s="73"/>
      <c r="D16" s="73">
        <f>SUM(D12:D15)</f>
        <v>1727033.0791820751</v>
      </c>
      <c r="E16" s="18"/>
    </row>
    <row r="17" spans="1:7">
      <c r="A17" s="38"/>
      <c r="B17" s="43"/>
    </row>
    <row r="18" spans="1:7">
      <c r="A18" s="12" t="s">
        <v>26</v>
      </c>
      <c r="B18" s="12"/>
      <c r="C18" s="4"/>
      <c r="D18" s="4"/>
      <c r="E18" s="4"/>
    </row>
    <row r="19" spans="1:7">
      <c r="A19" s="144" t="s">
        <v>27</v>
      </c>
      <c r="B19" s="148"/>
      <c r="C19" s="146">
        <f>IF(ISERROR(MIN((F19*5%),('Tax Computation'!B9*25%),( 60000*'Tax Reduction, Credit &amp; deduct '!F20))),0,(MIN((F19*5%),('Tax Computation'!B9*25%),( 60000*'Tax Reduction, Credit &amp; deduct '!F20))))</f>
        <v>0</v>
      </c>
      <c r="D19" s="150"/>
      <c r="E19" s="4" t="s">
        <v>201</v>
      </c>
      <c r="F19" s="11">
        <v>0</v>
      </c>
    </row>
    <row r="20" spans="1:7">
      <c r="A20" s="145"/>
      <c r="B20" s="149"/>
      <c r="C20" s="147"/>
      <c r="D20" s="151"/>
      <c r="E20" s="38" t="s">
        <v>25</v>
      </c>
      <c r="F20" s="11">
        <v>1</v>
      </c>
    </row>
    <row r="21" spans="1:7">
      <c r="A21" s="38" t="s">
        <v>167</v>
      </c>
      <c r="B21" s="71" t="s">
        <v>175</v>
      </c>
      <c r="C21" s="10">
        <v>75000</v>
      </c>
      <c r="E21" s="4"/>
      <c r="G21" t="s">
        <v>241</v>
      </c>
    </row>
    <row r="22" spans="1:7">
      <c r="A22" s="7" t="s">
        <v>169</v>
      </c>
      <c r="B22" s="7"/>
      <c r="C22" s="81">
        <f>SUM(C19:C21)</f>
        <v>75000</v>
      </c>
      <c r="D22" s="13"/>
      <c r="E22" s="4"/>
    </row>
    <row r="25" spans="1:7">
      <c r="A25" t="s">
        <v>171</v>
      </c>
    </row>
    <row r="26" spans="1:7" ht="20" customHeight="1">
      <c r="A26" s="143" t="s">
        <v>21</v>
      </c>
      <c r="B26" s="143"/>
      <c r="C26" s="143"/>
      <c r="D26" s="143"/>
      <c r="E26" s="143"/>
    </row>
    <row r="27" spans="1:7" ht="50" customHeight="1">
      <c r="A27" s="143" t="s">
        <v>22</v>
      </c>
      <c r="B27" s="143"/>
      <c r="C27" s="143"/>
      <c r="D27" s="143"/>
      <c r="E27" s="143"/>
    </row>
    <row r="28" spans="1:7" ht="40" customHeight="1">
      <c r="A28" s="143" t="s">
        <v>23</v>
      </c>
      <c r="B28" s="143"/>
      <c r="C28" s="143"/>
      <c r="D28" s="143"/>
      <c r="E28" s="143"/>
    </row>
  </sheetData>
  <mergeCells count="7">
    <mergeCell ref="A26:E26"/>
    <mergeCell ref="A27:E27"/>
    <mergeCell ref="A28:E28"/>
    <mergeCell ref="A19:A20"/>
    <mergeCell ref="C19:C20"/>
    <mergeCell ref="B19:B20"/>
    <mergeCell ref="D19:D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1EC98-9F78-48DF-937B-CEAEB2D17472}">
  <dimension ref="A3:C35"/>
  <sheetViews>
    <sheetView zoomScale="161" workbookViewId="0">
      <selection activeCell="C19" sqref="C19"/>
    </sheetView>
  </sheetViews>
  <sheetFormatPr baseColWidth="10" defaultColWidth="8.83203125" defaultRowHeight="15"/>
  <cols>
    <col min="1" max="1" width="62.5" bestFit="1" customWidth="1"/>
    <col min="2" max="2" width="14.1640625" bestFit="1" customWidth="1"/>
  </cols>
  <sheetData>
    <row r="3" spans="1:2" ht="22">
      <c r="A3" s="88" t="s">
        <v>148</v>
      </c>
      <c r="B3" s="82"/>
    </row>
    <row r="4" spans="1:2" ht="16">
      <c r="A4" s="82"/>
      <c r="B4" s="82"/>
    </row>
    <row r="5" spans="1:2" ht="16">
      <c r="A5" s="89" t="s">
        <v>12</v>
      </c>
      <c r="B5" s="89" t="s">
        <v>180</v>
      </c>
    </row>
    <row r="6" spans="1:2" ht="16">
      <c r="A6" s="83"/>
      <c r="B6" s="84"/>
    </row>
    <row r="7" spans="1:2" ht="16">
      <c r="A7" s="85" t="s">
        <v>103</v>
      </c>
      <c r="B7" s="86"/>
    </row>
    <row r="8" spans="1:2" ht="16">
      <c r="A8" s="85" t="s">
        <v>104</v>
      </c>
      <c r="B8" s="86">
        <v>20000</v>
      </c>
    </row>
    <row r="9" spans="1:2" ht="16">
      <c r="A9" s="85" t="s">
        <v>181</v>
      </c>
      <c r="B9" s="84">
        <f>'Tax Computation'!B28</f>
        <v>6772250</v>
      </c>
    </row>
    <row r="10" spans="1:2" ht="16">
      <c r="A10" s="85" t="s">
        <v>105</v>
      </c>
      <c r="B10" s="86">
        <v>600000</v>
      </c>
    </row>
    <row r="11" spans="1:2" ht="16">
      <c r="A11" s="85" t="s">
        <v>106</v>
      </c>
      <c r="B11" s="86">
        <v>2500000</v>
      </c>
    </row>
    <row r="12" spans="1:2" ht="16">
      <c r="A12" s="85" t="s">
        <v>11</v>
      </c>
      <c r="B12" s="86">
        <v>750000</v>
      </c>
    </row>
    <row r="13" spans="1:2" ht="16">
      <c r="A13" s="85" t="s">
        <v>107</v>
      </c>
      <c r="B13" s="86">
        <v>220000</v>
      </c>
    </row>
    <row r="14" spans="1:2" ht="16">
      <c r="A14" s="85" t="s">
        <v>108</v>
      </c>
      <c r="B14" s="86">
        <v>80000</v>
      </c>
    </row>
    <row r="15" spans="1:2" ht="16">
      <c r="A15" s="85" t="s">
        <v>109</v>
      </c>
      <c r="B15" s="86">
        <v>250000</v>
      </c>
    </row>
    <row r="16" spans="1:2" ht="16">
      <c r="A16" s="85" t="s">
        <v>110</v>
      </c>
      <c r="B16" s="86">
        <v>5000</v>
      </c>
    </row>
    <row r="17" spans="1:3" ht="16">
      <c r="A17" s="85" t="s">
        <v>111</v>
      </c>
      <c r="B17" s="86">
        <v>2000000</v>
      </c>
    </row>
    <row r="18" spans="1:3" ht="16">
      <c r="A18" s="85" t="s">
        <v>112</v>
      </c>
      <c r="B18" s="86">
        <v>3000000</v>
      </c>
    </row>
    <row r="19" spans="1:3" ht="16">
      <c r="A19" s="85" t="s">
        <v>113</v>
      </c>
      <c r="B19" s="86">
        <v>500000</v>
      </c>
    </row>
    <row r="20" spans="1:3" ht="16">
      <c r="A20" s="85" t="s">
        <v>114</v>
      </c>
      <c r="B20" s="86">
        <v>300000</v>
      </c>
    </row>
    <row r="21" spans="1:3" ht="16">
      <c r="A21" s="85" t="s">
        <v>115</v>
      </c>
      <c r="B21" s="86">
        <v>2000000</v>
      </c>
    </row>
    <row r="22" spans="1:3" ht="16">
      <c r="A22" s="85" t="s">
        <v>116</v>
      </c>
      <c r="B22" s="127">
        <f>-(SUM(B7:B21)-'Wealth Recon'!B21+'Wealth Recon'!B7)</f>
        <v>20552750</v>
      </c>
      <c r="C22" t="s">
        <v>230</v>
      </c>
    </row>
    <row r="23" spans="1:3" ht="16">
      <c r="A23" s="85"/>
      <c r="B23" s="84">
        <f>SUM(B7:B22)</f>
        <v>39550000</v>
      </c>
    </row>
    <row r="24" spans="1:3" ht="17">
      <c r="A24" s="87" t="s">
        <v>117</v>
      </c>
      <c r="B24" s="86"/>
    </row>
    <row r="25" spans="1:3" ht="16">
      <c r="A25" s="91" t="s">
        <v>212</v>
      </c>
      <c r="B25" s="90">
        <f>B23-B24</f>
        <v>39550000</v>
      </c>
    </row>
    <row r="26" spans="1:3" ht="16">
      <c r="A26" s="82"/>
      <c r="B26" s="82"/>
    </row>
    <row r="27" spans="1:3" ht="16">
      <c r="A27" s="82"/>
      <c r="B27" s="82"/>
    </row>
    <row r="28" spans="1:3" ht="16">
      <c r="A28" s="82"/>
      <c r="B28" s="82"/>
    </row>
    <row r="29" spans="1:3" ht="16">
      <c r="A29" s="82"/>
      <c r="B29" s="82"/>
    </row>
    <row r="30" spans="1:3" ht="16">
      <c r="A30" s="82"/>
      <c r="B30" s="82"/>
    </row>
    <row r="31" spans="1:3" ht="16">
      <c r="A31" s="82"/>
      <c r="B31" s="82"/>
    </row>
    <row r="32" spans="1:3" ht="16">
      <c r="A32" s="82"/>
      <c r="B32" s="82"/>
    </row>
    <row r="33" spans="1:2" ht="16">
      <c r="A33" s="82"/>
      <c r="B33" s="82"/>
    </row>
    <row r="34" spans="1:2" ht="16">
      <c r="A34" s="82"/>
      <c r="B34" s="82"/>
    </row>
    <row r="35" spans="1:2" ht="16">
      <c r="A35" s="82"/>
      <c r="B35" s="8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9B70B-FD9F-498C-8CEB-3FFC024A1C11}">
  <dimension ref="A1:C48"/>
  <sheetViews>
    <sheetView workbookViewId="0">
      <selection activeCell="B13" sqref="B13"/>
    </sheetView>
  </sheetViews>
  <sheetFormatPr baseColWidth="10" defaultColWidth="8.83203125" defaultRowHeight="15"/>
  <cols>
    <col min="1" max="1" width="71.6640625" customWidth="1"/>
    <col min="2" max="2" width="12.33203125" customWidth="1"/>
    <col min="3" max="3" width="12.83203125" customWidth="1"/>
  </cols>
  <sheetData>
    <row r="1" spans="1:3" ht="24">
      <c r="A1" s="47" t="s">
        <v>194</v>
      </c>
    </row>
    <row r="2" spans="1:3">
      <c r="C2" t="s">
        <v>180</v>
      </c>
    </row>
    <row r="3" spans="1:3" ht="64">
      <c r="A3" s="45" t="s">
        <v>12</v>
      </c>
      <c r="B3" s="46" t="s">
        <v>184</v>
      </c>
      <c r="C3" s="46" t="s">
        <v>183</v>
      </c>
    </row>
    <row r="4" spans="1:3">
      <c r="A4" s="4"/>
      <c r="B4" s="4"/>
      <c r="C4" s="4"/>
    </row>
    <row r="5" spans="1:3" ht="17">
      <c r="A5" s="87" t="s">
        <v>118</v>
      </c>
      <c r="B5" s="10"/>
      <c r="C5" s="10"/>
    </row>
    <row r="6" spans="1:3" ht="17">
      <c r="A6" s="87" t="s">
        <v>119</v>
      </c>
      <c r="B6" s="10"/>
      <c r="C6" s="10"/>
    </row>
    <row r="7" spans="1:3" ht="34">
      <c r="A7" s="92" t="s">
        <v>195</v>
      </c>
      <c r="B7" s="10">
        <v>5000000</v>
      </c>
      <c r="C7" s="10">
        <f>B7</f>
        <v>5000000</v>
      </c>
    </row>
    <row r="8" spans="1:3" ht="17">
      <c r="A8" s="87" t="s">
        <v>120</v>
      </c>
      <c r="B8" s="10"/>
      <c r="C8" s="10"/>
    </row>
    <row r="9" spans="1:3" ht="17">
      <c r="A9" s="87" t="s">
        <v>121</v>
      </c>
      <c r="B9" s="10"/>
      <c r="C9" s="10"/>
    </row>
    <row r="10" spans="1:3" ht="34">
      <c r="A10" s="87" t="s">
        <v>122</v>
      </c>
      <c r="B10" s="10"/>
      <c r="C10" s="10"/>
    </row>
    <row r="11" spans="1:3" ht="68">
      <c r="A11" s="92" t="s">
        <v>182</v>
      </c>
      <c r="B11" s="10">
        <v>1000000</v>
      </c>
      <c r="C11" s="10">
        <v>500000</v>
      </c>
    </row>
    <row r="12" spans="1:3" ht="51">
      <c r="A12" s="92" t="s">
        <v>213</v>
      </c>
      <c r="B12" s="10">
        <v>12500000</v>
      </c>
      <c r="C12" s="10">
        <v>20000000</v>
      </c>
    </row>
    <row r="13" spans="1:3" ht="17">
      <c r="A13" s="92" t="s">
        <v>130</v>
      </c>
      <c r="B13" s="10"/>
      <c r="C13" s="10"/>
    </row>
    <row r="14" spans="1:3" ht="34">
      <c r="A14" s="87" t="s">
        <v>123</v>
      </c>
      <c r="B14" s="10"/>
      <c r="C14" s="10"/>
    </row>
    <row r="15" spans="1:3" ht="17">
      <c r="A15" s="87" t="s">
        <v>124</v>
      </c>
      <c r="B15" s="10">
        <v>2500000</v>
      </c>
      <c r="C15" s="10">
        <v>6000000</v>
      </c>
    </row>
    <row r="16" spans="1:3" ht="17">
      <c r="A16" s="87" t="s">
        <v>196</v>
      </c>
      <c r="B16" s="10">
        <v>1200000</v>
      </c>
      <c r="C16" s="10">
        <v>1400000</v>
      </c>
    </row>
    <row r="17" spans="1:3" ht="17">
      <c r="A17" s="87" t="s">
        <v>125</v>
      </c>
      <c r="B17" s="10"/>
      <c r="C17" s="10"/>
    </row>
    <row r="18" spans="1:3" ht="17">
      <c r="A18" s="87" t="s">
        <v>126</v>
      </c>
      <c r="B18" s="10"/>
      <c r="C18" s="10"/>
    </row>
    <row r="19" spans="1:3" ht="17">
      <c r="A19" s="87" t="s">
        <v>127</v>
      </c>
      <c r="B19" s="10">
        <v>500000</v>
      </c>
      <c r="C19" s="10">
        <v>240000</v>
      </c>
    </row>
    <row r="20" spans="1:3" ht="17">
      <c r="A20" s="87" t="s">
        <v>128</v>
      </c>
      <c r="B20" s="10"/>
      <c r="C20" s="10"/>
    </row>
    <row r="21" spans="1:3" ht="17">
      <c r="A21" s="92" t="s">
        <v>129</v>
      </c>
      <c r="B21" s="10">
        <v>2500000</v>
      </c>
      <c r="C21" s="10">
        <f>B21+(Income!B19*2)</f>
        <v>3940000</v>
      </c>
    </row>
    <row r="22" spans="1:3" ht="17">
      <c r="A22" s="87" t="s">
        <v>131</v>
      </c>
      <c r="B22" s="10"/>
      <c r="C22" s="10"/>
    </row>
    <row r="23" spans="1:3" ht="17">
      <c r="A23" s="93" t="s">
        <v>132</v>
      </c>
      <c r="B23" s="74">
        <f>SUM(B5:B22)</f>
        <v>25200000</v>
      </c>
      <c r="C23" s="74">
        <f>SUM(C5:C22)</f>
        <v>37080000</v>
      </c>
    </row>
    <row r="24" spans="1:3" ht="17">
      <c r="A24" s="87" t="s">
        <v>133</v>
      </c>
      <c r="B24" s="10"/>
      <c r="C24" s="10"/>
    </row>
    <row r="25" spans="1:3" ht="17">
      <c r="A25" s="87" t="s">
        <v>134</v>
      </c>
      <c r="B25" s="10"/>
      <c r="C25" s="10"/>
    </row>
    <row r="26" spans="1:3" ht="17">
      <c r="A26" s="93" t="s">
        <v>197</v>
      </c>
      <c r="B26" s="74">
        <f>B24+B25</f>
        <v>0</v>
      </c>
      <c r="C26" s="74">
        <f>C24+C25</f>
        <v>0</v>
      </c>
    </row>
    <row r="27" spans="1:3" ht="17">
      <c r="A27" s="93" t="s">
        <v>135</v>
      </c>
      <c r="B27" s="74">
        <f>B23+B26</f>
        <v>25200000</v>
      </c>
      <c r="C27" s="74">
        <f>C23+C26</f>
        <v>37080000</v>
      </c>
    </row>
    <row r="28" spans="1:3" ht="34">
      <c r="A28" s="87" t="s">
        <v>214</v>
      </c>
      <c r="B28" s="10">
        <v>500000</v>
      </c>
      <c r="C28" s="10">
        <v>300000</v>
      </c>
    </row>
    <row r="29" spans="1:3" ht="17">
      <c r="A29" s="93" t="s">
        <v>136</v>
      </c>
      <c r="B29" s="74">
        <f>B28</f>
        <v>500000</v>
      </c>
      <c r="C29" s="74">
        <f>C28</f>
        <v>300000</v>
      </c>
    </row>
    <row r="30" spans="1:3" ht="17">
      <c r="A30" s="93" t="s">
        <v>192</v>
      </c>
      <c r="B30" s="74">
        <f>B27-B29</f>
        <v>24700000</v>
      </c>
      <c r="C30" s="74">
        <f>C27-C29</f>
        <v>36780000</v>
      </c>
    </row>
    <row r="31" spans="1:3" ht="16">
      <c r="A31" s="82"/>
      <c r="B31" s="3"/>
      <c r="C31" s="3"/>
    </row>
    <row r="32" spans="1:3" ht="17">
      <c r="A32" s="94" t="s">
        <v>186</v>
      </c>
      <c r="B32" s="3"/>
      <c r="C32" s="3"/>
    </row>
    <row r="33" spans="1:3" ht="16">
      <c r="A33" s="82" t="s">
        <v>185</v>
      </c>
      <c r="B33" s="3"/>
      <c r="C33" s="3"/>
    </row>
    <row r="34" spans="1:3" ht="16">
      <c r="A34" s="82"/>
      <c r="B34" s="3"/>
      <c r="C34" s="3"/>
    </row>
    <row r="35" spans="1:3" ht="16">
      <c r="A35" s="82"/>
      <c r="B35" s="3"/>
      <c r="C35" s="3"/>
    </row>
    <row r="36" spans="1:3" ht="16">
      <c r="A36" s="82"/>
      <c r="B36" s="3"/>
      <c r="C36" s="3"/>
    </row>
    <row r="37" spans="1:3" ht="16">
      <c r="A37" s="82"/>
      <c r="B37" s="3"/>
      <c r="C37" s="3"/>
    </row>
    <row r="38" spans="1:3" ht="16">
      <c r="A38" s="82"/>
      <c r="B38" s="3"/>
      <c r="C38" s="3"/>
    </row>
    <row r="39" spans="1:3" ht="16">
      <c r="A39" s="82"/>
      <c r="B39" s="3"/>
      <c r="C39" s="3"/>
    </row>
    <row r="40" spans="1:3" ht="16">
      <c r="A40" s="82"/>
      <c r="B40" s="3"/>
      <c r="C40" s="3"/>
    </row>
    <row r="41" spans="1:3" ht="16">
      <c r="A41" s="82"/>
      <c r="B41" s="3"/>
      <c r="C41" s="3"/>
    </row>
    <row r="42" spans="1:3" ht="16">
      <c r="A42" s="82"/>
      <c r="B42" s="3"/>
      <c r="C42" s="3"/>
    </row>
    <row r="43" spans="1:3">
      <c r="B43" s="3"/>
      <c r="C43" s="3"/>
    </row>
    <row r="44" spans="1:3">
      <c r="B44" s="3"/>
      <c r="C44" s="3"/>
    </row>
    <row r="45" spans="1:3">
      <c r="B45" s="3"/>
      <c r="C45" s="3"/>
    </row>
    <row r="46" spans="1:3">
      <c r="B46" s="3"/>
      <c r="C46" s="3"/>
    </row>
    <row r="47" spans="1:3">
      <c r="B47" s="3"/>
      <c r="C47" s="3"/>
    </row>
    <row r="48" spans="1:3">
      <c r="B48" s="3"/>
      <c r="C4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Taxpayer profile</vt:lpstr>
      <vt:lpstr>Income</vt:lpstr>
      <vt:lpstr>Adjustable Tax</vt:lpstr>
      <vt:lpstr>Income with Final Min tax</vt:lpstr>
      <vt:lpstr>Capital Gain</vt:lpstr>
      <vt:lpstr>Tax Computation</vt:lpstr>
      <vt:lpstr>Tax Reduction, Credit &amp; deduct </vt:lpstr>
      <vt:lpstr>Detail of Expenses</vt:lpstr>
      <vt:lpstr>Wealth Statement</vt:lpstr>
      <vt:lpstr>Wealth Recon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Khurram Akhter</dc:creator>
  <cp:lastModifiedBy>Masood Zafar</cp:lastModifiedBy>
  <dcterms:created xsi:type="dcterms:W3CDTF">2025-02-25T17:47:24Z</dcterms:created>
  <dcterms:modified xsi:type="dcterms:W3CDTF">2025-10-01T13:39:55Z</dcterms:modified>
</cp:coreProperties>
</file>